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Shreshta Saha\Desktop\"/>
    </mc:Choice>
  </mc:AlternateContent>
  <xr:revisionPtr revIDLastSave="0" documentId="13_ncr:1_{9D4A1157-D100-4D63-B91D-2D4E7D0F7173}" xr6:coauthVersionLast="47" xr6:coauthVersionMax="47" xr10:uidLastSave="{00000000-0000-0000-0000-000000000000}"/>
  <bookViews>
    <workbookView xWindow="768" yWindow="768" windowWidth="17280" windowHeight="8880" tabRatio="500" firstSheet="9" activeTab="11" xr2:uid="{00000000-000D-0000-FFFF-FFFF00000000}"/>
  </bookViews>
  <sheets>
    <sheet name="Home" sheetId="1" r:id="rId1"/>
    <sheet name="Instructions" sheetId="2" r:id="rId2"/>
    <sheet name="Raw Student Data" sheetId="3" r:id="rId3"/>
    <sheet name="Clean Student Data" sheetId="4" r:id="rId4"/>
    <sheet name="Raw Gamification Data" sheetId="5" r:id="rId5"/>
    <sheet name="Clean Gamification Data" sheetId="6" r:id="rId6"/>
    <sheet name="Summary Table" sheetId="7" r:id="rId7"/>
    <sheet name="Teacher_Master" sheetId="8" r:id="rId8"/>
    <sheet name="Master_Data" sheetId="9" r:id="rId9"/>
    <sheet name=" Overall Analysis" sheetId="13" r:id="rId10"/>
    <sheet name="KPI Analysis" sheetId="12" r:id="rId11"/>
    <sheet name="Dashboard" sheetId="14" r:id="rId12"/>
    <sheet name="Effectiveness &amp; Engagement " sheetId="20" r:id="rId13"/>
    <sheet name=" Gamification Lift(Age) " sheetId="26" r:id="rId14"/>
    <sheet name="Gamification Lift(Gender)" sheetId="27" r:id="rId15"/>
    <sheet name="Effectiveness Distribution" sheetId="28" r:id="rId16"/>
    <sheet name="Teaching Method(Effectiveness)" sheetId="35" r:id="rId17"/>
    <sheet name="Teaching Method(Engagement)" sheetId="38" r:id="rId18"/>
    <sheet name="Gamification Lift" sheetId="30" r:id="rId19"/>
    <sheet name="Gamification &amp; Non-Gamification" sheetId="40" r:id="rId20"/>
    <sheet name="Gamification Lift(Performance)" sheetId="16" r:id="rId21"/>
    <sheet name="Teacher Count" sheetId="31" r:id="rId22"/>
    <sheet name="Teacher ID" sheetId="33" r:id="rId23"/>
    <sheet name="Gender Split" sheetId="15" r:id="rId24"/>
    <sheet name="Students per Teacher" sheetId="17" r:id="rId25"/>
  </sheets>
  <definedNames>
    <definedName name="_xlcn.WorksheetConnection_student_survey_dataset.xlsxTable1" hidden="1">Table1[]</definedName>
    <definedName name="_xlcn.WorksheetConnection_student_survey_dataset.xlsxTable4" hidden="1">Table4[]</definedName>
    <definedName name="Slicer_Age_Band">#N/A</definedName>
    <definedName name="Slicer_Gender">#N/A</definedName>
    <definedName name="Slicer_Metric">#N/A</definedName>
    <definedName name="Slicer_Performance_Tier">#N/A</definedName>
    <definedName name="Slicer_Teaching_Method">#N/A</definedName>
  </definedNames>
  <calcPr calcId="191029" iterateDelta="1E-4"/>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4" name="Table4" connection="WorksheetConnection_student_survey_dataset.xlsx!Table4"/>
          <x15:modelTable id="Table1" name="Table1" connection="WorksheetConnection_student_survey_dataset.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18" i="1" l="1"/>
  <c r="G14" i="8"/>
  <c r="H14" i="8"/>
  <c r="D44" i="12"/>
  <c r="A6" i="14"/>
  <c r="D39" i="13"/>
  <c r="D40" i="13"/>
  <c r="D41" i="13"/>
  <c r="D42" i="13"/>
  <c r="D38" i="13"/>
  <c r="C39" i="13"/>
  <c r="C40" i="13"/>
  <c r="C41" i="13"/>
  <c r="C42" i="13"/>
  <c r="C38" i="13"/>
  <c r="B39" i="13"/>
  <c r="B40" i="13"/>
  <c r="B41" i="13"/>
  <c r="B42" i="13"/>
  <c r="B38" i="13"/>
  <c r="S7" i="9"/>
  <c r="S2" i="9"/>
  <c r="D3" i="12"/>
  <c r="H4" i="8"/>
  <c r="H8" i="8"/>
  <c r="H13" i="8"/>
  <c r="H10" i="8"/>
  <c r="H6" i="8"/>
  <c r="H2" i="8"/>
  <c r="H15" i="8"/>
  <c r="H11" i="8"/>
  <c r="H16" i="8"/>
  <c r="H3" i="8"/>
  <c r="H9" i="8"/>
  <c r="H7" i="8"/>
  <c r="H5" i="8"/>
  <c r="H12" i="8"/>
  <c r="G4" i="8"/>
  <c r="G8" i="8"/>
  <c r="G13" i="8"/>
  <c r="G10" i="8"/>
  <c r="G6" i="8"/>
  <c r="G2" i="8"/>
  <c r="G15" i="8"/>
  <c r="G11" i="8"/>
  <c r="G16" i="8"/>
  <c r="G3" i="8"/>
  <c r="G9" i="8"/>
  <c r="G7" i="8"/>
  <c r="G5" i="8"/>
  <c r="G12" i="8"/>
  <c r="B5" i="13"/>
  <c r="D5" i="12"/>
  <c r="D4" i="12"/>
  <c r="D52" i="12"/>
  <c r="D51" i="12"/>
  <c r="D50" i="12"/>
  <c r="D49" i="12"/>
  <c r="D48" i="12"/>
  <c r="D45" i="12" s="1"/>
  <c r="D43" i="12"/>
  <c r="D42" i="12"/>
  <c r="D41" i="12"/>
  <c r="D25" i="12"/>
  <c r="D24" i="12"/>
  <c r="D23" i="12"/>
  <c r="D22" i="12"/>
  <c r="D21" i="12"/>
  <c r="B35" i="13" s="1"/>
  <c r="D16" i="12"/>
  <c r="D15" i="12"/>
  <c r="D14" i="12"/>
  <c r="D13" i="12"/>
  <c r="D12" i="12"/>
  <c r="AG1003" i="9"/>
  <c r="AF1003" i="9"/>
  <c r="Z1003" i="9"/>
  <c r="Y1003" i="9"/>
  <c r="AD1003" i="9" s="1"/>
  <c r="X1003" i="9"/>
  <c r="W1003" i="9"/>
  <c r="V1003" i="9"/>
  <c r="U1003" i="9"/>
  <c r="T1003" i="9"/>
  <c r="S1003" i="9"/>
  <c r="AA1003" i="9" s="1"/>
  <c r="R1003" i="9"/>
  <c r="P1003" i="9"/>
  <c r="D1003" i="9"/>
  <c r="E1003" i="9" s="1"/>
  <c r="AG1002" i="9"/>
  <c r="AF1002" i="9"/>
  <c r="Z1002" i="9"/>
  <c r="Y1002" i="9"/>
  <c r="X1002" i="9"/>
  <c r="W1002" i="9"/>
  <c r="AC1002" i="9" s="1"/>
  <c r="V1002" i="9"/>
  <c r="U1002" i="9"/>
  <c r="AB1002" i="9" s="1"/>
  <c r="T1002" i="9"/>
  <c r="S1002" i="9"/>
  <c r="AA1002" i="9" s="1"/>
  <c r="R1002" i="9"/>
  <c r="P1002" i="9"/>
  <c r="D1002" i="9"/>
  <c r="E1002" i="9" s="1"/>
  <c r="AG1001" i="9"/>
  <c r="AF1001" i="9"/>
  <c r="Z1001" i="9"/>
  <c r="Y1001" i="9"/>
  <c r="X1001" i="9"/>
  <c r="W1001" i="9"/>
  <c r="AC1001" i="9" s="1"/>
  <c r="V1001" i="9"/>
  <c r="U1001" i="9"/>
  <c r="AB1001" i="9" s="1"/>
  <c r="T1001" i="9"/>
  <c r="S1001" i="9"/>
  <c r="AA1001" i="9" s="1"/>
  <c r="R1001" i="9"/>
  <c r="P1001" i="9"/>
  <c r="D1001" i="9"/>
  <c r="E1001" i="9" s="1"/>
  <c r="AG1000" i="9"/>
  <c r="AF1000" i="9"/>
  <c r="Z1000" i="9"/>
  <c r="Y1000" i="9"/>
  <c r="AD1000" i="9" s="1"/>
  <c r="X1000" i="9"/>
  <c r="W1000" i="9"/>
  <c r="AC1000" i="9" s="1"/>
  <c r="V1000" i="9"/>
  <c r="U1000" i="9"/>
  <c r="AB1000" i="9" s="1"/>
  <c r="T1000" i="9"/>
  <c r="S1000" i="9"/>
  <c r="AA1000" i="9" s="1"/>
  <c r="R1000" i="9"/>
  <c r="P1000" i="9"/>
  <c r="D1000" i="9"/>
  <c r="E1000" i="9" s="1"/>
  <c r="AG999" i="9"/>
  <c r="AF999" i="9"/>
  <c r="Z999" i="9"/>
  <c r="Y999" i="9"/>
  <c r="X999" i="9"/>
  <c r="W999" i="9"/>
  <c r="V999" i="9"/>
  <c r="U999" i="9"/>
  <c r="AB999" i="9" s="1"/>
  <c r="T999" i="9"/>
  <c r="S999" i="9"/>
  <c r="AA999" i="9" s="1"/>
  <c r="R999" i="9"/>
  <c r="P999" i="9"/>
  <c r="D999" i="9"/>
  <c r="E999" i="9" s="1"/>
  <c r="AG998" i="9"/>
  <c r="AF998" i="9"/>
  <c r="Z998" i="9"/>
  <c r="Y998" i="9"/>
  <c r="AD998" i="9" s="1"/>
  <c r="X998" i="9"/>
  <c r="W998" i="9"/>
  <c r="V998" i="9"/>
  <c r="U998" i="9"/>
  <c r="AB998" i="9" s="1"/>
  <c r="T998" i="9"/>
  <c r="S998" i="9"/>
  <c r="AA998" i="9" s="1"/>
  <c r="R998" i="9"/>
  <c r="P998" i="9"/>
  <c r="D998" i="9"/>
  <c r="E998" i="9" s="1"/>
  <c r="AG997" i="9"/>
  <c r="AF997" i="9"/>
  <c r="Z997" i="9"/>
  <c r="Y997" i="9"/>
  <c r="AD997" i="9" s="1"/>
  <c r="X997" i="9"/>
  <c r="W997" i="9"/>
  <c r="AC997" i="9" s="1"/>
  <c r="V997" i="9"/>
  <c r="U997" i="9"/>
  <c r="AB997" i="9" s="1"/>
  <c r="T997" i="9"/>
  <c r="S997" i="9"/>
  <c r="AA997" i="9" s="1"/>
  <c r="R997" i="9"/>
  <c r="P997" i="9"/>
  <c r="D997" i="9"/>
  <c r="E997" i="9" s="1"/>
  <c r="AG996" i="9"/>
  <c r="AF996" i="9"/>
  <c r="Z996" i="9"/>
  <c r="Y996" i="9"/>
  <c r="X996" i="9"/>
  <c r="W996" i="9"/>
  <c r="AC996" i="9" s="1"/>
  <c r="V996" i="9"/>
  <c r="U996" i="9"/>
  <c r="AB996" i="9" s="1"/>
  <c r="T996" i="9"/>
  <c r="S996" i="9"/>
  <c r="AA996" i="9" s="1"/>
  <c r="R996" i="9"/>
  <c r="P996" i="9"/>
  <c r="D996" i="9"/>
  <c r="E996" i="9" s="1"/>
  <c r="AG995" i="9"/>
  <c r="AF995" i="9"/>
  <c r="Z995" i="9"/>
  <c r="Y995" i="9"/>
  <c r="AD995" i="9" s="1"/>
  <c r="X995" i="9"/>
  <c r="W995" i="9"/>
  <c r="AC995" i="9" s="1"/>
  <c r="V995" i="9"/>
  <c r="U995" i="9"/>
  <c r="AB995" i="9" s="1"/>
  <c r="T995" i="9"/>
  <c r="S995" i="9"/>
  <c r="AA995" i="9" s="1"/>
  <c r="R995" i="9"/>
  <c r="P995" i="9"/>
  <c r="D995" i="9"/>
  <c r="E995" i="9" s="1"/>
  <c r="AG994" i="9"/>
  <c r="AF994" i="9"/>
  <c r="Z994" i="9"/>
  <c r="Y994" i="9"/>
  <c r="AD994" i="9" s="1"/>
  <c r="X994" i="9"/>
  <c r="W994" i="9"/>
  <c r="AC994" i="9" s="1"/>
  <c r="V994" i="9"/>
  <c r="U994" i="9"/>
  <c r="AB994" i="9" s="1"/>
  <c r="T994" i="9"/>
  <c r="S994" i="9"/>
  <c r="AA994" i="9" s="1"/>
  <c r="R994" i="9"/>
  <c r="P994" i="9"/>
  <c r="D994" i="9"/>
  <c r="E994" i="9" s="1"/>
  <c r="AG993" i="9"/>
  <c r="AF993" i="9"/>
  <c r="Z993" i="9"/>
  <c r="Y993" i="9"/>
  <c r="AD993" i="9" s="1"/>
  <c r="X993" i="9"/>
  <c r="W993" i="9"/>
  <c r="AC993" i="9" s="1"/>
  <c r="V993" i="9"/>
  <c r="U993" i="9"/>
  <c r="AB993" i="9" s="1"/>
  <c r="T993" i="9"/>
  <c r="S993" i="9"/>
  <c r="AA993" i="9" s="1"/>
  <c r="R993" i="9"/>
  <c r="P993" i="9"/>
  <c r="D993" i="9"/>
  <c r="E993" i="9" s="1"/>
  <c r="AG992" i="9"/>
  <c r="AF992" i="9"/>
  <c r="Z992" i="9"/>
  <c r="Y992" i="9"/>
  <c r="AD992" i="9" s="1"/>
  <c r="X992" i="9"/>
  <c r="W992" i="9"/>
  <c r="AC992" i="9" s="1"/>
  <c r="V992" i="9"/>
  <c r="U992" i="9"/>
  <c r="AB992" i="9" s="1"/>
  <c r="T992" i="9"/>
  <c r="S992" i="9"/>
  <c r="AA992" i="9" s="1"/>
  <c r="R992" i="9"/>
  <c r="P992" i="9"/>
  <c r="D992" i="9"/>
  <c r="E992" i="9" s="1"/>
  <c r="AG991" i="9"/>
  <c r="AF991" i="9"/>
  <c r="Z991" i="9"/>
  <c r="Y991" i="9"/>
  <c r="AD991" i="9" s="1"/>
  <c r="X991" i="9"/>
  <c r="W991" i="9"/>
  <c r="AC991" i="9" s="1"/>
  <c r="V991" i="9"/>
  <c r="U991" i="9"/>
  <c r="AB991" i="9" s="1"/>
  <c r="T991" i="9"/>
  <c r="S991" i="9"/>
  <c r="AA991" i="9" s="1"/>
  <c r="R991" i="9"/>
  <c r="P991" i="9"/>
  <c r="D991" i="9"/>
  <c r="E991" i="9" s="1"/>
  <c r="AG990" i="9"/>
  <c r="AF990" i="9"/>
  <c r="Z990" i="9"/>
  <c r="Y990" i="9"/>
  <c r="AD990" i="9" s="1"/>
  <c r="X990" i="9"/>
  <c r="W990" i="9"/>
  <c r="AC990" i="9" s="1"/>
  <c r="V990" i="9"/>
  <c r="U990" i="9"/>
  <c r="AB990" i="9" s="1"/>
  <c r="T990" i="9"/>
  <c r="S990" i="9"/>
  <c r="AA990" i="9" s="1"/>
  <c r="R990" i="9"/>
  <c r="P990" i="9"/>
  <c r="D990" i="9"/>
  <c r="E990" i="9" s="1"/>
  <c r="AG989" i="9"/>
  <c r="AF989" i="9"/>
  <c r="Z989" i="9"/>
  <c r="Y989" i="9"/>
  <c r="AD989" i="9" s="1"/>
  <c r="X989" i="9"/>
  <c r="W989" i="9"/>
  <c r="AC989" i="9" s="1"/>
  <c r="V989" i="9"/>
  <c r="U989" i="9"/>
  <c r="T989" i="9"/>
  <c r="S989" i="9"/>
  <c r="AA989" i="9" s="1"/>
  <c r="R989" i="9"/>
  <c r="P989" i="9"/>
  <c r="D989" i="9"/>
  <c r="E989" i="9" s="1"/>
  <c r="AG988" i="9"/>
  <c r="AF988" i="9"/>
  <c r="Z988" i="9"/>
  <c r="Y988" i="9"/>
  <c r="AD988" i="9" s="1"/>
  <c r="X988" i="9"/>
  <c r="W988" i="9"/>
  <c r="AC988" i="9" s="1"/>
  <c r="V988" i="9"/>
  <c r="U988" i="9"/>
  <c r="AB988" i="9" s="1"/>
  <c r="T988" i="9"/>
  <c r="S988" i="9"/>
  <c r="AA988" i="9" s="1"/>
  <c r="R988" i="9"/>
  <c r="P988" i="9"/>
  <c r="D988" i="9"/>
  <c r="E988" i="9" s="1"/>
  <c r="AG987" i="9"/>
  <c r="AF987" i="9"/>
  <c r="Z987" i="9"/>
  <c r="Y987" i="9"/>
  <c r="AD987" i="9" s="1"/>
  <c r="X987" i="9"/>
  <c r="W987" i="9"/>
  <c r="AC987" i="9" s="1"/>
  <c r="V987" i="9"/>
  <c r="U987" i="9"/>
  <c r="AB987" i="9" s="1"/>
  <c r="T987" i="9"/>
  <c r="S987" i="9"/>
  <c r="AA987" i="9" s="1"/>
  <c r="R987" i="9"/>
  <c r="P987" i="9"/>
  <c r="D987" i="9"/>
  <c r="E987" i="9" s="1"/>
  <c r="AG986" i="9"/>
  <c r="AF986" i="9"/>
  <c r="Z986" i="9"/>
  <c r="Y986" i="9"/>
  <c r="AD986" i="9" s="1"/>
  <c r="X986" i="9"/>
  <c r="W986" i="9"/>
  <c r="AC986" i="9" s="1"/>
  <c r="V986" i="9"/>
  <c r="U986" i="9"/>
  <c r="AB986" i="9" s="1"/>
  <c r="T986" i="9"/>
  <c r="S986" i="9"/>
  <c r="AA986" i="9" s="1"/>
  <c r="R986" i="9"/>
  <c r="P986" i="9"/>
  <c r="D986" i="9"/>
  <c r="E986" i="9" s="1"/>
  <c r="AG985" i="9"/>
  <c r="AF985" i="9"/>
  <c r="Z985" i="9"/>
  <c r="Y985" i="9"/>
  <c r="AD985" i="9" s="1"/>
  <c r="X985" i="9"/>
  <c r="W985" i="9"/>
  <c r="AC985" i="9" s="1"/>
  <c r="V985" i="9"/>
  <c r="U985" i="9"/>
  <c r="AB985" i="9" s="1"/>
  <c r="T985" i="9"/>
  <c r="S985" i="9"/>
  <c r="AA985" i="9" s="1"/>
  <c r="R985" i="9"/>
  <c r="P985" i="9"/>
  <c r="D985" i="9"/>
  <c r="E985" i="9" s="1"/>
  <c r="AG984" i="9"/>
  <c r="AF984" i="9"/>
  <c r="Z984" i="9"/>
  <c r="Y984" i="9"/>
  <c r="AD984" i="9" s="1"/>
  <c r="X984" i="9"/>
  <c r="W984" i="9"/>
  <c r="AC984" i="9" s="1"/>
  <c r="V984" i="9"/>
  <c r="U984" i="9"/>
  <c r="AB984" i="9" s="1"/>
  <c r="T984" i="9"/>
  <c r="S984" i="9"/>
  <c r="AA984" i="9" s="1"/>
  <c r="R984" i="9"/>
  <c r="P984" i="9"/>
  <c r="D984" i="9"/>
  <c r="E984" i="9" s="1"/>
  <c r="AG983" i="9"/>
  <c r="AF983" i="9"/>
  <c r="Z983" i="9"/>
  <c r="Y983" i="9"/>
  <c r="AD983" i="9" s="1"/>
  <c r="X983" i="9"/>
  <c r="W983" i="9"/>
  <c r="AC983" i="9" s="1"/>
  <c r="V983" i="9"/>
  <c r="U983" i="9"/>
  <c r="AB983" i="9" s="1"/>
  <c r="T983" i="9"/>
  <c r="S983" i="9"/>
  <c r="AA983" i="9" s="1"/>
  <c r="R983" i="9"/>
  <c r="P983" i="9"/>
  <c r="D983" i="9"/>
  <c r="E983" i="9" s="1"/>
  <c r="AG982" i="9"/>
  <c r="AF982" i="9"/>
  <c r="Z982" i="9"/>
  <c r="Y982" i="9"/>
  <c r="AD982" i="9" s="1"/>
  <c r="X982" i="9"/>
  <c r="W982" i="9"/>
  <c r="AC982" i="9" s="1"/>
  <c r="V982" i="9"/>
  <c r="U982" i="9"/>
  <c r="AB982" i="9" s="1"/>
  <c r="T982" i="9"/>
  <c r="S982" i="9"/>
  <c r="AA982" i="9" s="1"/>
  <c r="R982" i="9"/>
  <c r="P982" i="9"/>
  <c r="D982" i="9"/>
  <c r="E982" i="9" s="1"/>
  <c r="AG981" i="9"/>
  <c r="AF981" i="9"/>
  <c r="Z981" i="9"/>
  <c r="Y981" i="9"/>
  <c r="AD981" i="9" s="1"/>
  <c r="X981" i="9"/>
  <c r="W981" i="9"/>
  <c r="AC981" i="9" s="1"/>
  <c r="V981" i="9"/>
  <c r="U981" i="9"/>
  <c r="AB981" i="9" s="1"/>
  <c r="T981" i="9"/>
  <c r="S981" i="9"/>
  <c r="AA981" i="9" s="1"/>
  <c r="R981" i="9"/>
  <c r="P981" i="9"/>
  <c r="D981" i="9"/>
  <c r="E981" i="9" s="1"/>
  <c r="AG980" i="9"/>
  <c r="AF980" i="9"/>
  <c r="Z980" i="9"/>
  <c r="Y980" i="9"/>
  <c r="AD980" i="9" s="1"/>
  <c r="X980" i="9"/>
  <c r="W980" i="9"/>
  <c r="AC980" i="9" s="1"/>
  <c r="V980" i="9"/>
  <c r="U980" i="9"/>
  <c r="AB980" i="9" s="1"/>
  <c r="T980" i="9"/>
  <c r="S980" i="9"/>
  <c r="AA980" i="9" s="1"/>
  <c r="R980" i="9"/>
  <c r="P980" i="9"/>
  <c r="D980" i="9"/>
  <c r="E980" i="9" s="1"/>
  <c r="AG979" i="9"/>
  <c r="AF979" i="9"/>
  <c r="Z979" i="9"/>
  <c r="Y979" i="9"/>
  <c r="AD979" i="9" s="1"/>
  <c r="X979" i="9"/>
  <c r="W979" i="9"/>
  <c r="AC979" i="9" s="1"/>
  <c r="V979" i="9"/>
  <c r="U979" i="9"/>
  <c r="AB979" i="9" s="1"/>
  <c r="T979" i="9"/>
  <c r="S979" i="9"/>
  <c r="AA979" i="9" s="1"/>
  <c r="R979" i="9"/>
  <c r="P979" i="9"/>
  <c r="D979" i="9"/>
  <c r="E979" i="9" s="1"/>
  <c r="AG978" i="9"/>
  <c r="AF978" i="9"/>
  <c r="Z978" i="9"/>
  <c r="Y978" i="9"/>
  <c r="AD978" i="9" s="1"/>
  <c r="X978" i="9"/>
  <c r="W978" i="9"/>
  <c r="AC978" i="9" s="1"/>
  <c r="V978" i="9"/>
  <c r="U978" i="9"/>
  <c r="AB978" i="9" s="1"/>
  <c r="T978" i="9"/>
  <c r="S978" i="9"/>
  <c r="AA978" i="9" s="1"/>
  <c r="R978" i="9"/>
  <c r="P978" i="9"/>
  <c r="D978" i="9"/>
  <c r="E978" i="9" s="1"/>
  <c r="AG977" i="9"/>
  <c r="AF977" i="9"/>
  <c r="Z977" i="9"/>
  <c r="Y977" i="9"/>
  <c r="AD977" i="9" s="1"/>
  <c r="X977" i="9"/>
  <c r="W977" i="9"/>
  <c r="AC977" i="9" s="1"/>
  <c r="V977" i="9"/>
  <c r="U977" i="9"/>
  <c r="AB977" i="9" s="1"/>
  <c r="T977" i="9"/>
  <c r="S977" i="9"/>
  <c r="AA977" i="9" s="1"/>
  <c r="R977" i="9"/>
  <c r="P977" i="9"/>
  <c r="D977" i="9"/>
  <c r="E977" i="9" s="1"/>
  <c r="AG976" i="9"/>
  <c r="AF976" i="9"/>
  <c r="Z976" i="9"/>
  <c r="Y976" i="9"/>
  <c r="AD976" i="9" s="1"/>
  <c r="X976" i="9"/>
  <c r="W976" i="9"/>
  <c r="AC976" i="9" s="1"/>
  <c r="V976" i="9"/>
  <c r="U976" i="9"/>
  <c r="AB976" i="9" s="1"/>
  <c r="T976" i="9"/>
  <c r="S976" i="9"/>
  <c r="AA976" i="9" s="1"/>
  <c r="R976" i="9"/>
  <c r="P976" i="9"/>
  <c r="D976" i="9"/>
  <c r="E976" i="9" s="1"/>
  <c r="AG975" i="9"/>
  <c r="AF975" i="9"/>
  <c r="Z975" i="9"/>
  <c r="Y975" i="9"/>
  <c r="AD975" i="9" s="1"/>
  <c r="X975" i="9"/>
  <c r="W975" i="9"/>
  <c r="AC975" i="9" s="1"/>
  <c r="V975" i="9"/>
  <c r="U975" i="9"/>
  <c r="AB975" i="9" s="1"/>
  <c r="T975" i="9"/>
  <c r="S975" i="9"/>
  <c r="AA975" i="9" s="1"/>
  <c r="R975" i="9"/>
  <c r="P975" i="9"/>
  <c r="D975" i="9"/>
  <c r="E975" i="9" s="1"/>
  <c r="AG974" i="9"/>
  <c r="AF974" i="9"/>
  <c r="Z974" i="9"/>
  <c r="Y974" i="9"/>
  <c r="AD974" i="9" s="1"/>
  <c r="X974" i="9"/>
  <c r="W974" i="9"/>
  <c r="AC974" i="9" s="1"/>
  <c r="V974" i="9"/>
  <c r="U974" i="9"/>
  <c r="AB974" i="9" s="1"/>
  <c r="T974" i="9"/>
  <c r="S974" i="9"/>
  <c r="AA974" i="9" s="1"/>
  <c r="R974" i="9"/>
  <c r="P974" i="9"/>
  <c r="D974" i="9"/>
  <c r="E974" i="9" s="1"/>
  <c r="AG973" i="9"/>
  <c r="AF973" i="9"/>
  <c r="Z973" i="9"/>
  <c r="Y973" i="9"/>
  <c r="AD973" i="9" s="1"/>
  <c r="X973" i="9"/>
  <c r="W973" i="9"/>
  <c r="AC973" i="9" s="1"/>
  <c r="V973" i="9"/>
  <c r="U973" i="9"/>
  <c r="AB973" i="9" s="1"/>
  <c r="T973" i="9"/>
  <c r="S973" i="9"/>
  <c r="AA973" i="9" s="1"/>
  <c r="R973" i="9"/>
  <c r="P973" i="9"/>
  <c r="D973" i="9"/>
  <c r="E973" i="9" s="1"/>
  <c r="AG972" i="9"/>
  <c r="AF972" i="9"/>
  <c r="Z972" i="9"/>
  <c r="Y972" i="9"/>
  <c r="AD972" i="9" s="1"/>
  <c r="X972" i="9"/>
  <c r="W972" i="9"/>
  <c r="AC972" i="9" s="1"/>
  <c r="V972" i="9"/>
  <c r="U972" i="9"/>
  <c r="AB972" i="9" s="1"/>
  <c r="T972" i="9"/>
  <c r="S972" i="9"/>
  <c r="AA972" i="9" s="1"/>
  <c r="R972" i="9"/>
  <c r="P972" i="9"/>
  <c r="D972" i="9"/>
  <c r="E972" i="9" s="1"/>
  <c r="AG971" i="9"/>
  <c r="AF971" i="9"/>
  <c r="Z971" i="9"/>
  <c r="Y971" i="9"/>
  <c r="AD971" i="9" s="1"/>
  <c r="X971" i="9"/>
  <c r="W971" i="9"/>
  <c r="AC971" i="9" s="1"/>
  <c r="V971" i="9"/>
  <c r="U971" i="9"/>
  <c r="AB971" i="9" s="1"/>
  <c r="T971" i="9"/>
  <c r="S971" i="9"/>
  <c r="AA971" i="9" s="1"/>
  <c r="R971" i="9"/>
  <c r="P971" i="9"/>
  <c r="D971" i="9"/>
  <c r="E971" i="9" s="1"/>
  <c r="AG970" i="9"/>
  <c r="AF970" i="9"/>
  <c r="Z970" i="9"/>
  <c r="Y970" i="9"/>
  <c r="AD970" i="9" s="1"/>
  <c r="X970" i="9"/>
  <c r="W970" i="9"/>
  <c r="AC970" i="9" s="1"/>
  <c r="V970" i="9"/>
  <c r="U970" i="9"/>
  <c r="AB970" i="9" s="1"/>
  <c r="T970" i="9"/>
  <c r="S970" i="9"/>
  <c r="AA970" i="9" s="1"/>
  <c r="R970" i="9"/>
  <c r="P970" i="9"/>
  <c r="D970" i="9"/>
  <c r="E970" i="9" s="1"/>
  <c r="AG969" i="9"/>
  <c r="AF969" i="9"/>
  <c r="Z969" i="9"/>
  <c r="Y969" i="9"/>
  <c r="AD969" i="9" s="1"/>
  <c r="X969" i="9"/>
  <c r="W969" i="9"/>
  <c r="AC969" i="9" s="1"/>
  <c r="V969" i="9"/>
  <c r="U969" i="9"/>
  <c r="AB969" i="9" s="1"/>
  <c r="T969" i="9"/>
  <c r="S969" i="9"/>
  <c r="AA969" i="9" s="1"/>
  <c r="R969" i="9"/>
  <c r="P969" i="9"/>
  <c r="D969" i="9"/>
  <c r="E969" i="9" s="1"/>
  <c r="AG968" i="9"/>
  <c r="AF968" i="9"/>
  <c r="Z968" i="9"/>
  <c r="Y968" i="9"/>
  <c r="AD968" i="9" s="1"/>
  <c r="X968" i="9"/>
  <c r="W968" i="9"/>
  <c r="AC968" i="9" s="1"/>
  <c r="V968" i="9"/>
  <c r="U968" i="9"/>
  <c r="AB968" i="9" s="1"/>
  <c r="T968" i="9"/>
  <c r="S968" i="9"/>
  <c r="AA968" i="9" s="1"/>
  <c r="R968" i="9"/>
  <c r="P968" i="9"/>
  <c r="D968" i="9"/>
  <c r="E968" i="9" s="1"/>
  <c r="AG967" i="9"/>
  <c r="AF967" i="9"/>
  <c r="Z967" i="9"/>
  <c r="Y967" i="9"/>
  <c r="AD967" i="9" s="1"/>
  <c r="X967" i="9"/>
  <c r="W967" i="9"/>
  <c r="AC967" i="9" s="1"/>
  <c r="V967" i="9"/>
  <c r="U967" i="9"/>
  <c r="AB967" i="9" s="1"/>
  <c r="T967" i="9"/>
  <c r="S967" i="9"/>
  <c r="AA967" i="9" s="1"/>
  <c r="R967" i="9"/>
  <c r="P967" i="9"/>
  <c r="D967" i="9"/>
  <c r="E967" i="9" s="1"/>
  <c r="AG966" i="9"/>
  <c r="AF966" i="9"/>
  <c r="Z966" i="9"/>
  <c r="Y966" i="9"/>
  <c r="AD966" i="9" s="1"/>
  <c r="X966" i="9"/>
  <c r="W966" i="9"/>
  <c r="AC966" i="9" s="1"/>
  <c r="V966" i="9"/>
  <c r="U966" i="9"/>
  <c r="AB966" i="9" s="1"/>
  <c r="T966" i="9"/>
  <c r="S966" i="9"/>
  <c r="AA966" i="9" s="1"/>
  <c r="R966" i="9"/>
  <c r="P966" i="9"/>
  <c r="D966" i="9"/>
  <c r="E966" i="9" s="1"/>
  <c r="AG965" i="9"/>
  <c r="AF965" i="9"/>
  <c r="Z965" i="9"/>
  <c r="Y965" i="9"/>
  <c r="AD965" i="9" s="1"/>
  <c r="X965" i="9"/>
  <c r="W965" i="9"/>
  <c r="AC965" i="9" s="1"/>
  <c r="V965" i="9"/>
  <c r="U965" i="9"/>
  <c r="AB965" i="9" s="1"/>
  <c r="T965" i="9"/>
  <c r="S965" i="9"/>
  <c r="AA965" i="9" s="1"/>
  <c r="R965" i="9"/>
  <c r="P965" i="9"/>
  <c r="D965" i="9"/>
  <c r="E965" i="9" s="1"/>
  <c r="AG964" i="9"/>
  <c r="AF964" i="9"/>
  <c r="Z964" i="9"/>
  <c r="Y964" i="9"/>
  <c r="AD964" i="9" s="1"/>
  <c r="X964" i="9"/>
  <c r="W964" i="9"/>
  <c r="AC964" i="9" s="1"/>
  <c r="V964" i="9"/>
  <c r="U964" i="9"/>
  <c r="AB964" i="9" s="1"/>
  <c r="T964" i="9"/>
  <c r="S964" i="9"/>
  <c r="AA964" i="9" s="1"/>
  <c r="R964" i="9"/>
  <c r="P964" i="9"/>
  <c r="D964" i="9"/>
  <c r="E964" i="9" s="1"/>
  <c r="AG963" i="9"/>
  <c r="AF963" i="9"/>
  <c r="Z963" i="9"/>
  <c r="Y963" i="9"/>
  <c r="AD963" i="9" s="1"/>
  <c r="X963" i="9"/>
  <c r="W963" i="9"/>
  <c r="AC963" i="9" s="1"/>
  <c r="V963" i="9"/>
  <c r="U963" i="9"/>
  <c r="AB963" i="9" s="1"/>
  <c r="T963" i="9"/>
  <c r="S963" i="9"/>
  <c r="AA963" i="9" s="1"/>
  <c r="R963" i="9"/>
  <c r="P963" i="9"/>
  <c r="D963" i="9"/>
  <c r="E963" i="9" s="1"/>
  <c r="AG962" i="9"/>
  <c r="AF962" i="9"/>
  <c r="Z962" i="9"/>
  <c r="Y962" i="9"/>
  <c r="AD962" i="9" s="1"/>
  <c r="X962" i="9"/>
  <c r="W962" i="9"/>
  <c r="AC962" i="9" s="1"/>
  <c r="V962" i="9"/>
  <c r="U962" i="9"/>
  <c r="AB962" i="9" s="1"/>
  <c r="T962" i="9"/>
  <c r="S962" i="9"/>
  <c r="AA962" i="9" s="1"/>
  <c r="R962" i="9"/>
  <c r="P962" i="9"/>
  <c r="D962" i="9"/>
  <c r="E962" i="9" s="1"/>
  <c r="AG961" i="9"/>
  <c r="AF961" i="9"/>
  <c r="Z961" i="9"/>
  <c r="Y961" i="9"/>
  <c r="AD961" i="9" s="1"/>
  <c r="X961" i="9"/>
  <c r="W961" i="9"/>
  <c r="AC961" i="9" s="1"/>
  <c r="V961" i="9"/>
  <c r="U961" i="9"/>
  <c r="AB961" i="9" s="1"/>
  <c r="T961" i="9"/>
  <c r="S961" i="9"/>
  <c r="AA961" i="9" s="1"/>
  <c r="R961" i="9"/>
  <c r="P961" i="9"/>
  <c r="D961" i="9"/>
  <c r="E961" i="9" s="1"/>
  <c r="AG960" i="9"/>
  <c r="AF960" i="9"/>
  <c r="Z960" i="9"/>
  <c r="Y960" i="9"/>
  <c r="AD960" i="9" s="1"/>
  <c r="X960" i="9"/>
  <c r="W960" i="9"/>
  <c r="AC960" i="9" s="1"/>
  <c r="V960" i="9"/>
  <c r="U960" i="9"/>
  <c r="AB960" i="9" s="1"/>
  <c r="T960" i="9"/>
  <c r="S960" i="9"/>
  <c r="AA960" i="9" s="1"/>
  <c r="R960" i="9"/>
  <c r="P960" i="9"/>
  <c r="D960" i="9"/>
  <c r="E960" i="9" s="1"/>
  <c r="AG959" i="9"/>
  <c r="AF959" i="9"/>
  <c r="Z959" i="9"/>
  <c r="Y959" i="9"/>
  <c r="AD959" i="9" s="1"/>
  <c r="X959" i="9"/>
  <c r="W959" i="9"/>
  <c r="AC959" i="9" s="1"/>
  <c r="V959" i="9"/>
  <c r="U959" i="9"/>
  <c r="AB959" i="9" s="1"/>
  <c r="T959" i="9"/>
  <c r="S959" i="9"/>
  <c r="AA959" i="9" s="1"/>
  <c r="R959" i="9"/>
  <c r="P959" i="9"/>
  <c r="D959" i="9"/>
  <c r="E959" i="9" s="1"/>
  <c r="AG958" i="9"/>
  <c r="AF958" i="9"/>
  <c r="Z958" i="9"/>
  <c r="Y958" i="9"/>
  <c r="AD958" i="9" s="1"/>
  <c r="X958" i="9"/>
  <c r="W958" i="9"/>
  <c r="AC958" i="9" s="1"/>
  <c r="V958" i="9"/>
  <c r="U958" i="9"/>
  <c r="AB958" i="9" s="1"/>
  <c r="T958" i="9"/>
  <c r="S958" i="9"/>
  <c r="AA958" i="9" s="1"/>
  <c r="R958" i="9"/>
  <c r="P958" i="9"/>
  <c r="D958" i="9"/>
  <c r="E958" i="9" s="1"/>
  <c r="AG957" i="9"/>
  <c r="AF957" i="9"/>
  <c r="Z957" i="9"/>
  <c r="Y957" i="9"/>
  <c r="AD957" i="9" s="1"/>
  <c r="X957" i="9"/>
  <c r="W957" i="9"/>
  <c r="AC957" i="9" s="1"/>
  <c r="V957" i="9"/>
  <c r="U957" i="9"/>
  <c r="AB957" i="9" s="1"/>
  <c r="T957" i="9"/>
  <c r="S957" i="9"/>
  <c r="AA957" i="9" s="1"/>
  <c r="R957" i="9"/>
  <c r="P957" i="9"/>
  <c r="D957" i="9"/>
  <c r="E957" i="9" s="1"/>
  <c r="AG956" i="9"/>
  <c r="AF956" i="9"/>
  <c r="Z956" i="9"/>
  <c r="Y956" i="9"/>
  <c r="AD956" i="9" s="1"/>
  <c r="X956" i="9"/>
  <c r="W956" i="9"/>
  <c r="AC956" i="9" s="1"/>
  <c r="V956" i="9"/>
  <c r="U956" i="9"/>
  <c r="AB956" i="9" s="1"/>
  <c r="T956" i="9"/>
  <c r="S956" i="9"/>
  <c r="AA956" i="9" s="1"/>
  <c r="R956" i="9"/>
  <c r="P956" i="9"/>
  <c r="D956" i="9"/>
  <c r="E956" i="9" s="1"/>
  <c r="AG955" i="9"/>
  <c r="AF955" i="9"/>
  <c r="Z955" i="9"/>
  <c r="Y955" i="9"/>
  <c r="AD955" i="9" s="1"/>
  <c r="X955" i="9"/>
  <c r="W955" i="9"/>
  <c r="AC955" i="9" s="1"/>
  <c r="V955" i="9"/>
  <c r="U955" i="9"/>
  <c r="AB955" i="9" s="1"/>
  <c r="T955" i="9"/>
  <c r="S955" i="9"/>
  <c r="AA955" i="9" s="1"/>
  <c r="R955" i="9"/>
  <c r="P955" i="9"/>
  <c r="D955" i="9"/>
  <c r="E955" i="9" s="1"/>
  <c r="AG954" i="9"/>
  <c r="AF954" i="9"/>
  <c r="Z954" i="9"/>
  <c r="Y954" i="9"/>
  <c r="AD954" i="9" s="1"/>
  <c r="X954" i="9"/>
  <c r="W954" i="9"/>
  <c r="AC954" i="9" s="1"/>
  <c r="V954" i="9"/>
  <c r="U954" i="9"/>
  <c r="AB954" i="9" s="1"/>
  <c r="T954" i="9"/>
  <c r="S954" i="9"/>
  <c r="AA954" i="9" s="1"/>
  <c r="R954" i="9"/>
  <c r="P954" i="9"/>
  <c r="D954" i="9"/>
  <c r="E954" i="9" s="1"/>
  <c r="AG953" i="9"/>
  <c r="AF953" i="9"/>
  <c r="Z953" i="9"/>
  <c r="Y953" i="9"/>
  <c r="AD953" i="9" s="1"/>
  <c r="X953" i="9"/>
  <c r="W953" i="9"/>
  <c r="AC953" i="9" s="1"/>
  <c r="V953" i="9"/>
  <c r="U953" i="9"/>
  <c r="AB953" i="9" s="1"/>
  <c r="T953" i="9"/>
  <c r="S953" i="9"/>
  <c r="AA953" i="9" s="1"/>
  <c r="R953" i="9"/>
  <c r="P953" i="9"/>
  <c r="D953" i="9"/>
  <c r="E953" i="9" s="1"/>
  <c r="AG952" i="9"/>
  <c r="AF952" i="9"/>
  <c r="Z952" i="9"/>
  <c r="Y952" i="9"/>
  <c r="AD952" i="9" s="1"/>
  <c r="X952" i="9"/>
  <c r="W952" i="9"/>
  <c r="AC952" i="9" s="1"/>
  <c r="V952" i="9"/>
  <c r="U952" i="9"/>
  <c r="AB952" i="9" s="1"/>
  <c r="T952" i="9"/>
  <c r="S952" i="9"/>
  <c r="AA952" i="9" s="1"/>
  <c r="R952" i="9"/>
  <c r="P952" i="9"/>
  <c r="D952" i="9"/>
  <c r="E952" i="9" s="1"/>
  <c r="AG951" i="9"/>
  <c r="AF951" i="9"/>
  <c r="Z951" i="9"/>
  <c r="Y951" i="9"/>
  <c r="X951" i="9"/>
  <c r="W951" i="9"/>
  <c r="AC951" i="9" s="1"/>
  <c r="V951" i="9"/>
  <c r="U951" i="9"/>
  <c r="AB951" i="9" s="1"/>
  <c r="T951" i="9"/>
  <c r="S951" i="9"/>
  <c r="AA951" i="9" s="1"/>
  <c r="R951" i="9"/>
  <c r="P951" i="9"/>
  <c r="D951" i="9"/>
  <c r="E951" i="9" s="1"/>
  <c r="AG950" i="9"/>
  <c r="AF950" i="9"/>
  <c r="Z950" i="9"/>
  <c r="Y950" i="9"/>
  <c r="AD950" i="9" s="1"/>
  <c r="X950" i="9"/>
  <c r="W950" i="9"/>
  <c r="AC950" i="9" s="1"/>
  <c r="V950" i="9"/>
  <c r="U950" i="9"/>
  <c r="AB950" i="9" s="1"/>
  <c r="T950" i="9"/>
  <c r="S950" i="9"/>
  <c r="AA950" i="9" s="1"/>
  <c r="R950" i="9"/>
  <c r="P950" i="9"/>
  <c r="D950" i="9"/>
  <c r="E950" i="9" s="1"/>
  <c r="AG949" i="9"/>
  <c r="AF949" i="9"/>
  <c r="Z949" i="9"/>
  <c r="Y949" i="9"/>
  <c r="AD949" i="9" s="1"/>
  <c r="X949" i="9"/>
  <c r="W949" i="9"/>
  <c r="AC949" i="9" s="1"/>
  <c r="V949" i="9"/>
  <c r="U949" i="9"/>
  <c r="AB949" i="9" s="1"/>
  <c r="T949" i="9"/>
  <c r="S949" i="9"/>
  <c r="AA949" i="9" s="1"/>
  <c r="R949" i="9"/>
  <c r="P949" i="9"/>
  <c r="D949" i="9"/>
  <c r="E949" i="9" s="1"/>
  <c r="AG948" i="9"/>
  <c r="AF948" i="9"/>
  <c r="Z948" i="9"/>
  <c r="Y948" i="9"/>
  <c r="AD948" i="9" s="1"/>
  <c r="X948" i="9"/>
  <c r="W948" i="9"/>
  <c r="AC948" i="9" s="1"/>
  <c r="V948" i="9"/>
  <c r="U948" i="9"/>
  <c r="AB948" i="9" s="1"/>
  <c r="T948" i="9"/>
  <c r="S948" i="9"/>
  <c r="AA948" i="9" s="1"/>
  <c r="R948" i="9"/>
  <c r="P948" i="9"/>
  <c r="D948" i="9"/>
  <c r="E948" i="9" s="1"/>
  <c r="AG947" i="9"/>
  <c r="AF947" i="9"/>
  <c r="Z947" i="9"/>
  <c r="Y947" i="9"/>
  <c r="AD947" i="9" s="1"/>
  <c r="X947" i="9"/>
  <c r="W947" i="9"/>
  <c r="AC947" i="9" s="1"/>
  <c r="V947" i="9"/>
  <c r="U947" i="9"/>
  <c r="AB947" i="9" s="1"/>
  <c r="T947" i="9"/>
  <c r="S947" i="9"/>
  <c r="AA947" i="9" s="1"/>
  <c r="R947" i="9"/>
  <c r="P947" i="9"/>
  <c r="D947" i="9"/>
  <c r="E947" i="9" s="1"/>
  <c r="AG946" i="9"/>
  <c r="AF946" i="9"/>
  <c r="Z946" i="9"/>
  <c r="Y946" i="9"/>
  <c r="AD946" i="9" s="1"/>
  <c r="X946" i="9"/>
  <c r="W946" i="9"/>
  <c r="AC946" i="9" s="1"/>
  <c r="V946" i="9"/>
  <c r="U946" i="9"/>
  <c r="AB946" i="9" s="1"/>
  <c r="T946" i="9"/>
  <c r="S946" i="9"/>
  <c r="AA946" i="9" s="1"/>
  <c r="R946" i="9"/>
  <c r="P946" i="9"/>
  <c r="D946" i="9"/>
  <c r="E946" i="9" s="1"/>
  <c r="AG945" i="9"/>
  <c r="AF945" i="9"/>
  <c r="Z945" i="9"/>
  <c r="Y945" i="9"/>
  <c r="AD945" i="9" s="1"/>
  <c r="X945" i="9"/>
  <c r="W945" i="9"/>
  <c r="AC945" i="9" s="1"/>
  <c r="V945" i="9"/>
  <c r="U945" i="9"/>
  <c r="AB945" i="9" s="1"/>
  <c r="T945" i="9"/>
  <c r="S945" i="9"/>
  <c r="AA945" i="9" s="1"/>
  <c r="R945" i="9"/>
  <c r="P945" i="9"/>
  <c r="D945" i="9"/>
  <c r="E945" i="9" s="1"/>
  <c r="AG944" i="9"/>
  <c r="AF944" i="9"/>
  <c r="Z944" i="9"/>
  <c r="Y944" i="9"/>
  <c r="AD944" i="9" s="1"/>
  <c r="X944" i="9"/>
  <c r="W944" i="9"/>
  <c r="AC944" i="9" s="1"/>
  <c r="V944" i="9"/>
  <c r="U944" i="9"/>
  <c r="AB944" i="9" s="1"/>
  <c r="T944" i="9"/>
  <c r="S944" i="9"/>
  <c r="AA944" i="9" s="1"/>
  <c r="R944" i="9"/>
  <c r="P944" i="9"/>
  <c r="D944" i="9"/>
  <c r="E944" i="9" s="1"/>
  <c r="AG943" i="9"/>
  <c r="AF943" i="9"/>
  <c r="Z943" i="9"/>
  <c r="Y943" i="9"/>
  <c r="AD943" i="9" s="1"/>
  <c r="X943" i="9"/>
  <c r="W943" i="9"/>
  <c r="AC943" i="9" s="1"/>
  <c r="V943" i="9"/>
  <c r="U943" i="9"/>
  <c r="T943" i="9"/>
  <c r="S943" i="9"/>
  <c r="AA943" i="9" s="1"/>
  <c r="R943" i="9"/>
  <c r="P943" i="9"/>
  <c r="D943" i="9"/>
  <c r="E943" i="9" s="1"/>
  <c r="AG942" i="9"/>
  <c r="AF942" i="9"/>
  <c r="Z942" i="9"/>
  <c r="Y942" i="9"/>
  <c r="AD942" i="9" s="1"/>
  <c r="X942" i="9"/>
  <c r="W942" i="9"/>
  <c r="AC942" i="9" s="1"/>
  <c r="V942" i="9"/>
  <c r="U942" i="9"/>
  <c r="AB942" i="9" s="1"/>
  <c r="T942" i="9"/>
  <c r="S942" i="9"/>
  <c r="AA942" i="9" s="1"/>
  <c r="R942" i="9"/>
  <c r="P942" i="9"/>
  <c r="D942" i="9"/>
  <c r="E942" i="9" s="1"/>
  <c r="AG941" i="9"/>
  <c r="AF941" i="9"/>
  <c r="Z941" i="9"/>
  <c r="Y941" i="9"/>
  <c r="AD941" i="9" s="1"/>
  <c r="X941" i="9"/>
  <c r="W941" i="9"/>
  <c r="AC941" i="9" s="1"/>
  <c r="V941" i="9"/>
  <c r="U941" i="9"/>
  <c r="AB941" i="9" s="1"/>
  <c r="T941" i="9"/>
  <c r="S941" i="9"/>
  <c r="AA941" i="9" s="1"/>
  <c r="R941" i="9"/>
  <c r="P941" i="9"/>
  <c r="D941" i="9"/>
  <c r="E941" i="9" s="1"/>
  <c r="AG940" i="9"/>
  <c r="AF940" i="9"/>
  <c r="Z940" i="9"/>
  <c r="Y940" i="9"/>
  <c r="AD940" i="9" s="1"/>
  <c r="X940" i="9"/>
  <c r="W940" i="9"/>
  <c r="AC940" i="9" s="1"/>
  <c r="V940" i="9"/>
  <c r="U940" i="9"/>
  <c r="AB940" i="9" s="1"/>
  <c r="T940" i="9"/>
  <c r="S940" i="9"/>
  <c r="AA940" i="9" s="1"/>
  <c r="R940" i="9"/>
  <c r="P940" i="9"/>
  <c r="D940" i="9"/>
  <c r="E940" i="9" s="1"/>
  <c r="AG939" i="9"/>
  <c r="AF939" i="9"/>
  <c r="Z939" i="9"/>
  <c r="Y939" i="9"/>
  <c r="AD939" i="9" s="1"/>
  <c r="X939" i="9"/>
  <c r="W939" i="9"/>
  <c r="AC939" i="9" s="1"/>
  <c r="V939" i="9"/>
  <c r="U939" i="9"/>
  <c r="AB939" i="9" s="1"/>
  <c r="T939" i="9"/>
  <c r="S939" i="9"/>
  <c r="AA939" i="9" s="1"/>
  <c r="R939" i="9"/>
  <c r="P939" i="9"/>
  <c r="D939" i="9"/>
  <c r="E939" i="9" s="1"/>
  <c r="AG938" i="9"/>
  <c r="AF938" i="9"/>
  <c r="Z938" i="9"/>
  <c r="Y938" i="9"/>
  <c r="AD938" i="9" s="1"/>
  <c r="X938" i="9"/>
  <c r="W938" i="9"/>
  <c r="AC938" i="9" s="1"/>
  <c r="V938" i="9"/>
  <c r="U938" i="9"/>
  <c r="AB938" i="9" s="1"/>
  <c r="T938" i="9"/>
  <c r="S938" i="9"/>
  <c r="AA938" i="9" s="1"/>
  <c r="R938" i="9"/>
  <c r="P938" i="9"/>
  <c r="D938" i="9"/>
  <c r="E938" i="9" s="1"/>
  <c r="AG937" i="9"/>
  <c r="AF937" i="9"/>
  <c r="Z937" i="9"/>
  <c r="Y937" i="9"/>
  <c r="AD937" i="9" s="1"/>
  <c r="X937" i="9"/>
  <c r="W937" i="9"/>
  <c r="AC937" i="9" s="1"/>
  <c r="V937" i="9"/>
  <c r="U937" i="9"/>
  <c r="AB937" i="9" s="1"/>
  <c r="T937" i="9"/>
  <c r="S937" i="9"/>
  <c r="AA937" i="9" s="1"/>
  <c r="R937" i="9"/>
  <c r="P937" i="9"/>
  <c r="D937" i="9"/>
  <c r="E937" i="9" s="1"/>
  <c r="AG936" i="9"/>
  <c r="AF936" i="9"/>
  <c r="Z936" i="9"/>
  <c r="Y936" i="9"/>
  <c r="AD936" i="9" s="1"/>
  <c r="X936" i="9"/>
  <c r="W936" i="9"/>
  <c r="AC936" i="9" s="1"/>
  <c r="V936" i="9"/>
  <c r="U936" i="9"/>
  <c r="AB936" i="9" s="1"/>
  <c r="T936" i="9"/>
  <c r="S936" i="9"/>
  <c r="AA936" i="9" s="1"/>
  <c r="R936" i="9"/>
  <c r="P936" i="9"/>
  <c r="D936" i="9"/>
  <c r="E936" i="9" s="1"/>
  <c r="AG935" i="9"/>
  <c r="AF935" i="9"/>
  <c r="Z935" i="9"/>
  <c r="Y935" i="9"/>
  <c r="AD935" i="9" s="1"/>
  <c r="X935" i="9"/>
  <c r="W935" i="9"/>
  <c r="AC935" i="9" s="1"/>
  <c r="V935" i="9"/>
  <c r="U935" i="9"/>
  <c r="AB935" i="9" s="1"/>
  <c r="T935" i="9"/>
  <c r="S935" i="9"/>
  <c r="AA935" i="9" s="1"/>
  <c r="R935" i="9"/>
  <c r="P935" i="9"/>
  <c r="D935" i="9"/>
  <c r="E935" i="9" s="1"/>
  <c r="AG934" i="9"/>
  <c r="AF934" i="9"/>
  <c r="Z934" i="9"/>
  <c r="Y934" i="9"/>
  <c r="AD934" i="9" s="1"/>
  <c r="X934" i="9"/>
  <c r="W934" i="9"/>
  <c r="AC934" i="9" s="1"/>
  <c r="V934" i="9"/>
  <c r="U934" i="9"/>
  <c r="AB934" i="9" s="1"/>
  <c r="T934" i="9"/>
  <c r="S934" i="9"/>
  <c r="R934" i="9"/>
  <c r="P934" i="9"/>
  <c r="D934" i="9"/>
  <c r="E934" i="9" s="1"/>
  <c r="AG933" i="9"/>
  <c r="AF933" i="9"/>
  <c r="Z933" i="9"/>
  <c r="Y933" i="9"/>
  <c r="AD933" i="9" s="1"/>
  <c r="X933" i="9"/>
  <c r="W933" i="9"/>
  <c r="AC933" i="9" s="1"/>
  <c r="V933" i="9"/>
  <c r="U933" i="9"/>
  <c r="AB933" i="9" s="1"/>
  <c r="T933" i="9"/>
  <c r="S933" i="9"/>
  <c r="AA933" i="9" s="1"/>
  <c r="R933" i="9"/>
  <c r="P933" i="9"/>
  <c r="D933" i="9"/>
  <c r="E933" i="9" s="1"/>
  <c r="AG932" i="9"/>
  <c r="AF932" i="9"/>
  <c r="Z932" i="9"/>
  <c r="Y932" i="9"/>
  <c r="AD932" i="9" s="1"/>
  <c r="X932" i="9"/>
  <c r="W932" i="9"/>
  <c r="AC932" i="9" s="1"/>
  <c r="V932" i="9"/>
  <c r="U932" i="9"/>
  <c r="AB932" i="9" s="1"/>
  <c r="T932" i="9"/>
  <c r="S932" i="9"/>
  <c r="AA932" i="9" s="1"/>
  <c r="R932" i="9"/>
  <c r="P932" i="9"/>
  <c r="D932" i="9"/>
  <c r="E932" i="9" s="1"/>
  <c r="AG931" i="9"/>
  <c r="AF931" i="9"/>
  <c r="Z931" i="9"/>
  <c r="Y931" i="9"/>
  <c r="AD931" i="9" s="1"/>
  <c r="X931" i="9"/>
  <c r="W931" i="9"/>
  <c r="AC931" i="9" s="1"/>
  <c r="V931" i="9"/>
  <c r="U931" i="9"/>
  <c r="AB931" i="9" s="1"/>
  <c r="T931" i="9"/>
  <c r="S931" i="9"/>
  <c r="AA931" i="9" s="1"/>
  <c r="R931" i="9"/>
  <c r="P931" i="9"/>
  <c r="D931" i="9"/>
  <c r="E931" i="9" s="1"/>
  <c r="AG930" i="9"/>
  <c r="AF930" i="9"/>
  <c r="Z930" i="9"/>
  <c r="Y930" i="9"/>
  <c r="AD930" i="9" s="1"/>
  <c r="X930" i="9"/>
  <c r="W930" i="9"/>
  <c r="AC930" i="9" s="1"/>
  <c r="V930" i="9"/>
  <c r="U930" i="9"/>
  <c r="AB930" i="9" s="1"/>
  <c r="T930" i="9"/>
  <c r="S930" i="9"/>
  <c r="AA930" i="9" s="1"/>
  <c r="R930" i="9"/>
  <c r="P930" i="9"/>
  <c r="D930" i="9"/>
  <c r="E930" i="9" s="1"/>
  <c r="AG929" i="9"/>
  <c r="AF929" i="9"/>
  <c r="Z929" i="9"/>
  <c r="Y929" i="9"/>
  <c r="AD929" i="9" s="1"/>
  <c r="X929" i="9"/>
  <c r="W929" i="9"/>
  <c r="AC929" i="9" s="1"/>
  <c r="V929" i="9"/>
  <c r="U929" i="9"/>
  <c r="AB929" i="9" s="1"/>
  <c r="T929" i="9"/>
  <c r="S929" i="9"/>
  <c r="AA929" i="9" s="1"/>
  <c r="R929" i="9"/>
  <c r="P929" i="9"/>
  <c r="D929" i="9"/>
  <c r="E929" i="9" s="1"/>
  <c r="AG928" i="9"/>
  <c r="AF928" i="9"/>
  <c r="Z928" i="9"/>
  <c r="Y928" i="9"/>
  <c r="AD928" i="9" s="1"/>
  <c r="X928" i="9"/>
  <c r="W928" i="9"/>
  <c r="AC928" i="9" s="1"/>
  <c r="V928" i="9"/>
  <c r="U928" i="9"/>
  <c r="AB928" i="9" s="1"/>
  <c r="T928" i="9"/>
  <c r="S928" i="9"/>
  <c r="AA928" i="9" s="1"/>
  <c r="R928" i="9"/>
  <c r="P928" i="9"/>
  <c r="D928" i="9"/>
  <c r="E928" i="9" s="1"/>
  <c r="AG927" i="9"/>
  <c r="AF927" i="9"/>
  <c r="Z927" i="9"/>
  <c r="Y927" i="9"/>
  <c r="AD927" i="9" s="1"/>
  <c r="X927" i="9"/>
  <c r="W927" i="9"/>
  <c r="AC927" i="9" s="1"/>
  <c r="V927" i="9"/>
  <c r="U927" i="9"/>
  <c r="AB927" i="9" s="1"/>
  <c r="T927" i="9"/>
  <c r="S927" i="9"/>
  <c r="AA927" i="9" s="1"/>
  <c r="R927" i="9"/>
  <c r="P927" i="9"/>
  <c r="D927" i="9"/>
  <c r="E927" i="9" s="1"/>
  <c r="AG926" i="9"/>
  <c r="AF926" i="9"/>
  <c r="Z926" i="9"/>
  <c r="Y926" i="9"/>
  <c r="AD926" i="9" s="1"/>
  <c r="X926" i="9"/>
  <c r="W926" i="9"/>
  <c r="AC926" i="9" s="1"/>
  <c r="V926" i="9"/>
  <c r="U926" i="9"/>
  <c r="AB926" i="9" s="1"/>
  <c r="T926" i="9"/>
  <c r="S926" i="9"/>
  <c r="AA926" i="9" s="1"/>
  <c r="R926" i="9"/>
  <c r="P926" i="9"/>
  <c r="D926" i="9"/>
  <c r="E926" i="9" s="1"/>
  <c r="AG925" i="9"/>
  <c r="AF925" i="9"/>
  <c r="Z925" i="9"/>
  <c r="Y925" i="9"/>
  <c r="AD925" i="9" s="1"/>
  <c r="X925" i="9"/>
  <c r="W925" i="9"/>
  <c r="AC925" i="9" s="1"/>
  <c r="V925" i="9"/>
  <c r="U925" i="9"/>
  <c r="AB925" i="9" s="1"/>
  <c r="T925" i="9"/>
  <c r="S925" i="9"/>
  <c r="AA925" i="9" s="1"/>
  <c r="R925" i="9"/>
  <c r="P925" i="9"/>
  <c r="D925" i="9"/>
  <c r="E925" i="9" s="1"/>
  <c r="AG924" i="9"/>
  <c r="AF924" i="9"/>
  <c r="Z924" i="9"/>
  <c r="Y924" i="9"/>
  <c r="X924" i="9"/>
  <c r="W924" i="9"/>
  <c r="AC924" i="9" s="1"/>
  <c r="V924" i="9"/>
  <c r="U924" i="9"/>
  <c r="AB924" i="9" s="1"/>
  <c r="T924" i="9"/>
  <c r="S924" i="9"/>
  <c r="AA924" i="9" s="1"/>
  <c r="R924" i="9"/>
  <c r="P924" i="9"/>
  <c r="D924" i="9"/>
  <c r="E924" i="9" s="1"/>
  <c r="AG923" i="9"/>
  <c r="AF923" i="9"/>
  <c r="Z923" i="9"/>
  <c r="Y923" i="9"/>
  <c r="AD923" i="9" s="1"/>
  <c r="X923" i="9"/>
  <c r="W923" i="9"/>
  <c r="AC923" i="9" s="1"/>
  <c r="V923" i="9"/>
  <c r="U923" i="9"/>
  <c r="AB923" i="9" s="1"/>
  <c r="T923" i="9"/>
  <c r="S923" i="9"/>
  <c r="AA923" i="9" s="1"/>
  <c r="R923" i="9"/>
  <c r="P923" i="9"/>
  <c r="D923" i="9"/>
  <c r="E923" i="9" s="1"/>
  <c r="AG922" i="9"/>
  <c r="AF922" i="9"/>
  <c r="Z922" i="9"/>
  <c r="Y922" i="9"/>
  <c r="AD922" i="9" s="1"/>
  <c r="X922" i="9"/>
  <c r="W922" i="9"/>
  <c r="AC922" i="9" s="1"/>
  <c r="V922" i="9"/>
  <c r="U922" i="9"/>
  <c r="AB922" i="9" s="1"/>
  <c r="T922" i="9"/>
  <c r="S922" i="9"/>
  <c r="AA922" i="9" s="1"/>
  <c r="R922" i="9"/>
  <c r="P922" i="9"/>
  <c r="D922" i="9"/>
  <c r="E922" i="9" s="1"/>
  <c r="AG921" i="9"/>
  <c r="AF921" i="9"/>
  <c r="Z921" i="9"/>
  <c r="Y921" i="9"/>
  <c r="AD921" i="9" s="1"/>
  <c r="X921" i="9"/>
  <c r="W921" i="9"/>
  <c r="AC921" i="9" s="1"/>
  <c r="V921" i="9"/>
  <c r="U921" i="9"/>
  <c r="AB921" i="9" s="1"/>
  <c r="T921" i="9"/>
  <c r="S921" i="9"/>
  <c r="AA921" i="9" s="1"/>
  <c r="R921" i="9"/>
  <c r="P921" i="9"/>
  <c r="D921" i="9"/>
  <c r="E921" i="9" s="1"/>
  <c r="AG920" i="9"/>
  <c r="AF920" i="9"/>
  <c r="Z920" i="9"/>
  <c r="Y920" i="9"/>
  <c r="AD920" i="9" s="1"/>
  <c r="X920" i="9"/>
  <c r="W920" i="9"/>
  <c r="AC920" i="9" s="1"/>
  <c r="V920" i="9"/>
  <c r="U920" i="9"/>
  <c r="AB920" i="9" s="1"/>
  <c r="T920" i="9"/>
  <c r="S920" i="9"/>
  <c r="AA920" i="9" s="1"/>
  <c r="R920" i="9"/>
  <c r="P920" i="9"/>
  <c r="D920" i="9"/>
  <c r="E920" i="9" s="1"/>
  <c r="AG919" i="9"/>
  <c r="AF919" i="9"/>
  <c r="Z919" i="9"/>
  <c r="Y919" i="9"/>
  <c r="AD919" i="9" s="1"/>
  <c r="X919" i="9"/>
  <c r="W919" i="9"/>
  <c r="AC919" i="9" s="1"/>
  <c r="V919" i="9"/>
  <c r="U919" i="9"/>
  <c r="AB919" i="9" s="1"/>
  <c r="T919" i="9"/>
  <c r="S919" i="9"/>
  <c r="AA919" i="9" s="1"/>
  <c r="R919" i="9"/>
  <c r="P919" i="9"/>
  <c r="D919" i="9"/>
  <c r="E919" i="9" s="1"/>
  <c r="AG918" i="9"/>
  <c r="AF918" i="9"/>
  <c r="Z918" i="9"/>
  <c r="Y918" i="9"/>
  <c r="AD918" i="9" s="1"/>
  <c r="X918" i="9"/>
  <c r="W918" i="9"/>
  <c r="AC918" i="9" s="1"/>
  <c r="V918" i="9"/>
  <c r="U918" i="9"/>
  <c r="AB918" i="9" s="1"/>
  <c r="T918" i="9"/>
  <c r="S918" i="9"/>
  <c r="AA918" i="9" s="1"/>
  <c r="R918" i="9"/>
  <c r="P918" i="9"/>
  <c r="D918" i="9"/>
  <c r="E918" i="9" s="1"/>
  <c r="AG917" i="9"/>
  <c r="AF917" i="9"/>
  <c r="Z917" i="9"/>
  <c r="Y917" i="9"/>
  <c r="AD917" i="9" s="1"/>
  <c r="X917" i="9"/>
  <c r="W917" i="9"/>
  <c r="AC917" i="9" s="1"/>
  <c r="V917" i="9"/>
  <c r="U917" i="9"/>
  <c r="AB917" i="9" s="1"/>
  <c r="T917" i="9"/>
  <c r="S917" i="9"/>
  <c r="AA917" i="9" s="1"/>
  <c r="R917" i="9"/>
  <c r="P917" i="9"/>
  <c r="D917" i="9"/>
  <c r="E917" i="9" s="1"/>
  <c r="AG916" i="9"/>
  <c r="AF916" i="9"/>
  <c r="Z916" i="9"/>
  <c r="Y916" i="9"/>
  <c r="AD916" i="9" s="1"/>
  <c r="X916" i="9"/>
  <c r="W916" i="9"/>
  <c r="AC916" i="9" s="1"/>
  <c r="V916" i="9"/>
  <c r="U916" i="9"/>
  <c r="AB916" i="9" s="1"/>
  <c r="T916" i="9"/>
  <c r="S916" i="9"/>
  <c r="AA916" i="9" s="1"/>
  <c r="R916" i="9"/>
  <c r="P916" i="9"/>
  <c r="D916" i="9"/>
  <c r="E916" i="9" s="1"/>
  <c r="AG915" i="9"/>
  <c r="AF915" i="9"/>
  <c r="Z915" i="9"/>
  <c r="Y915" i="9"/>
  <c r="AD915" i="9" s="1"/>
  <c r="X915" i="9"/>
  <c r="W915" i="9"/>
  <c r="AC915" i="9" s="1"/>
  <c r="V915" i="9"/>
  <c r="U915" i="9"/>
  <c r="AB915" i="9" s="1"/>
  <c r="T915" i="9"/>
  <c r="S915" i="9"/>
  <c r="AA915" i="9" s="1"/>
  <c r="R915" i="9"/>
  <c r="P915" i="9"/>
  <c r="D915" i="9"/>
  <c r="E915" i="9" s="1"/>
  <c r="AG914" i="9"/>
  <c r="AF914" i="9"/>
  <c r="Z914" i="9"/>
  <c r="Y914" i="9"/>
  <c r="AD914" i="9" s="1"/>
  <c r="X914" i="9"/>
  <c r="W914" i="9"/>
  <c r="AC914" i="9" s="1"/>
  <c r="V914" i="9"/>
  <c r="U914" i="9"/>
  <c r="AB914" i="9" s="1"/>
  <c r="T914" i="9"/>
  <c r="S914" i="9"/>
  <c r="AA914" i="9" s="1"/>
  <c r="R914" i="9"/>
  <c r="P914" i="9"/>
  <c r="D914" i="9"/>
  <c r="E914" i="9" s="1"/>
  <c r="AG913" i="9"/>
  <c r="AF913" i="9"/>
  <c r="Z913" i="9"/>
  <c r="Y913" i="9"/>
  <c r="AD913" i="9" s="1"/>
  <c r="X913" i="9"/>
  <c r="W913" i="9"/>
  <c r="AC913" i="9" s="1"/>
  <c r="V913" i="9"/>
  <c r="U913" i="9"/>
  <c r="AB913" i="9" s="1"/>
  <c r="T913" i="9"/>
  <c r="S913" i="9"/>
  <c r="AA913" i="9" s="1"/>
  <c r="R913" i="9"/>
  <c r="P913" i="9"/>
  <c r="D913" i="9"/>
  <c r="E913" i="9" s="1"/>
  <c r="AG912" i="9"/>
  <c r="AF912" i="9"/>
  <c r="Z912" i="9"/>
  <c r="Y912" i="9"/>
  <c r="AD912" i="9" s="1"/>
  <c r="X912" i="9"/>
  <c r="W912" i="9"/>
  <c r="AC912" i="9" s="1"/>
  <c r="V912" i="9"/>
  <c r="U912" i="9"/>
  <c r="AB912" i="9" s="1"/>
  <c r="T912" i="9"/>
  <c r="S912" i="9"/>
  <c r="AA912" i="9" s="1"/>
  <c r="R912" i="9"/>
  <c r="P912" i="9"/>
  <c r="D912" i="9"/>
  <c r="E912" i="9" s="1"/>
  <c r="AG911" i="9"/>
  <c r="AF911" i="9"/>
  <c r="Z911" i="9"/>
  <c r="Y911" i="9"/>
  <c r="AD911" i="9" s="1"/>
  <c r="X911" i="9"/>
  <c r="W911" i="9"/>
  <c r="V911" i="9"/>
  <c r="U911" i="9"/>
  <c r="AB911" i="9" s="1"/>
  <c r="T911" i="9"/>
  <c r="S911" i="9"/>
  <c r="AA911" i="9" s="1"/>
  <c r="R911" i="9"/>
  <c r="P911" i="9"/>
  <c r="D911" i="9"/>
  <c r="E911" i="9" s="1"/>
  <c r="AG910" i="9"/>
  <c r="AF910" i="9"/>
  <c r="Z910" i="9"/>
  <c r="Y910" i="9"/>
  <c r="AD910" i="9" s="1"/>
  <c r="X910" i="9"/>
  <c r="W910" i="9"/>
  <c r="AC910" i="9" s="1"/>
  <c r="V910" i="9"/>
  <c r="U910" i="9"/>
  <c r="AB910" i="9" s="1"/>
  <c r="T910" i="9"/>
  <c r="S910" i="9"/>
  <c r="AA910" i="9" s="1"/>
  <c r="R910" i="9"/>
  <c r="P910" i="9"/>
  <c r="D910" i="9"/>
  <c r="E910" i="9" s="1"/>
  <c r="AG909" i="9"/>
  <c r="AF909" i="9"/>
  <c r="Z909" i="9"/>
  <c r="Y909" i="9"/>
  <c r="AD909" i="9" s="1"/>
  <c r="X909" i="9"/>
  <c r="W909" i="9"/>
  <c r="AC909" i="9" s="1"/>
  <c r="V909" i="9"/>
  <c r="U909" i="9"/>
  <c r="AB909" i="9" s="1"/>
  <c r="T909" i="9"/>
  <c r="S909" i="9"/>
  <c r="AA909" i="9" s="1"/>
  <c r="R909" i="9"/>
  <c r="P909" i="9"/>
  <c r="D909" i="9"/>
  <c r="E909" i="9" s="1"/>
  <c r="AG908" i="9"/>
  <c r="AF908" i="9"/>
  <c r="Z908" i="9"/>
  <c r="Y908" i="9"/>
  <c r="AD908" i="9" s="1"/>
  <c r="X908" i="9"/>
  <c r="W908" i="9"/>
  <c r="AC908" i="9" s="1"/>
  <c r="V908" i="9"/>
  <c r="U908" i="9"/>
  <c r="AB908" i="9" s="1"/>
  <c r="T908" i="9"/>
  <c r="S908" i="9"/>
  <c r="AA908" i="9" s="1"/>
  <c r="R908" i="9"/>
  <c r="P908" i="9"/>
  <c r="D908" i="9"/>
  <c r="E908" i="9" s="1"/>
  <c r="AG907" i="9"/>
  <c r="AF907" i="9"/>
  <c r="Z907" i="9"/>
  <c r="Y907" i="9"/>
  <c r="AD907" i="9" s="1"/>
  <c r="X907" i="9"/>
  <c r="W907" i="9"/>
  <c r="AC907" i="9" s="1"/>
  <c r="V907" i="9"/>
  <c r="U907" i="9"/>
  <c r="T907" i="9"/>
  <c r="S907" i="9"/>
  <c r="AA907" i="9" s="1"/>
  <c r="R907" i="9"/>
  <c r="P907" i="9"/>
  <c r="D907" i="9"/>
  <c r="E907" i="9" s="1"/>
  <c r="AG906" i="9"/>
  <c r="AF906" i="9"/>
  <c r="Z906" i="9"/>
  <c r="Y906" i="9"/>
  <c r="AD906" i="9" s="1"/>
  <c r="X906" i="9"/>
  <c r="W906" i="9"/>
  <c r="V906" i="9"/>
  <c r="U906" i="9"/>
  <c r="AB906" i="9" s="1"/>
  <c r="T906" i="9"/>
  <c r="S906" i="9"/>
  <c r="AA906" i="9" s="1"/>
  <c r="R906" i="9"/>
  <c r="P906" i="9"/>
  <c r="D906" i="9"/>
  <c r="E906" i="9" s="1"/>
  <c r="AG905" i="9"/>
  <c r="AF905" i="9"/>
  <c r="Z905" i="9"/>
  <c r="Y905" i="9"/>
  <c r="AD905" i="9" s="1"/>
  <c r="X905" i="9"/>
  <c r="W905" i="9"/>
  <c r="AC905" i="9" s="1"/>
  <c r="V905" i="9"/>
  <c r="U905" i="9"/>
  <c r="AB905" i="9" s="1"/>
  <c r="T905" i="9"/>
  <c r="S905" i="9"/>
  <c r="AA905" i="9" s="1"/>
  <c r="R905" i="9"/>
  <c r="P905" i="9"/>
  <c r="D905" i="9"/>
  <c r="E905" i="9" s="1"/>
  <c r="AG904" i="9"/>
  <c r="AF904" i="9"/>
  <c r="Z904" i="9"/>
  <c r="Y904" i="9"/>
  <c r="AD904" i="9" s="1"/>
  <c r="X904" i="9"/>
  <c r="W904" i="9"/>
  <c r="AC904" i="9" s="1"/>
  <c r="V904" i="9"/>
  <c r="U904" i="9"/>
  <c r="AB904" i="9" s="1"/>
  <c r="T904" i="9"/>
  <c r="S904" i="9"/>
  <c r="AA904" i="9" s="1"/>
  <c r="R904" i="9"/>
  <c r="P904" i="9"/>
  <c r="D904" i="9"/>
  <c r="E904" i="9" s="1"/>
  <c r="AG903" i="9"/>
  <c r="AF903" i="9"/>
  <c r="Z903" i="9"/>
  <c r="Y903" i="9"/>
  <c r="AD903" i="9" s="1"/>
  <c r="X903" i="9"/>
  <c r="W903" i="9"/>
  <c r="V903" i="9"/>
  <c r="U903" i="9"/>
  <c r="AB903" i="9" s="1"/>
  <c r="T903" i="9"/>
  <c r="S903" i="9"/>
  <c r="AA903" i="9" s="1"/>
  <c r="R903" i="9"/>
  <c r="P903" i="9"/>
  <c r="D903" i="9"/>
  <c r="E903" i="9" s="1"/>
  <c r="AG902" i="9"/>
  <c r="AF902" i="9"/>
  <c r="Z902" i="9"/>
  <c r="Y902" i="9"/>
  <c r="AD902" i="9" s="1"/>
  <c r="X902" i="9"/>
  <c r="W902" i="9"/>
  <c r="AC902" i="9" s="1"/>
  <c r="V902" i="9"/>
  <c r="U902" i="9"/>
  <c r="T902" i="9"/>
  <c r="S902" i="9"/>
  <c r="R902" i="9"/>
  <c r="P902" i="9"/>
  <c r="D902" i="9"/>
  <c r="E902" i="9" s="1"/>
  <c r="AG901" i="9"/>
  <c r="AF901" i="9"/>
  <c r="Z901" i="9"/>
  <c r="Y901" i="9"/>
  <c r="AD901" i="9" s="1"/>
  <c r="X901" i="9"/>
  <c r="W901" i="9"/>
  <c r="AC901" i="9" s="1"/>
  <c r="V901" i="9"/>
  <c r="U901" i="9"/>
  <c r="AB901" i="9" s="1"/>
  <c r="T901" i="9"/>
  <c r="S901" i="9"/>
  <c r="AA901" i="9" s="1"/>
  <c r="R901" i="9"/>
  <c r="P901" i="9"/>
  <c r="D901" i="9"/>
  <c r="E901" i="9" s="1"/>
  <c r="AG900" i="9"/>
  <c r="AF900" i="9"/>
  <c r="Z900" i="9"/>
  <c r="Y900" i="9"/>
  <c r="AD900" i="9" s="1"/>
  <c r="X900" i="9"/>
  <c r="W900" i="9"/>
  <c r="AC900" i="9" s="1"/>
  <c r="V900" i="9"/>
  <c r="U900" i="9"/>
  <c r="T900" i="9"/>
  <c r="S900" i="9"/>
  <c r="R900" i="9"/>
  <c r="P900" i="9"/>
  <c r="D900" i="9"/>
  <c r="E900" i="9" s="1"/>
  <c r="AG899" i="9"/>
  <c r="AF899" i="9"/>
  <c r="Z899" i="9"/>
  <c r="Y899" i="9"/>
  <c r="AD899" i="9" s="1"/>
  <c r="X899" i="9"/>
  <c r="W899" i="9"/>
  <c r="AC899" i="9" s="1"/>
  <c r="V899" i="9"/>
  <c r="U899" i="9"/>
  <c r="AB899" i="9" s="1"/>
  <c r="T899" i="9"/>
  <c r="S899" i="9"/>
  <c r="AA899" i="9" s="1"/>
  <c r="R899" i="9"/>
  <c r="P899" i="9"/>
  <c r="D899" i="9"/>
  <c r="E899" i="9" s="1"/>
  <c r="AG898" i="9"/>
  <c r="AF898" i="9"/>
  <c r="Z898" i="9"/>
  <c r="Y898" i="9"/>
  <c r="AD898" i="9" s="1"/>
  <c r="X898" i="9"/>
  <c r="W898" i="9"/>
  <c r="AC898" i="9" s="1"/>
  <c r="V898" i="9"/>
  <c r="U898" i="9"/>
  <c r="AB898" i="9" s="1"/>
  <c r="T898" i="9"/>
  <c r="S898" i="9"/>
  <c r="AA898" i="9" s="1"/>
  <c r="R898" i="9"/>
  <c r="P898" i="9"/>
  <c r="D898" i="9"/>
  <c r="E898" i="9" s="1"/>
  <c r="AG897" i="9"/>
  <c r="AF897" i="9"/>
  <c r="Z897" i="9"/>
  <c r="Y897" i="9"/>
  <c r="AD897" i="9" s="1"/>
  <c r="X897" i="9"/>
  <c r="W897" i="9"/>
  <c r="AC897" i="9" s="1"/>
  <c r="V897" i="9"/>
  <c r="U897" i="9"/>
  <c r="AB897" i="9" s="1"/>
  <c r="T897" i="9"/>
  <c r="S897" i="9"/>
  <c r="AA897" i="9" s="1"/>
  <c r="R897" i="9"/>
  <c r="P897" i="9"/>
  <c r="D897" i="9"/>
  <c r="E897" i="9" s="1"/>
  <c r="AG896" i="9"/>
  <c r="AF896" i="9"/>
  <c r="Z896" i="9"/>
  <c r="Y896" i="9"/>
  <c r="AD896" i="9" s="1"/>
  <c r="X896" i="9"/>
  <c r="W896" i="9"/>
  <c r="AC896" i="9" s="1"/>
  <c r="V896" i="9"/>
  <c r="U896" i="9"/>
  <c r="AB896" i="9" s="1"/>
  <c r="T896" i="9"/>
  <c r="S896" i="9"/>
  <c r="AA896" i="9" s="1"/>
  <c r="R896" i="9"/>
  <c r="P896" i="9"/>
  <c r="D896" i="9"/>
  <c r="E896" i="9" s="1"/>
  <c r="AG895" i="9"/>
  <c r="AF895" i="9"/>
  <c r="Z895" i="9"/>
  <c r="Y895" i="9"/>
  <c r="AD895" i="9" s="1"/>
  <c r="X895" i="9"/>
  <c r="W895" i="9"/>
  <c r="AC895" i="9" s="1"/>
  <c r="V895" i="9"/>
  <c r="U895" i="9"/>
  <c r="AB895" i="9" s="1"/>
  <c r="T895" i="9"/>
  <c r="S895" i="9"/>
  <c r="AA895" i="9" s="1"/>
  <c r="R895" i="9"/>
  <c r="P895" i="9"/>
  <c r="D895" i="9"/>
  <c r="E895" i="9" s="1"/>
  <c r="AG894" i="9"/>
  <c r="AF894" i="9"/>
  <c r="Z894" i="9"/>
  <c r="Y894" i="9"/>
  <c r="AD894" i="9" s="1"/>
  <c r="X894" i="9"/>
  <c r="W894" i="9"/>
  <c r="V894" i="9"/>
  <c r="U894" i="9"/>
  <c r="AB894" i="9" s="1"/>
  <c r="T894" i="9"/>
  <c r="S894" i="9"/>
  <c r="AA894" i="9" s="1"/>
  <c r="R894" i="9"/>
  <c r="P894" i="9"/>
  <c r="D894" i="9"/>
  <c r="E894" i="9" s="1"/>
  <c r="AG893" i="9"/>
  <c r="AF893" i="9"/>
  <c r="Z893" i="9"/>
  <c r="Y893" i="9"/>
  <c r="AD893" i="9" s="1"/>
  <c r="X893" i="9"/>
  <c r="W893" i="9"/>
  <c r="AC893" i="9" s="1"/>
  <c r="V893" i="9"/>
  <c r="U893" i="9"/>
  <c r="AB893" i="9" s="1"/>
  <c r="T893" i="9"/>
  <c r="S893" i="9"/>
  <c r="AA893" i="9" s="1"/>
  <c r="R893" i="9"/>
  <c r="P893" i="9"/>
  <c r="D893" i="9"/>
  <c r="E893" i="9" s="1"/>
  <c r="AG892" i="9"/>
  <c r="AF892" i="9"/>
  <c r="Z892" i="9"/>
  <c r="Y892" i="9"/>
  <c r="AD892" i="9" s="1"/>
  <c r="X892" i="9"/>
  <c r="W892" i="9"/>
  <c r="AC892" i="9" s="1"/>
  <c r="V892" i="9"/>
  <c r="U892" i="9"/>
  <c r="AB892" i="9" s="1"/>
  <c r="T892" i="9"/>
  <c r="S892" i="9"/>
  <c r="AA892" i="9" s="1"/>
  <c r="R892" i="9"/>
  <c r="P892" i="9"/>
  <c r="D892" i="9"/>
  <c r="E892" i="9" s="1"/>
  <c r="AG891" i="9"/>
  <c r="AF891" i="9"/>
  <c r="Z891" i="9"/>
  <c r="Y891" i="9"/>
  <c r="AD891" i="9" s="1"/>
  <c r="X891" i="9"/>
  <c r="W891" i="9"/>
  <c r="AC891" i="9" s="1"/>
  <c r="V891" i="9"/>
  <c r="U891" i="9"/>
  <c r="AB891" i="9" s="1"/>
  <c r="T891" i="9"/>
  <c r="S891" i="9"/>
  <c r="AA891" i="9" s="1"/>
  <c r="R891" i="9"/>
  <c r="P891" i="9"/>
  <c r="D891" i="9"/>
  <c r="E891" i="9" s="1"/>
  <c r="AG890" i="9"/>
  <c r="AF890" i="9"/>
  <c r="Z890" i="9"/>
  <c r="Y890" i="9"/>
  <c r="X890" i="9"/>
  <c r="W890" i="9"/>
  <c r="AC890" i="9" s="1"/>
  <c r="V890" i="9"/>
  <c r="U890" i="9"/>
  <c r="AB890" i="9" s="1"/>
  <c r="T890" i="9"/>
  <c r="S890" i="9"/>
  <c r="AA890" i="9" s="1"/>
  <c r="R890" i="9"/>
  <c r="P890" i="9"/>
  <c r="D890" i="9"/>
  <c r="E890" i="9" s="1"/>
  <c r="AG889" i="9"/>
  <c r="AF889" i="9"/>
  <c r="Z889" i="9"/>
  <c r="Y889" i="9"/>
  <c r="AD889" i="9" s="1"/>
  <c r="X889" i="9"/>
  <c r="W889" i="9"/>
  <c r="AC889" i="9" s="1"/>
  <c r="V889" i="9"/>
  <c r="U889" i="9"/>
  <c r="AB889" i="9" s="1"/>
  <c r="T889" i="9"/>
  <c r="S889" i="9"/>
  <c r="AA889" i="9" s="1"/>
  <c r="R889" i="9"/>
  <c r="P889" i="9"/>
  <c r="D889" i="9"/>
  <c r="E889" i="9" s="1"/>
  <c r="AG888" i="9"/>
  <c r="AF888" i="9"/>
  <c r="Z888" i="9"/>
  <c r="Y888" i="9"/>
  <c r="AD888" i="9" s="1"/>
  <c r="X888" i="9"/>
  <c r="W888" i="9"/>
  <c r="AC888" i="9" s="1"/>
  <c r="V888" i="9"/>
  <c r="U888" i="9"/>
  <c r="AB888" i="9" s="1"/>
  <c r="T888" i="9"/>
  <c r="S888" i="9"/>
  <c r="AA888" i="9" s="1"/>
  <c r="R888" i="9"/>
  <c r="P888" i="9"/>
  <c r="D888" i="9"/>
  <c r="E888" i="9" s="1"/>
  <c r="AG887" i="9"/>
  <c r="AF887" i="9"/>
  <c r="Z887" i="9"/>
  <c r="Y887" i="9"/>
  <c r="AD887" i="9" s="1"/>
  <c r="X887" i="9"/>
  <c r="W887" i="9"/>
  <c r="AC887" i="9" s="1"/>
  <c r="V887" i="9"/>
  <c r="U887" i="9"/>
  <c r="AB887" i="9" s="1"/>
  <c r="T887" i="9"/>
  <c r="S887" i="9"/>
  <c r="AA887" i="9" s="1"/>
  <c r="R887" i="9"/>
  <c r="P887" i="9"/>
  <c r="D887" i="9"/>
  <c r="E887" i="9" s="1"/>
  <c r="AG886" i="9"/>
  <c r="AF886" i="9"/>
  <c r="Z886" i="9"/>
  <c r="Y886" i="9"/>
  <c r="AD886" i="9" s="1"/>
  <c r="X886" i="9"/>
  <c r="W886" i="9"/>
  <c r="AC886" i="9" s="1"/>
  <c r="V886" i="9"/>
  <c r="U886" i="9"/>
  <c r="AB886" i="9" s="1"/>
  <c r="T886" i="9"/>
  <c r="S886" i="9"/>
  <c r="AA886" i="9" s="1"/>
  <c r="R886" i="9"/>
  <c r="P886" i="9"/>
  <c r="D886" i="9"/>
  <c r="E886" i="9" s="1"/>
  <c r="AG885" i="9"/>
  <c r="AF885" i="9"/>
  <c r="Z885" i="9"/>
  <c r="Y885" i="9"/>
  <c r="AD885" i="9" s="1"/>
  <c r="X885" i="9"/>
  <c r="W885" i="9"/>
  <c r="V885" i="9"/>
  <c r="U885" i="9"/>
  <c r="AB885" i="9" s="1"/>
  <c r="T885" i="9"/>
  <c r="S885" i="9"/>
  <c r="AA885" i="9" s="1"/>
  <c r="R885" i="9"/>
  <c r="P885" i="9"/>
  <c r="D885" i="9"/>
  <c r="E885" i="9" s="1"/>
  <c r="AG884" i="9"/>
  <c r="AF884" i="9"/>
  <c r="Z884" i="9"/>
  <c r="Y884" i="9"/>
  <c r="AD884" i="9" s="1"/>
  <c r="X884" i="9"/>
  <c r="W884" i="9"/>
  <c r="AC884" i="9" s="1"/>
  <c r="V884" i="9"/>
  <c r="U884" i="9"/>
  <c r="AB884" i="9" s="1"/>
  <c r="T884" i="9"/>
  <c r="S884" i="9"/>
  <c r="AA884" i="9" s="1"/>
  <c r="R884" i="9"/>
  <c r="P884" i="9"/>
  <c r="D884" i="9"/>
  <c r="E884" i="9" s="1"/>
  <c r="AG883" i="9"/>
  <c r="AF883" i="9"/>
  <c r="Z883" i="9"/>
  <c r="Y883" i="9"/>
  <c r="AD883" i="9" s="1"/>
  <c r="X883" i="9"/>
  <c r="W883" i="9"/>
  <c r="AC883" i="9" s="1"/>
  <c r="V883" i="9"/>
  <c r="U883" i="9"/>
  <c r="AB883" i="9" s="1"/>
  <c r="T883" i="9"/>
  <c r="S883" i="9"/>
  <c r="AA883" i="9" s="1"/>
  <c r="R883" i="9"/>
  <c r="P883" i="9"/>
  <c r="D883" i="9"/>
  <c r="E883" i="9" s="1"/>
  <c r="AG882" i="9"/>
  <c r="AF882" i="9"/>
  <c r="Z882" i="9"/>
  <c r="Y882" i="9"/>
  <c r="AD882" i="9" s="1"/>
  <c r="X882" i="9"/>
  <c r="W882" i="9"/>
  <c r="AC882" i="9" s="1"/>
  <c r="V882" i="9"/>
  <c r="U882" i="9"/>
  <c r="AB882" i="9" s="1"/>
  <c r="T882" i="9"/>
  <c r="S882" i="9"/>
  <c r="AA882" i="9" s="1"/>
  <c r="R882" i="9"/>
  <c r="P882" i="9"/>
  <c r="D882" i="9"/>
  <c r="E882" i="9" s="1"/>
  <c r="AG881" i="9"/>
  <c r="AF881" i="9"/>
  <c r="Z881" i="9"/>
  <c r="Y881" i="9"/>
  <c r="AD881" i="9" s="1"/>
  <c r="X881" i="9"/>
  <c r="W881" i="9"/>
  <c r="AC881" i="9" s="1"/>
  <c r="V881" i="9"/>
  <c r="U881" i="9"/>
  <c r="AB881" i="9" s="1"/>
  <c r="T881" i="9"/>
  <c r="S881" i="9"/>
  <c r="AA881" i="9" s="1"/>
  <c r="R881" i="9"/>
  <c r="P881" i="9"/>
  <c r="D881" i="9"/>
  <c r="E881" i="9" s="1"/>
  <c r="AG880" i="9"/>
  <c r="AF880" i="9"/>
  <c r="Z880" i="9"/>
  <c r="Y880" i="9"/>
  <c r="X880" i="9"/>
  <c r="W880" i="9"/>
  <c r="AC880" i="9" s="1"/>
  <c r="V880" i="9"/>
  <c r="U880" i="9"/>
  <c r="AB880" i="9" s="1"/>
  <c r="T880" i="9"/>
  <c r="S880" i="9"/>
  <c r="AA880" i="9" s="1"/>
  <c r="R880" i="9"/>
  <c r="P880" i="9"/>
  <c r="D880" i="9"/>
  <c r="E880" i="9" s="1"/>
  <c r="AG879" i="9"/>
  <c r="AF879" i="9"/>
  <c r="Z879" i="9"/>
  <c r="Y879" i="9"/>
  <c r="AD879" i="9" s="1"/>
  <c r="X879" i="9"/>
  <c r="W879" i="9"/>
  <c r="AC879" i="9" s="1"/>
  <c r="V879" i="9"/>
  <c r="U879" i="9"/>
  <c r="AB879" i="9" s="1"/>
  <c r="T879" i="9"/>
  <c r="S879" i="9"/>
  <c r="AA879" i="9" s="1"/>
  <c r="R879" i="9"/>
  <c r="P879" i="9"/>
  <c r="D879" i="9"/>
  <c r="E879" i="9" s="1"/>
  <c r="AG878" i="9"/>
  <c r="AF878" i="9"/>
  <c r="Z878" i="9"/>
  <c r="Y878" i="9"/>
  <c r="AD878" i="9" s="1"/>
  <c r="X878" i="9"/>
  <c r="W878" i="9"/>
  <c r="AC878" i="9" s="1"/>
  <c r="V878" i="9"/>
  <c r="U878" i="9"/>
  <c r="AB878" i="9" s="1"/>
  <c r="T878" i="9"/>
  <c r="S878" i="9"/>
  <c r="AA878" i="9" s="1"/>
  <c r="R878" i="9"/>
  <c r="P878" i="9"/>
  <c r="D878" i="9"/>
  <c r="E878" i="9" s="1"/>
  <c r="AG877" i="9"/>
  <c r="AF877" i="9"/>
  <c r="Z877" i="9"/>
  <c r="Y877" i="9"/>
  <c r="AD877" i="9" s="1"/>
  <c r="X877" i="9"/>
  <c r="W877" i="9"/>
  <c r="AC877" i="9" s="1"/>
  <c r="V877" i="9"/>
  <c r="U877" i="9"/>
  <c r="AB877" i="9" s="1"/>
  <c r="T877" i="9"/>
  <c r="S877" i="9"/>
  <c r="AA877" i="9" s="1"/>
  <c r="R877" i="9"/>
  <c r="P877" i="9"/>
  <c r="D877" i="9"/>
  <c r="E877" i="9" s="1"/>
  <c r="AG876" i="9"/>
  <c r="AF876" i="9"/>
  <c r="Z876" i="9"/>
  <c r="Y876" i="9"/>
  <c r="AD876" i="9" s="1"/>
  <c r="X876" i="9"/>
  <c r="W876" i="9"/>
  <c r="V876" i="9"/>
  <c r="U876" i="9"/>
  <c r="AB876" i="9" s="1"/>
  <c r="T876" i="9"/>
  <c r="S876" i="9"/>
  <c r="AA876" i="9" s="1"/>
  <c r="R876" i="9"/>
  <c r="P876" i="9"/>
  <c r="D876" i="9"/>
  <c r="E876" i="9" s="1"/>
  <c r="AG875" i="9"/>
  <c r="AF875" i="9"/>
  <c r="Z875" i="9"/>
  <c r="Y875" i="9"/>
  <c r="AD875" i="9" s="1"/>
  <c r="X875" i="9"/>
  <c r="W875" i="9"/>
  <c r="AC875" i="9" s="1"/>
  <c r="V875" i="9"/>
  <c r="U875" i="9"/>
  <c r="AB875" i="9" s="1"/>
  <c r="T875" i="9"/>
  <c r="S875" i="9"/>
  <c r="AA875" i="9" s="1"/>
  <c r="R875" i="9"/>
  <c r="P875" i="9"/>
  <c r="D875" i="9"/>
  <c r="E875" i="9" s="1"/>
  <c r="AG874" i="9"/>
  <c r="AF874" i="9"/>
  <c r="Z874" i="9"/>
  <c r="Y874" i="9"/>
  <c r="AD874" i="9" s="1"/>
  <c r="X874" i="9"/>
  <c r="W874" i="9"/>
  <c r="AC874" i="9" s="1"/>
  <c r="V874" i="9"/>
  <c r="U874" i="9"/>
  <c r="AB874" i="9" s="1"/>
  <c r="T874" i="9"/>
  <c r="S874" i="9"/>
  <c r="R874" i="9"/>
  <c r="P874" i="9"/>
  <c r="D874" i="9"/>
  <c r="E874" i="9" s="1"/>
  <c r="AG873" i="9"/>
  <c r="AF873" i="9"/>
  <c r="Z873" i="9"/>
  <c r="Y873" i="9"/>
  <c r="AD873" i="9" s="1"/>
  <c r="X873" i="9"/>
  <c r="W873" i="9"/>
  <c r="AC873" i="9" s="1"/>
  <c r="V873" i="9"/>
  <c r="U873" i="9"/>
  <c r="AB873" i="9" s="1"/>
  <c r="T873" i="9"/>
  <c r="S873" i="9"/>
  <c r="AA873" i="9" s="1"/>
  <c r="R873" i="9"/>
  <c r="P873" i="9"/>
  <c r="D873" i="9"/>
  <c r="E873" i="9" s="1"/>
  <c r="AG872" i="9"/>
  <c r="AF872" i="9"/>
  <c r="Z872" i="9"/>
  <c r="Y872" i="9"/>
  <c r="AD872" i="9" s="1"/>
  <c r="X872" i="9"/>
  <c r="W872" i="9"/>
  <c r="AC872" i="9" s="1"/>
  <c r="V872" i="9"/>
  <c r="U872" i="9"/>
  <c r="AB872" i="9" s="1"/>
  <c r="T872" i="9"/>
  <c r="S872" i="9"/>
  <c r="AA872" i="9" s="1"/>
  <c r="R872" i="9"/>
  <c r="P872" i="9"/>
  <c r="D872" i="9"/>
  <c r="E872" i="9" s="1"/>
  <c r="AG871" i="9"/>
  <c r="AF871" i="9"/>
  <c r="Z871" i="9"/>
  <c r="Y871" i="9"/>
  <c r="AD871" i="9" s="1"/>
  <c r="X871" i="9"/>
  <c r="W871" i="9"/>
  <c r="AC871" i="9" s="1"/>
  <c r="V871" i="9"/>
  <c r="U871" i="9"/>
  <c r="AB871" i="9" s="1"/>
  <c r="T871" i="9"/>
  <c r="S871" i="9"/>
  <c r="AA871" i="9" s="1"/>
  <c r="R871" i="9"/>
  <c r="P871" i="9"/>
  <c r="D871" i="9"/>
  <c r="E871" i="9" s="1"/>
  <c r="AG870" i="9"/>
  <c r="AF870" i="9"/>
  <c r="Z870" i="9"/>
  <c r="Y870" i="9"/>
  <c r="X870" i="9"/>
  <c r="W870" i="9"/>
  <c r="AC870" i="9" s="1"/>
  <c r="V870" i="9"/>
  <c r="U870" i="9"/>
  <c r="AB870" i="9" s="1"/>
  <c r="T870" i="9"/>
  <c r="S870" i="9"/>
  <c r="AA870" i="9" s="1"/>
  <c r="R870" i="9"/>
  <c r="P870" i="9"/>
  <c r="D870" i="9"/>
  <c r="E870" i="9" s="1"/>
  <c r="AG869" i="9"/>
  <c r="AF869" i="9"/>
  <c r="Z869" i="9"/>
  <c r="Y869" i="9"/>
  <c r="AD869" i="9" s="1"/>
  <c r="X869" i="9"/>
  <c r="W869" i="9"/>
  <c r="AC869" i="9" s="1"/>
  <c r="V869" i="9"/>
  <c r="U869" i="9"/>
  <c r="AB869" i="9" s="1"/>
  <c r="T869" i="9"/>
  <c r="S869" i="9"/>
  <c r="AA869" i="9" s="1"/>
  <c r="R869" i="9"/>
  <c r="P869" i="9"/>
  <c r="D869" i="9"/>
  <c r="E869" i="9" s="1"/>
  <c r="AG868" i="9"/>
  <c r="AF868" i="9"/>
  <c r="Z868" i="9"/>
  <c r="Y868" i="9"/>
  <c r="AD868" i="9" s="1"/>
  <c r="X868" i="9"/>
  <c r="W868" i="9"/>
  <c r="AC868" i="9" s="1"/>
  <c r="V868" i="9"/>
  <c r="U868" i="9"/>
  <c r="AB868" i="9" s="1"/>
  <c r="T868" i="9"/>
  <c r="S868" i="9"/>
  <c r="AA868" i="9" s="1"/>
  <c r="R868" i="9"/>
  <c r="P868" i="9"/>
  <c r="D868" i="9"/>
  <c r="E868" i="9" s="1"/>
  <c r="AG867" i="9"/>
  <c r="AF867" i="9"/>
  <c r="Z867" i="9"/>
  <c r="Y867" i="9"/>
  <c r="AD867" i="9" s="1"/>
  <c r="X867" i="9"/>
  <c r="W867" i="9"/>
  <c r="AC867" i="9" s="1"/>
  <c r="V867" i="9"/>
  <c r="U867" i="9"/>
  <c r="AB867" i="9" s="1"/>
  <c r="T867" i="9"/>
  <c r="S867" i="9"/>
  <c r="AA867" i="9" s="1"/>
  <c r="R867" i="9"/>
  <c r="P867" i="9"/>
  <c r="D867" i="9"/>
  <c r="E867" i="9" s="1"/>
  <c r="AG866" i="9"/>
  <c r="AF866" i="9"/>
  <c r="Z866" i="9"/>
  <c r="Y866" i="9"/>
  <c r="AD866" i="9" s="1"/>
  <c r="X866" i="9"/>
  <c r="W866" i="9"/>
  <c r="AC866" i="9" s="1"/>
  <c r="V866" i="9"/>
  <c r="U866" i="9"/>
  <c r="AB866" i="9" s="1"/>
  <c r="T866" i="9"/>
  <c r="S866" i="9"/>
  <c r="AA866" i="9" s="1"/>
  <c r="R866" i="9"/>
  <c r="P866" i="9"/>
  <c r="D866" i="9"/>
  <c r="E866" i="9" s="1"/>
  <c r="AG865" i="9"/>
  <c r="AF865" i="9"/>
  <c r="Z865" i="9"/>
  <c r="Y865" i="9"/>
  <c r="AD865" i="9" s="1"/>
  <c r="X865" i="9"/>
  <c r="W865" i="9"/>
  <c r="V865" i="9"/>
  <c r="U865" i="9"/>
  <c r="AB865" i="9" s="1"/>
  <c r="T865" i="9"/>
  <c r="S865" i="9"/>
  <c r="AA865" i="9" s="1"/>
  <c r="R865" i="9"/>
  <c r="P865" i="9"/>
  <c r="D865" i="9"/>
  <c r="E865" i="9" s="1"/>
  <c r="AG864" i="9"/>
  <c r="AF864" i="9"/>
  <c r="Z864" i="9"/>
  <c r="Y864" i="9"/>
  <c r="AD864" i="9" s="1"/>
  <c r="X864" i="9"/>
  <c r="W864" i="9"/>
  <c r="AC864" i="9" s="1"/>
  <c r="V864" i="9"/>
  <c r="U864" i="9"/>
  <c r="AB864" i="9" s="1"/>
  <c r="T864" i="9"/>
  <c r="S864" i="9"/>
  <c r="AA864" i="9" s="1"/>
  <c r="R864" i="9"/>
  <c r="P864" i="9"/>
  <c r="D864" i="9"/>
  <c r="E864" i="9" s="1"/>
  <c r="AG863" i="9"/>
  <c r="AF863" i="9"/>
  <c r="Z863" i="9"/>
  <c r="Y863" i="9"/>
  <c r="AD863" i="9" s="1"/>
  <c r="X863" i="9"/>
  <c r="W863" i="9"/>
  <c r="AC863" i="9" s="1"/>
  <c r="V863" i="9"/>
  <c r="U863" i="9"/>
  <c r="AB863" i="9" s="1"/>
  <c r="T863" i="9"/>
  <c r="S863" i="9"/>
  <c r="AA863" i="9" s="1"/>
  <c r="R863" i="9"/>
  <c r="P863" i="9"/>
  <c r="D863" i="9"/>
  <c r="E863" i="9" s="1"/>
  <c r="AG862" i="9"/>
  <c r="AF862" i="9"/>
  <c r="Z862" i="9"/>
  <c r="Y862" i="9"/>
  <c r="AD862" i="9" s="1"/>
  <c r="X862" i="9"/>
  <c r="W862" i="9"/>
  <c r="AC862" i="9" s="1"/>
  <c r="V862" i="9"/>
  <c r="U862" i="9"/>
  <c r="AB862" i="9" s="1"/>
  <c r="T862" i="9"/>
  <c r="S862" i="9"/>
  <c r="AA862" i="9" s="1"/>
  <c r="R862" i="9"/>
  <c r="P862" i="9"/>
  <c r="D862" i="9"/>
  <c r="E862" i="9" s="1"/>
  <c r="AG861" i="9"/>
  <c r="AF861" i="9"/>
  <c r="Z861" i="9"/>
  <c r="Y861" i="9"/>
  <c r="AD861" i="9" s="1"/>
  <c r="X861" i="9"/>
  <c r="W861" i="9"/>
  <c r="AC861" i="9" s="1"/>
  <c r="V861" i="9"/>
  <c r="U861" i="9"/>
  <c r="AB861" i="9" s="1"/>
  <c r="T861" i="9"/>
  <c r="S861" i="9"/>
  <c r="AA861" i="9" s="1"/>
  <c r="R861" i="9"/>
  <c r="P861" i="9"/>
  <c r="D861" i="9"/>
  <c r="E861" i="9" s="1"/>
  <c r="AG860" i="9"/>
  <c r="AF860" i="9"/>
  <c r="Z860" i="9"/>
  <c r="Y860" i="9"/>
  <c r="AD860" i="9" s="1"/>
  <c r="X860" i="9"/>
  <c r="W860" i="9"/>
  <c r="AC860" i="9" s="1"/>
  <c r="V860" i="9"/>
  <c r="U860" i="9"/>
  <c r="AB860" i="9" s="1"/>
  <c r="T860" i="9"/>
  <c r="S860" i="9"/>
  <c r="AA860" i="9" s="1"/>
  <c r="R860" i="9"/>
  <c r="P860" i="9"/>
  <c r="D860" i="9"/>
  <c r="E860" i="9" s="1"/>
  <c r="AG859" i="9"/>
  <c r="AF859" i="9"/>
  <c r="Z859" i="9"/>
  <c r="Y859" i="9"/>
  <c r="X859" i="9"/>
  <c r="W859" i="9"/>
  <c r="AC859" i="9" s="1"/>
  <c r="V859" i="9"/>
  <c r="U859" i="9"/>
  <c r="AB859" i="9" s="1"/>
  <c r="T859" i="9"/>
  <c r="S859" i="9"/>
  <c r="AA859" i="9" s="1"/>
  <c r="R859" i="9"/>
  <c r="P859" i="9"/>
  <c r="D859" i="9"/>
  <c r="E859" i="9" s="1"/>
  <c r="AG858" i="9"/>
  <c r="AF858" i="9"/>
  <c r="Z858" i="9"/>
  <c r="Y858" i="9"/>
  <c r="AD858" i="9" s="1"/>
  <c r="X858" i="9"/>
  <c r="W858" i="9"/>
  <c r="AC858" i="9" s="1"/>
  <c r="V858" i="9"/>
  <c r="U858" i="9"/>
  <c r="AB858" i="9" s="1"/>
  <c r="T858" i="9"/>
  <c r="S858" i="9"/>
  <c r="AA858" i="9" s="1"/>
  <c r="R858" i="9"/>
  <c r="P858" i="9"/>
  <c r="D858" i="9"/>
  <c r="E858" i="9" s="1"/>
  <c r="AG857" i="9"/>
  <c r="AF857" i="9"/>
  <c r="Z857" i="9"/>
  <c r="Y857" i="9"/>
  <c r="AD857" i="9" s="1"/>
  <c r="X857" i="9"/>
  <c r="W857" i="9"/>
  <c r="AC857" i="9" s="1"/>
  <c r="V857" i="9"/>
  <c r="U857" i="9"/>
  <c r="AB857" i="9" s="1"/>
  <c r="T857" i="9"/>
  <c r="S857" i="9"/>
  <c r="AA857" i="9" s="1"/>
  <c r="R857" i="9"/>
  <c r="P857" i="9"/>
  <c r="D857" i="9"/>
  <c r="E857" i="9" s="1"/>
  <c r="AG856" i="9"/>
  <c r="AF856" i="9"/>
  <c r="Z856" i="9"/>
  <c r="Y856" i="9"/>
  <c r="AD856" i="9" s="1"/>
  <c r="X856" i="9"/>
  <c r="W856" i="9"/>
  <c r="AC856" i="9" s="1"/>
  <c r="V856" i="9"/>
  <c r="U856" i="9"/>
  <c r="AB856" i="9" s="1"/>
  <c r="T856" i="9"/>
  <c r="S856" i="9"/>
  <c r="AA856" i="9" s="1"/>
  <c r="R856" i="9"/>
  <c r="P856" i="9"/>
  <c r="D856" i="9"/>
  <c r="E856" i="9" s="1"/>
  <c r="AG855" i="9"/>
  <c r="AF855" i="9"/>
  <c r="Z855" i="9"/>
  <c r="Y855" i="9"/>
  <c r="AD855" i="9" s="1"/>
  <c r="X855" i="9"/>
  <c r="W855" i="9"/>
  <c r="AC855" i="9" s="1"/>
  <c r="V855" i="9"/>
  <c r="U855" i="9"/>
  <c r="AB855" i="9" s="1"/>
  <c r="T855" i="9"/>
  <c r="S855" i="9"/>
  <c r="AA855" i="9" s="1"/>
  <c r="R855" i="9"/>
  <c r="P855" i="9"/>
  <c r="D855" i="9"/>
  <c r="E855" i="9" s="1"/>
  <c r="AG854" i="9"/>
  <c r="AF854" i="9"/>
  <c r="Z854" i="9"/>
  <c r="Y854" i="9"/>
  <c r="AD854" i="9" s="1"/>
  <c r="X854" i="9"/>
  <c r="W854" i="9"/>
  <c r="AC854" i="9" s="1"/>
  <c r="V854" i="9"/>
  <c r="U854" i="9"/>
  <c r="AB854" i="9" s="1"/>
  <c r="T854" i="9"/>
  <c r="S854" i="9"/>
  <c r="AA854" i="9" s="1"/>
  <c r="R854" i="9"/>
  <c r="P854" i="9"/>
  <c r="D854" i="9"/>
  <c r="E854" i="9" s="1"/>
  <c r="AG853" i="9"/>
  <c r="AF853" i="9"/>
  <c r="Z853" i="9"/>
  <c r="Y853" i="9"/>
  <c r="AD853" i="9" s="1"/>
  <c r="X853" i="9"/>
  <c r="W853" i="9"/>
  <c r="V853" i="9"/>
  <c r="U853" i="9"/>
  <c r="AB853" i="9" s="1"/>
  <c r="T853" i="9"/>
  <c r="S853" i="9"/>
  <c r="AA853" i="9" s="1"/>
  <c r="R853" i="9"/>
  <c r="P853" i="9"/>
  <c r="D853" i="9"/>
  <c r="E853" i="9" s="1"/>
  <c r="AG852" i="9"/>
  <c r="AF852" i="9"/>
  <c r="Z852" i="9"/>
  <c r="Y852" i="9"/>
  <c r="AD852" i="9" s="1"/>
  <c r="X852" i="9"/>
  <c r="W852" i="9"/>
  <c r="AC852" i="9" s="1"/>
  <c r="V852" i="9"/>
  <c r="U852" i="9"/>
  <c r="AB852" i="9" s="1"/>
  <c r="T852" i="9"/>
  <c r="S852" i="9"/>
  <c r="AA852" i="9" s="1"/>
  <c r="R852" i="9"/>
  <c r="P852" i="9"/>
  <c r="D852" i="9"/>
  <c r="E852" i="9" s="1"/>
  <c r="AG851" i="9"/>
  <c r="AF851" i="9"/>
  <c r="Z851" i="9"/>
  <c r="Y851" i="9"/>
  <c r="X851" i="9"/>
  <c r="W851" i="9"/>
  <c r="AC851" i="9" s="1"/>
  <c r="V851" i="9"/>
  <c r="U851" i="9"/>
  <c r="AB851" i="9" s="1"/>
  <c r="T851" i="9"/>
  <c r="S851" i="9"/>
  <c r="AA851" i="9" s="1"/>
  <c r="R851" i="9"/>
  <c r="P851" i="9"/>
  <c r="D851" i="9"/>
  <c r="E851" i="9" s="1"/>
  <c r="AG850" i="9"/>
  <c r="AF850" i="9"/>
  <c r="Z850" i="9"/>
  <c r="Y850" i="9"/>
  <c r="AD850" i="9" s="1"/>
  <c r="X850" i="9"/>
  <c r="W850" i="9"/>
  <c r="AC850" i="9" s="1"/>
  <c r="V850" i="9"/>
  <c r="U850" i="9"/>
  <c r="AB850" i="9" s="1"/>
  <c r="T850" i="9"/>
  <c r="S850" i="9"/>
  <c r="AA850" i="9" s="1"/>
  <c r="R850" i="9"/>
  <c r="P850" i="9"/>
  <c r="D850" i="9"/>
  <c r="E850" i="9" s="1"/>
  <c r="AG849" i="9"/>
  <c r="AF849" i="9"/>
  <c r="Z849" i="9"/>
  <c r="Y849" i="9"/>
  <c r="X849" i="9"/>
  <c r="W849" i="9"/>
  <c r="AC849" i="9" s="1"/>
  <c r="V849" i="9"/>
  <c r="U849" i="9"/>
  <c r="AB849" i="9" s="1"/>
  <c r="T849" i="9"/>
  <c r="S849" i="9"/>
  <c r="R849" i="9"/>
  <c r="P849" i="9"/>
  <c r="D849" i="9"/>
  <c r="E849" i="9" s="1"/>
  <c r="AG848" i="9"/>
  <c r="AF848" i="9"/>
  <c r="Z848" i="9"/>
  <c r="Y848" i="9"/>
  <c r="AD848" i="9" s="1"/>
  <c r="X848" i="9"/>
  <c r="W848" i="9"/>
  <c r="AC848" i="9" s="1"/>
  <c r="V848" i="9"/>
  <c r="U848" i="9"/>
  <c r="AB848" i="9" s="1"/>
  <c r="T848" i="9"/>
  <c r="S848" i="9"/>
  <c r="AA848" i="9" s="1"/>
  <c r="R848" i="9"/>
  <c r="P848" i="9"/>
  <c r="D848" i="9"/>
  <c r="E848" i="9" s="1"/>
  <c r="AG847" i="9"/>
  <c r="AF847" i="9"/>
  <c r="Z847" i="9"/>
  <c r="Y847" i="9"/>
  <c r="AD847" i="9" s="1"/>
  <c r="X847" i="9"/>
  <c r="W847" i="9"/>
  <c r="AC847" i="9" s="1"/>
  <c r="V847" i="9"/>
  <c r="U847" i="9"/>
  <c r="AB847" i="9" s="1"/>
  <c r="T847" i="9"/>
  <c r="S847" i="9"/>
  <c r="AA847" i="9" s="1"/>
  <c r="R847" i="9"/>
  <c r="P847" i="9"/>
  <c r="D847" i="9"/>
  <c r="E847" i="9" s="1"/>
  <c r="AG846" i="9"/>
  <c r="AF846" i="9"/>
  <c r="Z846" i="9"/>
  <c r="Y846" i="9"/>
  <c r="AD846" i="9" s="1"/>
  <c r="X846" i="9"/>
  <c r="W846" i="9"/>
  <c r="AC846" i="9" s="1"/>
  <c r="V846" i="9"/>
  <c r="U846" i="9"/>
  <c r="AB846" i="9" s="1"/>
  <c r="T846" i="9"/>
  <c r="S846" i="9"/>
  <c r="AA846" i="9" s="1"/>
  <c r="R846" i="9"/>
  <c r="P846" i="9"/>
  <c r="D846" i="9"/>
  <c r="E846" i="9" s="1"/>
  <c r="AG845" i="9"/>
  <c r="AF845" i="9"/>
  <c r="Z845" i="9"/>
  <c r="Y845" i="9"/>
  <c r="AD845" i="9" s="1"/>
  <c r="X845" i="9"/>
  <c r="W845" i="9"/>
  <c r="V845" i="9"/>
  <c r="U845" i="9"/>
  <c r="AB845" i="9" s="1"/>
  <c r="T845" i="9"/>
  <c r="S845" i="9"/>
  <c r="AA845" i="9" s="1"/>
  <c r="R845" i="9"/>
  <c r="P845" i="9"/>
  <c r="D845" i="9"/>
  <c r="E845" i="9" s="1"/>
  <c r="AG844" i="9"/>
  <c r="AF844" i="9"/>
  <c r="Z844" i="9"/>
  <c r="Y844" i="9"/>
  <c r="AD844" i="9" s="1"/>
  <c r="X844" i="9"/>
  <c r="W844" i="9"/>
  <c r="AC844" i="9" s="1"/>
  <c r="V844" i="9"/>
  <c r="U844" i="9"/>
  <c r="AB844" i="9" s="1"/>
  <c r="T844" i="9"/>
  <c r="S844" i="9"/>
  <c r="AA844" i="9" s="1"/>
  <c r="R844" i="9"/>
  <c r="P844" i="9"/>
  <c r="D844" i="9"/>
  <c r="E844" i="9" s="1"/>
  <c r="AG843" i="9"/>
  <c r="AF843" i="9"/>
  <c r="Z843" i="9"/>
  <c r="Y843" i="9"/>
  <c r="AD843" i="9" s="1"/>
  <c r="X843" i="9"/>
  <c r="W843" i="9"/>
  <c r="AC843" i="9" s="1"/>
  <c r="V843" i="9"/>
  <c r="U843" i="9"/>
  <c r="AB843" i="9" s="1"/>
  <c r="T843" i="9"/>
  <c r="S843" i="9"/>
  <c r="AA843" i="9" s="1"/>
  <c r="R843" i="9"/>
  <c r="P843" i="9"/>
  <c r="D843" i="9"/>
  <c r="E843" i="9" s="1"/>
  <c r="AG842" i="9"/>
  <c r="AF842" i="9"/>
  <c r="Z842" i="9"/>
  <c r="Y842" i="9"/>
  <c r="AD842" i="9" s="1"/>
  <c r="X842" i="9"/>
  <c r="W842" i="9"/>
  <c r="AC842" i="9" s="1"/>
  <c r="V842" i="9"/>
  <c r="U842" i="9"/>
  <c r="AB842" i="9" s="1"/>
  <c r="T842" i="9"/>
  <c r="S842" i="9"/>
  <c r="R842" i="9"/>
  <c r="P842" i="9"/>
  <c r="D842" i="9"/>
  <c r="E842" i="9" s="1"/>
  <c r="AG841" i="9"/>
  <c r="AF841" i="9"/>
  <c r="Z841" i="9"/>
  <c r="Y841" i="9"/>
  <c r="AD841" i="9" s="1"/>
  <c r="X841" i="9"/>
  <c r="W841" i="9"/>
  <c r="AC841" i="9" s="1"/>
  <c r="V841" i="9"/>
  <c r="U841" i="9"/>
  <c r="AB841" i="9" s="1"/>
  <c r="T841" i="9"/>
  <c r="S841" i="9"/>
  <c r="AA841" i="9" s="1"/>
  <c r="R841" i="9"/>
  <c r="P841" i="9"/>
  <c r="D841" i="9"/>
  <c r="E841" i="9" s="1"/>
  <c r="AG840" i="9"/>
  <c r="AF840" i="9"/>
  <c r="Z840" i="9"/>
  <c r="Y840" i="9"/>
  <c r="AD840" i="9" s="1"/>
  <c r="X840" i="9"/>
  <c r="W840" i="9"/>
  <c r="AC840" i="9" s="1"/>
  <c r="V840" i="9"/>
  <c r="U840" i="9"/>
  <c r="AB840" i="9" s="1"/>
  <c r="T840" i="9"/>
  <c r="S840" i="9"/>
  <c r="AA840" i="9" s="1"/>
  <c r="R840" i="9"/>
  <c r="P840" i="9"/>
  <c r="D840" i="9"/>
  <c r="E840" i="9" s="1"/>
  <c r="AG839" i="9"/>
  <c r="AF839" i="9"/>
  <c r="Z839" i="9"/>
  <c r="Y839" i="9"/>
  <c r="AD839" i="9" s="1"/>
  <c r="X839" i="9"/>
  <c r="W839" i="9"/>
  <c r="AC839" i="9" s="1"/>
  <c r="V839" i="9"/>
  <c r="U839" i="9"/>
  <c r="AB839" i="9" s="1"/>
  <c r="T839" i="9"/>
  <c r="S839" i="9"/>
  <c r="R839" i="9"/>
  <c r="P839" i="9"/>
  <c r="D839" i="9"/>
  <c r="E839" i="9" s="1"/>
  <c r="AG838" i="9"/>
  <c r="AF838" i="9"/>
  <c r="Z838" i="9"/>
  <c r="Y838" i="9"/>
  <c r="AD838" i="9" s="1"/>
  <c r="X838" i="9"/>
  <c r="W838" i="9"/>
  <c r="AC838" i="9" s="1"/>
  <c r="V838" i="9"/>
  <c r="U838" i="9"/>
  <c r="AB838" i="9" s="1"/>
  <c r="T838" i="9"/>
  <c r="S838" i="9"/>
  <c r="AA838" i="9" s="1"/>
  <c r="R838" i="9"/>
  <c r="P838" i="9"/>
  <c r="D838" i="9"/>
  <c r="E838" i="9" s="1"/>
  <c r="AG837" i="9"/>
  <c r="AF837" i="9"/>
  <c r="Z837" i="9"/>
  <c r="Y837" i="9"/>
  <c r="AD837" i="9" s="1"/>
  <c r="X837" i="9"/>
  <c r="W837" i="9"/>
  <c r="AC837" i="9" s="1"/>
  <c r="V837" i="9"/>
  <c r="U837" i="9"/>
  <c r="AB837" i="9" s="1"/>
  <c r="T837" i="9"/>
  <c r="S837" i="9"/>
  <c r="AA837" i="9" s="1"/>
  <c r="R837" i="9"/>
  <c r="P837" i="9"/>
  <c r="D837" i="9"/>
  <c r="E837" i="9" s="1"/>
  <c r="AG836" i="9"/>
  <c r="AF836" i="9"/>
  <c r="Z836" i="9"/>
  <c r="Y836" i="9"/>
  <c r="AD836" i="9" s="1"/>
  <c r="X836" i="9"/>
  <c r="W836" i="9"/>
  <c r="AC836" i="9" s="1"/>
  <c r="V836" i="9"/>
  <c r="U836" i="9"/>
  <c r="AB836" i="9" s="1"/>
  <c r="T836" i="9"/>
  <c r="S836" i="9"/>
  <c r="AA836" i="9" s="1"/>
  <c r="R836" i="9"/>
  <c r="P836" i="9"/>
  <c r="D836" i="9"/>
  <c r="E836" i="9" s="1"/>
  <c r="AG835" i="9"/>
  <c r="AF835" i="9"/>
  <c r="Z835" i="9"/>
  <c r="Y835" i="9"/>
  <c r="AD835" i="9" s="1"/>
  <c r="X835" i="9"/>
  <c r="W835" i="9"/>
  <c r="AC835" i="9" s="1"/>
  <c r="V835" i="9"/>
  <c r="U835" i="9"/>
  <c r="AB835" i="9" s="1"/>
  <c r="T835" i="9"/>
  <c r="S835" i="9"/>
  <c r="AA835" i="9" s="1"/>
  <c r="R835" i="9"/>
  <c r="P835" i="9"/>
  <c r="D835" i="9"/>
  <c r="E835" i="9" s="1"/>
  <c r="AG834" i="9"/>
  <c r="AF834" i="9"/>
  <c r="Z834" i="9"/>
  <c r="Y834" i="9"/>
  <c r="AD834" i="9" s="1"/>
  <c r="X834" i="9"/>
  <c r="W834" i="9"/>
  <c r="AC834" i="9" s="1"/>
  <c r="V834" i="9"/>
  <c r="U834" i="9"/>
  <c r="AB834" i="9" s="1"/>
  <c r="T834" i="9"/>
  <c r="S834" i="9"/>
  <c r="AA834" i="9" s="1"/>
  <c r="R834" i="9"/>
  <c r="P834" i="9"/>
  <c r="D834" i="9"/>
  <c r="E834" i="9" s="1"/>
  <c r="AG833" i="9"/>
  <c r="AF833" i="9"/>
  <c r="Z833" i="9"/>
  <c r="Y833" i="9"/>
  <c r="AD833" i="9" s="1"/>
  <c r="X833" i="9"/>
  <c r="W833" i="9"/>
  <c r="AC833" i="9" s="1"/>
  <c r="V833" i="9"/>
  <c r="U833" i="9"/>
  <c r="AB833" i="9" s="1"/>
  <c r="T833" i="9"/>
  <c r="S833" i="9"/>
  <c r="AA833" i="9" s="1"/>
  <c r="R833" i="9"/>
  <c r="P833" i="9"/>
  <c r="D833" i="9"/>
  <c r="E833" i="9" s="1"/>
  <c r="AG832" i="9"/>
  <c r="AF832" i="9"/>
  <c r="Z832" i="9"/>
  <c r="Y832" i="9"/>
  <c r="AD832" i="9" s="1"/>
  <c r="X832" i="9"/>
  <c r="W832" i="9"/>
  <c r="AC832" i="9" s="1"/>
  <c r="V832" i="9"/>
  <c r="U832" i="9"/>
  <c r="AB832" i="9" s="1"/>
  <c r="T832" i="9"/>
  <c r="S832" i="9"/>
  <c r="AA832" i="9" s="1"/>
  <c r="R832" i="9"/>
  <c r="P832" i="9"/>
  <c r="D832" i="9"/>
  <c r="E832" i="9" s="1"/>
  <c r="AG831" i="9"/>
  <c r="AF831" i="9"/>
  <c r="Z831" i="9"/>
  <c r="Y831" i="9"/>
  <c r="AD831" i="9" s="1"/>
  <c r="X831" i="9"/>
  <c r="W831" i="9"/>
  <c r="AC831" i="9" s="1"/>
  <c r="V831" i="9"/>
  <c r="U831" i="9"/>
  <c r="AB831" i="9" s="1"/>
  <c r="T831" i="9"/>
  <c r="S831" i="9"/>
  <c r="AA831" i="9" s="1"/>
  <c r="R831" i="9"/>
  <c r="P831" i="9"/>
  <c r="D831" i="9"/>
  <c r="E831" i="9" s="1"/>
  <c r="AG830" i="9"/>
  <c r="AF830" i="9"/>
  <c r="Z830" i="9"/>
  <c r="Y830" i="9"/>
  <c r="AD830" i="9" s="1"/>
  <c r="X830" i="9"/>
  <c r="W830" i="9"/>
  <c r="AC830" i="9" s="1"/>
  <c r="V830" i="9"/>
  <c r="U830" i="9"/>
  <c r="AB830" i="9" s="1"/>
  <c r="T830" i="9"/>
  <c r="S830" i="9"/>
  <c r="AA830" i="9" s="1"/>
  <c r="R830" i="9"/>
  <c r="P830" i="9"/>
  <c r="D830" i="9"/>
  <c r="E830" i="9" s="1"/>
  <c r="AG829" i="9"/>
  <c r="AF829" i="9"/>
  <c r="Z829" i="9"/>
  <c r="Y829" i="9"/>
  <c r="AD829" i="9" s="1"/>
  <c r="X829" i="9"/>
  <c r="W829" i="9"/>
  <c r="AC829" i="9" s="1"/>
  <c r="V829" i="9"/>
  <c r="U829" i="9"/>
  <c r="AB829" i="9" s="1"/>
  <c r="T829" i="9"/>
  <c r="S829" i="9"/>
  <c r="AA829" i="9" s="1"/>
  <c r="R829" i="9"/>
  <c r="P829" i="9"/>
  <c r="D829" i="9"/>
  <c r="E829" i="9" s="1"/>
  <c r="AG828" i="9"/>
  <c r="AF828" i="9"/>
  <c r="Z828" i="9"/>
  <c r="Y828" i="9"/>
  <c r="AD828" i="9" s="1"/>
  <c r="X828" i="9"/>
  <c r="W828" i="9"/>
  <c r="AC828" i="9" s="1"/>
  <c r="V828" i="9"/>
  <c r="U828" i="9"/>
  <c r="AB828" i="9" s="1"/>
  <c r="T828" i="9"/>
  <c r="S828" i="9"/>
  <c r="AA828" i="9" s="1"/>
  <c r="R828" i="9"/>
  <c r="P828" i="9"/>
  <c r="D828" i="9"/>
  <c r="E828" i="9" s="1"/>
  <c r="AG827" i="9"/>
  <c r="AF827" i="9"/>
  <c r="Z827" i="9"/>
  <c r="Y827" i="9"/>
  <c r="AD827" i="9" s="1"/>
  <c r="X827" i="9"/>
  <c r="W827" i="9"/>
  <c r="AC827" i="9" s="1"/>
  <c r="V827" i="9"/>
  <c r="U827" i="9"/>
  <c r="AB827" i="9" s="1"/>
  <c r="T827" i="9"/>
  <c r="S827" i="9"/>
  <c r="AA827" i="9" s="1"/>
  <c r="R827" i="9"/>
  <c r="P827" i="9"/>
  <c r="D827" i="9"/>
  <c r="E827" i="9" s="1"/>
  <c r="AG826" i="9"/>
  <c r="AF826" i="9"/>
  <c r="Z826" i="9"/>
  <c r="Y826" i="9"/>
  <c r="AD826" i="9" s="1"/>
  <c r="X826" i="9"/>
  <c r="W826" i="9"/>
  <c r="AC826" i="9" s="1"/>
  <c r="V826" i="9"/>
  <c r="U826" i="9"/>
  <c r="AB826" i="9" s="1"/>
  <c r="T826" i="9"/>
  <c r="S826" i="9"/>
  <c r="AA826" i="9" s="1"/>
  <c r="R826" i="9"/>
  <c r="P826" i="9"/>
  <c r="D826" i="9"/>
  <c r="E826" i="9" s="1"/>
  <c r="AG825" i="9"/>
  <c r="AF825" i="9"/>
  <c r="Z825" i="9"/>
  <c r="Y825" i="9"/>
  <c r="AD825" i="9" s="1"/>
  <c r="X825" i="9"/>
  <c r="W825" i="9"/>
  <c r="AC825" i="9" s="1"/>
  <c r="V825" i="9"/>
  <c r="U825" i="9"/>
  <c r="AB825" i="9" s="1"/>
  <c r="T825" i="9"/>
  <c r="S825" i="9"/>
  <c r="AA825" i="9" s="1"/>
  <c r="R825" i="9"/>
  <c r="P825" i="9"/>
  <c r="D825" i="9"/>
  <c r="E825" i="9" s="1"/>
  <c r="AG824" i="9"/>
  <c r="AF824" i="9"/>
  <c r="Z824" i="9"/>
  <c r="Y824" i="9"/>
  <c r="AD824" i="9" s="1"/>
  <c r="X824" i="9"/>
  <c r="W824" i="9"/>
  <c r="AC824" i="9" s="1"/>
  <c r="V824" i="9"/>
  <c r="U824" i="9"/>
  <c r="AB824" i="9" s="1"/>
  <c r="T824" i="9"/>
  <c r="S824" i="9"/>
  <c r="AA824" i="9" s="1"/>
  <c r="R824" i="9"/>
  <c r="P824" i="9"/>
  <c r="D824" i="9"/>
  <c r="E824" i="9" s="1"/>
  <c r="AG823" i="9"/>
  <c r="AF823" i="9"/>
  <c r="Z823" i="9"/>
  <c r="Y823" i="9"/>
  <c r="AD823" i="9" s="1"/>
  <c r="X823" i="9"/>
  <c r="W823" i="9"/>
  <c r="AC823" i="9" s="1"/>
  <c r="V823" i="9"/>
  <c r="U823" i="9"/>
  <c r="T823" i="9"/>
  <c r="S823" i="9"/>
  <c r="AA823" i="9" s="1"/>
  <c r="R823" i="9"/>
  <c r="P823" i="9"/>
  <c r="D823" i="9"/>
  <c r="E823" i="9" s="1"/>
  <c r="AG822" i="9"/>
  <c r="AF822" i="9"/>
  <c r="Z822" i="9"/>
  <c r="Y822" i="9"/>
  <c r="AD822" i="9" s="1"/>
  <c r="X822" i="9"/>
  <c r="W822" i="9"/>
  <c r="AC822" i="9" s="1"/>
  <c r="V822" i="9"/>
  <c r="U822" i="9"/>
  <c r="AB822" i="9" s="1"/>
  <c r="T822" i="9"/>
  <c r="S822" i="9"/>
  <c r="AA822" i="9" s="1"/>
  <c r="R822" i="9"/>
  <c r="P822" i="9"/>
  <c r="D822" i="9"/>
  <c r="E822" i="9" s="1"/>
  <c r="AG821" i="9"/>
  <c r="AF821" i="9"/>
  <c r="Z821" i="9"/>
  <c r="Y821" i="9"/>
  <c r="AD821" i="9" s="1"/>
  <c r="X821" i="9"/>
  <c r="W821" i="9"/>
  <c r="AC821" i="9" s="1"/>
  <c r="V821" i="9"/>
  <c r="U821" i="9"/>
  <c r="AB821" i="9" s="1"/>
  <c r="T821" i="9"/>
  <c r="S821" i="9"/>
  <c r="AA821" i="9" s="1"/>
  <c r="R821" i="9"/>
  <c r="P821" i="9"/>
  <c r="D821" i="9"/>
  <c r="E821" i="9" s="1"/>
  <c r="AG820" i="9"/>
  <c r="AF820" i="9"/>
  <c r="Z820" i="9"/>
  <c r="Y820" i="9"/>
  <c r="AD820" i="9" s="1"/>
  <c r="X820" i="9"/>
  <c r="W820" i="9"/>
  <c r="AC820" i="9" s="1"/>
  <c r="V820" i="9"/>
  <c r="U820" i="9"/>
  <c r="T820" i="9"/>
  <c r="S820" i="9"/>
  <c r="AA820" i="9" s="1"/>
  <c r="R820" i="9"/>
  <c r="P820" i="9"/>
  <c r="D820" i="9"/>
  <c r="E820" i="9" s="1"/>
  <c r="AG819" i="9"/>
  <c r="AF819" i="9"/>
  <c r="Z819" i="9"/>
  <c r="Y819" i="9"/>
  <c r="AD819" i="9" s="1"/>
  <c r="X819" i="9"/>
  <c r="W819" i="9"/>
  <c r="AC819" i="9" s="1"/>
  <c r="V819" i="9"/>
  <c r="U819" i="9"/>
  <c r="AB819" i="9" s="1"/>
  <c r="T819" i="9"/>
  <c r="S819" i="9"/>
  <c r="AA819" i="9" s="1"/>
  <c r="R819" i="9"/>
  <c r="P819" i="9"/>
  <c r="D819" i="9"/>
  <c r="E819" i="9" s="1"/>
  <c r="AG818" i="9"/>
  <c r="AF818" i="9"/>
  <c r="Z818" i="9"/>
  <c r="Y818" i="9"/>
  <c r="AD818" i="9" s="1"/>
  <c r="X818" i="9"/>
  <c r="W818" i="9"/>
  <c r="AC818" i="9" s="1"/>
  <c r="V818" i="9"/>
  <c r="U818" i="9"/>
  <c r="AB818" i="9" s="1"/>
  <c r="T818" i="9"/>
  <c r="S818" i="9"/>
  <c r="AA818" i="9" s="1"/>
  <c r="R818" i="9"/>
  <c r="P818" i="9"/>
  <c r="D818" i="9"/>
  <c r="E818" i="9" s="1"/>
  <c r="AG817" i="9"/>
  <c r="AF817" i="9"/>
  <c r="Z817" i="9"/>
  <c r="Y817" i="9"/>
  <c r="AD817" i="9" s="1"/>
  <c r="X817" i="9"/>
  <c r="W817" i="9"/>
  <c r="AC817" i="9" s="1"/>
  <c r="V817" i="9"/>
  <c r="U817" i="9"/>
  <c r="AB817" i="9" s="1"/>
  <c r="T817" i="9"/>
  <c r="S817" i="9"/>
  <c r="AA817" i="9" s="1"/>
  <c r="R817" i="9"/>
  <c r="P817" i="9"/>
  <c r="D817" i="9"/>
  <c r="E817" i="9" s="1"/>
  <c r="AG816" i="9"/>
  <c r="AF816" i="9"/>
  <c r="Z816" i="9"/>
  <c r="Y816" i="9"/>
  <c r="AD816" i="9" s="1"/>
  <c r="X816" i="9"/>
  <c r="W816" i="9"/>
  <c r="AC816" i="9" s="1"/>
  <c r="V816" i="9"/>
  <c r="U816" i="9"/>
  <c r="AB816" i="9" s="1"/>
  <c r="T816" i="9"/>
  <c r="S816" i="9"/>
  <c r="AA816" i="9" s="1"/>
  <c r="R816" i="9"/>
  <c r="P816" i="9"/>
  <c r="D816" i="9"/>
  <c r="E816" i="9" s="1"/>
  <c r="AG815" i="9"/>
  <c r="AF815" i="9"/>
  <c r="Z815" i="9"/>
  <c r="Y815" i="9"/>
  <c r="AD815" i="9" s="1"/>
  <c r="X815" i="9"/>
  <c r="W815" i="9"/>
  <c r="AC815" i="9" s="1"/>
  <c r="V815" i="9"/>
  <c r="U815" i="9"/>
  <c r="AB815" i="9" s="1"/>
  <c r="T815" i="9"/>
  <c r="S815" i="9"/>
  <c r="AA815" i="9" s="1"/>
  <c r="R815" i="9"/>
  <c r="P815" i="9"/>
  <c r="D815" i="9"/>
  <c r="E815" i="9" s="1"/>
  <c r="AG814" i="9"/>
  <c r="AF814" i="9"/>
  <c r="Z814" i="9"/>
  <c r="Y814" i="9"/>
  <c r="AD814" i="9" s="1"/>
  <c r="X814" i="9"/>
  <c r="W814" i="9"/>
  <c r="AC814" i="9" s="1"/>
  <c r="V814" i="9"/>
  <c r="U814" i="9"/>
  <c r="AB814" i="9" s="1"/>
  <c r="T814" i="9"/>
  <c r="S814" i="9"/>
  <c r="AA814" i="9" s="1"/>
  <c r="R814" i="9"/>
  <c r="P814" i="9"/>
  <c r="D814" i="9"/>
  <c r="E814" i="9" s="1"/>
  <c r="AG813" i="9"/>
  <c r="AF813" i="9"/>
  <c r="Z813" i="9"/>
  <c r="Y813" i="9"/>
  <c r="AD813" i="9" s="1"/>
  <c r="X813" i="9"/>
  <c r="W813" i="9"/>
  <c r="AC813" i="9" s="1"/>
  <c r="V813" i="9"/>
  <c r="U813" i="9"/>
  <c r="AB813" i="9" s="1"/>
  <c r="T813" i="9"/>
  <c r="S813" i="9"/>
  <c r="AA813" i="9" s="1"/>
  <c r="R813" i="9"/>
  <c r="P813" i="9"/>
  <c r="D813" i="9"/>
  <c r="E813" i="9" s="1"/>
  <c r="AG812" i="9"/>
  <c r="AF812" i="9"/>
  <c r="Z812" i="9"/>
  <c r="Y812" i="9"/>
  <c r="AD812" i="9" s="1"/>
  <c r="X812" i="9"/>
  <c r="W812" i="9"/>
  <c r="AC812" i="9" s="1"/>
  <c r="V812" i="9"/>
  <c r="U812" i="9"/>
  <c r="AB812" i="9" s="1"/>
  <c r="T812" i="9"/>
  <c r="S812" i="9"/>
  <c r="AA812" i="9" s="1"/>
  <c r="R812" i="9"/>
  <c r="P812" i="9"/>
  <c r="D812" i="9"/>
  <c r="E812" i="9" s="1"/>
  <c r="AG811" i="9"/>
  <c r="AF811" i="9"/>
  <c r="Z811" i="9"/>
  <c r="Y811" i="9"/>
  <c r="AD811" i="9" s="1"/>
  <c r="X811" i="9"/>
  <c r="W811" i="9"/>
  <c r="AC811" i="9" s="1"/>
  <c r="V811" i="9"/>
  <c r="U811" i="9"/>
  <c r="AB811" i="9" s="1"/>
  <c r="T811" i="9"/>
  <c r="S811" i="9"/>
  <c r="AA811" i="9" s="1"/>
  <c r="R811" i="9"/>
  <c r="P811" i="9"/>
  <c r="D811" i="9"/>
  <c r="E811" i="9" s="1"/>
  <c r="AG810" i="9"/>
  <c r="AF810" i="9"/>
  <c r="Z810" i="9"/>
  <c r="Y810" i="9"/>
  <c r="AD810" i="9" s="1"/>
  <c r="X810" i="9"/>
  <c r="W810" i="9"/>
  <c r="AC810" i="9" s="1"/>
  <c r="V810" i="9"/>
  <c r="U810" i="9"/>
  <c r="AB810" i="9" s="1"/>
  <c r="T810" i="9"/>
  <c r="S810" i="9"/>
  <c r="AA810" i="9" s="1"/>
  <c r="R810" i="9"/>
  <c r="P810" i="9"/>
  <c r="D810" i="9"/>
  <c r="E810" i="9" s="1"/>
  <c r="AG809" i="9"/>
  <c r="AF809" i="9"/>
  <c r="Z809" i="9"/>
  <c r="Y809" i="9"/>
  <c r="AD809" i="9" s="1"/>
  <c r="X809" i="9"/>
  <c r="W809" i="9"/>
  <c r="V809" i="9"/>
  <c r="U809" i="9"/>
  <c r="AB809" i="9" s="1"/>
  <c r="T809" i="9"/>
  <c r="S809" i="9"/>
  <c r="AA809" i="9" s="1"/>
  <c r="R809" i="9"/>
  <c r="P809" i="9"/>
  <c r="D809" i="9"/>
  <c r="E809" i="9" s="1"/>
  <c r="AG808" i="9"/>
  <c r="AF808" i="9"/>
  <c r="Z808" i="9"/>
  <c r="Y808" i="9"/>
  <c r="AD808" i="9" s="1"/>
  <c r="X808" i="9"/>
  <c r="W808" i="9"/>
  <c r="AC808" i="9" s="1"/>
  <c r="V808" i="9"/>
  <c r="U808" i="9"/>
  <c r="AB808" i="9" s="1"/>
  <c r="T808" i="9"/>
  <c r="S808" i="9"/>
  <c r="AA808" i="9" s="1"/>
  <c r="R808" i="9"/>
  <c r="P808" i="9"/>
  <c r="D808" i="9"/>
  <c r="E808" i="9" s="1"/>
  <c r="AG807" i="9"/>
  <c r="AF807" i="9"/>
  <c r="Z807" i="9"/>
  <c r="Y807" i="9"/>
  <c r="AD807" i="9" s="1"/>
  <c r="X807" i="9"/>
  <c r="W807" i="9"/>
  <c r="AC807" i="9" s="1"/>
  <c r="V807" i="9"/>
  <c r="U807" i="9"/>
  <c r="AB807" i="9" s="1"/>
  <c r="T807" i="9"/>
  <c r="S807" i="9"/>
  <c r="AA807" i="9" s="1"/>
  <c r="R807" i="9"/>
  <c r="P807" i="9"/>
  <c r="D807" i="9"/>
  <c r="E807" i="9" s="1"/>
  <c r="AG806" i="9"/>
  <c r="AF806" i="9"/>
  <c r="Z806" i="9"/>
  <c r="Y806" i="9"/>
  <c r="AD806" i="9" s="1"/>
  <c r="X806" i="9"/>
  <c r="W806" i="9"/>
  <c r="AC806" i="9" s="1"/>
  <c r="V806" i="9"/>
  <c r="U806" i="9"/>
  <c r="AB806" i="9" s="1"/>
  <c r="T806" i="9"/>
  <c r="S806" i="9"/>
  <c r="AA806" i="9" s="1"/>
  <c r="R806" i="9"/>
  <c r="P806" i="9"/>
  <c r="D806" i="9"/>
  <c r="E806" i="9" s="1"/>
  <c r="AG805" i="9"/>
  <c r="AF805" i="9"/>
  <c r="Z805" i="9"/>
  <c r="Y805" i="9"/>
  <c r="AD805" i="9" s="1"/>
  <c r="X805" i="9"/>
  <c r="W805" i="9"/>
  <c r="AC805" i="9" s="1"/>
  <c r="V805" i="9"/>
  <c r="U805" i="9"/>
  <c r="AB805" i="9" s="1"/>
  <c r="T805" i="9"/>
  <c r="S805" i="9"/>
  <c r="AA805" i="9" s="1"/>
  <c r="R805" i="9"/>
  <c r="P805" i="9"/>
  <c r="D805" i="9"/>
  <c r="E805" i="9" s="1"/>
  <c r="AG804" i="9"/>
  <c r="AF804" i="9"/>
  <c r="Z804" i="9"/>
  <c r="Y804" i="9"/>
  <c r="AD804" i="9" s="1"/>
  <c r="X804" i="9"/>
  <c r="W804" i="9"/>
  <c r="AC804" i="9" s="1"/>
  <c r="V804" i="9"/>
  <c r="U804" i="9"/>
  <c r="AB804" i="9" s="1"/>
  <c r="T804" i="9"/>
  <c r="S804" i="9"/>
  <c r="AA804" i="9" s="1"/>
  <c r="R804" i="9"/>
  <c r="P804" i="9"/>
  <c r="D804" i="9"/>
  <c r="E804" i="9" s="1"/>
  <c r="AG803" i="9"/>
  <c r="AF803" i="9"/>
  <c r="Z803" i="9"/>
  <c r="Y803" i="9"/>
  <c r="AD803" i="9" s="1"/>
  <c r="X803" i="9"/>
  <c r="W803" i="9"/>
  <c r="AC803" i="9" s="1"/>
  <c r="V803" i="9"/>
  <c r="U803" i="9"/>
  <c r="AB803" i="9" s="1"/>
  <c r="T803" i="9"/>
  <c r="S803" i="9"/>
  <c r="AA803" i="9" s="1"/>
  <c r="R803" i="9"/>
  <c r="P803" i="9"/>
  <c r="D803" i="9"/>
  <c r="E803" i="9" s="1"/>
  <c r="AG802" i="9"/>
  <c r="AF802" i="9"/>
  <c r="Z802" i="9"/>
  <c r="Y802" i="9"/>
  <c r="AD802" i="9" s="1"/>
  <c r="X802" i="9"/>
  <c r="W802" i="9"/>
  <c r="AC802" i="9" s="1"/>
  <c r="V802" i="9"/>
  <c r="U802" i="9"/>
  <c r="AB802" i="9" s="1"/>
  <c r="T802" i="9"/>
  <c r="S802" i="9"/>
  <c r="AA802" i="9" s="1"/>
  <c r="R802" i="9"/>
  <c r="P802" i="9"/>
  <c r="D802" i="9"/>
  <c r="E802" i="9" s="1"/>
  <c r="AG801" i="9"/>
  <c r="AF801" i="9"/>
  <c r="Z801" i="9"/>
  <c r="Y801" i="9"/>
  <c r="AD801" i="9" s="1"/>
  <c r="X801" i="9"/>
  <c r="W801" i="9"/>
  <c r="AC801" i="9" s="1"/>
  <c r="V801" i="9"/>
  <c r="U801" i="9"/>
  <c r="AB801" i="9" s="1"/>
  <c r="T801" i="9"/>
  <c r="S801" i="9"/>
  <c r="AA801" i="9" s="1"/>
  <c r="R801" i="9"/>
  <c r="P801" i="9"/>
  <c r="D801" i="9"/>
  <c r="E801" i="9" s="1"/>
  <c r="AG800" i="9"/>
  <c r="AF800" i="9"/>
  <c r="Z800" i="9"/>
  <c r="Y800" i="9"/>
  <c r="AD800" i="9" s="1"/>
  <c r="X800" i="9"/>
  <c r="W800" i="9"/>
  <c r="AC800" i="9" s="1"/>
  <c r="V800" i="9"/>
  <c r="U800" i="9"/>
  <c r="AB800" i="9" s="1"/>
  <c r="T800" i="9"/>
  <c r="S800" i="9"/>
  <c r="AA800" i="9" s="1"/>
  <c r="R800" i="9"/>
  <c r="P800" i="9"/>
  <c r="D800" i="9"/>
  <c r="E800" i="9" s="1"/>
  <c r="AG799" i="9"/>
  <c r="AF799" i="9"/>
  <c r="Z799" i="9"/>
  <c r="Y799" i="9"/>
  <c r="AD799" i="9" s="1"/>
  <c r="X799" i="9"/>
  <c r="W799" i="9"/>
  <c r="AC799" i="9" s="1"/>
  <c r="V799" i="9"/>
  <c r="U799" i="9"/>
  <c r="AB799" i="9" s="1"/>
  <c r="T799" i="9"/>
  <c r="S799" i="9"/>
  <c r="AA799" i="9" s="1"/>
  <c r="R799" i="9"/>
  <c r="P799" i="9"/>
  <c r="D799" i="9"/>
  <c r="E799" i="9" s="1"/>
  <c r="AG798" i="9"/>
  <c r="AF798" i="9"/>
  <c r="Z798" i="9"/>
  <c r="Y798" i="9"/>
  <c r="AD798" i="9" s="1"/>
  <c r="X798" i="9"/>
  <c r="W798" i="9"/>
  <c r="AC798" i="9" s="1"/>
  <c r="V798" i="9"/>
  <c r="U798" i="9"/>
  <c r="AB798" i="9" s="1"/>
  <c r="T798" i="9"/>
  <c r="S798" i="9"/>
  <c r="R798" i="9"/>
  <c r="P798" i="9"/>
  <c r="D798" i="9"/>
  <c r="E798" i="9" s="1"/>
  <c r="AG797" i="9"/>
  <c r="AF797" i="9"/>
  <c r="Z797" i="9"/>
  <c r="Y797" i="9"/>
  <c r="AD797" i="9" s="1"/>
  <c r="X797" i="9"/>
  <c r="W797" i="9"/>
  <c r="AC797" i="9" s="1"/>
  <c r="V797" i="9"/>
  <c r="U797" i="9"/>
  <c r="AB797" i="9" s="1"/>
  <c r="T797" i="9"/>
  <c r="S797" i="9"/>
  <c r="AA797" i="9" s="1"/>
  <c r="R797" i="9"/>
  <c r="P797" i="9"/>
  <c r="D797" i="9"/>
  <c r="E797" i="9" s="1"/>
  <c r="AG796" i="9"/>
  <c r="AF796" i="9"/>
  <c r="Z796" i="9"/>
  <c r="Y796" i="9"/>
  <c r="AD796" i="9" s="1"/>
  <c r="X796" i="9"/>
  <c r="W796" i="9"/>
  <c r="V796" i="9"/>
  <c r="U796" i="9"/>
  <c r="AB796" i="9" s="1"/>
  <c r="T796" i="9"/>
  <c r="S796" i="9"/>
  <c r="AA796" i="9" s="1"/>
  <c r="R796" i="9"/>
  <c r="P796" i="9"/>
  <c r="D796" i="9"/>
  <c r="E796" i="9" s="1"/>
  <c r="AG795" i="9"/>
  <c r="AF795" i="9"/>
  <c r="Z795" i="9"/>
  <c r="Y795" i="9"/>
  <c r="AD795" i="9" s="1"/>
  <c r="X795" i="9"/>
  <c r="W795" i="9"/>
  <c r="AC795" i="9" s="1"/>
  <c r="V795" i="9"/>
  <c r="U795" i="9"/>
  <c r="AB795" i="9" s="1"/>
  <c r="T795" i="9"/>
  <c r="S795" i="9"/>
  <c r="AA795" i="9" s="1"/>
  <c r="R795" i="9"/>
  <c r="P795" i="9"/>
  <c r="D795" i="9"/>
  <c r="E795" i="9" s="1"/>
  <c r="AG794" i="9"/>
  <c r="AF794" i="9"/>
  <c r="Z794" i="9"/>
  <c r="Y794" i="9"/>
  <c r="AD794" i="9" s="1"/>
  <c r="X794" i="9"/>
  <c r="W794" i="9"/>
  <c r="V794" i="9"/>
  <c r="U794" i="9"/>
  <c r="AB794" i="9" s="1"/>
  <c r="T794" i="9"/>
  <c r="S794" i="9"/>
  <c r="R794" i="9"/>
  <c r="P794" i="9"/>
  <c r="D794" i="9"/>
  <c r="E794" i="9" s="1"/>
  <c r="AG793" i="9"/>
  <c r="AF793" i="9"/>
  <c r="Z793" i="9"/>
  <c r="Y793" i="9"/>
  <c r="AD793" i="9" s="1"/>
  <c r="X793" i="9"/>
  <c r="W793" i="9"/>
  <c r="AC793" i="9" s="1"/>
  <c r="V793" i="9"/>
  <c r="U793" i="9"/>
  <c r="AB793" i="9" s="1"/>
  <c r="T793" i="9"/>
  <c r="S793" i="9"/>
  <c r="AA793" i="9" s="1"/>
  <c r="R793" i="9"/>
  <c r="P793" i="9"/>
  <c r="D793" i="9"/>
  <c r="E793" i="9" s="1"/>
  <c r="AG792" i="9"/>
  <c r="AF792" i="9"/>
  <c r="Z792" i="9"/>
  <c r="Y792" i="9"/>
  <c r="AD792" i="9" s="1"/>
  <c r="X792" i="9"/>
  <c r="W792" i="9"/>
  <c r="AC792" i="9" s="1"/>
  <c r="V792" i="9"/>
  <c r="U792" i="9"/>
  <c r="AB792" i="9" s="1"/>
  <c r="T792" i="9"/>
  <c r="S792" i="9"/>
  <c r="AA792" i="9" s="1"/>
  <c r="R792" i="9"/>
  <c r="P792" i="9"/>
  <c r="D792" i="9"/>
  <c r="E792" i="9" s="1"/>
  <c r="AG791" i="9"/>
  <c r="AF791" i="9"/>
  <c r="Z791" i="9"/>
  <c r="Y791" i="9"/>
  <c r="AD791" i="9" s="1"/>
  <c r="X791" i="9"/>
  <c r="W791" i="9"/>
  <c r="AC791" i="9" s="1"/>
  <c r="V791" i="9"/>
  <c r="U791" i="9"/>
  <c r="AB791" i="9" s="1"/>
  <c r="T791" i="9"/>
  <c r="S791" i="9"/>
  <c r="AA791" i="9" s="1"/>
  <c r="R791" i="9"/>
  <c r="P791" i="9"/>
  <c r="D791" i="9"/>
  <c r="E791" i="9" s="1"/>
  <c r="AG790" i="9"/>
  <c r="AF790" i="9"/>
  <c r="Z790" i="9"/>
  <c r="Y790" i="9"/>
  <c r="AD790" i="9" s="1"/>
  <c r="X790" i="9"/>
  <c r="W790" i="9"/>
  <c r="AC790" i="9" s="1"/>
  <c r="V790" i="9"/>
  <c r="U790" i="9"/>
  <c r="AB790" i="9" s="1"/>
  <c r="T790" i="9"/>
  <c r="S790" i="9"/>
  <c r="AA790" i="9" s="1"/>
  <c r="R790" i="9"/>
  <c r="P790" i="9"/>
  <c r="D790" i="9"/>
  <c r="E790" i="9" s="1"/>
  <c r="AG789" i="9"/>
  <c r="AF789" i="9"/>
  <c r="Z789" i="9"/>
  <c r="Y789" i="9"/>
  <c r="AD789" i="9" s="1"/>
  <c r="X789" i="9"/>
  <c r="W789" i="9"/>
  <c r="AC789" i="9" s="1"/>
  <c r="V789" i="9"/>
  <c r="U789" i="9"/>
  <c r="AB789" i="9" s="1"/>
  <c r="T789" i="9"/>
  <c r="S789" i="9"/>
  <c r="AA789" i="9" s="1"/>
  <c r="R789" i="9"/>
  <c r="P789" i="9"/>
  <c r="D789" i="9"/>
  <c r="E789" i="9" s="1"/>
  <c r="AG788" i="9"/>
  <c r="AF788" i="9"/>
  <c r="Z788" i="9"/>
  <c r="Y788" i="9"/>
  <c r="AD788" i="9" s="1"/>
  <c r="X788" i="9"/>
  <c r="W788" i="9"/>
  <c r="AC788" i="9" s="1"/>
  <c r="V788" i="9"/>
  <c r="U788" i="9"/>
  <c r="AB788" i="9" s="1"/>
  <c r="T788" i="9"/>
  <c r="S788" i="9"/>
  <c r="AA788" i="9" s="1"/>
  <c r="R788" i="9"/>
  <c r="P788" i="9"/>
  <c r="D788" i="9"/>
  <c r="E788" i="9" s="1"/>
  <c r="AG787" i="9"/>
  <c r="AF787" i="9"/>
  <c r="Z787" i="9"/>
  <c r="Y787" i="9"/>
  <c r="AD787" i="9" s="1"/>
  <c r="X787" i="9"/>
  <c r="W787" i="9"/>
  <c r="AC787" i="9" s="1"/>
  <c r="V787" i="9"/>
  <c r="U787" i="9"/>
  <c r="AB787" i="9" s="1"/>
  <c r="T787" i="9"/>
  <c r="S787" i="9"/>
  <c r="AA787" i="9" s="1"/>
  <c r="R787" i="9"/>
  <c r="P787" i="9"/>
  <c r="D787" i="9"/>
  <c r="E787" i="9" s="1"/>
  <c r="AG786" i="9"/>
  <c r="AF786" i="9"/>
  <c r="Z786" i="9"/>
  <c r="Y786" i="9"/>
  <c r="AD786" i="9" s="1"/>
  <c r="X786" i="9"/>
  <c r="W786" i="9"/>
  <c r="AC786" i="9" s="1"/>
  <c r="V786" i="9"/>
  <c r="U786" i="9"/>
  <c r="AB786" i="9" s="1"/>
  <c r="T786" i="9"/>
  <c r="S786" i="9"/>
  <c r="AA786" i="9" s="1"/>
  <c r="R786" i="9"/>
  <c r="P786" i="9"/>
  <c r="D786" i="9"/>
  <c r="E786" i="9" s="1"/>
  <c r="AG785" i="9"/>
  <c r="AF785" i="9"/>
  <c r="Z785" i="9"/>
  <c r="Y785" i="9"/>
  <c r="AD785" i="9" s="1"/>
  <c r="X785" i="9"/>
  <c r="W785" i="9"/>
  <c r="AC785" i="9" s="1"/>
  <c r="V785" i="9"/>
  <c r="U785" i="9"/>
  <c r="AB785" i="9" s="1"/>
  <c r="T785" i="9"/>
  <c r="S785" i="9"/>
  <c r="AA785" i="9" s="1"/>
  <c r="R785" i="9"/>
  <c r="P785" i="9"/>
  <c r="D785" i="9"/>
  <c r="E785" i="9" s="1"/>
  <c r="AG784" i="9"/>
  <c r="AF784" i="9"/>
  <c r="Z784" i="9"/>
  <c r="Y784" i="9"/>
  <c r="AD784" i="9" s="1"/>
  <c r="X784" i="9"/>
  <c r="W784" i="9"/>
  <c r="AC784" i="9" s="1"/>
  <c r="V784" i="9"/>
  <c r="U784" i="9"/>
  <c r="AB784" i="9" s="1"/>
  <c r="T784" i="9"/>
  <c r="S784" i="9"/>
  <c r="AA784" i="9" s="1"/>
  <c r="R784" i="9"/>
  <c r="P784" i="9"/>
  <c r="D784" i="9"/>
  <c r="E784" i="9" s="1"/>
  <c r="AG783" i="9"/>
  <c r="AF783" i="9"/>
  <c r="Z783" i="9"/>
  <c r="Y783" i="9"/>
  <c r="AD783" i="9" s="1"/>
  <c r="X783" i="9"/>
  <c r="W783" i="9"/>
  <c r="AC783" i="9" s="1"/>
  <c r="V783" i="9"/>
  <c r="U783" i="9"/>
  <c r="AB783" i="9" s="1"/>
  <c r="T783" i="9"/>
  <c r="S783" i="9"/>
  <c r="AA783" i="9" s="1"/>
  <c r="R783" i="9"/>
  <c r="P783" i="9"/>
  <c r="D783" i="9"/>
  <c r="E783" i="9" s="1"/>
  <c r="AG782" i="9"/>
  <c r="AF782" i="9"/>
  <c r="Z782" i="9"/>
  <c r="Y782" i="9"/>
  <c r="AD782" i="9" s="1"/>
  <c r="X782" i="9"/>
  <c r="W782" i="9"/>
  <c r="AC782" i="9" s="1"/>
  <c r="V782" i="9"/>
  <c r="U782" i="9"/>
  <c r="AB782" i="9" s="1"/>
  <c r="T782" i="9"/>
  <c r="S782" i="9"/>
  <c r="AA782" i="9" s="1"/>
  <c r="R782" i="9"/>
  <c r="P782" i="9"/>
  <c r="D782" i="9"/>
  <c r="E782" i="9" s="1"/>
  <c r="AG781" i="9"/>
  <c r="AF781" i="9"/>
  <c r="Z781" i="9"/>
  <c r="Y781" i="9"/>
  <c r="AD781" i="9" s="1"/>
  <c r="X781" i="9"/>
  <c r="W781" i="9"/>
  <c r="AC781" i="9" s="1"/>
  <c r="V781" i="9"/>
  <c r="U781" i="9"/>
  <c r="T781" i="9"/>
  <c r="S781" i="9"/>
  <c r="AA781" i="9" s="1"/>
  <c r="R781" i="9"/>
  <c r="P781" i="9"/>
  <c r="D781" i="9"/>
  <c r="E781" i="9" s="1"/>
  <c r="AG780" i="9"/>
  <c r="AF780" i="9"/>
  <c r="Z780" i="9"/>
  <c r="Y780" i="9"/>
  <c r="AD780" i="9" s="1"/>
  <c r="X780" i="9"/>
  <c r="W780" i="9"/>
  <c r="AC780" i="9" s="1"/>
  <c r="V780" i="9"/>
  <c r="U780" i="9"/>
  <c r="AB780" i="9" s="1"/>
  <c r="T780" i="9"/>
  <c r="S780" i="9"/>
  <c r="AA780" i="9" s="1"/>
  <c r="R780" i="9"/>
  <c r="P780" i="9"/>
  <c r="D780" i="9"/>
  <c r="E780" i="9" s="1"/>
  <c r="AG779" i="9"/>
  <c r="AF779" i="9"/>
  <c r="Z779" i="9"/>
  <c r="Y779" i="9"/>
  <c r="AD779" i="9" s="1"/>
  <c r="X779" i="9"/>
  <c r="W779" i="9"/>
  <c r="V779" i="9"/>
  <c r="U779" i="9"/>
  <c r="AB779" i="9" s="1"/>
  <c r="T779" i="9"/>
  <c r="S779" i="9"/>
  <c r="AA779" i="9" s="1"/>
  <c r="R779" i="9"/>
  <c r="P779" i="9"/>
  <c r="D779" i="9"/>
  <c r="E779" i="9" s="1"/>
  <c r="AG778" i="9"/>
  <c r="AF778" i="9"/>
  <c r="Z778" i="9"/>
  <c r="Y778" i="9"/>
  <c r="AD778" i="9" s="1"/>
  <c r="X778" i="9"/>
  <c r="W778" i="9"/>
  <c r="AC778" i="9" s="1"/>
  <c r="V778" i="9"/>
  <c r="U778" i="9"/>
  <c r="AB778" i="9" s="1"/>
  <c r="T778" i="9"/>
  <c r="S778" i="9"/>
  <c r="AA778" i="9" s="1"/>
  <c r="R778" i="9"/>
  <c r="P778" i="9"/>
  <c r="D778" i="9"/>
  <c r="E778" i="9" s="1"/>
  <c r="AG777" i="9"/>
  <c r="AF777" i="9"/>
  <c r="Z777" i="9"/>
  <c r="Y777" i="9"/>
  <c r="AD777" i="9" s="1"/>
  <c r="X777" i="9"/>
  <c r="W777" i="9"/>
  <c r="AC777" i="9" s="1"/>
  <c r="V777" i="9"/>
  <c r="U777" i="9"/>
  <c r="AB777" i="9" s="1"/>
  <c r="T777" i="9"/>
  <c r="S777" i="9"/>
  <c r="AA777" i="9" s="1"/>
  <c r="R777" i="9"/>
  <c r="P777" i="9"/>
  <c r="D777" i="9"/>
  <c r="E777" i="9" s="1"/>
  <c r="AG776" i="9"/>
  <c r="AF776" i="9"/>
  <c r="Z776" i="9"/>
  <c r="Y776" i="9"/>
  <c r="AD776" i="9" s="1"/>
  <c r="X776" i="9"/>
  <c r="W776" i="9"/>
  <c r="AC776" i="9" s="1"/>
  <c r="V776" i="9"/>
  <c r="U776" i="9"/>
  <c r="AB776" i="9" s="1"/>
  <c r="T776" i="9"/>
  <c r="S776" i="9"/>
  <c r="AA776" i="9" s="1"/>
  <c r="R776" i="9"/>
  <c r="P776" i="9"/>
  <c r="D776" i="9"/>
  <c r="E776" i="9" s="1"/>
  <c r="AG775" i="9"/>
  <c r="AF775" i="9"/>
  <c r="Z775" i="9"/>
  <c r="Y775" i="9"/>
  <c r="AD775" i="9" s="1"/>
  <c r="X775" i="9"/>
  <c r="W775" i="9"/>
  <c r="AC775" i="9" s="1"/>
  <c r="V775" i="9"/>
  <c r="U775" i="9"/>
  <c r="AB775" i="9" s="1"/>
  <c r="T775" i="9"/>
  <c r="S775" i="9"/>
  <c r="AA775" i="9" s="1"/>
  <c r="R775" i="9"/>
  <c r="P775" i="9"/>
  <c r="D775" i="9"/>
  <c r="E775" i="9" s="1"/>
  <c r="AG774" i="9"/>
  <c r="AF774" i="9"/>
  <c r="Z774" i="9"/>
  <c r="Y774" i="9"/>
  <c r="AD774" i="9" s="1"/>
  <c r="X774" i="9"/>
  <c r="W774" i="9"/>
  <c r="AC774" i="9" s="1"/>
  <c r="V774" i="9"/>
  <c r="U774" i="9"/>
  <c r="AB774" i="9" s="1"/>
  <c r="T774" i="9"/>
  <c r="S774" i="9"/>
  <c r="AA774" i="9" s="1"/>
  <c r="R774" i="9"/>
  <c r="P774" i="9"/>
  <c r="D774" i="9"/>
  <c r="E774" i="9" s="1"/>
  <c r="AG773" i="9"/>
  <c r="AF773" i="9"/>
  <c r="Z773" i="9"/>
  <c r="Y773" i="9"/>
  <c r="AD773" i="9" s="1"/>
  <c r="X773" i="9"/>
  <c r="W773" i="9"/>
  <c r="AC773" i="9" s="1"/>
  <c r="V773" i="9"/>
  <c r="U773" i="9"/>
  <c r="AB773" i="9" s="1"/>
  <c r="T773" i="9"/>
  <c r="S773" i="9"/>
  <c r="AA773" i="9" s="1"/>
  <c r="R773" i="9"/>
  <c r="P773" i="9"/>
  <c r="D773" i="9"/>
  <c r="E773" i="9" s="1"/>
  <c r="AG772" i="9"/>
  <c r="AF772" i="9"/>
  <c r="Z772" i="9"/>
  <c r="Y772" i="9"/>
  <c r="AD772" i="9" s="1"/>
  <c r="X772" i="9"/>
  <c r="W772" i="9"/>
  <c r="AC772" i="9" s="1"/>
  <c r="V772" i="9"/>
  <c r="U772" i="9"/>
  <c r="AB772" i="9" s="1"/>
  <c r="T772" i="9"/>
  <c r="S772" i="9"/>
  <c r="AA772" i="9" s="1"/>
  <c r="R772" i="9"/>
  <c r="P772" i="9"/>
  <c r="D772" i="9"/>
  <c r="E772" i="9" s="1"/>
  <c r="AG771" i="9"/>
  <c r="AF771" i="9"/>
  <c r="Z771" i="9"/>
  <c r="Y771" i="9"/>
  <c r="AD771" i="9" s="1"/>
  <c r="X771" i="9"/>
  <c r="W771" i="9"/>
  <c r="AC771" i="9" s="1"/>
  <c r="V771" i="9"/>
  <c r="U771" i="9"/>
  <c r="AB771" i="9" s="1"/>
  <c r="T771" i="9"/>
  <c r="S771" i="9"/>
  <c r="AA771" i="9" s="1"/>
  <c r="R771" i="9"/>
  <c r="P771" i="9"/>
  <c r="D771" i="9"/>
  <c r="E771" i="9" s="1"/>
  <c r="AG770" i="9"/>
  <c r="AF770" i="9"/>
  <c r="Z770" i="9"/>
  <c r="Y770" i="9"/>
  <c r="AD770" i="9" s="1"/>
  <c r="X770" i="9"/>
  <c r="W770" i="9"/>
  <c r="AC770" i="9" s="1"/>
  <c r="V770" i="9"/>
  <c r="U770" i="9"/>
  <c r="AB770" i="9" s="1"/>
  <c r="T770" i="9"/>
  <c r="S770" i="9"/>
  <c r="AA770" i="9" s="1"/>
  <c r="R770" i="9"/>
  <c r="P770" i="9"/>
  <c r="D770" i="9"/>
  <c r="E770" i="9" s="1"/>
  <c r="AG769" i="9"/>
  <c r="AF769" i="9"/>
  <c r="Z769" i="9"/>
  <c r="Y769" i="9"/>
  <c r="AD769" i="9" s="1"/>
  <c r="X769" i="9"/>
  <c r="W769" i="9"/>
  <c r="AC769" i="9" s="1"/>
  <c r="V769" i="9"/>
  <c r="U769" i="9"/>
  <c r="AB769" i="9" s="1"/>
  <c r="T769" i="9"/>
  <c r="S769" i="9"/>
  <c r="AA769" i="9" s="1"/>
  <c r="R769" i="9"/>
  <c r="P769" i="9"/>
  <c r="D769" i="9"/>
  <c r="E769" i="9" s="1"/>
  <c r="AG768" i="9"/>
  <c r="AF768" i="9"/>
  <c r="Z768" i="9"/>
  <c r="Y768" i="9"/>
  <c r="AD768" i="9" s="1"/>
  <c r="X768" i="9"/>
  <c r="W768" i="9"/>
  <c r="AC768" i="9" s="1"/>
  <c r="V768" i="9"/>
  <c r="U768" i="9"/>
  <c r="AB768" i="9" s="1"/>
  <c r="T768" i="9"/>
  <c r="S768" i="9"/>
  <c r="AA768" i="9" s="1"/>
  <c r="R768" i="9"/>
  <c r="P768" i="9"/>
  <c r="D768" i="9"/>
  <c r="E768" i="9" s="1"/>
  <c r="AG767" i="9"/>
  <c r="AF767" i="9"/>
  <c r="Z767" i="9"/>
  <c r="Y767" i="9"/>
  <c r="AD767" i="9" s="1"/>
  <c r="X767" i="9"/>
  <c r="W767" i="9"/>
  <c r="AC767" i="9" s="1"/>
  <c r="V767" i="9"/>
  <c r="U767" i="9"/>
  <c r="AB767" i="9" s="1"/>
  <c r="T767" i="9"/>
  <c r="S767" i="9"/>
  <c r="AA767" i="9" s="1"/>
  <c r="R767" i="9"/>
  <c r="P767" i="9"/>
  <c r="D767" i="9"/>
  <c r="E767" i="9" s="1"/>
  <c r="AG766" i="9"/>
  <c r="AF766" i="9"/>
  <c r="Z766" i="9"/>
  <c r="Y766" i="9"/>
  <c r="AD766" i="9" s="1"/>
  <c r="X766" i="9"/>
  <c r="W766" i="9"/>
  <c r="AC766" i="9" s="1"/>
  <c r="V766" i="9"/>
  <c r="U766" i="9"/>
  <c r="AB766" i="9" s="1"/>
  <c r="T766" i="9"/>
  <c r="S766" i="9"/>
  <c r="AA766" i="9" s="1"/>
  <c r="R766" i="9"/>
  <c r="P766" i="9"/>
  <c r="D766" i="9"/>
  <c r="E766" i="9" s="1"/>
  <c r="AG765" i="9"/>
  <c r="AF765" i="9"/>
  <c r="Z765" i="9"/>
  <c r="Y765" i="9"/>
  <c r="AD765" i="9" s="1"/>
  <c r="X765" i="9"/>
  <c r="W765" i="9"/>
  <c r="AC765" i="9" s="1"/>
  <c r="V765" i="9"/>
  <c r="U765" i="9"/>
  <c r="AB765" i="9" s="1"/>
  <c r="T765" i="9"/>
  <c r="S765" i="9"/>
  <c r="AA765" i="9" s="1"/>
  <c r="R765" i="9"/>
  <c r="P765" i="9"/>
  <c r="D765" i="9"/>
  <c r="E765" i="9" s="1"/>
  <c r="AG764" i="9"/>
  <c r="AF764" i="9"/>
  <c r="Z764" i="9"/>
  <c r="Y764" i="9"/>
  <c r="AD764" i="9" s="1"/>
  <c r="X764" i="9"/>
  <c r="W764" i="9"/>
  <c r="AC764" i="9" s="1"/>
  <c r="V764" i="9"/>
  <c r="U764" i="9"/>
  <c r="AB764" i="9" s="1"/>
  <c r="T764" i="9"/>
  <c r="S764" i="9"/>
  <c r="AA764" i="9" s="1"/>
  <c r="R764" i="9"/>
  <c r="P764" i="9"/>
  <c r="D764" i="9"/>
  <c r="E764" i="9" s="1"/>
  <c r="AG763" i="9"/>
  <c r="AF763" i="9"/>
  <c r="Z763" i="9"/>
  <c r="Y763" i="9"/>
  <c r="AD763" i="9" s="1"/>
  <c r="X763" i="9"/>
  <c r="W763" i="9"/>
  <c r="AC763" i="9" s="1"/>
  <c r="V763" i="9"/>
  <c r="U763" i="9"/>
  <c r="AB763" i="9" s="1"/>
  <c r="T763" i="9"/>
  <c r="S763" i="9"/>
  <c r="AA763" i="9" s="1"/>
  <c r="R763" i="9"/>
  <c r="P763" i="9"/>
  <c r="D763" i="9"/>
  <c r="E763" i="9" s="1"/>
  <c r="AG762" i="9"/>
  <c r="AF762" i="9"/>
  <c r="Z762" i="9"/>
  <c r="Y762" i="9"/>
  <c r="AD762" i="9" s="1"/>
  <c r="X762" i="9"/>
  <c r="W762" i="9"/>
  <c r="AC762" i="9" s="1"/>
  <c r="V762" i="9"/>
  <c r="U762" i="9"/>
  <c r="AB762" i="9" s="1"/>
  <c r="T762" i="9"/>
  <c r="S762" i="9"/>
  <c r="AA762" i="9" s="1"/>
  <c r="R762" i="9"/>
  <c r="P762" i="9"/>
  <c r="D762" i="9"/>
  <c r="E762" i="9" s="1"/>
  <c r="AG761" i="9"/>
  <c r="AF761" i="9"/>
  <c r="Z761" i="9"/>
  <c r="Y761" i="9"/>
  <c r="AD761" i="9" s="1"/>
  <c r="X761" i="9"/>
  <c r="W761" i="9"/>
  <c r="AC761" i="9" s="1"/>
  <c r="V761" i="9"/>
  <c r="U761" i="9"/>
  <c r="AB761" i="9" s="1"/>
  <c r="T761" i="9"/>
  <c r="S761" i="9"/>
  <c r="AA761" i="9" s="1"/>
  <c r="R761" i="9"/>
  <c r="P761" i="9"/>
  <c r="D761" i="9"/>
  <c r="E761" i="9" s="1"/>
  <c r="AG760" i="9"/>
  <c r="AF760" i="9"/>
  <c r="Z760" i="9"/>
  <c r="Y760" i="9"/>
  <c r="AD760" i="9" s="1"/>
  <c r="X760" i="9"/>
  <c r="W760" i="9"/>
  <c r="AC760" i="9" s="1"/>
  <c r="V760" i="9"/>
  <c r="U760" i="9"/>
  <c r="AB760" i="9" s="1"/>
  <c r="T760" i="9"/>
  <c r="S760" i="9"/>
  <c r="AA760" i="9" s="1"/>
  <c r="R760" i="9"/>
  <c r="P760" i="9"/>
  <c r="D760" i="9"/>
  <c r="E760" i="9" s="1"/>
  <c r="AG759" i="9"/>
  <c r="AF759" i="9"/>
  <c r="Z759" i="9"/>
  <c r="Y759" i="9"/>
  <c r="X759" i="9"/>
  <c r="W759" i="9"/>
  <c r="AC759" i="9" s="1"/>
  <c r="V759" i="9"/>
  <c r="U759" i="9"/>
  <c r="AB759" i="9" s="1"/>
  <c r="T759" i="9"/>
  <c r="S759" i="9"/>
  <c r="AA759" i="9" s="1"/>
  <c r="R759" i="9"/>
  <c r="P759" i="9"/>
  <c r="D759" i="9"/>
  <c r="E759" i="9" s="1"/>
  <c r="AG758" i="9"/>
  <c r="AF758" i="9"/>
  <c r="Z758" i="9"/>
  <c r="Y758" i="9"/>
  <c r="AD758" i="9" s="1"/>
  <c r="X758" i="9"/>
  <c r="W758" i="9"/>
  <c r="AC758" i="9" s="1"/>
  <c r="V758" i="9"/>
  <c r="U758" i="9"/>
  <c r="AB758" i="9" s="1"/>
  <c r="T758" i="9"/>
  <c r="S758" i="9"/>
  <c r="AA758" i="9" s="1"/>
  <c r="R758" i="9"/>
  <c r="P758" i="9"/>
  <c r="D758" i="9"/>
  <c r="E758" i="9" s="1"/>
  <c r="AG757" i="9"/>
  <c r="AF757" i="9"/>
  <c r="Z757" i="9"/>
  <c r="Y757" i="9"/>
  <c r="AD757" i="9" s="1"/>
  <c r="X757" i="9"/>
  <c r="W757" i="9"/>
  <c r="AC757" i="9" s="1"/>
  <c r="V757" i="9"/>
  <c r="U757" i="9"/>
  <c r="AB757" i="9" s="1"/>
  <c r="T757" i="9"/>
  <c r="S757" i="9"/>
  <c r="AA757" i="9" s="1"/>
  <c r="R757" i="9"/>
  <c r="P757" i="9"/>
  <c r="D757" i="9"/>
  <c r="E757" i="9" s="1"/>
  <c r="AG756" i="9"/>
  <c r="AF756" i="9"/>
  <c r="Z756" i="9"/>
  <c r="Y756" i="9"/>
  <c r="AD756" i="9" s="1"/>
  <c r="X756" i="9"/>
  <c r="W756" i="9"/>
  <c r="AC756" i="9" s="1"/>
  <c r="V756" i="9"/>
  <c r="U756" i="9"/>
  <c r="AB756" i="9" s="1"/>
  <c r="T756" i="9"/>
  <c r="S756" i="9"/>
  <c r="AA756" i="9" s="1"/>
  <c r="R756" i="9"/>
  <c r="P756" i="9"/>
  <c r="D756" i="9"/>
  <c r="E756" i="9" s="1"/>
  <c r="AG755" i="9"/>
  <c r="AF755" i="9"/>
  <c r="Z755" i="9"/>
  <c r="Y755" i="9"/>
  <c r="AD755" i="9" s="1"/>
  <c r="X755" i="9"/>
  <c r="W755" i="9"/>
  <c r="AC755" i="9" s="1"/>
  <c r="V755" i="9"/>
  <c r="U755" i="9"/>
  <c r="AB755" i="9" s="1"/>
  <c r="T755" i="9"/>
  <c r="S755" i="9"/>
  <c r="AA755" i="9" s="1"/>
  <c r="R755" i="9"/>
  <c r="P755" i="9"/>
  <c r="D755" i="9"/>
  <c r="E755" i="9" s="1"/>
  <c r="AG754" i="9"/>
  <c r="AF754" i="9"/>
  <c r="Z754" i="9"/>
  <c r="Y754" i="9"/>
  <c r="AD754" i="9" s="1"/>
  <c r="X754" i="9"/>
  <c r="W754" i="9"/>
  <c r="V754" i="9"/>
  <c r="U754" i="9"/>
  <c r="AB754" i="9" s="1"/>
  <c r="T754" i="9"/>
  <c r="S754" i="9"/>
  <c r="AA754" i="9" s="1"/>
  <c r="R754" i="9"/>
  <c r="P754" i="9"/>
  <c r="D754" i="9"/>
  <c r="E754" i="9" s="1"/>
  <c r="AG753" i="9"/>
  <c r="AF753" i="9"/>
  <c r="Z753" i="9"/>
  <c r="Y753" i="9"/>
  <c r="AD753" i="9" s="1"/>
  <c r="X753" i="9"/>
  <c r="W753" i="9"/>
  <c r="AC753" i="9" s="1"/>
  <c r="V753" i="9"/>
  <c r="U753" i="9"/>
  <c r="AB753" i="9" s="1"/>
  <c r="T753" i="9"/>
  <c r="S753" i="9"/>
  <c r="AA753" i="9" s="1"/>
  <c r="R753" i="9"/>
  <c r="P753" i="9"/>
  <c r="D753" i="9"/>
  <c r="E753" i="9" s="1"/>
  <c r="AG752" i="9"/>
  <c r="AF752" i="9"/>
  <c r="Z752" i="9"/>
  <c r="Y752" i="9"/>
  <c r="AD752" i="9" s="1"/>
  <c r="X752" i="9"/>
  <c r="W752" i="9"/>
  <c r="AC752" i="9" s="1"/>
  <c r="V752" i="9"/>
  <c r="U752" i="9"/>
  <c r="AB752" i="9" s="1"/>
  <c r="T752" i="9"/>
  <c r="S752" i="9"/>
  <c r="AA752" i="9" s="1"/>
  <c r="R752" i="9"/>
  <c r="P752" i="9"/>
  <c r="D752" i="9"/>
  <c r="E752" i="9" s="1"/>
  <c r="AG751" i="9"/>
  <c r="AF751" i="9"/>
  <c r="Z751" i="9"/>
  <c r="Y751" i="9"/>
  <c r="AD751" i="9" s="1"/>
  <c r="X751" i="9"/>
  <c r="W751" i="9"/>
  <c r="AC751" i="9" s="1"/>
  <c r="V751" i="9"/>
  <c r="U751" i="9"/>
  <c r="AB751" i="9" s="1"/>
  <c r="T751" i="9"/>
  <c r="S751" i="9"/>
  <c r="AA751" i="9" s="1"/>
  <c r="R751" i="9"/>
  <c r="P751" i="9"/>
  <c r="D751" i="9"/>
  <c r="E751" i="9" s="1"/>
  <c r="AG750" i="9"/>
  <c r="AF750" i="9"/>
  <c r="Z750" i="9"/>
  <c r="Y750" i="9"/>
  <c r="AD750" i="9" s="1"/>
  <c r="X750" i="9"/>
  <c r="W750" i="9"/>
  <c r="AC750" i="9" s="1"/>
  <c r="V750" i="9"/>
  <c r="U750" i="9"/>
  <c r="AB750" i="9" s="1"/>
  <c r="T750" i="9"/>
  <c r="S750" i="9"/>
  <c r="AA750" i="9" s="1"/>
  <c r="R750" i="9"/>
  <c r="P750" i="9"/>
  <c r="D750" i="9"/>
  <c r="E750" i="9" s="1"/>
  <c r="AG749" i="9"/>
  <c r="AF749" i="9"/>
  <c r="Z749" i="9"/>
  <c r="Y749" i="9"/>
  <c r="AD749" i="9" s="1"/>
  <c r="X749" i="9"/>
  <c r="W749" i="9"/>
  <c r="AC749" i="9" s="1"/>
  <c r="V749" i="9"/>
  <c r="U749" i="9"/>
  <c r="AB749" i="9" s="1"/>
  <c r="T749" i="9"/>
  <c r="S749" i="9"/>
  <c r="AA749" i="9" s="1"/>
  <c r="R749" i="9"/>
  <c r="P749" i="9"/>
  <c r="D749" i="9"/>
  <c r="E749" i="9" s="1"/>
  <c r="AG748" i="9"/>
  <c r="AF748" i="9"/>
  <c r="Z748" i="9"/>
  <c r="Y748" i="9"/>
  <c r="AD748" i="9" s="1"/>
  <c r="X748" i="9"/>
  <c r="W748" i="9"/>
  <c r="AC748" i="9" s="1"/>
  <c r="V748" i="9"/>
  <c r="U748" i="9"/>
  <c r="AB748" i="9" s="1"/>
  <c r="T748" i="9"/>
  <c r="S748" i="9"/>
  <c r="AA748" i="9" s="1"/>
  <c r="R748" i="9"/>
  <c r="P748" i="9"/>
  <c r="D748" i="9"/>
  <c r="E748" i="9" s="1"/>
  <c r="AG747" i="9"/>
  <c r="AF747" i="9"/>
  <c r="Z747" i="9"/>
  <c r="Y747" i="9"/>
  <c r="AD747" i="9" s="1"/>
  <c r="X747" i="9"/>
  <c r="W747" i="9"/>
  <c r="AC747" i="9" s="1"/>
  <c r="V747" i="9"/>
  <c r="U747" i="9"/>
  <c r="AB747" i="9" s="1"/>
  <c r="T747" i="9"/>
  <c r="S747" i="9"/>
  <c r="AA747" i="9" s="1"/>
  <c r="R747" i="9"/>
  <c r="P747" i="9"/>
  <c r="D747" i="9"/>
  <c r="E747" i="9" s="1"/>
  <c r="AG746" i="9"/>
  <c r="AF746" i="9"/>
  <c r="Z746" i="9"/>
  <c r="Y746" i="9"/>
  <c r="AD746" i="9" s="1"/>
  <c r="X746" i="9"/>
  <c r="W746" i="9"/>
  <c r="AC746" i="9" s="1"/>
  <c r="V746" i="9"/>
  <c r="U746" i="9"/>
  <c r="AB746" i="9" s="1"/>
  <c r="T746" i="9"/>
  <c r="S746" i="9"/>
  <c r="AA746" i="9" s="1"/>
  <c r="R746" i="9"/>
  <c r="P746" i="9"/>
  <c r="D746" i="9"/>
  <c r="E746" i="9" s="1"/>
  <c r="AG745" i="9"/>
  <c r="AF745" i="9"/>
  <c r="Z745" i="9"/>
  <c r="Y745" i="9"/>
  <c r="AD745" i="9" s="1"/>
  <c r="X745" i="9"/>
  <c r="W745" i="9"/>
  <c r="AC745" i="9" s="1"/>
  <c r="V745" i="9"/>
  <c r="U745" i="9"/>
  <c r="AB745" i="9" s="1"/>
  <c r="T745" i="9"/>
  <c r="S745" i="9"/>
  <c r="AA745" i="9" s="1"/>
  <c r="R745" i="9"/>
  <c r="P745" i="9"/>
  <c r="D745" i="9"/>
  <c r="E745" i="9" s="1"/>
  <c r="AG744" i="9"/>
  <c r="AF744" i="9"/>
  <c r="Z744" i="9"/>
  <c r="Y744" i="9"/>
  <c r="AD744" i="9" s="1"/>
  <c r="X744" i="9"/>
  <c r="W744" i="9"/>
  <c r="AC744" i="9" s="1"/>
  <c r="V744" i="9"/>
  <c r="U744" i="9"/>
  <c r="AB744" i="9" s="1"/>
  <c r="T744" i="9"/>
  <c r="S744" i="9"/>
  <c r="AA744" i="9" s="1"/>
  <c r="R744" i="9"/>
  <c r="P744" i="9"/>
  <c r="D744" i="9"/>
  <c r="E744" i="9" s="1"/>
  <c r="AG743" i="9"/>
  <c r="AF743" i="9"/>
  <c r="Z743" i="9"/>
  <c r="Y743" i="9"/>
  <c r="AD743" i="9" s="1"/>
  <c r="X743" i="9"/>
  <c r="W743" i="9"/>
  <c r="AC743" i="9" s="1"/>
  <c r="V743" i="9"/>
  <c r="U743" i="9"/>
  <c r="AB743" i="9" s="1"/>
  <c r="T743" i="9"/>
  <c r="S743" i="9"/>
  <c r="AA743" i="9" s="1"/>
  <c r="R743" i="9"/>
  <c r="P743" i="9"/>
  <c r="D743" i="9"/>
  <c r="E743" i="9" s="1"/>
  <c r="AG742" i="9"/>
  <c r="AF742" i="9"/>
  <c r="Z742" i="9"/>
  <c r="Y742" i="9"/>
  <c r="X742" i="9"/>
  <c r="W742" i="9"/>
  <c r="AC742" i="9" s="1"/>
  <c r="V742" i="9"/>
  <c r="U742" i="9"/>
  <c r="AB742" i="9" s="1"/>
  <c r="T742" i="9"/>
  <c r="S742" i="9"/>
  <c r="AA742" i="9" s="1"/>
  <c r="R742" i="9"/>
  <c r="P742" i="9"/>
  <c r="D742" i="9"/>
  <c r="E742" i="9" s="1"/>
  <c r="AG741" i="9"/>
  <c r="AF741" i="9"/>
  <c r="Z741" i="9"/>
  <c r="Y741" i="9"/>
  <c r="AD741" i="9" s="1"/>
  <c r="X741" i="9"/>
  <c r="W741" i="9"/>
  <c r="AC741" i="9" s="1"/>
  <c r="V741" i="9"/>
  <c r="U741" i="9"/>
  <c r="AB741" i="9" s="1"/>
  <c r="T741" i="9"/>
  <c r="S741" i="9"/>
  <c r="AA741" i="9" s="1"/>
  <c r="R741" i="9"/>
  <c r="P741" i="9"/>
  <c r="D741" i="9"/>
  <c r="E741" i="9" s="1"/>
  <c r="AG740" i="9"/>
  <c r="AF740" i="9"/>
  <c r="Z740" i="9"/>
  <c r="Y740" i="9"/>
  <c r="AD740" i="9" s="1"/>
  <c r="X740" i="9"/>
  <c r="W740" i="9"/>
  <c r="V740" i="9"/>
  <c r="U740" i="9"/>
  <c r="AB740" i="9" s="1"/>
  <c r="T740" i="9"/>
  <c r="S740" i="9"/>
  <c r="AA740" i="9" s="1"/>
  <c r="R740" i="9"/>
  <c r="P740" i="9"/>
  <c r="D740" i="9"/>
  <c r="E740" i="9" s="1"/>
  <c r="AG739" i="9"/>
  <c r="AF739" i="9"/>
  <c r="Z739" i="9"/>
  <c r="Y739" i="9"/>
  <c r="AD739" i="9" s="1"/>
  <c r="X739" i="9"/>
  <c r="W739" i="9"/>
  <c r="AC739" i="9" s="1"/>
  <c r="V739" i="9"/>
  <c r="U739" i="9"/>
  <c r="AB739" i="9" s="1"/>
  <c r="T739" i="9"/>
  <c r="S739" i="9"/>
  <c r="AA739" i="9" s="1"/>
  <c r="R739" i="9"/>
  <c r="P739" i="9"/>
  <c r="D739" i="9"/>
  <c r="E739" i="9" s="1"/>
  <c r="AG738" i="9"/>
  <c r="AF738" i="9"/>
  <c r="Z738" i="9"/>
  <c r="Y738" i="9"/>
  <c r="AD738" i="9" s="1"/>
  <c r="X738" i="9"/>
  <c r="W738" i="9"/>
  <c r="AC738" i="9" s="1"/>
  <c r="V738" i="9"/>
  <c r="U738" i="9"/>
  <c r="AB738" i="9" s="1"/>
  <c r="T738" i="9"/>
  <c r="S738" i="9"/>
  <c r="AA738" i="9" s="1"/>
  <c r="R738" i="9"/>
  <c r="P738" i="9"/>
  <c r="D738" i="9"/>
  <c r="E738" i="9" s="1"/>
  <c r="AG737" i="9"/>
  <c r="AF737" i="9"/>
  <c r="Z737" i="9"/>
  <c r="Y737" i="9"/>
  <c r="AD737" i="9" s="1"/>
  <c r="X737" i="9"/>
  <c r="W737" i="9"/>
  <c r="AC737" i="9" s="1"/>
  <c r="V737" i="9"/>
  <c r="U737" i="9"/>
  <c r="AB737" i="9" s="1"/>
  <c r="T737" i="9"/>
  <c r="S737" i="9"/>
  <c r="AA737" i="9" s="1"/>
  <c r="R737" i="9"/>
  <c r="P737" i="9"/>
  <c r="D737" i="9"/>
  <c r="E737" i="9" s="1"/>
  <c r="AG736" i="9"/>
  <c r="AF736" i="9"/>
  <c r="Z736" i="9"/>
  <c r="Y736" i="9"/>
  <c r="AD736" i="9" s="1"/>
  <c r="X736" i="9"/>
  <c r="W736" i="9"/>
  <c r="AC736" i="9" s="1"/>
  <c r="V736" i="9"/>
  <c r="U736" i="9"/>
  <c r="AB736" i="9" s="1"/>
  <c r="T736" i="9"/>
  <c r="S736" i="9"/>
  <c r="AA736" i="9" s="1"/>
  <c r="R736" i="9"/>
  <c r="P736" i="9"/>
  <c r="D736" i="9"/>
  <c r="E736" i="9" s="1"/>
  <c r="AG735" i="9"/>
  <c r="AF735" i="9"/>
  <c r="Z735" i="9"/>
  <c r="Y735" i="9"/>
  <c r="AD735" i="9" s="1"/>
  <c r="X735" i="9"/>
  <c r="W735" i="9"/>
  <c r="AC735" i="9" s="1"/>
  <c r="V735" i="9"/>
  <c r="U735" i="9"/>
  <c r="AB735" i="9" s="1"/>
  <c r="T735" i="9"/>
  <c r="S735" i="9"/>
  <c r="AA735" i="9" s="1"/>
  <c r="R735" i="9"/>
  <c r="P735" i="9"/>
  <c r="D735" i="9"/>
  <c r="E735" i="9" s="1"/>
  <c r="AG734" i="9"/>
  <c r="AF734" i="9"/>
  <c r="Z734" i="9"/>
  <c r="Y734" i="9"/>
  <c r="AD734" i="9" s="1"/>
  <c r="X734" i="9"/>
  <c r="W734" i="9"/>
  <c r="AC734" i="9" s="1"/>
  <c r="V734" i="9"/>
  <c r="U734" i="9"/>
  <c r="AB734" i="9" s="1"/>
  <c r="T734" i="9"/>
  <c r="S734" i="9"/>
  <c r="AA734" i="9" s="1"/>
  <c r="R734" i="9"/>
  <c r="P734" i="9"/>
  <c r="D734" i="9"/>
  <c r="E734" i="9" s="1"/>
  <c r="AG733" i="9"/>
  <c r="AF733" i="9"/>
  <c r="Z733" i="9"/>
  <c r="Y733" i="9"/>
  <c r="AD733" i="9" s="1"/>
  <c r="X733" i="9"/>
  <c r="W733" i="9"/>
  <c r="AC733" i="9" s="1"/>
  <c r="V733" i="9"/>
  <c r="U733" i="9"/>
  <c r="AB733" i="9" s="1"/>
  <c r="T733" i="9"/>
  <c r="S733" i="9"/>
  <c r="AA733" i="9" s="1"/>
  <c r="R733" i="9"/>
  <c r="P733" i="9"/>
  <c r="D733" i="9"/>
  <c r="E733" i="9" s="1"/>
  <c r="AG732" i="9"/>
  <c r="AF732" i="9"/>
  <c r="Z732" i="9"/>
  <c r="Y732" i="9"/>
  <c r="AD732" i="9" s="1"/>
  <c r="X732" i="9"/>
  <c r="W732" i="9"/>
  <c r="AC732" i="9" s="1"/>
  <c r="V732" i="9"/>
  <c r="U732" i="9"/>
  <c r="AB732" i="9" s="1"/>
  <c r="T732" i="9"/>
  <c r="S732" i="9"/>
  <c r="AA732" i="9" s="1"/>
  <c r="R732" i="9"/>
  <c r="P732" i="9"/>
  <c r="D732" i="9"/>
  <c r="E732" i="9" s="1"/>
  <c r="AG731" i="9"/>
  <c r="AF731" i="9"/>
  <c r="Z731" i="9"/>
  <c r="Y731" i="9"/>
  <c r="X731" i="9"/>
  <c r="W731" i="9"/>
  <c r="AC731" i="9" s="1"/>
  <c r="V731" i="9"/>
  <c r="U731" i="9"/>
  <c r="AB731" i="9" s="1"/>
  <c r="T731" i="9"/>
  <c r="S731" i="9"/>
  <c r="AA731" i="9" s="1"/>
  <c r="R731" i="9"/>
  <c r="P731" i="9"/>
  <c r="D731" i="9"/>
  <c r="E731" i="9" s="1"/>
  <c r="AG730" i="9"/>
  <c r="AF730" i="9"/>
  <c r="Z730" i="9"/>
  <c r="Y730" i="9"/>
  <c r="AD730" i="9" s="1"/>
  <c r="X730" i="9"/>
  <c r="W730" i="9"/>
  <c r="AC730" i="9" s="1"/>
  <c r="V730" i="9"/>
  <c r="U730" i="9"/>
  <c r="AB730" i="9" s="1"/>
  <c r="T730" i="9"/>
  <c r="S730" i="9"/>
  <c r="AA730" i="9" s="1"/>
  <c r="R730" i="9"/>
  <c r="P730" i="9"/>
  <c r="D730" i="9"/>
  <c r="E730" i="9" s="1"/>
  <c r="AG729" i="9"/>
  <c r="AF729" i="9"/>
  <c r="Z729" i="9"/>
  <c r="Y729" i="9"/>
  <c r="AD729" i="9" s="1"/>
  <c r="X729" i="9"/>
  <c r="W729" i="9"/>
  <c r="AC729" i="9" s="1"/>
  <c r="V729" i="9"/>
  <c r="U729" i="9"/>
  <c r="AB729" i="9" s="1"/>
  <c r="T729" i="9"/>
  <c r="S729" i="9"/>
  <c r="AA729" i="9" s="1"/>
  <c r="R729" i="9"/>
  <c r="P729" i="9"/>
  <c r="D729" i="9"/>
  <c r="E729" i="9" s="1"/>
  <c r="AG728" i="9"/>
  <c r="AF728" i="9"/>
  <c r="Z728" i="9"/>
  <c r="Y728" i="9"/>
  <c r="AD728" i="9" s="1"/>
  <c r="X728" i="9"/>
  <c r="W728" i="9"/>
  <c r="V728" i="9"/>
  <c r="U728" i="9"/>
  <c r="AB728" i="9" s="1"/>
  <c r="T728" i="9"/>
  <c r="S728" i="9"/>
  <c r="AA728" i="9" s="1"/>
  <c r="R728" i="9"/>
  <c r="P728" i="9"/>
  <c r="D728" i="9"/>
  <c r="E728" i="9" s="1"/>
  <c r="AG727" i="9"/>
  <c r="AF727" i="9"/>
  <c r="Z727" i="9"/>
  <c r="Y727" i="9"/>
  <c r="AD727" i="9" s="1"/>
  <c r="X727" i="9"/>
  <c r="W727" i="9"/>
  <c r="AC727" i="9" s="1"/>
  <c r="V727" i="9"/>
  <c r="U727" i="9"/>
  <c r="AB727" i="9" s="1"/>
  <c r="T727" i="9"/>
  <c r="S727" i="9"/>
  <c r="AA727" i="9" s="1"/>
  <c r="R727" i="9"/>
  <c r="P727" i="9"/>
  <c r="D727" i="9"/>
  <c r="E727" i="9" s="1"/>
  <c r="AG726" i="9"/>
  <c r="AF726" i="9"/>
  <c r="Z726" i="9"/>
  <c r="Y726" i="9"/>
  <c r="AD726" i="9" s="1"/>
  <c r="X726" i="9"/>
  <c r="W726" i="9"/>
  <c r="AC726" i="9" s="1"/>
  <c r="V726" i="9"/>
  <c r="U726" i="9"/>
  <c r="AB726" i="9" s="1"/>
  <c r="T726" i="9"/>
  <c r="S726" i="9"/>
  <c r="AA726" i="9" s="1"/>
  <c r="R726" i="9"/>
  <c r="P726" i="9"/>
  <c r="D726" i="9"/>
  <c r="E726" i="9" s="1"/>
  <c r="AG725" i="9"/>
  <c r="AF725" i="9"/>
  <c r="Z725" i="9"/>
  <c r="Y725" i="9"/>
  <c r="AD725" i="9" s="1"/>
  <c r="X725" i="9"/>
  <c r="W725" i="9"/>
  <c r="AC725" i="9" s="1"/>
  <c r="V725" i="9"/>
  <c r="U725" i="9"/>
  <c r="AB725" i="9" s="1"/>
  <c r="T725" i="9"/>
  <c r="S725" i="9"/>
  <c r="AA725" i="9" s="1"/>
  <c r="R725" i="9"/>
  <c r="P725" i="9"/>
  <c r="D725" i="9"/>
  <c r="E725" i="9" s="1"/>
  <c r="AG724" i="9"/>
  <c r="AF724" i="9"/>
  <c r="Z724" i="9"/>
  <c r="Y724" i="9"/>
  <c r="AD724" i="9" s="1"/>
  <c r="X724" i="9"/>
  <c r="W724" i="9"/>
  <c r="AC724" i="9" s="1"/>
  <c r="V724" i="9"/>
  <c r="U724" i="9"/>
  <c r="AB724" i="9" s="1"/>
  <c r="T724" i="9"/>
  <c r="S724" i="9"/>
  <c r="AA724" i="9" s="1"/>
  <c r="R724" i="9"/>
  <c r="P724" i="9"/>
  <c r="D724" i="9"/>
  <c r="E724" i="9" s="1"/>
  <c r="AG723" i="9"/>
  <c r="AF723" i="9"/>
  <c r="Z723" i="9"/>
  <c r="Y723" i="9"/>
  <c r="AD723" i="9" s="1"/>
  <c r="X723" i="9"/>
  <c r="W723" i="9"/>
  <c r="AC723" i="9" s="1"/>
  <c r="V723" i="9"/>
  <c r="U723" i="9"/>
  <c r="AB723" i="9" s="1"/>
  <c r="T723" i="9"/>
  <c r="S723" i="9"/>
  <c r="AA723" i="9" s="1"/>
  <c r="R723" i="9"/>
  <c r="P723" i="9"/>
  <c r="D723" i="9"/>
  <c r="E723" i="9" s="1"/>
  <c r="AG722" i="9"/>
  <c r="AF722" i="9"/>
  <c r="Z722" i="9"/>
  <c r="Y722" i="9"/>
  <c r="AD722" i="9" s="1"/>
  <c r="X722" i="9"/>
  <c r="W722" i="9"/>
  <c r="AC722" i="9" s="1"/>
  <c r="V722" i="9"/>
  <c r="U722" i="9"/>
  <c r="AB722" i="9" s="1"/>
  <c r="T722" i="9"/>
  <c r="S722" i="9"/>
  <c r="AA722" i="9" s="1"/>
  <c r="R722" i="9"/>
  <c r="P722" i="9"/>
  <c r="D722" i="9"/>
  <c r="E722" i="9" s="1"/>
  <c r="AG721" i="9"/>
  <c r="AF721" i="9"/>
  <c r="Z721" i="9"/>
  <c r="Y721" i="9"/>
  <c r="AD721" i="9" s="1"/>
  <c r="X721" i="9"/>
  <c r="W721" i="9"/>
  <c r="AC721" i="9" s="1"/>
  <c r="V721" i="9"/>
  <c r="U721" i="9"/>
  <c r="AB721" i="9" s="1"/>
  <c r="T721" i="9"/>
  <c r="S721" i="9"/>
  <c r="AA721" i="9" s="1"/>
  <c r="R721" i="9"/>
  <c r="P721" i="9"/>
  <c r="D721" i="9"/>
  <c r="E721" i="9" s="1"/>
  <c r="AG720" i="9"/>
  <c r="AF720" i="9"/>
  <c r="Z720" i="9"/>
  <c r="Y720" i="9"/>
  <c r="AD720" i="9" s="1"/>
  <c r="X720" i="9"/>
  <c r="W720" i="9"/>
  <c r="V720" i="9"/>
  <c r="U720" i="9"/>
  <c r="AB720" i="9" s="1"/>
  <c r="T720" i="9"/>
  <c r="S720" i="9"/>
  <c r="AA720" i="9" s="1"/>
  <c r="R720" i="9"/>
  <c r="P720" i="9"/>
  <c r="D720" i="9"/>
  <c r="E720" i="9" s="1"/>
  <c r="AG719" i="9"/>
  <c r="AF719" i="9"/>
  <c r="Z719" i="9"/>
  <c r="Y719" i="9"/>
  <c r="AD719" i="9" s="1"/>
  <c r="X719" i="9"/>
  <c r="W719" i="9"/>
  <c r="AC719" i="9" s="1"/>
  <c r="V719" i="9"/>
  <c r="U719" i="9"/>
  <c r="AB719" i="9" s="1"/>
  <c r="T719" i="9"/>
  <c r="S719" i="9"/>
  <c r="AA719" i="9" s="1"/>
  <c r="R719" i="9"/>
  <c r="P719" i="9"/>
  <c r="D719" i="9"/>
  <c r="E719" i="9" s="1"/>
  <c r="AG718" i="9"/>
  <c r="AF718" i="9"/>
  <c r="Z718" i="9"/>
  <c r="Y718" i="9"/>
  <c r="AD718" i="9" s="1"/>
  <c r="X718" i="9"/>
  <c r="W718" i="9"/>
  <c r="AC718" i="9" s="1"/>
  <c r="V718" i="9"/>
  <c r="U718" i="9"/>
  <c r="AB718" i="9" s="1"/>
  <c r="T718" i="9"/>
  <c r="S718" i="9"/>
  <c r="AA718" i="9" s="1"/>
  <c r="R718" i="9"/>
  <c r="P718" i="9"/>
  <c r="D718" i="9"/>
  <c r="E718" i="9" s="1"/>
  <c r="AG717" i="9"/>
  <c r="AF717" i="9"/>
  <c r="Z717" i="9"/>
  <c r="Y717" i="9"/>
  <c r="AD717" i="9" s="1"/>
  <c r="X717" i="9"/>
  <c r="W717" i="9"/>
  <c r="AC717" i="9" s="1"/>
  <c r="V717" i="9"/>
  <c r="U717" i="9"/>
  <c r="T717" i="9"/>
  <c r="S717" i="9"/>
  <c r="AA717" i="9" s="1"/>
  <c r="R717" i="9"/>
  <c r="P717" i="9"/>
  <c r="D717" i="9"/>
  <c r="E717" i="9" s="1"/>
  <c r="AG716" i="9"/>
  <c r="AF716" i="9"/>
  <c r="Z716" i="9"/>
  <c r="Y716" i="9"/>
  <c r="X716" i="9"/>
  <c r="W716" i="9"/>
  <c r="AC716" i="9" s="1"/>
  <c r="V716" i="9"/>
  <c r="U716" i="9"/>
  <c r="AB716" i="9" s="1"/>
  <c r="T716" i="9"/>
  <c r="S716" i="9"/>
  <c r="AA716" i="9" s="1"/>
  <c r="R716" i="9"/>
  <c r="P716" i="9"/>
  <c r="D716" i="9"/>
  <c r="E716" i="9" s="1"/>
  <c r="AG715" i="9"/>
  <c r="AF715" i="9"/>
  <c r="Z715" i="9"/>
  <c r="Y715" i="9"/>
  <c r="AD715" i="9" s="1"/>
  <c r="X715" i="9"/>
  <c r="W715" i="9"/>
  <c r="AC715" i="9" s="1"/>
  <c r="V715" i="9"/>
  <c r="U715" i="9"/>
  <c r="AB715" i="9" s="1"/>
  <c r="T715" i="9"/>
  <c r="S715" i="9"/>
  <c r="AA715" i="9" s="1"/>
  <c r="R715" i="9"/>
  <c r="P715" i="9"/>
  <c r="D715" i="9"/>
  <c r="E715" i="9" s="1"/>
  <c r="AG714" i="9"/>
  <c r="AF714" i="9"/>
  <c r="Z714" i="9"/>
  <c r="Y714" i="9"/>
  <c r="X714" i="9"/>
  <c r="W714" i="9"/>
  <c r="AC714" i="9" s="1"/>
  <c r="V714" i="9"/>
  <c r="U714" i="9"/>
  <c r="AB714" i="9" s="1"/>
  <c r="T714" i="9"/>
  <c r="S714" i="9"/>
  <c r="AA714" i="9" s="1"/>
  <c r="R714" i="9"/>
  <c r="P714" i="9"/>
  <c r="D714" i="9"/>
  <c r="E714" i="9" s="1"/>
  <c r="AG713" i="9"/>
  <c r="AF713" i="9"/>
  <c r="Z713" i="9"/>
  <c r="Y713" i="9"/>
  <c r="AD713" i="9" s="1"/>
  <c r="X713" i="9"/>
  <c r="W713" i="9"/>
  <c r="AC713" i="9" s="1"/>
  <c r="V713" i="9"/>
  <c r="U713" i="9"/>
  <c r="AB713" i="9" s="1"/>
  <c r="T713" i="9"/>
  <c r="S713" i="9"/>
  <c r="R713" i="9"/>
  <c r="P713" i="9"/>
  <c r="D713" i="9"/>
  <c r="E713" i="9" s="1"/>
  <c r="AG712" i="9"/>
  <c r="AF712" i="9"/>
  <c r="Z712" i="9"/>
  <c r="Y712" i="9"/>
  <c r="AD712" i="9" s="1"/>
  <c r="X712" i="9"/>
  <c r="W712" i="9"/>
  <c r="AC712" i="9" s="1"/>
  <c r="V712" i="9"/>
  <c r="U712" i="9"/>
  <c r="T712" i="9"/>
  <c r="S712" i="9"/>
  <c r="AA712" i="9" s="1"/>
  <c r="R712" i="9"/>
  <c r="P712" i="9"/>
  <c r="D712" i="9"/>
  <c r="E712" i="9" s="1"/>
  <c r="AG711" i="9"/>
  <c r="AF711" i="9"/>
  <c r="Z711" i="9"/>
  <c r="Y711" i="9"/>
  <c r="AD711" i="9" s="1"/>
  <c r="X711" i="9"/>
  <c r="W711" i="9"/>
  <c r="V711" i="9"/>
  <c r="U711" i="9"/>
  <c r="AB711" i="9" s="1"/>
  <c r="T711" i="9"/>
  <c r="S711" i="9"/>
  <c r="AA711" i="9" s="1"/>
  <c r="R711" i="9"/>
  <c r="P711" i="9"/>
  <c r="D711" i="9"/>
  <c r="E711" i="9" s="1"/>
  <c r="AG710" i="9"/>
  <c r="AF710" i="9"/>
  <c r="Z710" i="9"/>
  <c r="Y710" i="9"/>
  <c r="AD710" i="9" s="1"/>
  <c r="X710" i="9"/>
  <c r="W710" i="9"/>
  <c r="AC710" i="9" s="1"/>
  <c r="V710" i="9"/>
  <c r="U710" i="9"/>
  <c r="AB710" i="9" s="1"/>
  <c r="T710" i="9"/>
  <c r="S710" i="9"/>
  <c r="AA710" i="9" s="1"/>
  <c r="R710" i="9"/>
  <c r="P710" i="9"/>
  <c r="D710" i="9"/>
  <c r="E710" i="9" s="1"/>
  <c r="AG709" i="9"/>
  <c r="AF709" i="9"/>
  <c r="Z709" i="9"/>
  <c r="Y709" i="9"/>
  <c r="AD709" i="9" s="1"/>
  <c r="X709" i="9"/>
  <c r="W709" i="9"/>
  <c r="AC709" i="9" s="1"/>
  <c r="V709" i="9"/>
  <c r="U709" i="9"/>
  <c r="AB709" i="9" s="1"/>
  <c r="T709" i="9"/>
  <c r="S709" i="9"/>
  <c r="AA709" i="9" s="1"/>
  <c r="R709" i="9"/>
  <c r="P709" i="9"/>
  <c r="D709" i="9"/>
  <c r="E709" i="9" s="1"/>
  <c r="AG708" i="9"/>
  <c r="AF708" i="9"/>
  <c r="Z708" i="9"/>
  <c r="Y708" i="9"/>
  <c r="AD708" i="9" s="1"/>
  <c r="X708" i="9"/>
  <c r="W708" i="9"/>
  <c r="AC708" i="9" s="1"/>
  <c r="V708" i="9"/>
  <c r="U708" i="9"/>
  <c r="AB708" i="9" s="1"/>
  <c r="T708" i="9"/>
  <c r="S708" i="9"/>
  <c r="AA708" i="9" s="1"/>
  <c r="R708" i="9"/>
  <c r="P708" i="9"/>
  <c r="D708" i="9"/>
  <c r="E708" i="9" s="1"/>
  <c r="AG707" i="9"/>
  <c r="AF707" i="9"/>
  <c r="Z707" i="9"/>
  <c r="Y707" i="9"/>
  <c r="AD707" i="9" s="1"/>
  <c r="X707" i="9"/>
  <c r="W707" i="9"/>
  <c r="AC707" i="9" s="1"/>
  <c r="V707" i="9"/>
  <c r="U707" i="9"/>
  <c r="AB707" i="9" s="1"/>
  <c r="T707" i="9"/>
  <c r="S707" i="9"/>
  <c r="AA707" i="9" s="1"/>
  <c r="R707" i="9"/>
  <c r="P707" i="9"/>
  <c r="D707" i="9"/>
  <c r="E707" i="9" s="1"/>
  <c r="AG706" i="9"/>
  <c r="AF706" i="9"/>
  <c r="Z706" i="9"/>
  <c r="Y706" i="9"/>
  <c r="AD706" i="9" s="1"/>
  <c r="X706" i="9"/>
  <c r="W706" i="9"/>
  <c r="AC706" i="9" s="1"/>
  <c r="V706" i="9"/>
  <c r="U706" i="9"/>
  <c r="AB706" i="9" s="1"/>
  <c r="T706" i="9"/>
  <c r="S706" i="9"/>
  <c r="AA706" i="9" s="1"/>
  <c r="R706" i="9"/>
  <c r="P706" i="9"/>
  <c r="D706" i="9"/>
  <c r="E706" i="9" s="1"/>
  <c r="AG705" i="9"/>
  <c r="AF705" i="9"/>
  <c r="Z705" i="9"/>
  <c r="Y705" i="9"/>
  <c r="AD705" i="9" s="1"/>
  <c r="X705" i="9"/>
  <c r="W705" i="9"/>
  <c r="AC705" i="9" s="1"/>
  <c r="V705" i="9"/>
  <c r="U705" i="9"/>
  <c r="AB705" i="9" s="1"/>
  <c r="T705" i="9"/>
  <c r="S705" i="9"/>
  <c r="AA705" i="9" s="1"/>
  <c r="R705" i="9"/>
  <c r="P705" i="9"/>
  <c r="D705" i="9"/>
  <c r="E705" i="9" s="1"/>
  <c r="AG704" i="9"/>
  <c r="AF704" i="9"/>
  <c r="Z704" i="9"/>
  <c r="Y704" i="9"/>
  <c r="AD704" i="9" s="1"/>
  <c r="X704" i="9"/>
  <c r="W704" i="9"/>
  <c r="AC704" i="9" s="1"/>
  <c r="V704" i="9"/>
  <c r="U704" i="9"/>
  <c r="AB704" i="9" s="1"/>
  <c r="T704" i="9"/>
  <c r="S704" i="9"/>
  <c r="AA704" i="9" s="1"/>
  <c r="R704" i="9"/>
  <c r="P704" i="9"/>
  <c r="D704" i="9"/>
  <c r="E704" i="9" s="1"/>
  <c r="AG703" i="9"/>
  <c r="AF703" i="9"/>
  <c r="Z703" i="9"/>
  <c r="Y703" i="9"/>
  <c r="AD703" i="9" s="1"/>
  <c r="X703" i="9"/>
  <c r="W703" i="9"/>
  <c r="AC703" i="9" s="1"/>
  <c r="V703" i="9"/>
  <c r="U703" i="9"/>
  <c r="AB703" i="9" s="1"/>
  <c r="T703" i="9"/>
  <c r="S703" i="9"/>
  <c r="AA703" i="9" s="1"/>
  <c r="R703" i="9"/>
  <c r="P703" i="9"/>
  <c r="D703" i="9"/>
  <c r="E703" i="9" s="1"/>
  <c r="AG702" i="9"/>
  <c r="AF702" i="9"/>
  <c r="Z702" i="9"/>
  <c r="Y702" i="9"/>
  <c r="AD702" i="9" s="1"/>
  <c r="X702" i="9"/>
  <c r="W702" i="9"/>
  <c r="AC702" i="9" s="1"/>
  <c r="V702" i="9"/>
  <c r="U702" i="9"/>
  <c r="AB702" i="9" s="1"/>
  <c r="T702" i="9"/>
  <c r="S702" i="9"/>
  <c r="AA702" i="9" s="1"/>
  <c r="R702" i="9"/>
  <c r="P702" i="9"/>
  <c r="D702" i="9"/>
  <c r="E702" i="9" s="1"/>
  <c r="AG701" i="9"/>
  <c r="AF701" i="9"/>
  <c r="Z701" i="9"/>
  <c r="Y701" i="9"/>
  <c r="AD701" i="9" s="1"/>
  <c r="X701" i="9"/>
  <c r="W701" i="9"/>
  <c r="AC701" i="9" s="1"/>
  <c r="V701" i="9"/>
  <c r="U701" i="9"/>
  <c r="AB701" i="9" s="1"/>
  <c r="T701" i="9"/>
  <c r="S701" i="9"/>
  <c r="AA701" i="9" s="1"/>
  <c r="R701" i="9"/>
  <c r="P701" i="9"/>
  <c r="D701" i="9"/>
  <c r="E701" i="9" s="1"/>
  <c r="AG700" i="9"/>
  <c r="AF700" i="9"/>
  <c r="Z700" i="9"/>
  <c r="Y700" i="9"/>
  <c r="AD700" i="9" s="1"/>
  <c r="X700" i="9"/>
  <c r="W700" i="9"/>
  <c r="AC700" i="9" s="1"/>
  <c r="V700" i="9"/>
  <c r="U700" i="9"/>
  <c r="AB700" i="9" s="1"/>
  <c r="T700" i="9"/>
  <c r="S700" i="9"/>
  <c r="AA700" i="9" s="1"/>
  <c r="R700" i="9"/>
  <c r="P700" i="9"/>
  <c r="D700" i="9"/>
  <c r="E700" i="9" s="1"/>
  <c r="AG699" i="9"/>
  <c r="AF699" i="9"/>
  <c r="Z699" i="9"/>
  <c r="Y699" i="9"/>
  <c r="AD699" i="9" s="1"/>
  <c r="X699" i="9"/>
  <c r="W699" i="9"/>
  <c r="AC699" i="9" s="1"/>
  <c r="V699" i="9"/>
  <c r="U699" i="9"/>
  <c r="AB699" i="9" s="1"/>
  <c r="T699" i="9"/>
  <c r="S699" i="9"/>
  <c r="AA699" i="9" s="1"/>
  <c r="R699" i="9"/>
  <c r="P699" i="9"/>
  <c r="D699" i="9"/>
  <c r="E699" i="9" s="1"/>
  <c r="AG698" i="9"/>
  <c r="AF698" i="9"/>
  <c r="Z698" i="9"/>
  <c r="Y698" i="9"/>
  <c r="AD698" i="9" s="1"/>
  <c r="X698" i="9"/>
  <c r="W698" i="9"/>
  <c r="AC698" i="9" s="1"/>
  <c r="V698" i="9"/>
  <c r="U698" i="9"/>
  <c r="AB698" i="9" s="1"/>
  <c r="T698" i="9"/>
  <c r="S698" i="9"/>
  <c r="AA698" i="9" s="1"/>
  <c r="R698" i="9"/>
  <c r="P698" i="9"/>
  <c r="D698" i="9"/>
  <c r="E698" i="9" s="1"/>
  <c r="AG697" i="9"/>
  <c r="AF697" i="9"/>
  <c r="Z697" i="9"/>
  <c r="Y697" i="9"/>
  <c r="AD697" i="9" s="1"/>
  <c r="X697" i="9"/>
  <c r="W697" i="9"/>
  <c r="AC697" i="9" s="1"/>
  <c r="V697" i="9"/>
  <c r="U697" i="9"/>
  <c r="AB697" i="9" s="1"/>
  <c r="T697" i="9"/>
  <c r="S697" i="9"/>
  <c r="AA697" i="9" s="1"/>
  <c r="R697" i="9"/>
  <c r="P697" i="9"/>
  <c r="D697" i="9"/>
  <c r="E697" i="9" s="1"/>
  <c r="AG696" i="9"/>
  <c r="AF696" i="9"/>
  <c r="Z696" i="9"/>
  <c r="Y696" i="9"/>
  <c r="AD696" i="9" s="1"/>
  <c r="X696" i="9"/>
  <c r="W696" i="9"/>
  <c r="AC696" i="9" s="1"/>
  <c r="V696" i="9"/>
  <c r="U696" i="9"/>
  <c r="AB696" i="9" s="1"/>
  <c r="T696" i="9"/>
  <c r="S696" i="9"/>
  <c r="AA696" i="9" s="1"/>
  <c r="R696" i="9"/>
  <c r="P696" i="9"/>
  <c r="D696" i="9"/>
  <c r="E696" i="9" s="1"/>
  <c r="AG695" i="9"/>
  <c r="AF695" i="9"/>
  <c r="Z695" i="9"/>
  <c r="Y695" i="9"/>
  <c r="AD695" i="9" s="1"/>
  <c r="X695" i="9"/>
  <c r="W695" i="9"/>
  <c r="V695" i="9"/>
  <c r="U695" i="9"/>
  <c r="AB695" i="9" s="1"/>
  <c r="T695" i="9"/>
  <c r="S695" i="9"/>
  <c r="AA695" i="9" s="1"/>
  <c r="R695" i="9"/>
  <c r="P695" i="9"/>
  <c r="D695" i="9"/>
  <c r="E695" i="9" s="1"/>
  <c r="AG694" i="9"/>
  <c r="AF694" i="9"/>
  <c r="Z694" i="9"/>
  <c r="Y694" i="9"/>
  <c r="AD694" i="9" s="1"/>
  <c r="X694" i="9"/>
  <c r="W694" i="9"/>
  <c r="AC694" i="9" s="1"/>
  <c r="V694" i="9"/>
  <c r="U694" i="9"/>
  <c r="AB694" i="9" s="1"/>
  <c r="T694" i="9"/>
  <c r="S694" i="9"/>
  <c r="AA694" i="9" s="1"/>
  <c r="R694" i="9"/>
  <c r="P694" i="9"/>
  <c r="D694" i="9"/>
  <c r="E694" i="9" s="1"/>
  <c r="AG693" i="9"/>
  <c r="AF693" i="9"/>
  <c r="Z693" i="9"/>
  <c r="Y693" i="9"/>
  <c r="AD693" i="9" s="1"/>
  <c r="X693" i="9"/>
  <c r="W693" i="9"/>
  <c r="AC693" i="9" s="1"/>
  <c r="V693" i="9"/>
  <c r="U693" i="9"/>
  <c r="AB693" i="9" s="1"/>
  <c r="T693" i="9"/>
  <c r="S693" i="9"/>
  <c r="R693" i="9"/>
  <c r="P693" i="9"/>
  <c r="D693" i="9"/>
  <c r="E693" i="9" s="1"/>
  <c r="AG692" i="9"/>
  <c r="AF692" i="9"/>
  <c r="Z692" i="9"/>
  <c r="Y692" i="9"/>
  <c r="AD692" i="9" s="1"/>
  <c r="X692" i="9"/>
  <c r="W692" i="9"/>
  <c r="AC692" i="9" s="1"/>
  <c r="V692" i="9"/>
  <c r="U692" i="9"/>
  <c r="AB692" i="9" s="1"/>
  <c r="T692" i="9"/>
  <c r="S692" i="9"/>
  <c r="AA692" i="9" s="1"/>
  <c r="R692" i="9"/>
  <c r="P692" i="9"/>
  <c r="D692" i="9"/>
  <c r="E692" i="9" s="1"/>
  <c r="AG691" i="9"/>
  <c r="AF691" i="9"/>
  <c r="Z691" i="9"/>
  <c r="Y691" i="9"/>
  <c r="AD691" i="9" s="1"/>
  <c r="X691" i="9"/>
  <c r="W691" i="9"/>
  <c r="AC691" i="9" s="1"/>
  <c r="V691" i="9"/>
  <c r="U691" i="9"/>
  <c r="AB691" i="9" s="1"/>
  <c r="T691" i="9"/>
  <c r="S691" i="9"/>
  <c r="AA691" i="9" s="1"/>
  <c r="R691" i="9"/>
  <c r="P691" i="9"/>
  <c r="D691" i="9"/>
  <c r="E691" i="9" s="1"/>
  <c r="AG690" i="9"/>
  <c r="AF690" i="9"/>
  <c r="Z690" i="9"/>
  <c r="Y690" i="9"/>
  <c r="AD690" i="9" s="1"/>
  <c r="X690" i="9"/>
  <c r="W690" i="9"/>
  <c r="AC690" i="9" s="1"/>
  <c r="V690" i="9"/>
  <c r="U690" i="9"/>
  <c r="AB690" i="9" s="1"/>
  <c r="T690" i="9"/>
  <c r="S690" i="9"/>
  <c r="AA690" i="9" s="1"/>
  <c r="R690" i="9"/>
  <c r="P690" i="9"/>
  <c r="D690" i="9"/>
  <c r="E690" i="9" s="1"/>
  <c r="AG689" i="9"/>
  <c r="AF689" i="9"/>
  <c r="Z689" i="9"/>
  <c r="Y689" i="9"/>
  <c r="AD689" i="9" s="1"/>
  <c r="X689" i="9"/>
  <c r="W689" i="9"/>
  <c r="AC689" i="9" s="1"/>
  <c r="V689" i="9"/>
  <c r="U689" i="9"/>
  <c r="AB689" i="9" s="1"/>
  <c r="T689" i="9"/>
  <c r="S689" i="9"/>
  <c r="AA689" i="9" s="1"/>
  <c r="R689" i="9"/>
  <c r="P689" i="9"/>
  <c r="D689" i="9"/>
  <c r="E689" i="9" s="1"/>
  <c r="AG688" i="9"/>
  <c r="AF688" i="9"/>
  <c r="Z688" i="9"/>
  <c r="Y688" i="9"/>
  <c r="AD688" i="9" s="1"/>
  <c r="X688" i="9"/>
  <c r="W688" i="9"/>
  <c r="AC688" i="9" s="1"/>
  <c r="V688" i="9"/>
  <c r="U688" i="9"/>
  <c r="AB688" i="9" s="1"/>
  <c r="T688" i="9"/>
  <c r="S688" i="9"/>
  <c r="AA688" i="9" s="1"/>
  <c r="R688" i="9"/>
  <c r="P688" i="9"/>
  <c r="D688" i="9"/>
  <c r="E688" i="9" s="1"/>
  <c r="AG687" i="9"/>
  <c r="AF687" i="9"/>
  <c r="Z687" i="9"/>
  <c r="Y687" i="9"/>
  <c r="AD687" i="9" s="1"/>
  <c r="X687" i="9"/>
  <c r="W687" i="9"/>
  <c r="AC687" i="9" s="1"/>
  <c r="V687" i="9"/>
  <c r="U687" i="9"/>
  <c r="AB687" i="9" s="1"/>
  <c r="T687" i="9"/>
  <c r="S687" i="9"/>
  <c r="AA687" i="9" s="1"/>
  <c r="R687" i="9"/>
  <c r="P687" i="9"/>
  <c r="D687" i="9"/>
  <c r="E687" i="9" s="1"/>
  <c r="AG686" i="9"/>
  <c r="AF686" i="9"/>
  <c r="Z686" i="9"/>
  <c r="Y686" i="9"/>
  <c r="AD686" i="9" s="1"/>
  <c r="X686" i="9"/>
  <c r="W686" i="9"/>
  <c r="AC686" i="9" s="1"/>
  <c r="V686" i="9"/>
  <c r="U686" i="9"/>
  <c r="AB686" i="9" s="1"/>
  <c r="T686" i="9"/>
  <c r="S686" i="9"/>
  <c r="AA686" i="9" s="1"/>
  <c r="R686" i="9"/>
  <c r="P686" i="9"/>
  <c r="D686" i="9"/>
  <c r="E686" i="9" s="1"/>
  <c r="AG685" i="9"/>
  <c r="AF685" i="9"/>
  <c r="Z685" i="9"/>
  <c r="Y685" i="9"/>
  <c r="AD685" i="9" s="1"/>
  <c r="X685" i="9"/>
  <c r="W685" i="9"/>
  <c r="AC685" i="9" s="1"/>
  <c r="V685" i="9"/>
  <c r="U685" i="9"/>
  <c r="AB685" i="9" s="1"/>
  <c r="T685" i="9"/>
  <c r="S685" i="9"/>
  <c r="AA685" i="9" s="1"/>
  <c r="R685" i="9"/>
  <c r="P685" i="9"/>
  <c r="D685" i="9"/>
  <c r="E685" i="9" s="1"/>
  <c r="AG684" i="9"/>
  <c r="AF684" i="9"/>
  <c r="Z684" i="9"/>
  <c r="Y684" i="9"/>
  <c r="AD684" i="9" s="1"/>
  <c r="X684" i="9"/>
  <c r="W684" i="9"/>
  <c r="AC684" i="9" s="1"/>
  <c r="V684" i="9"/>
  <c r="U684" i="9"/>
  <c r="AB684" i="9" s="1"/>
  <c r="T684" i="9"/>
  <c r="S684" i="9"/>
  <c r="AA684" i="9" s="1"/>
  <c r="R684" i="9"/>
  <c r="P684" i="9"/>
  <c r="D684" i="9"/>
  <c r="E684" i="9" s="1"/>
  <c r="AG683" i="9"/>
  <c r="AF683" i="9"/>
  <c r="Z683" i="9"/>
  <c r="Y683" i="9"/>
  <c r="AD683" i="9" s="1"/>
  <c r="X683" i="9"/>
  <c r="W683" i="9"/>
  <c r="AC683" i="9" s="1"/>
  <c r="V683" i="9"/>
  <c r="U683" i="9"/>
  <c r="AB683" i="9" s="1"/>
  <c r="T683" i="9"/>
  <c r="S683" i="9"/>
  <c r="AA683" i="9" s="1"/>
  <c r="R683" i="9"/>
  <c r="P683" i="9"/>
  <c r="D683" i="9"/>
  <c r="E683" i="9" s="1"/>
  <c r="AG682" i="9"/>
  <c r="AF682" i="9"/>
  <c r="Z682" i="9"/>
  <c r="Y682" i="9"/>
  <c r="AD682" i="9" s="1"/>
  <c r="X682" i="9"/>
  <c r="W682" i="9"/>
  <c r="AC682" i="9" s="1"/>
  <c r="V682" i="9"/>
  <c r="U682" i="9"/>
  <c r="AB682" i="9" s="1"/>
  <c r="T682" i="9"/>
  <c r="S682" i="9"/>
  <c r="AA682" i="9" s="1"/>
  <c r="R682" i="9"/>
  <c r="P682" i="9"/>
  <c r="D682" i="9"/>
  <c r="E682" i="9" s="1"/>
  <c r="AG681" i="9"/>
  <c r="AF681" i="9"/>
  <c r="Z681" i="9"/>
  <c r="Y681" i="9"/>
  <c r="AD681" i="9" s="1"/>
  <c r="X681" i="9"/>
  <c r="W681" i="9"/>
  <c r="AC681" i="9" s="1"/>
  <c r="V681" i="9"/>
  <c r="U681" i="9"/>
  <c r="AB681" i="9" s="1"/>
  <c r="T681" i="9"/>
  <c r="S681" i="9"/>
  <c r="AA681" i="9" s="1"/>
  <c r="R681" i="9"/>
  <c r="P681" i="9"/>
  <c r="D681" i="9"/>
  <c r="E681" i="9" s="1"/>
  <c r="AG680" i="9"/>
  <c r="AF680" i="9"/>
  <c r="Z680" i="9"/>
  <c r="Y680" i="9"/>
  <c r="AD680" i="9" s="1"/>
  <c r="X680" i="9"/>
  <c r="W680" i="9"/>
  <c r="AC680" i="9" s="1"/>
  <c r="V680" i="9"/>
  <c r="U680" i="9"/>
  <c r="AB680" i="9" s="1"/>
  <c r="T680" i="9"/>
  <c r="S680" i="9"/>
  <c r="AA680" i="9" s="1"/>
  <c r="R680" i="9"/>
  <c r="P680" i="9"/>
  <c r="D680" i="9"/>
  <c r="E680" i="9" s="1"/>
  <c r="AG679" i="9"/>
  <c r="AF679" i="9"/>
  <c r="Z679" i="9"/>
  <c r="Y679" i="9"/>
  <c r="AD679" i="9" s="1"/>
  <c r="X679" i="9"/>
  <c r="W679" i="9"/>
  <c r="AC679" i="9" s="1"/>
  <c r="V679" i="9"/>
  <c r="U679" i="9"/>
  <c r="AB679" i="9" s="1"/>
  <c r="T679" i="9"/>
  <c r="S679" i="9"/>
  <c r="AA679" i="9" s="1"/>
  <c r="R679" i="9"/>
  <c r="P679" i="9"/>
  <c r="D679" i="9"/>
  <c r="E679" i="9" s="1"/>
  <c r="AG678" i="9"/>
  <c r="AF678" i="9"/>
  <c r="Z678" i="9"/>
  <c r="Y678" i="9"/>
  <c r="X678" i="9"/>
  <c r="W678" i="9"/>
  <c r="AC678" i="9" s="1"/>
  <c r="V678" i="9"/>
  <c r="U678" i="9"/>
  <c r="AB678" i="9" s="1"/>
  <c r="T678" i="9"/>
  <c r="S678" i="9"/>
  <c r="AA678" i="9" s="1"/>
  <c r="R678" i="9"/>
  <c r="P678" i="9"/>
  <c r="D678" i="9"/>
  <c r="E678" i="9" s="1"/>
  <c r="AG677" i="9"/>
  <c r="AF677" i="9"/>
  <c r="Z677" i="9"/>
  <c r="Y677" i="9"/>
  <c r="AD677" i="9" s="1"/>
  <c r="X677" i="9"/>
  <c r="W677" i="9"/>
  <c r="AC677" i="9" s="1"/>
  <c r="V677" i="9"/>
  <c r="U677" i="9"/>
  <c r="AB677" i="9" s="1"/>
  <c r="T677" i="9"/>
  <c r="S677" i="9"/>
  <c r="AA677" i="9" s="1"/>
  <c r="R677" i="9"/>
  <c r="P677" i="9"/>
  <c r="D677" i="9"/>
  <c r="E677" i="9" s="1"/>
  <c r="AG676" i="9"/>
  <c r="AF676" i="9"/>
  <c r="Z676" i="9"/>
  <c r="Y676" i="9"/>
  <c r="AD676" i="9" s="1"/>
  <c r="X676" i="9"/>
  <c r="W676" i="9"/>
  <c r="AC676" i="9" s="1"/>
  <c r="V676" i="9"/>
  <c r="U676" i="9"/>
  <c r="T676" i="9"/>
  <c r="S676" i="9"/>
  <c r="AA676" i="9" s="1"/>
  <c r="R676" i="9"/>
  <c r="P676" i="9"/>
  <c r="D676" i="9"/>
  <c r="E676" i="9" s="1"/>
  <c r="AG675" i="9"/>
  <c r="AF675" i="9"/>
  <c r="Z675" i="9"/>
  <c r="Y675" i="9"/>
  <c r="AD675" i="9" s="1"/>
  <c r="X675" i="9"/>
  <c r="W675" i="9"/>
  <c r="AC675" i="9" s="1"/>
  <c r="V675" i="9"/>
  <c r="U675" i="9"/>
  <c r="AB675" i="9" s="1"/>
  <c r="T675" i="9"/>
  <c r="S675" i="9"/>
  <c r="AA675" i="9" s="1"/>
  <c r="R675" i="9"/>
  <c r="P675" i="9"/>
  <c r="D675" i="9"/>
  <c r="E675" i="9" s="1"/>
  <c r="AG674" i="9"/>
  <c r="AF674" i="9"/>
  <c r="Z674" i="9"/>
  <c r="Y674" i="9"/>
  <c r="AD674" i="9" s="1"/>
  <c r="X674" i="9"/>
  <c r="W674" i="9"/>
  <c r="AC674" i="9" s="1"/>
  <c r="V674" i="9"/>
  <c r="U674" i="9"/>
  <c r="AB674" i="9" s="1"/>
  <c r="T674" i="9"/>
  <c r="S674" i="9"/>
  <c r="AA674" i="9" s="1"/>
  <c r="R674" i="9"/>
  <c r="P674" i="9"/>
  <c r="D674" i="9"/>
  <c r="E674" i="9" s="1"/>
  <c r="AG673" i="9"/>
  <c r="AF673" i="9"/>
  <c r="Z673" i="9"/>
  <c r="Y673" i="9"/>
  <c r="AD673" i="9" s="1"/>
  <c r="X673" i="9"/>
  <c r="W673" i="9"/>
  <c r="AC673" i="9" s="1"/>
  <c r="V673" i="9"/>
  <c r="U673" i="9"/>
  <c r="AB673" i="9" s="1"/>
  <c r="T673" i="9"/>
  <c r="S673" i="9"/>
  <c r="AA673" i="9" s="1"/>
  <c r="R673" i="9"/>
  <c r="P673" i="9"/>
  <c r="D673" i="9"/>
  <c r="E673" i="9" s="1"/>
  <c r="AG672" i="9"/>
  <c r="AF672" i="9"/>
  <c r="Z672" i="9"/>
  <c r="Y672" i="9"/>
  <c r="AD672" i="9" s="1"/>
  <c r="X672" i="9"/>
  <c r="W672" i="9"/>
  <c r="AC672" i="9" s="1"/>
  <c r="V672" i="9"/>
  <c r="U672" i="9"/>
  <c r="AB672" i="9" s="1"/>
  <c r="T672" i="9"/>
  <c r="S672" i="9"/>
  <c r="AA672" i="9" s="1"/>
  <c r="R672" i="9"/>
  <c r="P672" i="9"/>
  <c r="D672" i="9"/>
  <c r="E672" i="9" s="1"/>
  <c r="AG671" i="9"/>
  <c r="AF671" i="9"/>
  <c r="Z671" i="9"/>
  <c r="Y671" i="9"/>
  <c r="AD671" i="9" s="1"/>
  <c r="X671" i="9"/>
  <c r="W671" i="9"/>
  <c r="AC671" i="9" s="1"/>
  <c r="V671" i="9"/>
  <c r="U671" i="9"/>
  <c r="AB671" i="9" s="1"/>
  <c r="T671" i="9"/>
  <c r="S671" i="9"/>
  <c r="AA671" i="9" s="1"/>
  <c r="R671" i="9"/>
  <c r="P671" i="9"/>
  <c r="D671" i="9"/>
  <c r="E671" i="9" s="1"/>
  <c r="AG670" i="9"/>
  <c r="AF670" i="9"/>
  <c r="Z670" i="9"/>
  <c r="Y670" i="9"/>
  <c r="AD670" i="9" s="1"/>
  <c r="X670" i="9"/>
  <c r="W670" i="9"/>
  <c r="AC670" i="9" s="1"/>
  <c r="V670" i="9"/>
  <c r="U670" i="9"/>
  <c r="AB670" i="9" s="1"/>
  <c r="T670" i="9"/>
  <c r="S670" i="9"/>
  <c r="AA670" i="9" s="1"/>
  <c r="R670" i="9"/>
  <c r="P670" i="9"/>
  <c r="D670" i="9"/>
  <c r="E670" i="9" s="1"/>
  <c r="AG669" i="9"/>
  <c r="AF669" i="9"/>
  <c r="Z669" i="9"/>
  <c r="Y669" i="9"/>
  <c r="AD669" i="9" s="1"/>
  <c r="X669" i="9"/>
  <c r="W669" i="9"/>
  <c r="AC669" i="9" s="1"/>
  <c r="V669" i="9"/>
  <c r="U669" i="9"/>
  <c r="AB669" i="9" s="1"/>
  <c r="T669" i="9"/>
  <c r="S669" i="9"/>
  <c r="AA669" i="9" s="1"/>
  <c r="R669" i="9"/>
  <c r="P669" i="9"/>
  <c r="D669" i="9"/>
  <c r="E669" i="9" s="1"/>
  <c r="AG668" i="9"/>
  <c r="AF668" i="9"/>
  <c r="Z668" i="9"/>
  <c r="Y668" i="9"/>
  <c r="AD668" i="9" s="1"/>
  <c r="X668" i="9"/>
  <c r="W668" i="9"/>
  <c r="AC668" i="9" s="1"/>
  <c r="V668" i="9"/>
  <c r="U668" i="9"/>
  <c r="AB668" i="9" s="1"/>
  <c r="T668" i="9"/>
  <c r="S668" i="9"/>
  <c r="AA668" i="9" s="1"/>
  <c r="R668" i="9"/>
  <c r="P668" i="9"/>
  <c r="D668" i="9"/>
  <c r="E668" i="9" s="1"/>
  <c r="AG667" i="9"/>
  <c r="AF667" i="9"/>
  <c r="Z667" i="9"/>
  <c r="Y667" i="9"/>
  <c r="AD667" i="9" s="1"/>
  <c r="X667" i="9"/>
  <c r="W667" i="9"/>
  <c r="AC667" i="9" s="1"/>
  <c r="V667" i="9"/>
  <c r="U667" i="9"/>
  <c r="AB667" i="9" s="1"/>
  <c r="T667" i="9"/>
  <c r="S667" i="9"/>
  <c r="AA667" i="9" s="1"/>
  <c r="R667" i="9"/>
  <c r="P667" i="9"/>
  <c r="D667" i="9"/>
  <c r="E667" i="9" s="1"/>
  <c r="AG666" i="9"/>
  <c r="AF666" i="9"/>
  <c r="Z666" i="9"/>
  <c r="Y666" i="9"/>
  <c r="AD666" i="9" s="1"/>
  <c r="X666" i="9"/>
  <c r="W666" i="9"/>
  <c r="AC666" i="9" s="1"/>
  <c r="V666" i="9"/>
  <c r="U666" i="9"/>
  <c r="AB666" i="9" s="1"/>
  <c r="T666" i="9"/>
  <c r="S666" i="9"/>
  <c r="AA666" i="9" s="1"/>
  <c r="R666" i="9"/>
  <c r="P666" i="9"/>
  <c r="D666" i="9"/>
  <c r="E666" i="9" s="1"/>
  <c r="AG665" i="9"/>
  <c r="AF665" i="9"/>
  <c r="Z665" i="9"/>
  <c r="Y665" i="9"/>
  <c r="AD665" i="9" s="1"/>
  <c r="X665" i="9"/>
  <c r="W665" i="9"/>
  <c r="AC665" i="9" s="1"/>
  <c r="V665" i="9"/>
  <c r="U665" i="9"/>
  <c r="AB665" i="9" s="1"/>
  <c r="T665" i="9"/>
  <c r="S665" i="9"/>
  <c r="AA665" i="9" s="1"/>
  <c r="R665" i="9"/>
  <c r="P665" i="9"/>
  <c r="D665" i="9"/>
  <c r="E665" i="9" s="1"/>
  <c r="AG664" i="9"/>
  <c r="AF664" i="9"/>
  <c r="Z664" i="9"/>
  <c r="Y664" i="9"/>
  <c r="AD664" i="9" s="1"/>
  <c r="X664" i="9"/>
  <c r="W664" i="9"/>
  <c r="AC664" i="9" s="1"/>
  <c r="V664" i="9"/>
  <c r="U664" i="9"/>
  <c r="AB664" i="9" s="1"/>
  <c r="T664" i="9"/>
  <c r="S664" i="9"/>
  <c r="AA664" i="9" s="1"/>
  <c r="R664" i="9"/>
  <c r="P664" i="9"/>
  <c r="D664" i="9"/>
  <c r="E664" i="9" s="1"/>
  <c r="AG663" i="9"/>
  <c r="AF663" i="9"/>
  <c r="Z663" i="9"/>
  <c r="Y663" i="9"/>
  <c r="AD663" i="9" s="1"/>
  <c r="X663" i="9"/>
  <c r="W663" i="9"/>
  <c r="AC663" i="9" s="1"/>
  <c r="V663" i="9"/>
  <c r="U663" i="9"/>
  <c r="AB663" i="9" s="1"/>
  <c r="T663" i="9"/>
  <c r="S663" i="9"/>
  <c r="AA663" i="9" s="1"/>
  <c r="R663" i="9"/>
  <c r="P663" i="9"/>
  <c r="D663" i="9"/>
  <c r="E663" i="9" s="1"/>
  <c r="AG662" i="9"/>
  <c r="AF662" i="9"/>
  <c r="Z662" i="9"/>
  <c r="Y662" i="9"/>
  <c r="AD662" i="9" s="1"/>
  <c r="X662" i="9"/>
  <c r="W662" i="9"/>
  <c r="AC662" i="9" s="1"/>
  <c r="V662" i="9"/>
  <c r="U662" i="9"/>
  <c r="AB662" i="9" s="1"/>
  <c r="T662" i="9"/>
  <c r="S662" i="9"/>
  <c r="AA662" i="9" s="1"/>
  <c r="R662" i="9"/>
  <c r="P662" i="9"/>
  <c r="D662" i="9"/>
  <c r="E662" i="9" s="1"/>
  <c r="AG661" i="9"/>
  <c r="AF661" i="9"/>
  <c r="Z661" i="9"/>
  <c r="Y661" i="9"/>
  <c r="AD661" i="9" s="1"/>
  <c r="X661" i="9"/>
  <c r="W661" i="9"/>
  <c r="AC661" i="9" s="1"/>
  <c r="V661" i="9"/>
  <c r="U661" i="9"/>
  <c r="AB661" i="9" s="1"/>
  <c r="T661" i="9"/>
  <c r="S661" i="9"/>
  <c r="AA661" i="9" s="1"/>
  <c r="R661" i="9"/>
  <c r="P661" i="9"/>
  <c r="D661" i="9"/>
  <c r="E661" i="9" s="1"/>
  <c r="AG660" i="9"/>
  <c r="AF660" i="9"/>
  <c r="Z660" i="9"/>
  <c r="Y660" i="9"/>
  <c r="AD660" i="9" s="1"/>
  <c r="X660" i="9"/>
  <c r="W660" i="9"/>
  <c r="AC660" i="9" s="1"/>
  <c r="V660" i="9"/>
  <c r="U660" i="9"/>
  <c r="AB660" i="9" s="1"/>
  <c r="T660" i="9"/>
  <c r="S660" i="9"/>
  <c r="AA660" i="9" s="1"/>
  <c r="R660" i="9"/>
  <c r="P660" i="9"/>
  <c r="D660" i="9"/>
  <c r="E660" i="9" s="1"/>
  <c r="AG659" i="9"/>
  <c r="AF659" i="9"/>
  <c r="Z659" i="9"/>
  <c r="Y659" i="9"/>
  <c r="AD659" i="9" s="1"/>
  <c r="X659" i="9"/>
  <c r="W659" i="9"/>
  <c r="AC659" i="9" s="1"/>
  <c r="V659" i="9"/>
  <c r="U659" i="9"/>
  <c r="AB659" i="9" s="1"/>
  <c r="T659" i="9"/>
  <c r="S659" i="9"/>
  <c r="AA659" i="9" s="1"/>
  <c r="R659" i="9"/>
  <c r="P659" i="9"/>
  <c r="D659" i="9"/>
  <c r="E659" i="9" s="1"/>
  <c r="AG658" i="9"/>
  <c r="AF658" i="9"/>
  <c r="Z658" i="9"/>
  <c r="Y658" i="9"/>
  <c r="AD658" i="9" s="1"/>
  <c r="X658" i="9"/>
  <c r="W658" i="9"/>
  <c r="AC658" i="9" s="1"/>
  <c r="V658" i="9"/>
  <c r="U658" i="9"/>
  <c r="AB658" i="9" s="1"/>
  <c r="T658" i="9"/>
  <c r="S658" i="9"/>
  <c r="AA658" i="9" s="1"/>
  <c r="R658" i="9"/>
  <c r="P658" i="9"/>
  <c r="D658" i="9"/>
  <c r="E658" i="9" s="1"/>
  <c r="AG657" i="9"/>
  <c r="AF657" i="9"/>
  <c r="Z657" i="9"/>
  <c r="Y657" i="9"/>
  <c r="AD657" i="9" s="1"/>
  <c r="X657" i="9"/>
  <c r="W657" i="9"/>
  <c r="AC657" i="9" s="1"/>
  <c r="V657" i="9"/>
  <c r="U657" i="9"/>
  <c r="AB657" i="9" s="1"/>
  <c r="T657" i="9"/>
  <c r="S657" i="9"/>
  <c r="AA657" i="9" s="1"/>
  <c r="R657" i="9"/>
  <c r="P657" i="9"/>
  <c r="D657" i="9"/>
  <c r="E657" i="9" s="1"/>
  <c r="AG656" i="9"/>
  <c r="AF656" i="9"/>
  <c r="Z656" i="9"/>
  <c r="Y656" i="9"/>
  <c r="AD656" i="9" s="1"/>
  <c r="X656" i="9"/>
  <c r="W656" i="9"/>
  <c r="AC656" i="9" s="1"/>
  <c r="V656" i="9"/>
  <c r="U656" i="9"/>
  <c r="AB656" i="9" s="1"/>
  <c r="T656" i="9"/>
  <c r="S656" i="9"/>
  <c r="AA656" i="9" s="1"/>
  <c r="R656" i="9"/>
  <c r="P656" i="9"/>
  <c r="D656" i="9"/>
  <c r="E656" i="9" s="1"/>
  <c r="AG655" i="9"/>
  <c r="AF655" i="9"/>
  <c r="Z655" i="9"/>
  <c r="Y655" i="9"/>
  <c r="AD655" i="9" s="1"/>
  <c r="X655" i="9"/>
  <c r="W655" i="9"/>
  <c r="V655" i="9"/>
  <c r="U655" i="9"/>
  <c r="AB655" i="9" s="1"/>
  <c r="T655" i="9"/>
  <c r="S655" i="9"/>
  <c r="AA655" i="9" s="1"/>
  <c r="R655" i="9"/>
  <c r="P655" i="9"/>
  <c r="D655" i="9"/>
  <c r="E655" i="9" s="1"/>
  <c r="AG654" i="9"/>
  <c r="AF654" i="9"/>
  <c r="Z654" i="9"/>
  <c r="Y654" i="9"/>
  <c r="AD654" i="9" s="1"/>
  <c r="X654" i="9"/>
  <c r="W654" i="9"/>
  <c r="AC654" i="9" s="1"/>
  <c r="V654" i="9"/>
  <c r="U654" i="9"/>
  <c r="AB654" i="9" s="1"/>
  <c r="T654" i="9"/>
  <c r="S654" i="9"/>
  <c r="AA654" i="9" s="1"/>
  <c r="R654" i="9"/>
  <c r="P654" i="9"/>
  <c r="D654" i="9"/>
  <c r="E654" i="9" s="1"/>
  <c r="AG653" i="9"/>
  <c r="AF653" i="9"/>
  <c r="Z653" i="9"/>
  <c r="Y653" i="9"/>
  <c r="AD653" i="9" s="1"/>
  <c r="X653" i="9"/>
  <c r="W653" i="9"/>
  <c r="AC653" i="9" s="1"/>
  <c r="V653" i="9"/>
  <c r="U653" i="9"/>
  <c r="AB653" i="9" s="1"/>
  <c r="T653" i="9"/>
  <c r="S653" i="9"/>
  <c r="AA653" i="9" s="1"/>
  <c r="R653" i="9"/>
  <c r="P653" i="9"/>
  <c r="D653" i="9"/>
  <c r="E653" i="9" s="1"/>
  <c r="AG652" i="9"/>
  <c r="AF652" i="9"/>
  <c r="Z652" i="9"/>
  <c r="Y652" i="9"/>
  <c r="AD652" i="9" s="1"/>
  <c r="X652" i="9"/>
  <c r="W652" i="9"/>
  <c r="AC652" i="9" s="1"/>
  <c r="V652" i="9"/>
  <c r="U652" i="9"/>
  <c r="AB652" i="9" s="1"/>
  <c r="T652" i="9"/>
  <c r="S652" i="9"/>
  <c r="AA652" i="9" s="1"/>
  <c r="R652" i="9"/>
  <c r="P652" i="9"/>
  <c r="D652" i="9"/>
  <c r="E652" i="9" s="1"/>
  <c r="AG651" i="9"/>
  <c r="AF651" i="9"/>
  <c r="Z651" i="9"/>
  <c r="Y651" i="9"/>
  <c r="AD651" i="9" s="1"/>
  <c r="X651" i="9"/>
  <c r="W651" i="9"/>
  <c r="AC651" i="9" s="1"/>
  <c r="V651" i="9"/>
  <c r="U651" i="9"/>
  <c r="AB651" i="9" s="1"/>
  <c r="T651" i="9"/>
  <c r="S651" i="9"/>
  <c r="AA651" i="9" s="1"/>
  <c r="R651" i="9"/>
  <c r="P651" i="9"/>
  <c r="D651" i="9"/>
  <c r="E651" i="9" s="1"/>
  <c r="AG650" i="9"/>
  <c r="AF650" i="9"/>
  <c r="Z650" i="9"/>
  <c r="Y650" i="9"/>
  <c r="AD650" i="9" s="1"/>
  <c r="X650" i="9"/>
  <c r="W650" i="9"/>
  <c r="V650" i="9"/>
  <c r="U650" i="9"/>
  <c r="AB650" i="9" s="1"/>
  <c r="T650" i="9"/>
  <c r="S650" i="9"/>
  <c r="AA650" i="9" s="1"/>
  <c r="R650" i="9"/>
  <c r="P650" i="9"/>
  <c r="D650" i="9"/>
  <c r="E650" i="9" s="1"/>
  <c r="AG649" i="9"/>
  <c r="AF649" i="9"/>
  <c r="Z649" i="9"/>
  <c r="Y649" i="9"/>
  <c r="AD649" i="9" s="1"/>
  <c r="X649" i="9"/>
  <c r="W649" i="9"/>
  <c r="AC649" i="9" s="1"/>
  <c r="V649" i="9"/>
  <c r="U649" i="9"/>
  <c r="AB649" i="9" s="1"/>
  <c r="T649" i="9"/>
  <c r="S649" i="9"/>
  <c r="AA649" i="9" s="1"/>
  <c r="R649" i="9"/>
  <c r="P649" i="9"/>
  <c r="D649" i="9"/>
  <c r="E649" i="9" s="1"/>
  <c r="AG648" i="9"/>
  <c r="AF648" i="9"/>
  <c r="Z648" i="9"/>
  <c r="Y648" i="9"/>
  <c r="AD648" i="9" s="1"/>
  <c r="X648" i="9"/>
  <c r="W648" i="9"/>
  <c r="AC648" i="9" s="1"/>
  <c r="V648" i="9"/>
  <c r="U648" i="9"/>
  <c r="AB648" i="9" s="1"/>
  <c r="T648" i="9"/>
  <c r="S648" i="9"/>
  <c r="AA648" i="9" s="1"/>
  <c r="R648" i="9"/>
  <c r="P648" i="9"/>
  <c r="D648" i="9"/>
  <c r="E648" i="9" s="1"/>
  <c r="AG647" i="9"/>
  <c r="AF647" i="9"/>
  <c r="Z647" i="9"/>
  <c r="Y647" i="9"/>
  <c r="AD647" i="9" s="1"/>
  <c r="X647" i="9"/>
  <c r="W647" i="9"/>
  <c r="AC647" i="9" s="1"/>
  <c r="V647" i="9"/>
  <c r="U647" i="9"/>
  <c r="AB647" i="9" s="1"/>
  <c r="T647" i="9"/>
  <c r="S647" i="9"/>
  <c r="AA647" i="9" s="1"/>
  <c r="R647" i="9"/>
  <c r="P647" i="9"/>
  <c r="D647" i="9"/>
  <c r="E647" i="9" s="1"/>
  <c r="AG646" i="9"/>
  <c r="AF646" i="9"/>
  <c r="Z646" i="9"/>
  <c r="Y646" i="9"/>
  <c r="AD646" i="9" s="1"/>
  <c r="X646" i="9"/>
  <c r="W646" i="9"/>
  <c r="AC646" i="9" s="1"/>
  <c r="V646" i="9"/>
  <c r="U646" i="9"/>
  <c r="AB646" i="9" s="1"/>
  <c r="T646" i="9"/>
  <c r="S646" i="9"/>
  <c r="AA646" i="9" s="1"/>
  <c r="R646" i="9"/>
  <c r="P646" i="9"/>
  <c r="D646" i="9"/>
  <c r="E646" i="9" s="1"/>
  <c r="AG645" i="9"/>
  <c r="AF645" i="9"/>
  <c r="Z645" i="9"/>
  <c r="Y645" i="9"/>
  <c r="AD645" i="9" s="1"/>
  <c r="X645" i="9"/>
  <c r="W645" i="9"/>
  <c r="AC645" i="9" s="1"/>
  <c r="V645" i="9"/>
  <c r="U645" i="9"/>
  <c r="AB645" i="9" s="1"/>
  <c r="T645" i="9"/>
  <c r="S645" i="9"/>
  <c r="AA645" i="9" s="1"/>
  <c r="R645" i="9"/>
  <c r="P645" i="9"/>
  <c r="D645" i="9"/>
  <c r="E645" i="9" s="1"/>
  <c r="AG644" i="9"/>
  <c r="AF644" i="9"/>
  <c r="Z644" i="9"/>
  <c r="Y644" i="9"/>
  <c r="AD644" i="9" s="1"/>
  <c r="X644" i="9"/>
  <c r="W644" i="9"/>
  <c r="AC644" i="9" s="1"/>
  <c r="V644" i="9"/>
  <c r="U644" i="9"/>
  <c r="AB644" i="9" s="1"/>
  <c r="T644" i="9"/>
  <c r="S644" i="9"/>
  <c r="AA644" i="9" s="1"/>
  <c r="R644" i="9"/>
  <c r="P644" i="9"/>
  <c r="D644" i="9"/>
  <c r="E644" i="9" s="1"/>
  <c r="AG643" i="9"/>
  <c r="AF643" i="9"/>
  <c r="Z643" i="9"/>
  <c r="Y643" i="9"/>
  <c r="AD643" i="9" s="1"/>
  <c r="X643" i="9"/>
  <c r="W643" i="9"/>
  <c r="AC643" i="9" s="1"/>
  <c r="V643" i="9"/>
  <c r="U643" i="9"/>
  <c r="AB643" i="9" s="1"/>
  <c r="T643" i="9"/>
  <c r="S643" i="9"/>
  <c r="AA643" i="9" s="1"/>
  <c r="R643" i="9"/>
  <c r="P643" i="9"/>
  <c r="D643" i="9"/>
  <c r="E643" i="9" s="1"/>
  <c r="AG642" i="9"/>
  <c r="AF642" i="9"/>
  <c r="Z642" i="9"/>
  <c r="Y642" i="9"/>
  <c r="AD642" i="9" s="1"/>
  <c r="X642" i="9"/>
  <c r="W642" i="9"/>
  <c r="AC642" i="9" s="1"/>
  <c r="V642" i="9"/>
  <c r="U642" i="9"/>
  <c r="AB642" i="9" s="1"/>
  <c r="T642" i="9"/>
  <c r="S642" i="9"/>
  <c r="AA642" i="9" s="1"/>
  <c r="R642" i="9"/>
  <c r="P642" i="9"/>
  <c r="D642" i="9"/>
  <c r="E642" i="9" s="1"/>
  <c r="AG641" i="9"/>
  <c r="AF641" i="9"/>
  <c r="Z641" i="9"/>
  <c r="Y641" i="9"/>
  <c r="AD641" i="9" s="1"/>
  <c r="X641" i="9"/>
  <c r="W641" i="9"/>
  <c r="AC641" i="9" s="1"/>
  <c r="V641" i="9"/>
  <c r="U641" i="9"/>
  <c r="AB641" i="9" s="1"/>
  <c r="T641" i="9"/>
  <c r="S641" i="9"/>
  <c r="AA641" i="9" s="1"/>
  <c r="R641" i="9"/>
  <c r="P641" i="9"/>
  <c r="D641" i="9"/>
  <c r="E641" i="9" s="1"/>
  <c r="AG640" i="9"/>
  <c r="AF640" i="9"/>
  <c r="Z640" i="9"/>
  <c r="Y640" i="9"/>
  <c r="AD640" i="9" s="1"/>
  <c r="X640" i="9"/>
  <c r="W640" i="9"/>
  <c r="AC640" i="9" s="1"/>
  <c r="V640" i="9"/>
  <c r="U640" i="9"/>
  <c r="AB640" i="9" s="1"/>
  <c r="T640" i="9"/>
  <c r="S640" i="9"/>
  <c r="AA640" i="9" s="1"/>
  <c r="R640" i="9"/>
  <c r="P640" i="9"/>
  <c r="D640" i="9"/>
  <c r="E640" i="9" s="1"/>
  <c r="AG639" i="9"/>
  <c r="AF639" i="9"/>
  <c r="Z639" i="9"/>
  <c r="Y639" i="9"/>
  <c r="AD639" i="9" s="1"/>
  <c r="X639" i="9"/>
  <c r="W639" i="9"/>
  <c r="AC639" i="9" s="1"/>
  <c r="V639" i="9"/>
  <c r="U639" i="9"/>
  <c r="AB639" i="9" s="1"/>
  <c r="T639" i="9"/>
  <c r="S639" i="9"/>
  <c r="AA639" i="9" s="1"/>
  <c r="R639" i="9"/>
  <c r="P639" i="9"/>
  <c r="D639" i="9"/>
  <c r="E639" i="9" s="1"/>
  <c r="AG638" i="9"/>
  <c r="AF638" i="9"/>
  <c r="Z638" i="9"/>
  <c r="Y638" i="9"/>
  <c r="AD638" i="9" s="1"/>
  <c r="X638" i="9"/>
  <c r="W638" i="9"/>
  <c r="AC638" i="9" s="1"/>
  <c r="V638" i="9"/>
  <c r="U638" i="9"/>
  <c r="AB638" i="9" s="1"/>
  <c r="T638" i="9"/>
  <c r="S638" i="9"/>
  <c r="AA638" i="9" s="1"/>
  <c r="R638" i="9"/>
  <c r="P638" i="9"/>
  <c r="D638" i="9"/>
  <c r="E638" i="9" s="1"/>
  <c r="AG637" i="9"/>
  <c r="AF637" i="9"/>
  <c r="Z637" i="9"/>
  <c r="Y637" i="9"/>
  <c r="AD637" i="9" s="1"/>
  <c r="X637" i="9"/>
  <c r="W637" i="9"/>
  <c r="AC637" i="9" s="1"/>
  <c r="V637" i="9"/>
  <c r="U637" i="9"/>
  <c r="AB637" i="9" s="1"/>
  <c r="T637" i="9"/>
  <c r="S637" i="9"/>
  <c r="AA637" i="9" s="1"/>
  <c r="R637" i="9"/>
  <c r="P637" i="9"/>
  <c r="D637" i="9"/>
  <c r="E637" i="9" s="1"/>
  <c r="AG636" i="9"/>
  <c r="AF636" i="9"/>
  <c r="Z636" i="9"/>
  <c r="Y636" i="9"/>
  <c r="AD636" i="9" s="1"/>
  <c r="X636" i="9"/>
  <c r="W636" i="9"/>
  <c r="AC636" i="9" s="1"/>
  <c r="V636" i="9"/>
  <c r="U636" i="9"/>
  <c r="AB636" i="9" s="1"/>
  <c r="T636" i="9"/>
  <c r="S636" i="9"/>
  <c r="AA636" i="9" s="1"/>
  <c r="R636" i="9"/>
  <c r="P636" i="9"/>
  <c r="D636" i="9"/>
  <c r="E636" i="9" s="1"/>
  <c r="AG635" i="9"/>
  <c r="AF635" i="9"/>
  <c r="Z635" i="9"/>
  <c r="Y635" i="9"/>
  <c r="X635" i="9"/>
  <c r="W635" i="9"/>
  <c r="AC635" i="9" s="1"/>
  <c r="V635" i="9"/>
  <c r="U635" i="9"/>
  <c r="AB635" i="9" s="1"/>
  <c r="T635" i="9"/>
  <c r="S635" i="9"/>
  <c r="AA635" i="9" s="1"/>
  <c r="R635" i="9"/>
  <c r="P635" i="9"/>
  <c r="D635" i="9"/>
  <c r="E635" i="9" s="1"/>
  <c r="AG634" i="9"/>
  <c r="AF634" i="9"/>
  <c r="Z634" i="9"/>
  <c r="Y634" i="9"/>
  <c r="AD634" i="9" s="1"/>
  <c r="X634" i="9"/>
  <c r="W634" i="9"/>
  <c r="AC634" i="9" s="1"/>
  <c r="V634" i="9"/>
  <c r="U634" i="9"/>
  <c r="AB634" i="9" s="1"/>
  <c r="T634" i="9"/>
  <c r="S634" i="9"/>
  <c r="AA634" i="9" s="1"/>
  <c r="R634" i="9"/>
  <c r="P634" i="9"/>
  <c r="D634" i="9"/>
  <c r="E634" i="9" s="1"/>
  <c r="AG633" i="9"/>
  <c r="AF633" i="9"/>
  <c r="Z633" i="9"/>
  <c r="Y633" i="9"/>
  <c r="AD633" i="9" s="1"/>
  <c r="X633" i="9"/>
  <c r="W633" i="9"/>
  <c r="AC633" i="9" s="1"/>
  <c r="V633" i="9"/>
  <c r="U633" i="9"/>
  <c r="AB633" i="9" s="1"/>
  <c r="T633" i="9"/>
  <c r="S633" i="9"/>
  <c r="AA633" i="9" s="1"/>
  <c r="R633" i="9"/>
  <c r="P633" i="9"/>
  <c r="D633" i="9"/>
  <c r="E633" i="9" s="1"/>
  <c r="AG632" i="9"/>
  <c r="AF632" i="9"/>
  <c r="Z632" i="9"/>
  <c r="Y632" i="9"/>
  <c r="AD632" i="9" s="1"/>
  <c r="X632" i="9"/>
  <c r="W632" i="9"/>
  <c r="V632" i="9"/>
  <c r="U632" i="9"/>
  <c r="AB632" i="9" s="1"/>
  <c r="T632" i="9"/>
  <c r="S632" i="9"/>
  <c r="AA632" i="9" s="1"/>
  <c r="R632" i="9"/>
  <c r="P632" i="9"/>
  <c r="D632" i="9"/>
  <c r="E632" i="9" s="1"/>
  <c r="AG631" i="9"/>
  <c r="AF631" i="9"/>
  <c r="Z631" i="9"/>
  <c r="Y631" i="9"/>
  <c r="AD631" i="9" s="1"/>
  <c r="X631" i="9"/>
  <c r="W631" i="9"/>
  <c r="AC631" i="9" s="1"/>
  <c r="V631" i="9"/>
  <c r="U631" i="9"/>
  <c r="AB631" i="9" s="1"/>
  <c r="T631" i="9"/>
  <c r="S631" i="9"/>
  <c r="AA631" i="9" s="1"/>
  <c r="R631" i="9"/>
  <c r="P631" i="9"/>
  <c r="D631" i="9"/>
  <c r="E631" i="9" s="1"/>
  <c r="AG630" i="9"/>
  <c r="AF630" i="9"/>
  <c r="Z630" i="9"/>
  <c r="Y630" i="9"/>
  <c r="AD630" i="9" s="1"/>
  <c r="X630" i="9"/>
  <c r="W630" i="9"/>
  <c r="AC630" i="9" s="1"/>
  <c r="V630" i="9"/>
  <c r="U630" i="9"/>
  <c r="AB630" i="9" s="1"/>
  <c r="T630" i="9"/>
  <c r="S630" i="9"/>
  <c r="AA630" i="9" s="1"/>
  <c r="R630" i="9"/>
  <c r="P630" i="9"/>
  <c r="D630" i="9"/>
  <c r="E630" i="9" s="1"/>
  <c r="AG629" i="9"/>
  <c r="AF629" i="9"/>
  <c r="Z629" i="9"/>
  <c r="Y629" i="9"/>
  <c r="AD629" i="9" s="1"/>
  <c r="X629" i="9"/>
  <c r="W629" i="9"/>
  <c r="AC629" i="9" s="1"/>
  <c r="V629" i="9"/>
  <c r="U629" i="9"/>
  <c r="AB629" i="9" s="1"/>
  <c r="T629" i="9"/>
  <c r="S629" i="9"/>
  <c r="AA629" i="9" s="1"/>
  <c r="R629" i="9"/>
  <c r="P629" i="9"/>
  <c r="D629" i="9"/>
  <c r="E629" i="9" s="1"/>
  <c r="AG628" i="9"/>
  <c r="AF628" i="9"/>
  <c r="Z628" i="9"/>
  <c r="Y628" i="9"/>
  <c r="AD628" i="9" s="1"/>
  <c r="X628" i="9"/>
  <c r="W628" i="9"/>
  <c r="AC628" i="9" s="1"/>
  <c r="V628" i="9"/>
  <c r="U628" i="9"/>
  <c r="AB628" i="9" s="1"/>
  <c r="T628" i="9"/>
  <c r="S628" i="9"/>
  <c r="AA628" i="9" s="1"/>
  <c r="R628" i="9"/>
  <c r="P628" i="9"/>
  <c r="D628" i="9"/>
  <c r="E628" i="9" s="1"/>
  <c r="AG627" i="9"/>
  <c r="AF627" i="9"/>
  <c r="Z627" i="9"/>
  <c r="Y627" i="9"/>
  <c r="AD627" i="9" s="1"/>
  <c r="X627" i="9"/>
  <c r="W627" i="9"/>
  <c r="AC627" i="9" s="1"/>
  <c r="V627" i="9"/>
  <c r="U627" i="9"/>
  <c r="AB627" i="9" s="1"/>
  <c r="T627" i="9"/>
  <c r="S627" i="9"/>
  <c r="AA627" i="9" s="1"/>
  <c r="R627" i="9"/>
  <c r="P627" i="9"/>
  <c r="D627" i="9"/>
  <c r="E627" i="9" s="1"/>
  <c r="AG626" i="9"/>
  <c r="AF626" i="9"/>
  <c r="Z626" i="9"/>
  <c r="Y626" i="9"/>
  <c r="AD626" i="9" s="1"/>
  <c r="X626" i="9"/>
  <c r="W626" i="9"/>
  <c r="AC626" i="9" s="1"/>
  <c r="V626" i="9"/>
  <c r="U626" i="9"/>
  <c r="AB626" i="9" s="1"/>
  <c r="T626" i="9"/>
  <c r="S626" i="9"/>
  <c r="AA626" i="9" s="1"/>
  <c r="R626" i="9"/>
  <c r="P626" i="9"/>
  <c r="D626" i="9"/>
  <c r="E626" i="9" s="1"/>
  <c r="AG625" i="9"/>
  <c r="AF625" i="9"/>
  <c r="Z625" i="9"/>
  <c r="Y625" i="9"/>
  <c r="AD625" i="9" s="1"/>
  <c r="X625" i="9"/>
  <c r="W625" i="9"/>
  <c r="AC625" i="9" s="1"/>
  <c r="V625" i="9"/>
  <c r="U625" i="9"/>
  <c r="AB625" i="9" s="1"/>
  <c r="T625" i="9"/>
  <c r="S625" i="9"/>
  <c r="AA625" i="9" s="1"/>
  <c r="R625" i="9"/>
  <c r="P625" i="9"/>
  <c r="D625" i="9"/>
  <c r="E625" i="9" s="1"/>
  <c r="AG624" i="9"/>
  <c r="AF624" i="9"/>
  <c r="Z624" i="9"/>
  <c r="Y624" i="9"/>
  <c r="AD624" i="9" s="1"/>
  <c r="X624" i="9"/>
  <c r="W624" i="9"/>
  <c r="AC624" i="9" s="1"/>
  <c r="V624" i="9"/>
  <c r="U624" i="9"/>
  <c r="AB624" i="9" s="1"/>
  <c r="T624" i="9"/>
  <c r="S624" i="9"/>
  <c r="AA624" i="9" s="1"/>
  <c r="R624" i="9"/>
  <c r="P624" i="9"/>
  <c r="D624" i="9"/>
  <c r="E624" i="9" s="1"/>
  <c r="AG623" i="9"/>
  <c r="AF623" i="9"/>
  <c r="Z623" i="9"/>
  <c r="Y623" i="9"/>
  <c r="AD623" i="9" s="1"/>
  <c r="X623" i="9"/>
  <c r="W623" i="9"/>
  <c r="AC623" i="9" s="1"/>
  <c r="V623" i="9"/>
  <c r="U623" i="9"/>
  <c r="AB623" i="9" s="1"/>
  <c r="T623" i="9"/>
  <c r="S623" i="9"/>
  <c r="R623" i="9"/>
  <c r="P623" i="9"/>
  <c r="D623" i="9"/>
  <c r="E623" i="9" s="1"/>
  <c r="AG622" i="9"/>
  <c r="AF622" i="9"/>
  <c r="Z622" i="9"/>
  <c r="Y622" i="9"/>
  <c r="AD622" i="9" s="1"/>
  <c r="X622" i="9"/>
  <c r="W622" i="9"/>
  <c r="AC622" i="9" s="1"/>
  <c r="V622" i="9"/>
  <c r="U622" i="9"/>
  <c r="AB622" i="9" s="1"/>
  <c r="T622" i="9"/>
  <c r="S622" i="9"/>
  <c r="AA622" i="9" s="1"/>
  <c r="R622" i="9"/>
  <c r="P622" i="9"/>
  <c r="D622" i="9"/>
  <c r="E622" i="9" s="1"/>
  <c r="AG621" i="9"/>
  <c r="AF621" i="9"/>
  <c r="Z621" i="9"/>
  <c r="Y621" i="9"/>
  <c r="AD621" i="9" s="1"/>
  <c r="X621" i="9"/>
  <c r="W621" i="9"/>
  <c r="AC621" i="9" s="1"/>
  <c r="V621" i="9"/>
  <c r="U621" i="9"/>
  <c r="AB621" i="9" s="1"/>
  <c r="T621" i="9"/>
  <c r="S621" i="9"/>
  <c r="AA621" i="9" s="1"/>
  <c r="R621" i="9"/>
  <c r="P621" i="9"/>
  <c r="D621" i="9"/>
  <c r="E621" i="9" s="1"/>
  <c r="AG620" i="9"/>
  <c r="AF620" i="9"/>
  <c r="Z620" i="9"/>
  <c r="Y620" i="9"/>
  <c r="AD620" i="9" s="1"/>
  <c r="X620" i="9"/>
  <c r="W620" i="9"/>
  <c r="AC620" i="9" s="1"/>
  <c r="V620" i="9"/>
  <c r="U620" i="9"/>
  <c r="AB620" i="9" s="1"/>
  <c r="T620" i="9"/>
  <c r="S620" i="9"/>
  <c r="AA620" i="9" s="1"/>
  <c r="R620" i="9"/>
  <c r="P620" i="9"/>
  <c r="D620" i="9"/>
  <c r="E620" i="9" s="1"/>
  <c r="AG619" i="9"/>
  <c r="AF619" i="9"/>
  <c r="Z619" i="9"/>
  <c r="Y619" i="9"/>
  <c r="AD619" i="9" s="1"/>
  <c r="X619" i="9"/>
  <c r="W619" i="9"/>
  <c r="AC619" i="9" s="1"/>
  <c r="V619" i="9"/>
  <c r="U619" i="9"/>
  <c r="AB619" i="9" s="1"/>
  <c r="T619" i="9"/>
  <c r="S619" i="9"/>
  <c r="R619" i="9"/>
  <c r="P619" i="9"/>
  <c r="D619" i="9"/>
  <c r="E619" i="9" s="1"/>
  <c r="AG618" i="9"/>
  <c r="AF618" i="9"/>
  <c r="Z618" i="9"/>
  <c r="Y618" i="9"/>
  <c r="AD618" i="9" s="1"/>
  <c r="X618" i="9"/>
  <c r="W618" i="9"/>
  <c r="AC618" i="9" s="1"/>
  <c r="V618" i="9"/>
  <c r="U618" i="9"/>
  <c r="AB618" i="9" s="1"/>
  <c r="T618" i="9"/>
  <c r="S618" i="9"/>
  <c r="AA618" i="9" s="1"/>
  <c r="R618" i="9"/>
  <c r="P618" i="9"/>
  <c r="D618" i="9"/>
  <c r="E618" i="9" s="1"/>
  <c r="AG617" i="9"/>
  <c r="AF617" i="9"/>
  <c r="Z617" i="9"/>
  <c r="Y617" i="9"/>
  <c r="AD617" i="9" s="1"/>
  <c r="X617" i="9"/>
  <c r="W617" i="9"/>
  <c r="AC617" i="9" s="1"/>
  <c r="V617" i="9"/>
  <c r="U617" i="9"/>
  <c r="AB617" i="9" s="1"/>
  <c r="T617" i="9"/>
  <c r="S617" i="9"/>
  <c r="R617" i="9"/>
  <c r="P617" i="9"/>
  <c r="D617" i="9"/>
  <c r="E617" i="9" s="1"/>
  <c r="AG616" i="9"/>
  <c r="AF616" i="9"/>
  <c r="Z616" i="9"/>
  <c r="Y616" i="9"/>
  <c r="AD616" i="9" s="1"/>
  <c r="X616" i="9"/>
  <c r="W616" i="9"/>
  <c r="AC616" i="9" s="1"/>
  <c r="V616" i="9"/>
  <c r="U616" i="9"/>
  <c r="AB616" i="9" s="1"/>
  <c r="T616" i="9"/>
  <c r="S616" i="9"/>
  <c r="AA616" i="9" s="1"/>
  <c r="R616" i="9"/>
  <c r="P616" i="9"/>
  <c r="D616" i="9"/>
  <c r="E616" i="9" s="1"/>
  <c r="AG615" i="9"/>
  <c r="AF615" i="9"/>
  <c r="Z615" i="9"/>
  <c r="Y615" i="9"/>
  <c r="AD615" i="9" s="1"/>
  <c r="X615" i="9"/>
  <c r="W615" i="9"/>
  <c r="AC615" i="9" s="1"/>
  <c r="V615" i="9"/>
  <c r="U615" i="9"/>
  <c r="AB615" i="9" s="1"/>
  <c r="T615" i="9"/>
  <c r="S615" i="9"/>
  <c r="AA615" i="9" s="1"/>
  <c r="R615" i="9"/>
  <c r="P615" i="9"/>
  <c r="D615" i="9"/>
  <c r="E615" i="9" s="1"/>
  <c r="AG614" i="9"/>
  <c r="AF614" i="9"/>
  <c r="Z614" i="9"/>
  <c r="Y614" i="9"/>
  <c r="AD614" i="9" s="1"/>
  <c r="X614" i="9"/>
  <c r="W614" i="9"/>
  <c r="AC614" i="9" s="1"/>
  <c r="V614" i="9"/>
  <c r="U614" i="9"/>
  <c r="AB614" i="9" s="1"/>
  <c r="T614" i="9"/>
  <c r="S614" i="9"/>
  <c r="AA614" i="9" s="1"/>
  <c r="R614" i="9"/>
  <c r="P614" i="9"/>
  <c r="D614" i="9"/>
  <c r="E614" i="9" s="1"/>
  <c r="AG613" i="9"/>
  <c r="AF613" i="9"/>
  <c r="Z613" i="9"/>
  <c r="Y613" i="9"/>
  <c r="AD613" i="9" s="1"/>
  <c r="X613" i="9"/>
  <c r="W613" i="9"/>
  <c r="AC613" i="9" s="1"/>
  <c r="V613" i="9"/>
  <c r="U613" i="9"/>
  <c r="AB613" i="9" s="1"/>
  <c r="T613" i="9"/>
  <c r="S613" i="9"/>
  <c r="AA613" i="9" s="1"/>
  <c r="R613" i="9"/>
  <c r="P613" i="9"/>
  <c r="D613" i="9"/>
  <c r="E613" i="9" s="1"/>
  <c r="AG612" i="9"/>
  <c r="AF612" i="9"/>
  <c r="Z612" i="9"/>
  <c r="Y612" i="9"/>
  <c r="AD612" i="9" s="1"/>
  <c r="X612" i="9"/>
  <c r="W612" i="9"/>
  <c r="AC612" i="9" s="1"/>
  <c r="V612" i="9"/>
  <c r="U612" i="9"/>
  <c r="AB612" i="9" s="1"/>
  <c r="T612" i="9"/>
  <c r="S612" i="9"/>
  <c r="R612" i="9"/>
  <c r="P612" i="9"/>
  <c r="D612" i="9"/>
  <c r="E612" i="9" s="1"/>
  <c r="AG611" i="9"/>
  <c r="AF611" i="9"/>
  <c r="Z611" i="9"/>
  <c r="Y611" i="9"/>
  <c r="AD611" i="9" s="1"/>
  <c r="X611" i="9"/>
  <c r="W611" i="9"/>
  <c r="AC611" i="9" s="1"/>
  <c r="V611" i="9"/>
  <c r="U611" i="9"/>
  <c r="AB611" i="9" s="1"/>
  <c r="T611" i="9"/>
  <c r="S611" i="9"/>
  <c r="AA611" i="9" s="1"/>
  <c r="R611" i="9"/>
  <c r="P611" i="9"/>
  <c r="D611" i="9"/>
  <c r="E611" i="9" s="1"/>
  <c r="AG610" i="9"/>
  <c r="AF610" i="9"/>
  <c r="Z610" i="9"/>
  <c r="Y610" i="9"/>
  <c r="AD610" i="9" s="1"/>
  <c r="X610" i="9"/>
  <c r="W610" i="9"/>
  <c r="AC610" i="9" s="1"/>
  <c r="V610" i="9"/>
  <c r="U610" i="9"/>
  <c r="AB610" i="9" s="1"/>
  <c r="T610" i="9"/>
  <c r="S610" i="9"/>
  <c r="R610" i="9"/>
  <c r="P610" i="9"/>
  <c r="D610" i="9"/>
  <c r="E610" i="9" s="1"/>
  <c r="AG609" i="9"/>
  <c r="AF609" i="9"/>
  <c r="Z609" i="9"/>
  <c r="Y609" i="9"/>
  <c r="AD609" i="9" s="1"/>
  <c r="X609" i="9"/>
  <c r="W609" i="9"/>
  <c r="V609" i="9"/>
  <c r="U609" i="9"/>
  <c r="AB609" i="9" s="1"/>
  <c r="T609" i="9"/>
  <c r="S609" i="9"/>
  <c r="AA609" i="9" s="1"/>
  <c r="R609" i="9"/>
  <c r="P609" i="9"/>
  <c r="D609" i="9"/>
  <c r="E609" i="9" s="1"/>
  <c r="AG608" i="9"/>
  <c r="AF608" i="9"/>
  <c r="Z608" i="9"/>
  <c r="Y608" i="9"/>
  <c r="AD608" i="9" s="1"/>
  <c r="X608" i="9"/>
  <c r="W608" i="9"/>
  <c r="AC608" i="9" s="1"/>
  <c r="V608" i="9"/>
  <c r="U608" i="9"/>
  <c r="AB608" i="9" s="1"/>
  <c r="T608" i="9"/>
  <c r="S608" i="9"/>
  <c r="AA608" i="9" s="1"/>
  <c r="R608" i="9"/>
  <c r="P608" i="9"/>
  <c r="D608" i="9"/>
  <c r="E608" i="9" s="1"/>
  <c r="AG607" i="9"/>
  <c r="AF607" i="9"/>
  <c r="Z607" i="9"/>
  <c r="Y607" i="9"/>
  <c r="AD607" i="9" s="1"/>
  <c r="X607" i="9"/>
  <c r="W607" i="9"/>
  <c r="AC607" i="9" s="1"/>
  <c r="V607" i="9"/>
  <c r="U607" i="9"/>
  <c r="AB607" i="9" s="1"/>
  <c r="T607" i="9"/>
  <c r="S607" i="9"/>
  <c r="R607" i="9"/>
  <c r="P607" i="9"/>
  <c r="D607" i="9"/>
  <c r="E607" i="9" s="1"/>
  <c r="AG606" i="9"/>
  <c r="AF606" i="9"/>
  <c r="Z606" i="9"/>
  <c r="Y606" i="9"/>
  <c r="AD606" i="9" s="1"/>
  <c r="X606" i="9"/>
  <c r="W606" i="9"/>
  <c r="AC606" i="9" s="1"/>
  <c r="V606" i="9"/>
  <c r="U606" i="9"/>
  <c r="AB606" i="9" s="1"/>
  <c r="T606" i="9"/>
  <c r="S606" i="9"/>
  <c r="AA606" i="9" s="1"/>
  <c r="R606" i="9"/>
  <c r="P606" i="9"/>
  <c r="D606" i="9"/>
  <c r="E606" i="9" s="1"/>
  <c r="AG605" i="9"/>
  <c r="AF605" i="9"/>
  <c r="Z605" i="9"/>
  <c r="Y605" i="9"/>
  <c r="AD605" i="9" s="1"/>
  <c r="X605" i="9"/>
  <c r="W605" i="9"/>
  <c r="AC605" i="9" s="1"/>
  <c r="V605" i="9"/>
  <c r="U605" i="9"/>
  <c r="AB605" i="9" s="1"/>
  <c r="T605" i="9"/>
  <c r="S605" i="9"/>
  <c r="R605" i="9"/>
  <c r="P605" i="9"/>
  <c r="D605" i="9"/>
  <c r="E605" i="9" s="1"/>
  <c r="AG604" i="9"/>
  <c r="AF604" i="9"/>
  <c r="Z604" i="9"/>
  <c r="Y604" i="9"/>
  <c r="AD604" i="9" s="1"/>
  <c r="X604" i="9"/>
  <c r="W604" i="9"/>
  <c r="AC604" i="9" s="1"/>
  <c r="V604" i="9"/>
  <c r="U604" i="9"/>
  <c r="AB604" i="9" s="1"/>
  <c r="T604" i="9"/>
  <c r="S604" i="9"/>
  <c r="AA604" i="9" s="1"/>
  <c r="R604" i="9"/>
  <c r="P604" i="9"/>
  <c r="D604" i="9"/>
  <c r="E604" i="9" s="1"/>
  <c r="AG603" i="9"/>
  <c r="AF603" i="9"/>
  <c r="Z603" i="9"/>
  <c r="Y603" i="9"/>
  <c r="AD603" i="9" s="1"/>
  <c r="X603" i="9"/>
  <c r="W603" i="9"/>
  <c r="AC603" i="9" s="1"/>
  <c r="V603" i="9"/>
  <c r="U603" i="9"/>
  <c r="AB603" i="9" s="1"/>
  <c r="T603" i="9"/>
  <c r="S603" i="9"/>
  <c r="AA603" i="9" s="1"/>
  <c r="R603" i="9"/>
  <c r="P603" i="9"/>
  <c r="D603" i="9"/>
  <c r="E603" i="9" s="1"/>
  <c r="AG602" i="9"/>
  <c r="AF602" i="9"/>
  <c r="Z602" i="9"/>
  <c r="Y602" i="9"/>
  <c r="AD602" i="9" s="1"/>
  <c r="X602" i="9"/>
  <c r="W602" i="9"/>
  <c r="AC602" i="9" s="1"/>
  <c r="V602" i="9"/>
  <c r="U602" i="9"/>
  <c r="AB602" i="9" s="1"/>
  <c r="T602" i="9"/>
  <c r="S602" i="9"/>
  <c r="AA602" i="9" s="1"/>
  <c r="R602" i="9"/>
  <c r="P602" i="9"/>
  <c r="D602" i="9"/>
  <c r="E602" i="9" s="1"/>
  <c r="AG601" i="9"/>
  <c r="AF601" i="9"/>
  <c r="Z601" i="9"/>
  <c r="Y601" i="9"/>
  <c r="AD601" i="9" s="1"/>
  <c r="X601" i="9"/>
  <c r="W601" i="9"/>
  <c r="AC601" i="9" s="1"/>
  <c r="V601" i="9"/>
  <c r="U601" i="9"/>
  <c r="AB601" i="9" s="1"/>
  <c r="T601" i="9"/>
  <c r="S601" i="9"/>
  <c r="AA601" i="9" s="1"/>
  <c r="R601" i="9"/>
  <c r="P601" i="9"/>
  <c r="D601" i="9"/>
  <c r="E601" i="9" s="1"/>
  <c r="AG600" i="9"/>
  <c r="AF600" i="9"/>
  <c r="Z600" i="9"/>
  <c r="Y600" i="9"/>
  <c r="AD600" i="9" s="1"/>
  <c r="X600" i="9"/>
  <c r="W600" i="9"/>
  <c r="AC600" i="9" s="1"/>
  <c r="V600" i="9"/>
  <c r="U600" i="9"/>
  <c r="AB600" i="9" s="1"/>
  <c r="T600" i="9"/>
  <c r="S600" i="9"/>
  <c r="AA600" i="9" s="1"/>
  <c r="R600" i="9"/>
  <c r="P600" i="9"/>
  <c r="D600" i="9"/>
  <c r="E600" i="9" s="1"/>
  <c r="AG599" i="9"/>
  <c r="AF599" i="9"/>
  <c r="Z599" i="9"/>
  <c r="Y599" i="9"/>
  <c r="AD599" i="9" s="1"/>
  <c r="X599" i="9"/>
  <c r="W599" i="9"/>
  <c r="AC599" i="9" s="1"/>
  <c r="V599" i="9"/>
  <c r="U599" i="9"/>
  <c r="AB599" i="9" s="1"/>
  <c r="T599" i="9"/>
  <c r="S599" i="9"/>
  <c r="AA599" i="9" s="1"/>
  <c r="R599" i="9"/>
  <c r="P599" i="9"/>
  <c r="D599" i="9"/>
  <c r="E599" i="9" s="1"/>
  <c r="AG598" i="9"/>
  <c r="AF598" i="9"/>
  <c r="Z598" i="9"/>
  <c r="Y598" i="9"/>
  <c r="AD598" i="9" s="1"/>
  <c r="X598" i="9"/>
  <c r="W598" i="9"/>
  <c r="AC598" i="9" s="1"/>
  <c r="V598" i="9"/>
  <c r="U598" i="9"/>
  <c r="AB598" i="9" s="1"/>
  <c r="T598" i="9"/>
  <c r="S598" i="9"/>
  <c r="AA598" i="9" s="1"/>
  <c r="R598" i="9"/>
  <c r="P598" i="9"/>
  <c r="D598" i="9"/>
  <c r="E598" i="9" s="1"/>
  <c r="AG597" i="9"/>
  <c r="AF597" i="9"/>
  <c r="Z597" i="9"/>
  <c r="Y597" i="9"/>
  <c r="AD597" i="9" s="1"/>
  <c r="X597" i="9"/>
  <c r="W597" i="9"/>
  <c r="AC597" i="9" s="1"/>
  <c r="V597" i="9"/>
  <c r="U597" i="9"/>
  <c r="AB597" i="9" s="1"/>
  <c r="T597" i="9"/>
  <c r="S597" i="9"/>
  <c r="R597" i="9"/>
  <c r="P597" i="9"/>
  <c r="D597" i="9"/>
  <c r="E597" i="9" s="1"/>
  <c r="AG596" i="9"/>
  <c r="AF596" i="9"/>
  <c r="Z596" i="9"/>
  <c r="Y596" i="9"/>
  <c r="AD596" i="9" s="1"/>
  <c r="X596" i="9"/>
  <c r="W596" i="9"/>
  <c r="AC596" i="9" s="1"/>
  <c r="V596" i="9"/>
  <c r="U596" i="9"/>
  <c r="AB596" i="9" s="1"/>
  <c r="T596" i="9"/>
  <c r="S596" i="9"/>
  <c r="AA596" i="9" s="1"/>
  <c r="R596" i="9"/>
  <c r="P596" i="9"/>
  <c r="D596" i="9"/>
  <c r="E596" i="9" s="1"/>
  <c r="AG595" i="9"/>
  <c r="AF595" i="9"/>
  <c r="Z595" i="9"/>
  <c r="Y595" i="9"/>
  <c r="AD595" i="9" s="1"/>
  <c r="X595" i="9"/>
  <c r="W595" i="9"/>
  <c r="AC595" i="9" s="1"/>
  <c r="V595" i="9"/>
  <c r="U595" i="9"/>
  <c r="AB595" i="9" s="1"/>
  <c r="T595" i="9"/>
  <c r="S595" i="9"/>
  <c r="AA595" i="9" s="1"/>
  <c r="R595" i="9"/>
  <c r="P595" i="9"/>
  <c r="D595" i="9"/>
  <c r="E595" i="9" s="1"/>
  <c r="AG594" i="9"/>
  <c r="AF594" i="9"/>
  <c r="Z594" i="9"/>
  <c r="Y594" i="9"/>
  <c r="AD594" i="9" s="1"/>
  <c r="X594" i="9"/>
  <c r="W594" i="9"/>
  <c r="AC594" i="9" s="1"/>
  <c r="V594" i="9"/>
  <c r="U594" i="9"/>
  <c r="AB594" i="9" s="1"/>
  <c r="T594" i="9"/>
  <c r="S594" i="9"/>
  <c r="AA594" i="9" s="1"/>
  <c r="R594" i="9"/>
  <c r="P594" i="9"/>
  <c r="D594" i="9"/>
  <c r="E594" i="9" s="1"/>
  <c r="AG593" i="9"/>
  <c r="AF593" i="9"/>
  <c r="Z593" i="9"/>
  <c r="Y593" i="9"/>
  <c r="AD593" i="9" s="1"/>
  <c r="X593" i="9"/>
  <c r="W593" i="9"/>
  <c r="AC593" i="9" s="1"/>
  <c r="V593" i="9"/>
  <c r="U593" i="9"/>
  <c r="AB593" i="9" s="1"/>
  <c r="T593" i="9"/>
  <c r="S593" i="9"/>
  <c r="AA593" i="9" s="1"/>
  <c r="R593" i="9"/>
  <c r="P593" i="9"/>
  <c r="D593" i="9"/>
  <c r="E593" i="9" s="1"/>
  <c r="AG592" i="9"/>
  <c r="AF592" i="9"/>
  <c r="Z592" i="9"/>
  <c r="Y592" i="9"/>
  <c r="AD592" i="9" s="1"/>
  <c r="X592" i="9"/>
  <c r="W592" i="9"/>
  <c r="AC592" i="9" s="1"/>
  <c r="V592" i="9"/>
  <c r="U592" i="9"/>
  <c r="AB592" i="9" s="1"/>
  <c r="T592" i="9"/>
  <c r="S592" i="9"/>
  <c r="AA592" i="9" s="1"/>
  <c r="R592" i="9"/>
  <c r="P592" i="9"/>
  <c r="D592" i="9"/>
  <c r="E592" i="9" s="1"/>
  <c r="AG591" i="9"/>
  <c r="AF591" i="9"/>
  <c r="Z591" i="9"/>
  <c r="Y591" i="9"/>
  <c r="AD591" i="9" s="1"/>
  <c r="X591" i="9"/>
  <c r="W591" i="9"/>
  <c r="AC591" i="9" s="1"/>
  <c r="V591" i="9"/>
  <c r="U591" i="9"/>
  <c r="AB591" i="9" s="1"/>
  <c r="T591" i="9"/>
  <c r="S591" i="9"/>
  <c r="R591" i="9"/>
  <c r="P591" i="9"/>
  <c r="D591" i="9"/>
  <c r="E591" i="9" s="1"/>
  <c r="AG590" i="9"/>
  <c r="AF590" i="9"/>
  <c r="Z590" i="9"/>
  <c r="Y590" i="9"/>
  <c r="AD590" i="9" s="1"/>
  <c r="X590" i="9"/>
  <c r="W590" i="9"/>
  <c r="AC590" i="9" s="1"/>
  <c r="V590" i="9"/>
  <c r="U590" i="9"/>
  <c r="AB590" i="9" s="1"/>
  <c r="T590" i="9"/>
  <c r="S590" i="9"/>
  <c r="AA590" i="9" s="1"/>
  <c r="R590" i="9"/>
  <c r="P590" i="9"/>
  <c r="D590" i="9"/>
  <c r="E590" i="9" s="1"/>
  <c r="AG589" i="9"/>
  <c r="AF589" i="9"/>
  <c r="Z589" i="9"/>
  <c r="Y589" i="9"/>
  <c r="AD589" i="9" s="1"/>
  <c r="X589" i="9"/>
  <c r="W589" i="9"/>
  <c r="AC589" i="9" s="1"/>
  <c r="V589" i="9"/>
  <c r="U589" i="9"/>
  <c r="AB589" i="9" s="1"/>
  <c r="T589" i="9"/>
  <c r="S589" i="9"/>
  <c r="AA589" i="9" s="1"/>
  <c r="R589" i="9"/>
  <c r="P589" i="9"/>
  <c r="D589" i="9"/>
  <c r="E589" i="9" s="1"/>
  <c r="AG588" i="9"/>
  <c r="AF588" i="9"/>
  <c r="Z588" i="9"/>
  <c r="Y588" i="9"/>
  <c r="AD588" i="9" s="1"/>
  <c r="X588" i="9"/>
  <c r="W588" i="9"/>
  <c r="AC588" i="9" s="1"/>
  <c r="V588" i="9"/>
  <c r="U588" i="9"/>
  <c r="AB588" i="9" s="1"/>
  <c r="T588" i="9"/>
  <c r="S588" i="9"/>
  <c r="R588" i="9"/>
  <c r="P588" i="9"/>
  <c r="D588" i="9"/>
  <c r="E588" i="9" s="1"/>
  <c r="AG587" i="9"/>
  <c r="AF587" i="9"/>
  <c r="Z587" i="9"/>
  <c r="Y587" i="9"/>
  <c r="AD587" i="9" s="1"/>
  <c r="X587" i="9"/>
  <c r="W587" i="9"/>
  <c r="AC587" i="9" s="1"/>
  <c r="V587" i="9"/>
  <c r="U587" i="9"/>
  <c r="AB587" i="9" s="1"/>
  <c r="T587" i="9"/>
  <c r="S587" i="9"/>
  <c r="R587" i="9"/>
  <c r="P587" i="9"/>
  <c r="D587" i="9"/>
  <c r="E587" i="9" s="1"/>
  <c r="AG586" i="9"/>
  <c r="AF586" i="9"/>
  <c r="Z586" i="9"/>
  <c r="Y586" i="9"/>
  <c r="AD586" i="9" s="1"/>
  <c r="X586" i="9"/>
  <c r="W586" i="9"/>
  <c r="AC586" i="9" s="1"/>
  <c r="V586" i="9"/>
  <c r="U586" i="9"/>
  <c r="AB586" i="9" s="1"/>
  <c r="T586" i="9"/>
  <c r="S586" i="9"/>
  <c r="AA586" i="9" s="1"/>
  <c r="R586" i="9"/>
  <c r="P586" i="9"/>
  <c r="D586" i="9"/>
  <c r="E586" i="9" s="1"/>
  <c r="AG585" i="9"/>
  <c r="AF585" i="9"/>
  <c r="Z585" i="9"/>
  <c r="Y585" i="9"/>
  <c r="AD585" i="9" s="1"/>
  <c r="X585" i="9"/>
  <c r="W585" i="9"/>
  <c r="AC585" i="9" s="1"/>
  <c r="V585" i="9"/>
  <c r="U585" i="9"/>
  <c r="T585" i="9"/>
  <c r="S585" i="9"/>
  <c r="AA585" i="9" s="1"/>
  <c r="R585" i="9"/>
  <c r="P585" i="9"/>
  <c r="D585" i="9"/>
  <c r="E585" i="9" s="1"/>
  <c r="AG584" i="9"/>
  <c r="AF584" i="9"/>
  <c r="Z584" i="9"/>
  <c r="Y584" i="9"/>
  <c r="AD584" i="9" s="1"/>
  <c r="X584" i="9"/>
  <c r="W584" i="9"/>
  <c r="AC584" i="9" s="1"/>
  <c r="V584" i="9"/>
  <c r="U584" i="9"/>
  <c r="AB584" i="9" s="1"/>
  <c r="T584" i="9"/>
  <c r="S584" i="9"/>
  <c r="AA584" i="9" s="1"/>
  <c r="R584" i="9"/>
  <c r="P584" i="9"/>
  <c r="D584" i="9"/>
  <c r="E584" i="9" s="1"/>
  <c r="AG583" i="9"/>
  <c r="AF583" i="9"/>
  <c r="Z583" i="9"/>
  <c r="Y583" i="9"/>
  <c r="AD583" i="9" s="1"/>
  <c r="X583" i="9"/>
  <c r="W583" i="9"/>
  <c r="AC583" i="9" s="1"/>
  <c r="V583" i="9"/>
  <c r="U583" i="9"/>
  <c r="AB583" i="9" s="1"/>
  <c r="T583" i="9"/>
  <c r="S583" i="9"/>
  <c r="AA583" i="9" s="1"/>
  <c r="R583" i="9"/>
  <c r="P583" i="9"/>
  <c r="D583" i="9"/>
  <c r="E583" i="9" s="1"/>
  <c r="AG582" i="9"/>
  <c r="AF582" i="9"/>
  <c r="Z582" i="9"/>
  <c r="Y582" i="9"/>
  <c r="AD582" i="9" s="1"/>
  <c r="X582" i="9"/>
  <c r="W582" i="9"/>
  <c r="AC582" i="9" s="1"/>
  <c r="V582" i="9"/>
  <c r="U582" i="9"/>
  <c r="AB582" i="9" s="1"/>
  <c r="T582" i="9"/>
  <c r="S582" i="9"/>
  <c r="R582" i="9"/>
  <c r="P582" i="9"/>
  <c r="D582" i="9"/>
  <c r="E582" i="9" s="1"/>
  <c r="AG581" i="9"/>
  <c r="AF581" i="9"/>
  <c r="Z581" i="9"/>
  <c r="Y581" i="9"/>
  <c r="AD581" i="9" s="1"/>
  <c r="X581" i="9"/>
  <c r="W581" i="9"/>
  <c r="AC581" i="9" s="1"/>
  <c r="V581" i="9"/>
  <c r="U581" i="9"/>
  <c r="AB581" i="9" s="1"/>
  <c r="T581" i="9"/>
  <c r="S581" i="9"/>
  <c r="R581" i="9"/>
  <c r="P581" i="9"/>
  <c r="D581" i="9"/>
  <c r="E581" i="9" s="1"/>
  <c r="AG580" i="9"/>
  <c r="AF580" i="9"/>
  <c r="Z580" i="9"/>
  <c r="Y580" i="9"/>
  <c r="AD580" i="9" s="1"/>
  <c r="X580" i="9"/>
  <c r="W580" i="9"/>
  <c r="AC580" i="9" s="1"/>
  <c r="V580" i="9"/>
  <c r="U580" i="9"/>
  <c r="AB580" i="9" s="1"/>
  <c r="T580" i="9"/>
  <c r="S580" i="9"/>
  <c r="AA580" i="9" s="1"/>
  <c r="R580" i="9"/>
  <c r="P580" i="9"/>
  <c r="D580" i="9"/>
  <c r="E580" i="9" s="1"/>
  <c r="AG579" i="9"/>
  <c r="AF579" i="9"/>
  <c r="Z579" i="9"/>
  <c r="Y579" i="9"/>
  <c r="AD579" i="9" s="1"/>
  <c r="X579" i="9"/>
  <c r="W579" i="9"/>
  <c r="AC579" i="9" s="1"/>
  <c r="V579" i="9"/>
  <c r="U579" i="9"/>
  <c r="AB579" i="9" s="1"/>
  <c r="T579" i="9"/>
  <c r="S579" i="9"/>
  <c r="AA579" i="9" s="1"/>
  <c r="R579" i="9"/>
  <c r="P579" i="9"/>
  <c r="D579" i="9"/>
  <c r="E579" i="9" s="1"/>
  <c r="AG578" i="9"/>
  <c r="AF578" i="9"/>
  <c r="Z578" i="9"/>
  <c r="Y578" i="9"/>
  <c r="AD578" i="9" s="1"/>
  <c r="X578" i="9"/>
  <c r="W578" i="9"/>
  <c r="AC578" i="9" s="1"/>
  <c r="V578" i="9"/>
  <c r="U578" i="9"/>
  <c r="AB578" i="9" s="1"/>
  <c r="T578" i="9"/>
  <c r="S578" i="9"/>
  <c r="AA578" i="9" s="1"/>
  <c r="R578" i="9"/>
  <c r="P578" i="9"/>
  <c r="D578" i="9"/>
  <c r="E578" i="9" s="1"/>
  <c r="AG577" i="9"/>
  <c r="AF577" i="9"/>
  <c r="Z577" i="9"/>
  <c r="Y577" i="9"/>
  <c r="AD577" i="9" s="1"/>
  <c r="X577" i="9"/>
  <c r="W577" i="9"/>
  <c r="AC577" i="9" s="1"/>
  <c r="V577" i="9"/>
  <c r="U577" i="9"/>
  <c r="AB577" i="9" s="1"/>
  <c r="T577" i="9"/>
  <c r="S577" i="9"/>
  <c r="AA577" i="9" s="1"/>
  <c r="R577" i="9"/>
  <c r="P577" i="9"/>
  <c r="D577" i="9"/>
  <c r="E577" i="9" s="1"/>
  <c r="AG576" i="9"/>
  <c r="AF576" i="9"/>
  <c r="Z576" i="9"/>
  <c r="Y576" i="9"/>
  <c r="AD576" i="9" s="1"/>
  <c r="X576" i="9"/>
  <c r="W576" i="9"/>
  <c r="AC576" i="9" s="1"/>
  <c r="V576" i="9"/>
  <c r="U576" i="9"/>
  <c r="AB576" i="9" s="1"/>
  <c r="T576" i="9"/>
  <c r="S576" i="9"/>
  <c r="R576" i="9"/>
  <c r="P576" i="9"/>
  <c r="D576" i="9"/>
  <c r="E576" i="9" s="1"/>
  <c r="AG575" i="9"/>
  <c r="AF575" i="9"/>
  <c r="Z575" i="9"/>
  <c r="Y575" i="9"/>
  <c r="AD575" i="9" s="1"/>
  <c r="X575" i="9"/>
  <c r="W575" i="9"/>
  <c r="AC575" i="9" s="1"/>
  <c r="V575" i="9"/>
  <c r="U575" i="9"/>
  <c r="AB575" i="9" s="1"/>
  <c r="T575" i="9"/>
  <c r="S575" i="9"/>
  <c r="AA575" i="9" s="1"/>
  <c r="R575" i="9"/>
  <c r="P575" i="9"/>
  <c r="D575" i="9"/>
  <c r="E575" i="9" s="1"/>
  <c r="AG574" i="9"/>
  <c r="AF574" i="9"/>
  <c r="Z574" i="9"/>
  <c r="Y574" i="9"/>
  <c r="AD574" i="9" s="1"/>
  <c r="X574" i="9"/>
  <c r="W574" i="9"/>
  <c r="AC574" i="9" s="1"/>
  <c r="V574" i="9"/>
  <c r="U574" i="9"/>
  <c r="AB574" i="9" s="1"/>
  <c r="T574" i="9"/>
  <c r="S574" i="9"/>
  <c r="AA574" i="9" s="1"/>
  <c r="R574" i="9"/>
  <c r="P574" i="9"/>
  <c r="D574" i="9"/>
  <c r="E574" i="9" s="1"/>
  <c r="AG573" i="9"/>
  <c r="AF573" i="9"/>
  <c r="Z573" i="9"/>
  <c r="Y573" i="9"/>
  <c r="AD573" i="9" s="1"/>
  <c r="X573" i="9"/>
  <c r="W573" i="9"/>
  <c r="AC573" i="9" s="1"/>
  <c r="V573" i="9"/>
  <c r="U573" i="9"/>
  <c r="AB573" i="9" s="1"/>
  <c r="T573" i="9"/>
  <c r="S573" i="9"/>
  <c r="AA573" i="9" s="1"/>
  <c r="R573" i="9"/>
  <c r="P573" i="9"/>
  <c r="D573" i="9"/>
  <c r="E573" i="9" s="1"/>
  <c r="AG572" i="9"/>
  <c r="AF572" i="9"/>
  <c r="Z572" i="9"/>
  <c r="Y572" i="9"/>
  <c r="AD572" i="9" s="1"/>
  <c r="X572" i="9"/>
  <c r="W572" i="9"/>
  <c r="AC572" i="9" s="1"/>
  <c r="V572" i="9"/>
  <c r="U572" i="9"/>
  <c r="AB572" i="9" s="1"/>
  <c r="T572" i="9"/>
  <c r="S572" i="9"/>
  <c r="R572" i="9"/>
  <c r="P572" i="9"/>
  <c r="D572" i="9"/>
  <c r="E572" i="9" s="1"/>
  <c r="AG571" i="9"/>
  <c r="AF571" i="9"/>
  <c r="Z571" i="9"/>
  <c r="Y571" i="9"/>
  <c r="AD571" i="9" s="1"/>
  <c r="X571" i="9"/>
  <c r="W571" i="9"/>
  <c r="AC571" i="9" s="1"/>
  <c r="V571" i="9"/>
  <c r="U571" i="9"/>
  <c r="AB571" i="9" s="1"/>
  <c r="T571" i="9"/>
  <c r="S571" i="9"/>
  <c r="AA571" i="9" s="1"/>
  <c r="R571" i="9"/>
  <c r="P571" i="9"/>
  <c r="AE571" i="9" s="1"/>
  <c r="D571" i="9"/>
  <c r="E571" i="9" s="1"/>
  <c r="AG570" i="9"/>
  <c r="AF570" i="9"/>
  <c r="Z570" i="9"/>
  <c r="Y570" i="9"/>
  <c r="AD570" i="9" s="1"/>
  <c r="X570" i="9"/>
  <c r="W570" i="9"/>
  <c r="AC570" i="9" s="1"/>
  <c r="V570" i="9"/>
  <c r="U570" i="9"/>
  <c r="AB570" i="9" s="1"/>
  <c r="T570" i="9"/>
  <c r="S570" i="9"/>
  <c r="AA570" i="9" s="1"/>
  <c r="R570" i="9"/>
  <c r="P570" i="9"/>
  <c r="D570" i="9"/>
  <c r="E570" i="9" s="1"/>
  <c r="AG569" i="9"/>
  <c r="AF569" i="9"/>
  <c r="Z569" i="9"/>
  <c r="Y569" i="9"/>
  <c r="AD569" i="9" s="1"/>
  <c r="X569" i="9"/>
  <c r="W569" i="9"/>
  <c r="AC569" i="9" s="1"/>
  <c r="V569" i="9"/>
  <c r="U569" i="9"/>
  <c r="AB569" i="9" s="1"/>
  <c r="T569" i="9"/>
  <c r="S569" i="9"/>
  <c r="AA569" i="9" s="1"/>
  <c r="R569" i="9"/>
  <c r="P569" i="9"/>
  <c r="D569" i="9"/>
  <c r="E569" i="9" s="1"/>
  <c r="AG568" i="9"/>
  <c r="AF568" i="9"/>
  <c r="Z568" i="9"/>
  <c r="Y568" i="9"/>
  <c r="AD568" i="9" s="1"/>
  <c r="X568" i="9"/>
  <c r="W568" i="9"/>
  <c r="AC568" i="9" s="1"/>
  <c r="V568" i="9"/>
  <c r="U568" i="9"/>
  <c r="AB568" i="9" s="1"/>
  <c r="T568" i="9"/>
  <c r="S568" i="9"/>
  <c r="AA568" i="9" s="1"/>
  <c r="R568" i="9"/>
  <c r="P568" i="9"/>
  <c r="D568" i="9"/>
  <c r="E568" i="9" s="1"/>
  <c r="AG567" i="9"/>
  <c r="AF567" i="9"/>
  <c r="Z567" i="9"/>
  <c r="Y567" i="9"/>
  <c r="AD567" i="9" s="1"/>
  <c r="X567" i="9"/>
  <c r="W567" i="9"/>
  <c r="AC567" i="9" s="1"/>
  <c r="V567" i="9"/>
  <c r="U567" i="9"/>
  <c r="AB567" i="9" s="1"/>
  <c r="T567" i="9"/>
  <c r="S567" i="9"/>
  <c r="AA567" i="9" s="1"/>
  <c r="R567" i="9"/>
  <c r="P567" i="9"/>
  <c r="D567" i="9"/>
  <c r="E567" i="9" s="1"/>
  <c r="AG566" i="9"/>
  <c r="AF566" i="9"/>
  <c r="Z566" i="9"/>
  <c r="Y566" i="9"/>
  <c r="AD566" i="9" s="1"/>
  <c r="X566" i="9"/>
  <c r="W566" i="9"/>
  <c r="AC566" i="9" s="1"/>
  <c r="V566" i="9"/>
  <c r="U566" i="9"/>
  <c r="AB566" i="9" s="1"/>
  <c r="T566" i="9"/>
  <c r="S566" i="9"/>
  <c r="R566" i="9"/>
  <c r="P566" i="9"/>
  <c r="D566" i="9"/>
  <c r="E566" i="9" s="1"/>
  <c r="AG565" i="9"/>
  <c r="AF565" i="9"/>
  <c r="Z565" i="9"/>
  <c r="Y565" i="9"/>
  <c r="AD565" i="9" s="1"/>
  <c r="X565" i="9"/>
  <c r="W565" i="9"/>
  <c r="AC565" i="9" s="1"/>
  <c r="V565" i="9"/>
  <c r="U565" i="9"/>
  <c r="AB565" i="9" s="1"/>
  <c r="T565" i="9"/>
  <c r="S565" i="9"/>
  <c r="AA565" i="9" s="1"/>
  <c r="R565" i="9"/>
  <c r="P565" i="9"/>
  <c r="D565" i="9"/>
  <c r="E565" i="9" s="1"/>
  <c r="AG564" i="9"/>
  <c r="AF564" i="9"/>
  <c r="Z564" i="9"/>
  <c r="Y564" i="9"/>
  <c r="AD564" i="9" s="1"/>
  <c r="X564" i="9"/>
  <c r="W564" i="9"/>
  <c r="AC564" i="9" s="1"/>
  <c r="V564" i="9"/>
  <c r="U564" i="9"/>
  <c r="AB564" i="9" s="1"/>
  <c r="T564" i="9"/>
  <c r="S564" i="9"/>
  <c r="AA564" i="9" s="1"/>
  <c r="R564" i="9"/>
  <c r="P564" i="9"/>
  <c r="D564" i="9"/>
  <c r="E564" i="9" s="1"/>
  <c r="AG563" i="9"/>
  <c r="AF563" i="9"/>
  <c r="Z563" i="9"/>
  <c r="Y563" i="9"/>
  <c r="AD563" i="9" s="1"/>
  <c r="X563" i="9"/>
  <c r="W563" i="9"/>
  <c r="AC563" i="9" s="1"/>
  <c r="V563" i="9"/>
  <c r="U563" i="9"/>
  <c r="AB563" i="9" s="1"/>
  <c r="T563" i="9"/>
  <c r="S563" i="9"/>
  <c r="AA563" i="9" s="1"/>
  <c r="R563" i="9"/>
  <c r="P563" i="9"/>
  <c r="D563" i="9"/>
  <c r="E563" i="9" s="1"/>
  <c r="AG562" i="9"/>
  <c r="AF562" i="9"/>
  <c r="Z562" i="9"/>
  <c r="Y562" i="9"/>
  <c r="AD562" i="9" s="1"/>
  <c r="X562" i="9"/>
  <c r="W562" i="9"/>
  <c r="AC562" i="9" s="1"/>
  <c r="V562" i="9"/>
  <c r="U562" i="9"/>
  <c r="AB562" i="9" s="1"/>
  <c r="T562" i="9"/>
  <c r="S562" i="9"/>
  <c r="AA562" i="9" s="1"/>
  <c r="R562" i="9"/>
  <c r="P562" i="9"/>
  <c r="D562" i="9"/>
  <c r="E562" i="9" s="1"/>
  <c r="AG561" i="9"/>
  <c r="AF561" i="9"/>
  <c r="Z561" i="9"/>
  <c r="Y561" i="9"/>
  <c r="AD561" i="9" s="1"/>
  <c r="X561" i="9"/>
  <c r="W561" i="9"/>
  <c r="AC561" i="9" s="1"/>
  <c r="V561" i="9"/>
  <c r="U561" i="9"/>
  <c r="AB561" i="9" s="1"/>
  <c r="T561" i="9"/>
  <c r="S561" i="9"/>
  <c r="AA561" i="9" s="1"/>
  <c r="R561" i="9"/>
  <c r="P561" i="9"/>
  <c r="D561" i="9"/>
  <c r="E561" i="9" s="1"/>
  <c r="AG560" i="9"/>
  <c r="AF560" i="9"/>
  <c r="Z560" i="9"/>
  <c r="Y560" i="9"/>
  <c r="AD560" i="9" s="1"/>
  <c r="X560" i="9"/>
  <c r="W560" i="9"/>
  <c r="V560" i="9"/>
  <c r="U560" i="9"/>
  <c r="AB560" i="9" s="1"/>
  <c r="T560" i="9"/>
  <c r="S560" i="9"/>
  <c r="R560" i="9"/>
  <c r="P560" i="9"/>
  <c r="D560" i="9"/>
  <c r="E560" i="9" s="1"/>
  <c r="AG559" i="9"/>
  <c r="AF559" i="9"/>
  <c r="Z559" i="9"/>
  <c r="Y559" i="9"/>
  <c r="AD559" i="9" s="1"/>
  <c r="X559" i="9"/>
  <c r="W559" i="9"/>
  <c r="AC559" i="9" s="1"/>
  <c r="V559" i="9"/>
  <c r="U559" i="9"/>
  <c r="AB559" i="9" s="1"/>
  <c r="T559" i="9"/>
  <c r="S559" i="9"/>
  <c r="AA559" i="9" s="1"/>
  <c r="R559" i="9"/>
  <c r="P559" i="9"/>
  <c r="D559" i="9"/>
  <c r="E559" i="9" s="1"/>
  <c r="AG558" i="9"/>
  <c r="AF558" i="9"/>
  <c r="Z558" i="9"/>
  <c r="Y558" i="9"/>
  <c r="AD558" i="9" s="1"/>
  <c r="X558" i="9"/>
  <c r="W558" i="9"/>
  <c r="AC558" i="9" s="1"/>
  <c r="V558" i="9"/>
  <c r="U558" i="9"/>
  <c r="AB558" i="9" s="1"/>
  <c r="T558" i="9"/>
  <c r="S558" i="9"/>
  <c r="AA558" i="9" s="1"/>
  <c r="R558" i="9"/>
  <c r="P558" i="9"/>
  <c r="D558" i="9"/>
  <c r="E558" i="9" s="1"/>
  <c r="AG557" i="9"/>
  <c r="AF557" i="9"/>
  <c r="Z557" i="9"/>
  <c r="Y557" i="9"/>
  <c r="AD557" i="9" s="1"/>
  <c r="X557" i="9"/>
  <c r="W557" i="9"/>
  <c r="AC557" i="9" s="1"/>
  <c r="V557" i="9"/>
  <c r="U557" i="9"/>
  <c r="AB557" i="9" s="1"/>
  <c r="T557" i="9"/>
  <c r="S557" i="9"/>
  <c r="AA557" i="9" s="1"/>
  <c r="R557" i="9"/>
  <c r="P557" i="9"/>
  <c r="D557" i="9"/>
  <c r="E557" i="9" s="1"/>
  <c r="AG556" i="9"/>
  <c r="AF556" i="9"/>
  <c r="Z556" i="9"/>
  <c r="Y556" i="9"/>
  <c r="AD556" i="9" s="1"/>
  <c r="X556" i="9"/>
  <c r="W556" i="9"/>
  <c r="AC556" i="9" s="1"/>
  <c r="V556" i="9"/>
  <c r="U556" i="9"/>
  <c r="AB556" i="9" s="1"/>
  <c r="T556" i="9"/>
  <c r="S556" i="9"/>
  <c r="AA556" i="9" s="1"/>
  <c r="R556" i="9"/>
  <c r="P556" i="9"/>
  <c r="D556" i="9"/>
  <c r="E556" i="9" s="1"/>
  <c r="AG555" i="9"/>
  <c r="AF555" i="9"/>
  <c r="Z555" i="9"/>
  <c r="Y555" i="9"/>
  <c r="AD555" i="9" s="1"/>
  <c r="X555" i="9"/>
  <c r="W555" i="9"/>
  <c r="V555" i="9"/>
  <c r="U555" i="9"/>
  <c r="AB555" i="9" s="1"/>
  <c r="T555" i="9"/>
  <c r="S555" i="9"/>
  <c r="AA555" i="9" s="1"/>
  <c r="R555" i="9"/>
  <c r="P555" i="9"/>
  <c r="D555" i="9"/>
  <c r="E555" i="9" s="1"/>
  <c r="AG554" i="9"/>
  <c r="AF554" i="9"/>
  <c r="Z554" i="9"/>
  <c r="Y554" i="9"/>
  <c r="AD554" i="9" s="1"/>
  <c r="X554" i="9"/>
  <c r="W554" i="9"/>
  <c r="AC554" i="9" s="1"/>
  <c r="V554" i="9"/>
  <c r="U554" i="9"/>
  <c r="AB554" i="9" s="1"/>
  <c r="T554" i="9"/>
  <c r="S554" i="9"/>
  <c r="R554" i="9"/>
  <c r="P554" i="9"/>
  <c r="D554" i="9"/>
  <c r="E554" i="9" s="1"/>
  <c r="AG553" i="9"/>
  <c r="AF553" i="9"/>
  <c r="Z553" i="9"/>
  <c r="Y553" i="9"/>
  <c r="AD553" i="9" s="1"/>
  <c r="X553" i="9"/>
  <c r="W553" i="9"/>
  <c r="AC553" i="9" s="1"/>
  <c r="V553" i="9"/>
  <c r="U553" i="9"/>
  <c r="AB553" i="9" s="1"/>
  <c r="T553" i="9"/>
  <c r="S553" i="9"/>
  <c r="AA553" i="9" s="1"/>
  <c r="R553" i="9"/>
  <c r="P553" i="9"/>
  <c r="D553" i="9"/>
  <c r="E553" i="9" s="1"/>
  <c r="AG552" i="9"/>
  <c r="AF552" i="9"/>
  <c r="Z552" i="9"/>
  <c r="Y552" i="9"/>
  <c r="AD552" i="9" s="1"/>
  <c r="X552" i="9"/>
  <c r="W552" i="9"/>
  <c r="AC552" i="9" s="1"/>
  <c r="V552" i="9"/>
  <c r="U552" i="9"/>
  <c r="AB552" i="9" s="1"/>
  <c r="T552" i="9"/>
  <c r="S552" i="9"/>
  <c r="R552" i="9"/>
  <c r="P552" i="9"/>
  <c r="D552" i="9"/>
  <c r="E552" i="9" s="1"/>
  <c r="AG551" i="9"/>
  <c r="AF551" i="9"/>
  <c r="Z551" i="9"/>
  <c r="Y551" i="9"/>
  <c r="AD551" i="9" s="1"/>
  <c r="X551" i="9"/>
  <c r="W551" i="9"/>
  <c r="AC551" i="9" s="1"/>
  <c r="V551" i="9"/>
  <c r="U551" i="9"/>
  <c r="AB551" i="9" s="1"/>
  <c r="T551" i="9"/>
  <c r="S551" i="9"/>
  <c r="AA551" i="9" s="1"/>
  <c r="R551" i="9"/>
  <c r="P551" i="9"/>
  <c r="D551" i="9"/>
  <c r="E551" i="9" s="1"/>
  <c r="AG550" i="9"/>
  <c r="AF550" i="9"/>
  <c r="Z550" i="9"/>
  <c r="Y550" i="9"/>
  <c r="AD550" i="9" s="1"/>
  <c r="X550" i="9"/>
  <c r="W550" i="9"/>
  <c r="AC550" i="9" s="1"/>
  <c r="V550" i="9"/>
  <c r="U550" i="9"/>
  <c r="AB550" i="9" s="1"/>
  <c r="T550" i="9"/>
  <c r="S550" i="9"/>
  <c r="AA550" i="9" s="1"/>
  <c r="R550" i="9"/>
  <c r="P550" i="9"/>
  <c r="D550" i="9"/>
  <c r="E550" i="9" s="1"/>
  <c r="AG549" i="9"/>
  <c r="AF549" i="9"/>
  <c r="Z549" i="9"/>
  <c r="Y549" i="9"/>
  <c r="AD549" i="9" s="1"/>
  <c r="X549" i="9"/>
  <c r="W549" i="9"/>
  <c r="AC549" i="9" s="1"/>
  <c r="V549" i="9"/>
  <c r="U549" i="9"/>
  <c r="AB549" i="9" s="1"/>
  <c r="T549" i="9"/>
  <c r="S549" i="9"/>
  <c r="AA549" i="9" s="1"/>
  <c r="R549" i="9"/>
  <c r="P549" i="9"/>
  <c r="D549" i="9"/>
  <c r="E549" i="9" s="1"/>
  <c r="AG548" i="9"/>
  <c r="AF548" i="9"/>
  <c r="Z548" i="9"/>
  <c r="Y548" i="9"/>
  <c r="AD548" i="9" s="1"/>
  <c r="X548" i="9"/>
  <c r="W548" i="9"/>
  <c r="AC548" i="9" s="1"/>
  <c r="V548" i="9"/>
  <c r="U548" i="9"/>
  <c r="AB548" i="9" s="1"/>
  <c r="T548" i="9"/>
  <c r="S548" i="9"/>
  <c r="R548" i="9"/>
  <c r="P548" i="9"/>
  <c r="D548" i="9"/>
  <c r="E548" i="9" s="1"/>
  <c r="AG547" i="9"/>
  <c r="AF547" i="9"/>
  <c r="Z547" i="9"/>
  <c r="Y547" i="9"/>
  <c r="AD547" i="9" s="1"/>
  <c r="X547" i="9"/>
  <c r="W547" i="9"/>
  <c r="AC547" i="9" s="1"/>
  <c r="V547" i="9"/>
  <c r="U547" i="9"/>
  <c r="AB547" i="9" s="1"/>
  <c r="T547" i="9"/>
  <c r="S547" i="9"/>
  <c r="AA547" i="9" s="1"/>
  <c r="R547" i="9"/>
  <c r="P547" i="9"/>
  <c r="D547" i="9"/>
  <c r="E547" i="9" s="1"/>
  <c r="AG546" i="9"/>
  <c r="AF546" i="9"/>
  <c r="Z546" i="9"/>
  <c r="Y546" i="9"/>
  <c r="X546" i="9"/>
  <c r="W546" i="9"/>
  <c r="AC546" i="9" s="1"/>
  <c r="V546" i="9"/>
  <c r="U546" i="9"/>
  <c r="AB546" i="9" s="1"/>
  <c r="T546" i="9"/>
  <c r="S546" i="9"/>
  <c r="AA546" i="9" s="1"/>
  <c r="R546" i="9"/>
  <c r="P546" i="9"/>
  <c r="D546" i="9"/>
  <c r="E546" i="9" s="1"/>
  <c r="AG545" i="9"/>
  <c r="AF545" i="9"/>
  <c r="Z545" i="9"/>
  <c r="Y545" i="9"/>
  <c r="AD545" i="9" s="1"/>
  <c r="X545" i="9"/>
  <c r="W545" i="9"/>
  <c r="AC545" i="9" s="1"/>
  <c r="V545" i="9"/>
  <c r="U545" i="9"/>
  <c r="AB545" i="9" s="1"/>
  <c r="T545" i="9"/>
  <c r="S545" i="9"/>
  <c r="AA545" i="9" s="1"/>
  <c r="R545" i="9"/>
  <c r="P545" i="9"/>
  <c r="D545" i="9"/>
  <c r="E545" i="9" s="1"/>
  <c r="AG544" i="9"/>
  <c r="AF544" i="9"/>
  <c r="Z544" i="9"/>
  <c r="Y544" i="9"/>
  <c r="AD544" i="9" s="1"/>
  <c r="X544" i="9"/>
  <c r="W544" i="9"/>
  <c r="AC544" i="9" s="1"/>
  <c r="V544" i="9"/>
  <c r="U544" i="9"/>
  <c r="AB544" i="9" s="1"/>
  <c r="T544" i="9"/>
  <c r="S544" i="9"/>
  <c r="AA544" i="9" s="1"/>
  <c r="R544" i="9"/>
  <c r="P544" i="9"/>
  <c r="D544" i="9"/>
  <c r="E544" i="9" s="1"/>
  <c r="AG543" i="9"/>
  <c r="AF543" i="9"/>
  <c r="Z543" i="9"/>
  <c r="Y543" i="9"/>
  <c r="AD543" i="9" s="1"/>
  <c r="X543" i="9"/>
  <c r="W543" i="9"/>
  <c r="AC543" i="9" s="1"/>
  <c r="V543" i="9"/>
  <c r="U543" i="9"/>
  <c r="AB543" i="9" s="1"/>
  <c r="T543" i="9"/>
  <c r="S543" i="9"/>
  <c r="AA543" i="9" s="1"/>
  <c r="R543" i="9"/>
  <c r="P543" i="9"/>
  <c r="D543" i="9"/>
  <c r="E543" i="9" s="1"/>
  <c r="AG542" i="9"/>
  <c r="AF542" i="9"/>
  <c r="Z542" i="9"/>
  <c r="Y542" i="9"/>
  <c r="AD542" i="9" s="1"/>
  <c r="X542" i="9"/>
  <c r="W542" i="9"/>
  <c r="AC542" i="9" s="1"/>
  <c r="V542" i="9"/>
  <c r="U542" i="9"/>
  <c r="AB542" i="9" s="1"/>
  <c r="T542" i="9"/>
  <c r="S542" i="9"/>
  <c r="R542" i="9"/>
  <c r="P542" i="9"/>
  <c r="D542" i="9"/>
  <c r="E542" i="9" s="1"/>
  <c r="AG541" i="9"/>
  <c r="AF541" i="9"/>
  <c r="Z541" i="9"/>
  <c r="Y541" i="9"/>
  <c r="AD541" i="9" s="1"/>
  <c r="X541" i="9"/>
  <c r="W541" i="9"/>
  <c r="AC541" i="9" s="1"/>
  <c r="V541" i="9"/>
  <c r="U541" i="9"/>
  <c r="AB541" i="9" s="1"/>
  <c r="T541" i="9"/>
  <c r="S541" i="9"/>
  <c r="AA541" i="9" s="1"/>
  <c r="R541" i="9"/>
  <c r="P541" i="9"/>
  <c r="D541" i="9"/>
  <c r="E541" i="9" s="1"/>
  <c r="AG540" i="9"/>
  <c r="AF540" i="9"/>
  <c r="Z540" i="9"/>
  <c r="Y540" i="9"/>
  <c r="AD540" i="9" s="1"/>
  <c r="X540" i="9"/>
  <c r="W540" i="9"/>
  <c r="AC540" i="9" s="1"/>
  <c r="V540" i="9"/>
  <c r="U540" i="9"/>
  <c r="AB540" i="9" s="1"/>
  <c r="T540" i="9"/>
  <c r="S540" i="9"/>
  <c r="AA540" i="9" s="1"/>
  <c r="R540" i="9"/>
  <c r="P540" i="9"/>
  <c r="D540" i="9"/>
  <c r="E540" i="9" s="1"/>
  <c r="AG539" i="9"/>
  <c r="AF539" i="9"/>
  <c r="Z539" i="9"/>
  <c r="Y539" i="9"/>
  <c r="AD539" i="9" s="1"/>
  <c r="X539" i="9"/>
  <c r="W539" i="9"/>
  <c r="AC539" i="9" s="1"/>
  <c r="V539" i="9"/>
  <c r="U539" i="9"/>
  <c r="AB539" i="9" s="1"/>
  <c r="T539" i="9"/>
  <c r="S539" i="9"/>
  <c r="R539" i="9"/>
  <c r="P539" i="9"/>
  <c r="D539" i="9"/>
  <c r="E539" i="9" s="1"/>
  <c r="AG538" i="9"/>
  <c r="AF538" i="9"/>
  <c r="Z538" i="9"/>
  <c r="Y538" i="9"/>
  <c r="AD538" i="9" s="1"/>
  <c r="X538" i="9"/>
  <c r="W538" i="9"/>
  <c r="AC538" i="9" s="1"/>
  <c r="V538" i="9"/>
  <c r="U538" i="9"/>
  <c r="AB538" i="9" s="1"/>
  <c r="T538" i="9"/>
  <c r="S538" i="9"/>
  <c r="AA538" i="9" s="1"/>
  <c r="R538" i="9"/>
  <c r="P538" i="9"/>
  <c r="D538" i="9"/>
  <c r="E538" i="9" s="1"/>
  <c r="AG537" i="9"/>
  <c r="AF537" i="9"/>
  <c r="Z537" i="9"/>
  <c r="Y537" i="9"/>
  <c r="X537" i="9"/>
  <c r="W537" i="9"/>
  <c r="AC537" i="9" s="1"/>
  <c r="V537" i="9"/>
  <c r="U537" i="9"/>
  <c r="AB537" i="9" s="1"/>
  <c r="T537" i="9"/>
  <c r="S537" i="9"/>
  <c r="AA537" i="9" s="1"/>
  <c r="R537" i="9"/>
  <c r="P537" i="9"/>
  <c r="D537" i="9"/>
  <c r="E537" i="9" s="1"/>
  <c r="AG536" i="9"/>
  <c r="AF536" i="9"/>
  <c r="Z536" i="9"/>
  <c r="Y536" i="9"/>
  <c r="AD536" i="9" s="1"/>
  <c r="X536" i="9"/>
  <c r="W536" i="9"/>
  <c r="AC536" i="9" s="1"/>
  <c r="V536" i="9"/>
  <c r="U536" i="9"/>
  <c r="AB536" i="9" s="1"/>
  <c r="T536" i="9"/>
  <c r="S536" i="9"/>
  <c r="AA536" i="9" s="1"/>
  <c r="R536" i="9"/>
  <c r="P536" i="9"/>
  <c r="D536" i="9"/>
  <c r="E536" i="9" s="1"/>
  <c r="AG535" i="9"/>
  <c r="AF535" i="9"/>
  <c r="Z535" i="9"/>
  <c r="Y535" i="9"/>
  <c r="AD535" i="9" s="1"/>
  <c r="X535" i="9"/>
  <c r="W535" i="9"/>
  <c r="AC535" i="9" s="1"/>
  <c r="V535" i="9"/>
  <c r="U535" i="9"/>
  <c r="AB535" i="9" s="1"/>
  <c r="T535" i="9"/>
  <c r="S535" i="9"/>
  <c r="R535" i="9"/>
  <c r="P535" i="9"/>
  <c r="D535" i="9"/>
  <c r="E535" i="9" s="1"/>
  <c r="AG534" i="9"/>
  <c r="AF534" i="9"/>
  <c r="Z534" i="9"/>
  <c r="Y534" i="9"/>
  <c r="AD534" i="9" s="1"/>
  <c r="X534" i="9"/>
  <c r="W534" i="9"/>
  <c r="AC534" i="9" s="1"/>
  <c r="V534" i="9"/>
  <c r="U534" i="9"/>
  <c r="AB534" i="9" s="1"/>
  <c r="T534" i="9"/>
  <c r="S534" i="9"/>
  <c r="AA534" i="9" s="1"/>
  <c r="R534" i="9"/>
  <c r="P534" i="9"/>
  <c r="D534" i="9"/>
  <c r="E534" i="9" s="1"/>
  <c r="AG533" i="9"/>
  <c r="AF533" i="9"/>
  <c r="Z533" i="9"/>
  <c r="Y533" i="9"/>
  <c r="AD533" i="9" s="1"/>
  <c r="X533" i="9"/>
  <c r="W533" i="9"/>
  <c r="AC533" i="9" s="1"/>
  <c r="V533" i="9"/>
  <c r="U533" i="9"/>
  <c r="AB533" i="9" s="1"/>
  <c r="T533" i="9"/>
  <c r="S533" i="9"/>
  <c r="R533" i="9"/>
  <c r="P533" i="9"/>
  <c r="D533" i="9"/>
  <c r="E533" i="9" s="1"/>
  <c r="AG532" i="9"/>
  <c r="AF532" i="9"/>
  <c r="Z532" i="9"/>
  <c r="Y532" i="9"/>
  <c r="AD532" i="9" s="1"/>
  <c r="X532" i="9"/>
  <c r="W532" i="9"/>
  <c r="AC532" i="9" s="1"/>
  <c r="V532" i="9"/>
  <c r="U532" i="9"/>
  <c r="AB532" i="9" s="1"/>
  <c r="T532" i="9"/>
  <c r="S532" i="9"/>
  <c r="AA532" i="9" s="1"/>
  <c r="R532" i="9"/>
  <c r="P532" i="9"/>
  <c r="D532" i="9"/>
  <c r="E532" i="9" s="1"/>
  <c r="AG531" i="9"/>
  <c r="AF531" i="9"/>
  <c r="Z531" i="9"/>
  <c r="Y531" i="9"/>
  <c r="AD531" i="9" s="1"/>
  <c r="X531" i="9"/>
  <c r="W531" i="9"/>
  <c r="AC531" i="9" s="1"/>
  <c r="V531" i="9"/>
  <c r="U531" i="9"/>
  <c r="AB531" i="9" s="1"/>
  <c r="T531" i="9"/>
  <c r="S531" i="9"/>
  <c r="AA531" i="9" s="1"/>
  <c r="R531" i="9"/>
  <c r="P531" i="9"/>
  <c r="D531" i="9"/>
  <c r="E531" i="9" s="1"/>
  <c r="AG530" i="9"/>
  <c r="AF530" i="9"/>
  <c r="Z530" i="9"/>
  <c r="Y530" i="9"/>
  <c r="AD530" i="9" s="1"/>
  <c r="X530" i="9"/>
  <c r="W530" i="9"/>
  <c r="AC530" i="9" s="1"/>
  <c r="V530" i="9"/>
  <c r="U530" i="9"/>
  <c r="AB530" i="9" s="1"/>
  <c r="T530" i="9"/>
  <c r="S530" i="9"/>
  <c r="AA530" i="9" s="1"/>
  <c r="R530" i="9"/>
  <c r="P530" i="9"/>
  <c r="D530" i="9"/>
  <c r="E530" i="9" s="1"/>
  <c r="AG529" i="9"/>
  <c r="AF529" i="9"/>
  <c r="Z529" i="9"/>
  <c r="Y529" i="9"/>
  <c r="AD529" i="9" s="1"/>
  <c r="X529" i="9"/>
  <c r="W529" i="9"/>
  <c r="AC529" i="9" s="1"/>
  <c r="V529" i="9"/>
  <c r="U529" i="9"/>
  <c r="AB529" i="9" s="1"/>
  <c r="T529" i="9"/>
  <c r="S529" i="9"/>
  <c r="AA529" i="9" s="1"/>
  <c r="R529" i="9"/>
  <c r="P529" i="9"/>
  <c r="D529" i="9"/>
  <c r="E529" i="9" s="1"/>
  <c r="AG528" i="9"/>
  <c r="AF528" i="9"/>
  <c r="Z528" i="9"/>
  <c r="Y528" i="9"/>
  <c r="AD528" i="9" s="1"/>
  <c r="X528" i="9"/>
  <c r="W528" i="9"/>
  <c r="AC528" i="9" s="1"/>
  <c r="V528" i="9"/>
  <c r="U528" i="9"/>
  <c r="AB528" i="9" s="1"/>
  <c r="T528" i="9"/>
  <c r="S528" i="9"/>
  <c r="R528" i="9"/>
  <c r="P528" i="9"/>
  <c r="D528" i="9"/>
  <c r="E528" i="9" s="1"/>
  <c r="AG527" i="9"/>
  <c r="AF527" i="9"/>
  <c r="Z527" i="9"/>
  <c r="Y527" i="9"/>
  <c r="AD527" i="9" s="1"/>
  <c r="X527" i="9"/>
  <c r="W527" i="9"/>
  <c r="AC527" i="9" s="1"/>
  <c r="V527" i="9"/>
  <c r="U527" i="9"/>
  <c r="AB527" i="9" s="1"/>
  <c r="T527" i="9"/>
  <c r="S527" i="9"/>
  <c r="AA527" i="9" s="1"/>
  <c r="R527" i="9"/>
  <c r="P527" i="9"/>
  <c r="D527" i="9"/>
  <c r="E527" i="9" s="1"/>
  <c r="AG526" i="9"/>
  <c r="AF526" i="9"/>
  <c r="Z526" i="9"/>
  <c r="Y526" i="9"/>
  <c r="AD526" i="9" s="1"/>
  <c r="X526" i="9"/>
  <c r="W526" i="9"/>
  <c r="AC526" i="9" s="1"/>
  <c r="V526" i="9"/>
  <c r="U526" i="9"/>
  <c r="AB526" i="9" s="1"/>
  <c r="T526" i="9"/>
  <c r="S526" i="9"/>
  <c r="AA526" i="9" s="1"/>
  <c r="R526" i="9"/>
  <c r="P526" i="9"/>
  <c r="D526" i="9"/>
  <c r="E526" i="9" s="1"/>
  <c r="AG525" i="9"/>
  <c r="AF525" i="9"/>
  <c r="Z525" i="9"/>
  <c r="Y525" i="9"/>
  <c r="AD525" i="9" s="1"/>
  <c r="X525" i="9"/>
  <c r="W525" i="9"/>
  <c r="AC525" i="9" s="1"/>
  <c r="V525" i="9"/>
  <c r="U525" i="9"/>
  <c r="AB525" i="9" s="1"/>
  <c r="T525" i="9"/>
  <c r="S525" i="9"/>
  <c r="AA525" i="9" s="1"/>
  <c r="R525" i="9"/>
  <c r="P525" i="9"/>
  <c r="D525" i="9"/>
  <c r="E525" i="9" s="1"/>
  <c r="AG524" i="9"/>
  <c r="AF524" i="9"/>
  <c r="Z524" i="9"/>
  <c r="Y524" i="9"/>
  <c r="AD524" i="9" s="1"/>
  <c r="X524" i="9"/>
  <c r="W524" i="9"/>
  <c r="AC524" i="9" s="1"/>
  <c r="V524" i="9"/>
  <c r="U524" i="9"/>
  <c r="AB524" i="9" s="1"/>
  <c r="T524" i="9"/>
  <c r="S524" i="9"/>
  <c r="R524" i="9"/>
  <c r="P524" i="9"/>
  <c r="D524" i="9"/>
  <c r="E524" i="9" s="1"/>
  <c r="AG523" i="9"/>
  <c r="AF523" i="9"/>
  <c r="Z523" i="9"/>
  <c r="Y523" i="9"/>
  <c r="AD523" i="9" s="1"/>
  <c r="X523" i="9"/>
  <c r="W523" i="9"/>
  <c r="AC523" i="9" s="1"/>
  <c r="V523" i="9"/>
  <c r="U523" i="9"/>
  <c r="AB523" i="9" s="1"/>
  <c r="T523" i="9"/>
  <c r="S523" i="9"/>
  <c r="AA523" i="9" s="1"/>
  <c r="R523" i="9"/>
  <c r="P523" i="9"/>
  <c r="D523" i="9"/>
  <c r="E523" i="9" s="1"/>
  <c r="AG522" i="9"/>
  <c r="AF522" i="9"/>
  <c r="Z522" i="9"/>
  <c r="Y522" i="9"/>
  <c r="AD522" i="9" s="1"/>
  <c r="X522" i="9"/>
  <c r="W522" i="9"/>
  <c r="AC522" i="9" s="1"/>
  <c r="V522" i="9"/>
  <c r="U522" i="9"/>
  <c r="AB522" i="9" s="1"/>
  <c r="T522" i="9"/>
  <c r="S522" i="9"/>
  <c r="AA522" i="9" s="1"/>
  <c r="R522" i="9"/>
  <c r="P522" i="9"/>
  <c r="D522" i="9"/>
  <c r="E522" i="9" s="1"/>
  <c r="AG521" i="9"/>
  <c r="AF521" i="9"/>
  <c r="Z521" i="9"/>
  <c r="Y521" i="9"/>
  <c r="AD521" i="9" s="1"/>
  <c r="X521" i="9"/>
  <c r="W521" i="9"/>
  <c r="AC521" i="9" s="1"/>
  <c r="V521" i="9"/>
  <c r="U521" i="9"/>
  <c r="AB521" i="9" s="1"/>
  <c r="T521" i="9"/>
  <c r="S521" i="9"/>
  <c r="AA521" i="9" s="1"/>
  <c r="R521" i="9"/>
  <c r="P521" i="9"/>
  <c r="D521" i="9"/>
  <c r="E521" i="9" s="1"/>
  <c r="AG520" i="9"/>
  <c r="AF520" i="9"/>
  <c r="Z520" i="9"/>
  <c r="Y520" i="9"/>
  <c r="AD520" i="9" s="1"/>
  <c r="X520" i="9"/>
  <c r="W520" i="9"/>
  <c r="AC520" i="9" s="1"/>
  <c r="V520" i="9"/>
  <c r="U520" i="9"/>
  <c r="AB520" i="9" s="1"/>
  <c r="T520" i="9"/>
  <c r="S520" i="9"/>
  <c r="AA520" i="9" s="1"/>
  <c r="R520" i="9"/>
  <c r="P520" i="9"/>
  <c r="D520" i="9"/>
  <c r="E520" i="9" s="1"/>
  <c r="AG519" i="9"/>
  <c r="AF519" i="9"/>
  <c r="Z519" i="9"/>
  <c r="Y519" i="9"/>
  <c r="AD519" i="9" s="1"/>
  <c r="X519" i="9"/>
  <c r="W519" i="9"/>
  <c r="AC519" i="9" s="1"/>
  <c r="V519" i="9"/>
  <c r="U519" i="9"/>
  <c r="AB519" i="9" s="1"/>
  <c r="T519" i="9"/>
  <c r="S519" i="9"/>
  <c r="AA519" i="9" s="1"/>
  <c r="R519" i="9"/>
  <c r="P519" i="9"/>
  <c r="D519" i="9"/>
  <c r="E519" i="9" s="1"/>
  <c r="AG518" i="9"/>
  <c r="AF518" i="9"/>
  <c r="Z518" i="9"/>
  <c r="Y518" i="9"/>
  <c r="AD518" i="9" s="1"/>
  <c r="X518" i="9"/>
  <c r="W518" i="9"/>
  <c r="AC518" i="9" s="1"/>
  <c r="V518" i="9"/>
  <c r="U518" i="9"/>
  <c r="AB518" i="9" s="1"/>
  <c r="T518" i="9"/>
  <c r="S518" i="9"/>
  <c r="AA518" i="9" s="1"/>
  <c r="R518" i="9"/>
  <c r="P518" i="9"/>
  <c r="D518" i="9"/>
  <c r="E518" i="9" s="1"/>
  <c r="AG517" i="9"/>
  <c r="AF517" i="9"/>
  <c r="Z517" i="9"/>
  <c r="Y517" i="9"/>
  <c r="AD517" i="9" s="1"/>
  <c r="X517" i="9"/>
  <c r="W517" i="9"/>
  <c r="AC517" i="9" s="1"/>
  <c r="V517" i="9"/>
  <c r="U517" i="9"/>
  <c r="AB517" i="9" s="1"/>
  <c r="T517" i="9"/>
  <c r="S517" i="9"/>
  <c r="AA517" i="9" s="1"/>
  <c r="R517" i="9"/>
  <c r="P517" i="9"/>
  <c r="D517" i="9"/>
  <c r="E517" i="9" s="1"/>
  <c r="AG516" i="9"/>
  <c r="AF516" i="9"/>
  <c r="Z516" i="9"/>
  <c r="Y516" i="9"/>
  <c r="AD516" i="9" s="1"/>
  <c r="X516" i="9"/>
  <c r="W516" i="9"/>
  <c r="AC516" i="9" s="1"/>
  <c r="V516" i="9"/>
  <c r="U516" i="9"/>
  <c r="AB516" i="9" s="1"/>
  <c r="T516" i="9"/>
  <c r="S516" i="9"/>
  <c r="AA516" i="9" s="1"/>
  <c r="R516" i="9"/>
  <c r="P516" i="9"/>
  <c r="D516" i="9"/>
  <c r="E516" i="9" s="1"/>
  <c r="AG515" i="9"/>
  <c r="AF515" i="9"/>
  <c r="Z515" i="9"/>
  <c r="Y515" i="9"/>
  <c r="AD515" i="9" s="1"/>
  <c r="X515" i="9"/>
  <c r="W515" i="9"/>
  <c r="AC515" i="9" s="1"/>
  <c r="V515" i="9"/>
  <c r="U515" i="9"/>
  <c r="AB515" i="9" s="1"/>
  <c r="T515" i="9"/>
  <c r="S515" i="9"/>
  <c r="AA515" i="9" s="1"/>
  <c r="R515" i="9"/>
  <c r="P515" i="9"/>
  <c r="D515" i="9"/>
  <c r="E515" i="9" s="1"/>
  <c r="AG514" i="9"/>
  <c r="AF514" i="9"/>
  <c r="Z514" i="9"/>
  <c r="Y514" i="9"/>
  <c r="AD514" i="9" s="1"/>
  <c r="X514" i="9"/>
  <c r="W514" i="9"/>
  <c r="AC514" i="9" s="1"/>
  <c r="V514" i="9"/>
  <c r="U514" i="9"/>
  <c r="AB514" i="9" s="1"/>
  <c r="T514" i="9"/>
  <c r="S514" i="9"/>
  <c r="R514" i="9"/>
  <c r="P514" i="9"/>
  <c r="D514" i="9"/>
  <c r="E514" i="9" s="1"/>
  <c r="AG513" i="9"/>
  <c r="AF513" i="9"/>
  <c r="Z513" i="9"/>
  <c r="Y513" i="9"/>
  <c r="AD513" i="9" s="1"/>
  <c r="X513" i="9"/>
  <c r="W513" i="9"/>
  <c r="AC513" i="9" s="1"/>
  <c r="V513" i="9"/>
  <c r="U513" i="9"/>
  <c r="AB513" i="9" s="1"/>
  <c r="T513" i="9"/>
  <c r="S513" i="9"/>
  <c r="AA513" i="9" s="1"/>
  <c r="R513" i="9"/>
  <c r="P513" i="9"/>
  <c r="D513" i="9"/>
  <c r="E513" i="9" s="1"/>
  <c r="AG512" i="9"/>
  <c r="AF512" i="9"/>
  <c r="Z512" i="9"/>
  <c r="Y512" i="9"/>
  <c r="X512" i="9"/>
  <c r="W512" i="9"/>
  <c r="AC512" i="9" s="1"/>
  <c r="V512" i="9"/>
  <c r="U512" i="9"/>
  <c r="AB512" i="9" s="1"/>
  <c r="T512" i="9"/>
  <c r="S512" i="9"/>
  <c r="AA512" i="9" s="1"/>
  <c r="R512" i="9"/>
  <c r="P512" i="9"/>
  <c r="D512" i="9"/>
  <c r="E512" i="9" s="1"/>
  <c r="AG511" i="9"/>
  <c r="AF511" i="9"/>
  <c r="Z511" i="9"/>
  <c r="Y511" i="9"/>
  <c r="AD511" i="9" s="1"/>
  <c r="X511" i="9"/>
  <c r="W511" i="9"/>
  <c r="AC511" i="9" s="1"/>
  <c r="V511" i="9"/>
  <c r="U511" i="9"/>
  <c r="AB511" i="9" s="1"/>
  <c r="T511" i="9"/>
  <c r="S511" i="9"/>
  <c r="AA511" i="9" s="1"/>
  <c r="R511" i="9"/>
  <c r="P511" i="9"/>
  <c r="D511" i="9"/>
  <c r="E511" i="9" s="1"/>
  <c r="AG510" i="9"/>
  <c r="AF510" i="9"/>
  <c r="Z510" i="9"/>
  <c r="Y510" i="9"/>
  <c r="X510" i="9"/>
  <c r="W510" i="9"/>
  <c r="AC510" i="9" s="1"/>
  <c r="V510" i="9"/>
  <c r="U510" i="9"/>
  <c r="AB510" i="9" s="1"/>
  <c r="T510" i="9"/>
  <c r="S510" i="9"/>
  <c r="AA510" i="9" s="1"/>
  <c r="R510" i="9"/>
  <c r="P510" i="9"/>
  <c r="D510" i="9"/>
  <c r="E510" i="9" s="1"/>
  <c r="AG509" i="9"/>
  <c r="AF509" i="9"/>
  <c r="Z509" i="9"/>
  <c r="Y509" i="9"/>
  <c r="AD509" i="9" s="1"/>
  <c r="X509" i="9"/>
  <c r="W509" i="9"/>
  <c r="AC509" i="9" s="1"/>
  <c r="V509" i="9"/>
  <c r="U509" i="9"/>
  <c r="AB509" i="9" s="1"/>
  <c r="T509" i="9"/>
  <c r="S509" i="9"/>
  <c r="AA509" i="9" s="1"/>
  <c r="R509" i="9"/>
  <c r="P509" i="9"/>
  <c r="D509" i="9"/>
  <c r="E509" i="9" s="1"/>
  <c r="AG508" i="9"/>
  <c r="AF508" i="9"/>
  <c r="Z508" i="9"/>
  <c r="Y508" i="9"/>
  <c r="AD508" i="9" s="1"/>
  <c r="X508" i="9"/>
  <c r="W508" i="9"/>
  <c r="AC508" i="9" s="1"/>
  <c r="V508" i="9"/>
  <c r="U508" i="9"/>
  <c r="T508" i="9"/>
  <c r="S508" i="9"/>
  <c r="AA508" i="9" s="1"/>
  <c r="R508" i="9"/>
  <c r="P508" i="9"/>
  <c r="D508" i="9"/>
  <c r="E508" i="9" s="1"/>
  <c r="AG507" i="9"/>
  <c r="AF507" i="9"/>
  <c r="Z507" i="9"/>
  <c r="Y507" i="9"/>
  <c r="AD507" i="9" s="1"/>
  <c r="X507" i="9"/>
  <c r="W507" i="9"/>
  <c r="AC507" i="9" s="1"/>
  <c r="V507" i="9"/>
  <c r="U507" i="9"/>
  <c r="AB507" i="9" s="1"/>
  <c r="T507" i="9"/>
  <c r="S507" i="9"/>
  <c r="AA507" i="9" s="1"/>
  <c r="R507" i="9"/>
  <c r="P507" i="9"/>
  <c r="D507" i="9"/>
  <c r="E507" i="9" s="1"/>
  <c r="AG506" i="9"/>
  <c r="AF506" i="9"/>
  <c r="Z506" i="9"/>
  <c r="Y506" i="9"/>
  <c r="AD506" i="9" s="1"/>
  <c r="X506" i="9"/>
  <c r="W506" i="9"/>
  <c r="AC506" i="9" s="1"/>
  <c r="V506" i="9"/>
  <c r="U506" i="9"/>
  <c r="AB506" i="9" s="1"/>
  <c r="T506" i="9"/>
  <c r="S506" i="9"/>
  <c r="R506" i="9"/>
  <c r="P506" i="9"/>
  <c r="D506" i="9"/>
  <c r="E506" i="9" s="1"/>
  <c r="AG505" i="9"/>
  <c r="AF505" i="9"/>
  <c r="Z505" i="9"/>
  <c r="Y505" i="9"/>
  <c r="AD505" i="9" s="1"/>
  <c r="X505" i="9"/>
  <c r="W505" i="9"/>
  <c r="AC505" i="9" s="1"/>
  <c r="V505" i="9"/>
  <c r="U505" i="9"/>
  <c r="AB505" i="9" s="1"/>
  <c r="T505" i="9"/>
  <c r="S505" i="9"/>
  <c r="AA505" i="9" s="1"/>
  <c r="R505" i="9"/>
  <c r="P505" i="9"/>
  <c r="D505" i="9"/>
  <c r="E505" i="9" s="1"/>
  <c r="AG504" i="9"/>
  <c r="AF504" i="9"/>
  <c r="Z504" i="9"/>
  <c r="Y504" i="9"/>
  <c r="AD504" i="9" s="1"/>
  <c r="X504" i="9"/>
  <c r="W504" i="9"/>
  <c r="AC504" i="9" s="1"/>
  <c r="V504" i="9"/>
  <c r="U504" i="9"/>
  <c r="AB504" i="9" s="1"/>
  <c r="T504" i="9"/>
  <c r="S504" i="9"/>
  <c r="AA504" i="9" s="1"/>
  <c r="R504" i="9"/>
  <c r="P504" i="9"/>
  <c r="D504" i="9"/>
  <c r="E504" i="9" s="1"/>
  <c r="AG503" i="9"/>
  <c r="AF503" i="9"/>
  <c r="Z503" i="9"/>
  <c r="Y503" i="9"/>
  <c r="AD503" i="9" s="1"/>
  <c r="X503" i="9"/>
  <c r="W503" i="9"/>
  <c r="AC503" i="9" s="1"/>
  <c r="V503" i="9"/>
  <c r="U503" i="9"/>
  <c r="AB503" i="9" s="1"/>
  <c r="T503" i="9"/>
  <c r="S503" i="9"/>
  <c r="AA503" i="9" s="1"/>
  <c r="R503" i="9"/>
  <c r="P503" i="9"/>
  <c r="D503" i="9"/>
  <c r="E503" i="9" s="1"/>
  <c r="AG502" i="9"/>
  <c r="AF502" i="9"/>
  <c r="Z502" i="9"/>
  <c r="Y502" i="9"/>
  <c r="AD502" i="9" s="1"/>
  <c r="X502" i="9"/>
  <c r="W502" i="9"/>
  <c r="AC502" i="9" s="1"/>
  <c r="V502" i="9"/>
  <c r="U502" i="9"/>
  <c r="AB502" i="9" s="1"/>
  <c r="T502" i="9"/>
  <c r="S502" i="9"/>
  <c r="AA502" i="9" s="1"/>
  <c r="R502" i="9"/>
  <c r="P502" i="9"/>
  <c r="D502" i="9"/>
  <c r="E502" i="9" s="1"/>
  <c r="AG501" i="9"/>
  <c r="AF501" i="9"/>
  <c r="Z501" i="9"/>
  <c r="Y501" i="9"/>
  <c r="AD501" i="9" s="1"/>
  <c r="X501" i="9"/>
  <c r="W501" i="9"/>
  <c r="AC501" i="9" s="1"/>
  <c r="V501" i="9"/>
  <c r="U501" i="9"/>
  <c r="AB501" i="9" s="1"/>
  <c r="T501" i="9"/>
  <c r="S501" i="9"/>
  <c r="R501" i="9"/>
  <c r="P501" i="9"/>
  <c r="D501" i="9"/>
  <c r="E501" i="9" s="1"/>
  <c r="AG500" i="9"/>
  <c r="AF500" i="9"/>
  <c r="Z500" i="9"/>
  <c r="Y500" i="9"/>
  <c r="AD500" i="9" s="1"/>
  <c r="X500" i="9"/>
  <c r="W500" i="9"/>
  <c r="AC500" i="9" s="1"/>
  <c r="V500" i="9"/>
  <c r="U500" i="9"/>
  <c r="AB500" i="9" s="1"/>
  <c r="T500" i="9"/>
  <c r="S500" i="9"/>
  <c r="AA500" i="9" s="1"/>
  <c r="R500" i="9"/>
  <c r="P500" i="9"/>
  <c r="D500" i="9"/>
  <c r="E500" i="9" s="1"/>
  <c r="AG499" i="9"/>
  <c r="AF499" i="9"/>
  <c r="Z499" i="9"/>
  <c r="Y499" i="9"/>
  <c r="AD499" i="9" s="1"/>
  <c r="X499" i="9"/>
  <c r="W499" i="9"/>
  <c r="AC499" i="9" s="1"/>
  <c r="V499" i="9"/>
  <c r="U499" i="9"/>
  <c r="AB499" i="9" s="1"/>
  <c r="T499" i="9"/>
  <c r="S499" i="9"/>
  <c r="AA499" i="9" s="1"/>
  <c r="R499" i="9"/>
  <c r="P499" i="9"/>
  <c r="D499" i="9"/>
  <c r="E499" i="9" s="1"/>
  <c r="AG498" i="9"/>
  <c r="AF498" i="9"/>
  <c r="Z498" i="9"/>
  <c r="Y498" i="9"/>
  <c r="AD498" i="9" s="1"/>
  <c r="X498" i="9"/>
  <c r="W498" i="9"/>
  <c r="AC498" i="9" s="1"/>
  <c r="V498" i="9"/>
  <c r="U498" i="9"/>
  <c r="AB498" i="9" s="1"/>
  <c r="T498" i="9"/>
  <c r="S498" i="9"/>
  <c r="AA498" i="9" s="1"/>
  <c r="R498" i="9"/>
  <c r="P498" i="9"/>
  <c r="D498" i="9"/>
  <c r="E498" i="9" s="1"/>
  <c r="AG497" i="9"/>
  <c r="AF497" i="9"/>
  <c r="Z497" i="9"/>
  <c r="Y497" i="9"/>
  <c r="AD497" i="9" s="1"/>
  <c r="X497" i="9"/>
  <c r="W497" i="9"/>
  <c r="AC497" i="9" s="1"/>
  <c r="V497" i="9"/>
  <c r="U497" i="9"/>
  <c r="AB497" i="9" s="1"/>
  <c r="T497" i="9"/>
  <c r="S497" i="9"/>
  <c r="AA497" i="9" s="1"/>
  <c r="R497" i="9"/>
  <c r="P497" i="9"/>
  <c r="D497" i="9"/>
  <c r="E497" i="9" s="1"/>
  <c r="AG496" i="9"/>
  <c r="AF496" i="9"/>
  <c r="Z496" i="9"/>
  <c r="Y496" i="9"/>
  <c r="AD496" i="9" s="1"/>
  <c r="X496" i="9"/>
  <c r="W496" i="9"/>
  <c r="AC496" i="9" s="1"/>
  <c r="V496" i="9"/>
  <c r="U496" i="9"/>
  <c r="AB496" i="9" s="1"/>
  <c r="T496" i="9"/>
  <c r="S496" i="9"/>
  <c r="AA496" i="9" s="1"/>
  <c r="R496" i="9"/>
  <c r="P496" i="9"/>
  <c r="D496" i="9"/>
  <c r="E496" i="9" s="1"/>
  <c r="AG495" i="9"/>
  <c r="AF495" i="9"/>
  <c r="Z495" i="9"/>
  <c r="Y495" i="9"/>
  <c r="AD495" i="9" s="1"/>
  <c r="X495" i="9"/>
  <c r="W495" i="9"/>
  <c r="AC495" i="9" s="1"/>
  <c r="V495" i="9"/>
  <c r="U495" i="9"/>
  <c r="AB495" i="9" s="1"/>
  <c r="T495" i="9"/>
  <c r="S495" i="9"/>
  <c r="AA495" i="9" s="1"/>
  <c r="R495" i="9"/>
  <c r="P495" i="9"/>
  <c r="D495" i="9"/>
  <c r="E495" i="9" s="1"/>
  <c r="AG494" i="9"/>
  <c r="AF494" i="9"/>
  <c r="Z494" i="9"/>
  <c r="Y494" i="9"/>
  <c r="AD494" i="9" s="1"/>
  <c r="X494" i="9"/>
  <c r="W494" i="9"/>
  <c r="AC494" i="9" s="1"/>
  <c r="V494" i="9"/>
  <c r="U494" i="9"/>
  <c r="AB494" i="9" s="1"/>
  <c r="T494" i="9"/>
  <c r="S494" i="9"/>
  <c r="AA494" i="9" s="1"/>
  <c r="R494" i="9"/>
  <c r="P494" i="9"/>
  <c r="D494" i="9"/>
  <c r="E494" i="9" s="1"/>
  <c r="AG493" i="9"/>
  <c r="AF493" i="9"/>
  <c r="Z493" i="9"/>
  <c r="Y493" i="9"/>
  <c r="AD493" i="9" s="1"/>
  <c r="X493" i="9"/>
  <c r="W493" i="9"/>
  <c r="AC493" i="9" s="1"/>
  <c r="V493" i="9"/>
  <c r="U493" i="9"/>
  <c r="AB493" i="9" s="1"/>
  <c r="T493" i="9"/>
  <c r="S493" i="9"/>
  <c r="AA493" i="9" s="1"/>
  <c r="R493" i="9"/>
  <c r="P493" i="9"/>
  <c r="D493" i="9"/>
  <c r="E493" i="9" s="1"/>
  <c r="AG492" i="9"/>
  <c r="AF492" i="9"/>
  <c r="Z492" i="9"/>
  <c r="Y492" i="9"/>
  <c r="AD492" i="9" s="1"/>
  <c r="X492" i="9"/>
  <c r="W492" i="9"/>
  <c r="AC492" i="9" s="1"/>
  <c r="V492" i="9"/>
  <c r="U492" i="9"/>
  <c r="AB492" i="9" s="1"/>
  <c r="T492" i="9"/>
  <c r="S492" i="9"/>
  <c r="AA492" i="9" s="1"/>
  <c r="R492" i="9"/>
  <c r="P492" i="9"/>
  <c r="D492" i="9"/>
  <c r="E492" i="9" s="1"/>
  <c r="AG491" i="9"/>
  <c r="AF491" i="9"/>
  <c r="Z491" i="9"/>
  <c r="Y491" i="9"/>
  <c r="AD491" i="9" s="1"/>
  <c r="X491" i="9"/>
  <c r="W491" i="9"/>
  <c r="AC491" i="9" s="1"/>
  <c r="V491" i="9"/>
  <c r="U491" i="9"/>
  <c r="AB491" i="9" s="1"/>
  <c r="T491" i="9"/>
  <c r="S491" i="9"/>
  <c r="AA491" i="9" s="1"/>
  <c r="R491" i="9"/>
  <c r="P491" i="9"/>
  <c r="D491" i="9"/>
  <c r="E491" i="9" s="1"/>
  <c r="AG490" i="9"/>
  <c r="AF490" i="9"/>
  <c r="Z490" i="9"/>
  <c r="Y490" i="9"/>
  <c r="AD490" i="9" s="1"/>
  <c r="X490" i="9"/>
  <c r="W490" i="9"/>
  <c r="AC490" i="9" s="1"/>
  <c r="V490" i="9"/>
  <c r="U490" i="9"/>
  <c r="AB490" i="9" s="1"/>
  <c r="T490" i="9"/>
  <c r="S490" i="9"/>
  <c r="AA490" i="9" s="1"/>
  <c r="R490" i="9"/>
  <c r="P490" i="9"/>
  <c r="D490" i="9"/>
  <c r="E490" i="9" s="1"/>
  <c r="AG489" i="9"/>
  <c r="AF489" i="9"/>
  <c r="Z489" i="9"/>
  <c r="Y489" i="9"/>
  <c r="AD489" i="9" s="1"/>
  <c r="X489" i="9"/>
  <c r="W489" i="9"/>
  <c r="AC489" i="9" s="1"/>
  <c r="V489" i="9"/>
  <c r="U489" i="9"/>
  <c r="AB489" i="9" s="1"/>
  <c r="T489" i="9"/>
  <c r="S489" i="9"/>
  <c r="R489" i="9"/>
  <c r="P489" i="9"/>
  <c r="D489" i="9"/>
  <c r="E489" i="9" s="1"/>
  <c r="AG488" i="9"/>
  <c r="AF488" i="9"/>
  <c r="Z488" i="9"/>
  <c r="Y488" i="9"/>
  <c r="AD488" i="9" s="1"/>
  <c r="X488" i="9"/>
  <c r="W488" i="9"/>
  <c r="AC488" i="9" s="1"/>
  <c r="V488" i="9"/>
  <c r="U488" i="9"/>
  <c r="AB488" i="9" s="1"/>
  <c r="T488" i="9"/>
  <c r="S488" i="9"/>
  <c r="R488" i="9"/>
  <c r="P488" i="9"/>
  <c r="D488" i="9"/>
  <c r="E488" i="9" s="1"/>
  <c r="AG487" i="9"/>
  <c r="AF487" i="9"/>
  <c r="Z487" i="9"/>
  <c r="Y487" i="9"/>
  <c r="AD487" i="9" s="1"/>
  <c r="X487" i="9"/>
  <c r="W487" i="9"/>
  <c r="AC487" i="9" s="1"/>
  <c r="V487" i="9"/>
  <c r="U487" i="9"/>
  <c r="AB487" i="9" s="1"/>
  <c r="T487" i="9"/>
  <c r="S487" i="9"/>
  <c r="AA487" i="9" s="1"/>
  <c r="R487" i="9"/>
  <c r="P487" i="9"/>
  <c r="D487" i="9"/>
  <c r="E487" i="9" s="1"/>
  <c r="AG486" i="9"/>
  <c r="AF486" i="9"/>
  <c r="Z486" i="9"/>
  <c r="Y486" i="9"/>
  <c r="AD486" i="9" s="1"/>
  <c r="X486" i="9"/>
  <c r="W486" i="9"/>
  <c r="AC486" i="9" s="1"/>
  <c r="V486" i="9"/>
  <c r="U486" i="9"/>
  <c r="AB486" i="9" s="1"/>
  <c r="T486" i="9"/>
  <c r="S486" i="9"/>
  <c r="AA486" i="9" s="1"/>
  <c r="R486" i="9"/>
  <c r="P486" i="9"/>
  <c r="D486" i="9"/>
  <c r="E486" i="9" s="1"/>
  <c r="AG485" i="9"/>
  <c r="AF485" i="9"/>
  <c r="Z485" i="9"/>
  <c r="Y485" i="9"/>
  <c r="AD485" i="9" s="1"/>
  <c r="X485" i="9"/>
  <c r="W485" i="9"/>
  <c r="AC485" i="9" s="1"/>
  <c r="V485" i="9"/>
  <c r="U485" i="9"/>
  <c r="AB485" i="9" s="1"/>
  <c r="T485" i="9"/>
  <c r="S485" i="9"/>
  <c r="AA485" i="9" s="1"/>
  <c r="R485" i="9"/>
  <c r="P485" i="9"/>
  <c r="D485" i="9"/>
  <c r="E485" i="9" s="1"/>
  <c r="AG484" i="9"/>
  <c r="AF484" i="9"/>
  <c r="Z484" i="9"/>
  <c r="Y484" i="9"/>
  <c r="AD484" i="9" s="1"/>
  <c r="X484" i="9"/>
  <c r="W484" i="9"/>
  <c r="AC484" i="9" s="1"/>
  <c r="V484" i="9"/>
  <c r="U484" i="9"/>
  <c r="AB484" i="9" s="1"/>
  <c r="T484" i="9"/>
  <c r="S484" i="9"/>
  <c r="R484" i="9"/>
  <c r="P484" i="9"/>
  <c r="D484" i="9"/>
  <c r="E484" i="9" s="1"/>
  <c r="AG483" i="9"/>
  <c r="AF483" i="9"/>
  <c r="Z483" i="9"/>
  <c r="Y483" i="9"/>
  <c r="AD483" i="9" s="1"/>
  <c r="X483" i="9"/>
  <c r="W483" i="9"/>
  <c r="AC483" i="9" s="1"/>
  <c r="V483" i="9"/>
  <c r="U483" i="9"/>
  <c r="AB483" i="9" s="1"/>
  <c r="T483" i="9"/>
  <c r="S483" i="9"/>
  <c r="AA483" i="9" s="1"/>
  <c r="R483" i="9"/>
  <c r="P483" i="9"/>
  <c r="D483" i="9"/>
  <c r="E483" i="9" s="1"/>
  <c r="AG482" i="9"/>
  <c r="AF482" i="9"/>
  <c r="Z482" i="9"/>
  <c r="Y482" i="9"/>
  <c r="AD482" i="9" s="1"/>
  <c r="X482" i="9"/>
  <c r="W482" i="9"/>
  <c r="AC482" i="9" s="1"/>
  <c r="V482" i="9"/>
  <c r="U482" i="9"/>
  <c r="AB482" i="9" s="1"/>
  <c r="T482" i="9"/>
  <c r="S482" i="9"/>
  <c r="AA482" i="9" s="1"/>
  <c r="R482" i="9"/>
  <c r="P482" i="9"/>
  <c r="D482" i="9"/>
  <c r="E482" i="9" s="1"/>
  <c r="AG481" i="9"/>
  <c r="AF481" i="9"/>
  <c r="Z481" i="9"/>
  <c r="Y481" i="9"/>
  <c r="AD481" i="9" s="1"/>
  <c r="X481" i="9"/>
  <c r="W481" i="9"/>
  <c r="AC481" i="9" s="1"/>
  <c r="V481" i="9"/>
  <c r="U481" i="9"/>
  <c r="AB481" i="9" s="1"/>
  <c r="T481" i="9"/>
  <c r="S481" i="9"/>
  <c r="AA481" i="9" s="1"/>
  <c r="R481" i="9"/>
  <c r="P481" i="9"/>
  <c r="D481" i="9"/>
  <c r="E481" i="9" s="1"/>
  <c r="AG480" i="9"/>
  <c r="AF480" i="9"/>
  <c r="Z480" i="9"/>
  <c r="Y480" i="9"/>
  <c r="AD480" i="9" s="1"/>
  <c r="X480" i="9"/>
  <c r="W480" i="9"/>
  <c r="AC480" i="9" s="1"/>
  <c r="V480" i="9"/>
  <c r="U480" i="9"/>
  <c r="AB480" i="9" s="1"/>
  <c r="T480" i="9"/>
  <c r="S480" i="9"/>
  <c r="AA480" i="9" s="1"/>
  <c r="R480" i="9"/>
  <c r="P480" i="9"/>
  <c r="D480" i="9"/>
  <c r="E480" i="9" s="1"/>
  <c r="AG479" i="9"/>
  <c r="AF479" i="9"/>
  <c r="Z479" i="9"/>
  <c r="Y479" i="9"/>
  <c r="AD479" i="9" s="1"/>
  <c r="X479" i="9"/>
  <c r="W479" i="9"/>
  <c r="AC479" i="9" s="1"/>
  <c r="V479" i="9"/>
  <c r="U479" i="9"/>
  <c r="AB479" i="9" s="1"/>
  <c r="T479" i="9"/>
  <c r="S479" i="9"/>
  <c r="R479" i="9"/>
  <c r="P479" i="9"/>
  <c r="D479" i="9"/>
  <c r="E479" i="9" s="1"/>
  <c r="AG478" i="9"/>
  <c r="AF478" i="9"/>
  <c r="Z478" i="9"/>
  <c r="Y478" i="9"/>
  <c r="AD478" i="9" s="1"/>
  <c r="X478" i="9"/>
  <c r="W478" i="9"/>
  <c r="AC478" i="9" s="1"/>
  <c r="V478" i="9"/>
  <c r="U478" i="9"/>
  <c r="AB478" i="9" s="1"/>
  <c r="T478" i="9"/>
  <c r="S478" i="9"/>
  <c r="R478" i="9"/>
  <c r="P478" i="9"/>
  <c r="D478" i="9"/>
  <c r="E478" i="9" s="1"/>
  <c r="AG477" i="9"/>
  <c r="AF477" i="9"/>
  <c r="Z477" i="9"/>
  <c r="Y477" i="9"/>
  <c r="AD477" i="9" s="1"/>
  <c r="X477" i="9"/>
  <c r="W477" i="9"/>
  <c r="AC477" i="9" s="1"/>
  <c r="V477" i="9"/>
  <c r="U477" i="9"/>
  <c r="AB477" i="9" s="1"/>
  <c r="T477" i="9"/>
  <c r="S477" i="9"/>
  <c r="AA477" i="9" s="1"/>
  <c r="R477" i="9"/>
  <c r="P477" i="9"/>
  <c r="D477" i="9"/>
  <c r="E477" i="9" s="1"/>
  <c r="AG476" i="9"/>
  <c r="AF476" i="9"/>
  <c r="Z476" i="9"/>
  <c r="Y476" i="9"/>
  <c r="AD476" i="9" s="1"/>
  <c r="X476" i="9"/>
  <c r="W476" i="9"/>
  <c r="AC476" i="9" s="1"/>
  <c r="V476" i="9"/>
  <c r="U476" i="9"/>
  <c r="AB476" i="9" s="1"/>
  <c r="T476" i="9"/>
  <c r="S476" i="9"/>
  <c r="AA476" i="9" s="1"/>
  <c r="R476" i="9"/>
  <c r="P476" i="9"/>
  <c r="D476" i="9"/>
  <c r="E476" i="9" s="1"/>
  <c r="AG475" i="9"/>
  <c r="AF475" i="9"/>
  <c r="Z475" i="9"/>
  <c r="Y475" i="9"/>
  <c r="AD475" i="9" s="1"/>
  <c r="X475" i="9"/>
  <c r="W475" i="9"/>
  <c r="AC475" i="9" s="1"/>
  <c r="V475" i="9"/>
  <c r="U475" i="9"/>
  <c r="AB475" i="9" s="1"/>
  <c r="T475" i="9"/>
  <c r="S475" i="9"/>
  <c r="AA475" i="9" s="1"/>
  <c r="R475" i="9"/>
  <c r="P475" i="9"/>
  <c r="D475" i="9"/>
  <c r="E475" i="9" s="1"/>
  <c r="AG474" i="9"/>
  <c r="AF474" i="9"/>
  <c r="Z474" i="9"/>
  <c r="Y474" i="9"/>
  <c r="X474" i="9"/>
  <c r="W474" i="9"/>
  <c r="V474" i="9"/>
  <c r="U474" i="9"/>
  <c r="AB474" i="9" s="1"/>
  <c r="T474" i="9"/>
  <c r="S474" i="9"/>
  <c r="AA474" i="9" s="1"/>
  <c r="R474" i="9"/>
  <c r="P474" i="9"/>
  <c r="D474" i="9"/>
  <c r="E474" i="9" s="1"/>
  <c r="AG473" i="9"/>
  <c r="AF473" i="9"/>
  <c r="Z473" i="9"/>
  <c r="Y473" i="9"/>
  <c r="AD473" i="9" s="1"/>
  <c r="X473" i="9"/>
  <c r="W473" i="9"/>
  <c r="AC473" i="9" s="1"/>
  <c r="V473" i="9"/>
  <c r="U473" i="9"/>
  <c r="AB473" i="9" s="1"/>
  <c r="T473" i="9"/>
  <c r="S473" i="9"/>
  <c r="AA473" i="9" s="1"/>
  <c r="R473" i="9"/>
  <c r="P473" i="9"/>
  <c r="D473" i="9"/>
  <c r="E473" i="9" s="1"/>
  <c r="AG472" i="9"/>
  <c r="AF472" i="9"/>
  <c r="Z472" i="9"/>
  <c r="Y472" i="9"/>
  <c r="AD472" i="9" s="1"/>
  <c r="X472" i="9"/>
  <c r="W472" i="9"/>
  <c r="AC472" i="9" s="1"/>
  <c r="V472" i="9"/>
  <c r="U472" i="9"/>
  <c r="AB472" i="9" s="1"/>
  <c r="T472" i="9"/>
  <c r="S472" i="9"/>
  <c r="AA472" i="9" s="1"/>
  <c r="R472" i="9"/>
  <c r="P472" i="9"/>
  <c r="D472" i="9"/>
  <c r="E472" i="9" s="1"/>
  <c r="AG471" i="9"/>
  <c r="AF471" i="9"/>
  <c r="Z471" i="9"/>
  <c r="Y471" i="9"/>
  <c r="X471" i="9"/>
  <c r="W471" i="9"/>
  <c r="AC471" i="9" s="1"/>
  <c r="V471" i="9"/>
  <c r="U471" i="9"/>
  <c r="AB471" i="9" s="1"/>
  <c r="T471" i="9"/>
  <c r="S471" i="9"/>
  <c r="AA471" i="9" s="1"/>
  <c r="R471" i="9"/>
  <c r="P471" i="9"/>
  <c r="D471" i="9"/>
  <c r="E471" i="9" s="1"/>
  <c r="AG470" i="9"/>
  <c r="AF470" i="9"/>
  <c r="Z470" i="9"/>
  <c r="Y470" i="9"/>
  <c r="AD470" i="9" s="1"/>
  <c r="X470" i="9"/>
  <c r="W470" i="9"/>
  <c r="AC470" i="9" s="1"/>
  <c r="V470" i="9"/>
  <c r="U470" i="9"/>
  <c r="AB470" i="9" s="1"/>
  <c r="T470" i="9"/>
  <c r="S470" i="9"/>
  <c r="R470" i="9"/>
  <c r="P470" i="9"/>
  <c r="D470" i="9"/>
  <c r="E470" i="9" s="1"/>
  <c r="AG469" i="9"/>
  <c r="AF469" i="9"/>
  <c r="Z469" i="9"/>
  <c r="Y469" i="9"/>
  <c r="AD469" i="9" s="1"/>
  <c r="X469" i="9"/>
  <c r="W469" i="9"/>
  <c r="AC469" i="9" s="1"/>
  <c r="V469" i="9"/>
  <c r="U469" i="9"/>
  <c r="AB469" i="9" s="1"/>
  <c r="T469" i="9"/>
  <c r="S469" i="9"/>
  <c r="AA469" i="9" s="1"/>
  <c r="R469" i="9"/>
  <c r="P469" i="9"/>
  <c r="D469" i="9"/>
  <c r="E469" i="9" s="1"/>
  <c r="AG468" i="9"/>
  <c r="AF468" i="9"/>
  <c r="Z468" i="9"/>
  <c r="Y468" i="9"/>
  <c r="AD468" i="9" s="1"/>
  <c r="X468" i="9"/>
  <c r="W468" i="9"/>
  <c r="AC468" i="9" s="1"/>
  <c r="V468" i="9"/>
  <c r="U468" i="9"/>
  <c r="AB468" i="9" s="1"/>
  <c r="T468" i="9"/>
  <c r="S468" i="9"/>
  <c r="AA468" i="9" s="1"/>
  <c r="R468" i="9"/>
  <c r="P468" i="9"/>
  <c r="D468" i="9"/>
  <c r="E468" i="9" s="1"/>
  <c r="AG467" i="9"/>
  <c r="AF467" i="9"/>
  <c r="Z467" i="9"/>
  <c r="Y467" i="9"/>
  <c r="AD467" i="9" s="1"/>
  <c r="X467" i="9"/>
  <c r="W467" i="9"/>
  <c r="AC467" i="9" s="1"/>
  <c r="V467" i="9"/>
  <c r="U467" i="9"/>
  <c r="AB467" i="9" s="1"/>
  <c r="T467" i="9"/>
  <c r="S467" i="9"/>
  <c r="AA467" i="9" s="1"/>
  <c r="R467" i="9"/>
  <c r="P467" i="9"/>
  <c r="D467" i="9"/>
  <c r="E467" i="9" s="1"/>
  <c r="AG466" i="9"/>
  <c r="AF466" i="9"/>
  <c r="Z466" i="9"/>
  <c r="Y466" i="9"/>
  <c r="AD466" i="9" s="1"/>
  <c r="X466" i="9"/>
  <c r="W466" i="9"/>
  <c r="AC466" i="9" s="1"/>
  <c r="V466" i="9"/>
  <c r="U466" i="9"/>
  <c r="AB466" i="9" s="1"/>
  <c r="T466" i="9"/>
  <c r="S466" i="9"/>
  <c r="AA466" i="9" s="1"/>
  <c r="R466" i="9"/>
  <c r="P466" i="9"/>
  <c r="D466" i="9"/>
  <c r="E466" i="9" s="1"/>
  <c r="AG465" i="9"/>
  <c r="AF465" i="9"/>
  <c r="Z465" i="9"/>
  <c r="Y465" i="9"/>
  <c r="AD465" i="9" s="1"/>
  <c r="X465" i="9"/>
  <c r="W465" i="9"/>
  <c r="AC465" i="9" s="1"/>
  <c r="V465" i="9"/>
  <c r="U465" i="9"/>
  <c r="AB465" i="9" s="1"/>
  <c r="T465" i="9"/>
  <c r="S465" i="9"/>
  <c r="AA465" i="9" s="1"/>
  <c r="R465" i="9"/>
  <c r="P465" i="9"/>
  <c r="D465" i="9"/>
  <c r="E465" i="9" s="1"/>
  <c r="AG464" i="9"/>
  <c r="AF464" i="9"/>
  <c r="Z464" i="9"/>
  <c r="Y464" i="9"/>
  <c r="AD464" i="9" s="1"/>
  <c r="X464" i="9"/>
  <c r="W464" i="9"/>
  <c r="AC464" i="9" s="1"/>
  <c r="V464" i="9"/>
  <c r="U464" i="9"/>
  <c r="AB464" i="9" s="1"/>
  <c r="T464" i="9"/>
  <c r="S464" i="9"/>
  <c r="AA464" i="9" s="1"/>
  <c r="R464" i="9"/>
  <c r="P464" i="9"/>
  <c r="D464" i="9"/>
  <c r="E464" i="9" s="1"/>
  <c r="AG463" i="9"/>
  <c r="AF463" i="9"/>
  <c r="Z463" i="9"/>
  <c r="Y463" i="9"/>
  <c r="X463" i="9"/>
  <c r="W463" i="9"/>
  <c r="AC463" i="9" s="1"/>
  <c r="V463" i="9"/>
  <c r="U463" i="9"/>
  <c r="AB463" i="9" s="1"/>
  <c r="T463" i="9"/>
  <c r="S463" i="9"/>
  <c r="AA463" i="9" s="1"/>
  <c r="R463" i="9"/>
  <c r="P463" i="9"/>
  <c r="D463" i="9"/>
  <c r="E463" i="9" s="1"/>
  <c r="AG462" i="9"/>
  <c r="AF462" i="9"/>
  <c r="Z462" i="9"/>
  <c r="Y462" i="9"/>
  <c r="AD462" i="9" s="1"/>
  <c r="X462" i="9"/>
  <c r="W462" i="9"/>
  <c r="AC462" i="9" s="1"/>
  <c r="V462" i="9"/>
  <c r="U462" i="9"/>
  <c r="AB462" i="9" s="1"/>
  <c r="T462" i="9"/>
  <c r="S462" i="9"/>
  <c r="AA462" i="9" s="1"/>
  <c r="R462" i="9"/>
  <c r="P462" i="9"/>
  <c r="D462" i="9"/>
  <c r="E462" i="9" s="1"/>
  <c r="AG461" i="9"/>
  <c r="AF461" i="9"/>
  <c r="Z461" i="9"/>
  <c r="Y461" i="9"/>
  <c r="AD461" i="9" s="1"/>
  <c r="X461" i="9"/>
  <c r="W461" i="9"/>
  <c r="AC461" i="9" s="1"/>
  <c r="V461" i="9"/>
  <c r="U461" i="9"/>
  <c r="AB461" i="9" s="1"/>
  <c r="T461" i="9"/>
  <c r="S461" i="9"/>
  <c r="AA461" i="9" s="1"/>
  <c r="R461" i="9"/>
  <c r="P461" i="9"/>
  <c r="D461" i="9"/>
  <c r="E461" i="9" s="1"/>
  <c r="AG460" i="9"/>
  <c r="AF460" i="9"/>
  <c r="Z460" i="9"/>
  <c r="Y460" i="9"/>
  <c r="AD460" i="9" s="1"/>
  <c r="X460" i="9"/>
  <c r="W460" i="9"/>
  <c r="AC460" i="9" s="1"/>
  <c r="V460" i="9"/>
  <c r="U460" i="9"/>
  <c r="AB460" i="9" s="1"/>
  <c r="T460" i="9"/>
  <c r="S460" i="9"/>
  <c r="AA460" i="9" s="1"/>
  <c r="R460" i="9"/>
  <c r="P460" i="9"/>
  <c r="D460" i="9"/>
  <c r="E460" i="9" s="1"/>
  <c r="AG459" i="9"/>
  <c r="AF459" i="9"/>
  <c r="Z459" i="9"/>
  <c r="Y459" i="9"/>
  <c r="AD459" i="9" s="1"/>
  <c r="X459" i="9"/>
  <c r="W459" i="9"/>
  <c r="AC459" i="9" s="1"/>
  <c r="V459" i="9"/>
  <c r="U459" i="9"/>
  <c r="AB459" i="9" s="1"/>
  <c r="T459" i="9"/>
  <c r="S459" i="9"/>
  <c r="AA459" i="9" s="1"/>
  <c r="R459" i="9"/>
  <c r="P459" i="9"/>
  <c r="D459" i="9"/>
  <c r="E459" i="9" s="1"/>
  <c r="AG458" i="9"/>
  <c r="AF458" i="9"/>
  <c r="Z458" i="9"/>
  <c r="Y458" i="9"/>
  <c r="AD458" i="9" s="1"/>
  <c r="X458" i="9"/>
  <c r="W458" i="9"/>
  <c r="AC458" i="9" s="1"/>
  <c r="V458" i="9"/>
  <c r="U458" i="9"/>
  <c r="AB458" i="9" s="1"/>
  <c r="T458" i="9"/>
  <c r="S458" i="9"/>
  <c r="AA458" i="9" s="1"/>
  <c r="R458" i="9"/>
  <c r="P458" i="9"/>
  <c r="D458" i="9"/>
  <c r="E458" i="9" s="1"/>
  <c r="AG457" i="9"/>
  <c r="AF457" i="9"/>
  <c r="Z457" i="9"/>
  <c r="Y457" i="9"/>
  <c r="AD457" i="9" s="1"/>
  <c r="X457" i="9"/>
  <c r="W457" i="9"/>
  <c r="AC457" i="9" s="1"/>
  <c r="V457" i="9"/>
  <c r="U457" i="9"/>
  <c r="AB457" i="9" s="1"/>
  <c r="T457" i="9"/>
  <c r="S457" i="9"/>
  <c r="AA457" i="9" s="1"/>
  <c r="R457" i="9"/>
  <c r="P457" i="9"/>
  <c r="D457" i="9"/>
  <c r="E457" i="9" s="1"/>
  <c r="AG456" i="9"/>
  <c r="AF456" i="9"/>
  <c r="Z456" i="9"/>
  <c r="Y456" i="9"/>
  <c r="AD456" i="9" s="1"/>
  <c r="X456" i="9"/>
  <c r="W456" i="9"/>
  <c r="AC456" i="9" s="1"/>
  <c r="V456" i="9"/>
  <c r="U456" i="9"/>
  <c r="AB456" i="9" s="1"/>
  <c r="T456" i="9"/>
  <c r="S456" i="9"/>
  <c r="AA456" i="9" s="1"/>
  <c r="R456" i="9"/>
  <c r="P456" i="9"/>
  <c r="D456" i="9"/>
  <c r="E456" i="9" s="1"/>
  <c r="AG455" i="9"/>
  <c r="AF455" i="9"/>
  <c r="Z455" i="9"/>
  <c r="Y455" i="9"/>
  <c r="AD455" i="9" s="1"/>
  <c r="X455" i="9"/>
  <c r="W455" i="9"/>
  <c r="AC455" i="9" s="1"/>
  <c r="V455" i="9"/>
  <c r="U455" i="9"/>
  <c r="AB455" i="9" s="1"/>
  <c r="T455" i="9"/>
  <c r="S455" i="9"/>
  <c r="AA455" i="9" s="1"/>
  <c r="R455" i="9"/>
  <c r="P455" i="9"/>
  <c r="D455" i="9"/>
  <c r="E455" i="9" s="1"/>
  <c r="AG454" i="9"/>
  <c r="AF454" i="9"/>
  <c r="Z454" i="9"/>
  <c r="Y454" i="9"/>
  <c r="AD454" i="9" s="1"/>
  <c r="X454" i="9"/>
  <c r="W454" i="9"/>
  <c r="AC454" i="9" s="1"/>
  <c r="V454" i="9"/>
  <c r="U454" i="9"/>
  <c r="AB454" i="9" s="1"/>
  <c r="T454" i="9"/>
  <c r="S454" i="9"/>
  <c r="AA454" i="9" s="1"/>
  <c r="R454" i="9"/>
  <c r="P454" i="9"/>
  <c r="D454" i="9"/>
  <c r="E454" i="9" s="1"/>
  <c r="AG453" i="9"/>
  <c r="AF453" i="9"/>
  <c r="Z453" i="9"/>
  <c r="Y453" i="9"/>
  <c r="AD453" i="9" s="1"/>
  <c r="X453" i="9"/>
  <c r="W453" i="9"/>
  <c r="AC453" i="9" s="1"/>
  <c r="V453" i="9"/>
  <c r="U453" i="9"/>
  <c r="AB453" i="9" s="1"/>
  <c r="T453" i="9"/>
  <c r="S453" i="9"/>
  <c r="AA453" i="9" s="1"/>
  <c r="R453" i="9"/>
  <c r="P453" i="9"/>
  <c r="D453" i="9"/>
  <c r="E453" i="9" s="1"/>
  <c r="AG452" i="9"/>
  <c r="AF452" i="9"/>
  <c r="Z452" i="9"/>
  <c r="Y452" i="9"/>
  <c r="AD452" i="9" s="1"/>
  <c r="X452" i="9"/>
  <c r="W452" i="9"/>
  <c r="AC452" i="9" s="1"/>
  <c r="V452" i="9"/>
  <c r="U452" i="9"/>
  <c r="AB452" i="9" s="1"/>
  <c r="T452" i="9"/>
  <c r="S452" i="9"/>
  <c r="AA452" i="9" s="1"/>
  <c r="R452" i="9"/>
  <c r="P452" i="9"/>
  <c r="D452" i="9"/>
  <c r="E452" i="9" s="1"/>
  <c r="AG451" i="9"/>
  <c r="AF451" i="9"/>
  <c r="Z451" i="9"/>
  <c r="Y451" i="9"/>
  <c r="AD451" i="9" s="1"/>
  <c r="X451" i="9"/>
  <c r="W451" i="9"/>
  <c r="AC451" i="9" s="1"/>
  <c r="V451" i="9"/>
  <c r="U451" i="9"/>
  <c r="AB451" i="9" s="1"/>
  <c r="T451" i="9"/>
  <c r="S451" i="9"/>
  <c r="AA451" i="9" s="1"/>
  <c r="R451" i="9"/>
  <c r="P451" i="9"/>
  <c r="D451" i="9"/>
  <c r="E451" i="9" s="1"/>
  <c r="AG450" i="9"/>
  <c r="AF450" i="9"/>
  <c r="Z450" i="9"/>
  <c r="Y450" i="9"/>
  <c r="AD450" i="9" s="1"/>
  <c r="X450" i="9"/>
  <c r="W450" i="9"/>
  <c r="AC450" i="9" s="1"/>
  <c r="V450" i="9"/>
  <c r="U450" i="9"/>
  <c r="AB450" i="9" s="1"/>
  <c r="T450" i="9"/>
  <c r="S450" i="9"/>
  <c r="AA450" i="9" s="1"/>
  <c r="R450" i="9"/>
  <c r="P450" i="9"/>
  <c r="D450" i="9"/>
  <c r="E450" i="9" s="1"/>
  <c r="AG449" i="9"/>
  <c r="AF449" i="9"/>
  <c r="Z449" i="9"/>
  <c r="Y449" i="9"/>
  <c r="AD449" i="9" s="1"/>
  <c r="X449" i="9"/>
  <c r="W449" i="9"/>
  <c r="AC449" i="9" s="1"/>
  <c r="V449" i="9"/>
  <c r="U449" i="9"/>
  <c r="AB449" i="9" s="1"/>
  <c r="T449" i="9"/>
  <c r="S449" i="9"/>
  <c r="AA449" i="9" s="1"/>
  <c r="R449" i="9"/>
  <c r="P449" i="9"/>
  <c r="D449" i="9"/>
  <c r="E449" i="9" s="1"/>
  <c r="AG448" i="9"/>
  <c r="AF448" i="9"/>
  <c r="Z448" i="9"/>
  <c r="Y448" i="9"/>
  <c r="AD448" i="9" s="1"/>
  <c r="X448" i="9"/>
  <c r="W448" i="9"/>
  <c r="AC448" i="9" s="1"/>
  <c r="V448" i="9"/>
  <c r="U448" i="9"/>
  <c r="AB448" i="9" s="1"/>
  <c r="T448" i="9"/>
  <c r="S448" i="9"/>
  <c r="AA448" i="9" s="1"/>
  <c r="R448" i="9"/>
  <c r="P448" i="9"/>
  <c r="D448" i="9"/>
  <c r="E448" i="9" s="1"/>
  <c r="AG447" i="9"/>
  <c r="AF447" i="9"/>
  <c r="Z447" i="9"/>
  <c r="Y447" i="9"/>
  <c r="AD447" i="9" s="1"/>
  <c r="X447" i="9"/>
  <c r="W447" i="9"/>
  <c r="AC447" i="9" s="1"/>
  <c r="V447" i="9"/>
  <c r="U447" i="9"/>
  <c r="AB447" i="9" s="1"/>
  <c r="T447" i="9"/>
  <c r="S447" i="9"/>
  <c r="AA447" i="9" s="1"/>
  <c r="R447" i="9"/>
  <c r="P447" i="9"/>
  <c r="D447" i="9"/>
  <c r="E447" i="9" s="1"/>
  <c r="AG446" i="9"/>
  <c r="AF446" i="9"/>
  <c r="Z446" i="9"/>
  <c r="Y446" i="9"/>
  <c r="AD446" i="9" s="1"/>
  <c r="X446" i="9"/>
  <c r="W446" i="9"/>
  <c r="AC446" i="9" s="1"/>
  <c r="V446" i="9"/>
  <c r="U446" i="9"/>
  <c r="AB446" i="9" s="1"/>
  <c r="T446" i="9"/>
  <c r="S446" i="9"/>
  <c r="AA446" i="9" s="1"/>
  <c r="R446" i="9"/>
  <c r="P446" i="9"/>
  <c r="D446" i="9"/>
  <c r="E446" i="9" s="1"/>
  <c r="AG445" i="9"/>
  <c r="AF445" i="9"/>
  <c r="Z445" i="9"/>
  <c r="Y445" i="9"/>
  <c r="AD445" i="9" s="1"/>
  <c r="X445" i="9"/>
  <c r="W445" i="9"/>
  <c r="AC445" i="9" s="1"/>
  <c r="V445" i="9"/>
  <c r="U445" i="9"/>
  <c r="AB445" i="9" s="1"/>
  <c r="T445" i="9"/>
  <c r="S445" i="9"/>
  <c r="AA445" i="9" s="1"/>
  <c r="R445" i="9"/>
  <c r="P445" i="9"/>
  <c r="D445" i="9"/>
  <c r="E445" i="9" s="1"/>
  <c r="AG444" i="9"/>
  <c r="AF444" i="9"/>
  <c r="Z444" i="9"/>
  <c r="Y444" i="9"/>
  <c r="AD444" i="9" s="1"/>
  <c r="X444" i="9"/>
  <c r="W444" i="9"/>
  <c r="AC444" i="9" s="1"/>
  <c r="V444" i="9"/>
  <c r="U444" i="9"/>
  <c r="AB444" i="9" s="1"/>
  <c r="T444" i="9"/>
  <c r="S444" i="9"/>
  <c r="AA444" i="9" s="1"/>
  <c r="R444" i="9"/>
  <c r="P444" i="9"/>
  <c r="D444" i="9"/>
  <c r="E444" i="9" s="1"/>
  <c r="AG443" i="9"/>
  <c r="AF443" i="9"/>
  <c r="Z443" i="9"/>
  <c r="Y443" i="9"/>
  <c r="AD443" i="9" s="1"/>
  <c r="X443" i="9"/>
  <c r="W443" i="9"/>
  <c r="AC443" i="9" s="1"/>
  <c r="V443" i="9"/>
  <c r="U443" i="9"/>
  <c r="AB443" i="9" s="1"/>
  <c r="T443" i="9"/>
  <c r="S443" i="9"/>
  <c r="R443" i="9"/>
  <c r="P443" i="9"/>
  <c r="D443" i="9"/>
  <c r="E443" i="9" s="1"/>
  <c r="AG442" i="9"/>
  <c r="AF442" i="9"/>
  <c r="Z442" i="9"/>
  <c r="Y442" i="9"/>
  <c r="AD442" i="9" s="1"/>
  <c r="X442" i="9"/>
  <c r="W442" i="9"/>
  <c r="V442" i="9"/>
  <c r="U442" i="9"/>
  <c r="AB442" i="9" s="1"/>
  <c r="T442" i="9"/>
  <c r="S442" i="9"/>
  <c r="AA442" i="9" s="1"/>
  <c r="R442" i="9"/>
  <c r="P442" i="9"/>
  <c r="D442" i="9"/>
  <c r="E442" i="9" s="1"/>
  <c r="AG441" i="9"/>
  <c r="AF441" i="9"/>
  <c r="Z441" i="9"/>
  <c r="Y441" i="9"/>
  <c r="AD441" i="9" s="1"/>
  <c r="X441" i="9"/>
  <c r="W441" i="9"/>
  <c r="AC441" i="9" s="1"/>
  <c r="V441" i="9"/>
  <c r="U441" i="9"/>
  <c r="AB441" i="9" s="1"/>
  <c r="T441" i="9"/>
  <c r="S441" i="9"/>
  <c r="AA441" i="9" s="1"/>
  <c r="R441" i="9"/>
  <c r="P441" i="9"/>
  <c r="D441" i="9"/>
  <c r="E441" i="9" s="1"/>
  <c r="AG440" i="9"/>
  <c r="AF440" i="9"/>
  <c r="Z440" i="9"/>
  <c r="Y440" i="9"/>
  <c r="X440" i="9"/>
  <c r="W440" i="9"/>
  <c r="AC440" i="9" s="1"/>
  <c r="V440" i="9"/>
  <c r="U440" i="9"/>
  <c r="AB440" i="9" s="1"/>
  <c r="T440" i="9"/>
  <c r="S440" i="9"/>
  <c r="AA440" i="9" s="1"/>
  <c r="R440" i="9"/>
  <c r="P440" i="9"/>
  <c r="D440" i="9"/>
  <c r="E440" i="9" s="1"/>
  <c r="AG439" i="9"/>
  <c r="AF439" i="9"/>
  <c r="Z439" i="9"/>
  <c r="Y439" i="9"/>
  <c r="AD439" i="9" s="1"/>
  <c r="X439" i="9"/>
  <c r="W439" i="9"/>
  <c r="AC439" i="9" s="1"/>
  <c r="V439" i="9"/>
  <c r="U439" i="9"/>
  <c r="T439" i="9"/>
  <c r="S439" i="9"/>
  <c r="AA439" i="9" s="1"/>
  <c r="R439" i="9"/>
  <c r="P439" i="9"/>
  <c r="D439" i="9"/>
  <c r="E439" i="9" s="1"/>
  <c r="AG438" i="9"/>
  <c r="AF438" i="9"/>
  <c r="Z438" i="9"/>
  <c r="Y438" i="9"/>
  <c r="AD438" i="9" s="1"/>
  <c r="X438" i="9"/>
  <c r="W438" i="9"/>
  <c r="AC438" i="9" s="1"/>
  <c r="V438" i="9"/>
  <c r="U438" i="9"/>
  <c r="T438" i="9"/>
  <c r="S438" i="9"/>
  <c r="AA438" i="9" s="1"/>
  <c r="R438" i="9"/>
  <c r="P438" i="9"/>
  <c r="D438" i="9"/>
  <c r="E438" i="9" s="1"/>
  <c r="AG437" i="9"/>
  <c r="AF437" i="9"/>
  <c r="Z437" i="9"/>
  <c r="Y437" i="9"/>
  <c r="AD437" i="9" s="1"/>
  <c r="X437" i="9"/>
  <c r="W437" i="9"/>
  <c r="AC437" i="9" s="1"/>
  <c r="V437" i="9"/>
  <c r="U437" i="9"/>
  <c r="AB437" i="9" s="1"/>
  <c r="T437" i="9"/>
  <c r="S437" i="9"/>
  <c r="AA437" i="9" s="1"/>
  <c r="R437" i="9"/>
  <c r="P437" i="9"/>
  <c r="D437" i="9"/>
  <c r="E437" i="9" s="1"/>
  <c r="AG436" i="9"/>
  <c r="AF436" i="9"/>
  <c r="Z436" i="9"/>
  <c r="Y436" i="9"/>
  <c r="X436" i="9"/>
  <c r="W436" i="9"/>
  <c r="AC436" i="9" s="1"/>
  <c r="V436" i="9"/>
  <c r="U436" i="9"/>
  <c r="AB436" i="9" s="1"/>
  <c r="T436" i="9"/>
  <c r="S436" i="9"/>
  <c r="AA436" i="9" s="1"/>
  <c r="R436" i="9"/>
  <c r="P436" i="9"/>
  <c r="D436" i="9"/>
  <c r="E436" i="9" s="1"/>
  <c r="AG435" i="9"/>
  <c r="AF435" i="9"/>
  <c r="Z435" i="9"/>
  <c r="Y435" i="9"/>
  <c r="X435" i="9"/>
  <c r="W435" i="9"/>
  <c r="AC435" i="9" s="1"/>
  <c r="V435" i="9"/>
  <c r="U435" i="9"/>
  <c r="AB435" i="9" s="1"/>
  <c r="T435" i="9"/>
  <c r="S435" i="9"/>
  <c r="AA435" i="9" s="1"/>
  <c r="R435" i="9"/>
  <c r="P435" i="9"/>
  <c r="D435" i="9"/>
  <c r="E435" i="9" s="1"/>
  <c r="AG434" i="9"/>
  <c r="AF434" i="9"/>
  <c r="Z434" i="9"/>
  <c r="Y434" i="9"/>
  <c r="AD434" i="9" s="1"/>
  <c r="X434" i="9"/>
  <c r="W434" i="9"/>
  <c r="V434" i="9"/>
  <c r="U434" i="9"/>
  <c r="AB434" i="9" s="1"/>
  <c r="T434" i="9"/>
  <c r="S434" i="9"/>
  <c r="AA434" i="9" s="1"/>
  <c r="R434" i="9"/>
  <c r="P434" i="9"/>
  <c r="D434" i="9"/>
  <c r="E434" i="9" s="1"/>
  <c r="AG433" i="9"/>
  <c r="AF433" i="9"/>
  <c r="Z433" i="9"/>
  <c r="Y433" i="9"/>
  <c r="X433" i="9"/>
  <c r="W433" i="9"/>
  <c r="AC433" i="9" s="1"/>
  <c r="V433" i="9"/>
  <c r="U433" i="9"/>
  <c r="AB433" i="9" s="1"/>
  <c r="T433" i="9"/>
  <c r="S433" i="9"/>
  <c r="AA433" i="9" s="1"/>
  <c r="R433" i="9"/>
  <c r="P433" i="9"/>
  <c r="D433" i="9"/>
  <c r="E433" i="9" s="1"/>
  <c r="AG432" i="9"/>
  <c r="AF432" i="9"/>
  <c r="Z432" i="9"/>
  <c r="Y432" i="9"/>
  <c r="AD432" i="9" s="1"/>
  <c r="X432" i="9"/>
  <c r="W432" i="9"/>
  <c r="AC432" i="9" s="1"/>
  <c r="V432" i="9"/>
  <c r="U432" i="9"/>
  <c r="AB432" i="9" s="1"/>
  <c r="T432" i="9"/>
  <c r="S432" i="9"/>
  <c r="AA432" i="9" s="1"/>
  <c r="R432" i="9"/>
  <c r="P432" i="9"/>
  <c r="D432" i="9"/>
  <c r="E432" i="9" s="1"/>
  <c r="AG431" i="9"/>
  <c r="AF431" i="9"/>
  <c r="Z431" i="9"/>
  <c r="Y431" i="9"/>
  <c r="X431" i="9"/>
  <c r="W431" i="9"/>
  <c r="AC431" i="9" s="1"/>
  <c r="V431" i="9"/>
  <c r="U431" i="9"/>
  <c r="AB431" i="9" s="1"/>
  <c r="T431" i="9"/>
  <c r="S431" i="9"/>
  <c r="AA431" i="9" s="1"/>
  <c r="R431" i="9"/>
  <c r="P431" i="9"/>
  <c r="D431" i="9"/>
  <c r="E431" i="9" s="1"/>
  <c r="AG430" i="9"/>
  <c r="AF430" i="9"/>
  <c r="Z430" i="9"/>
  <c r="Y430" i="9"/>
  <c r="AD430" i="9" s="1"/>
  <c r="X430" i="9"/>
  <c r="W430" i="9"/>
  <c r="AC430" i="9" s="1"/>
  <c r="V430" i="9"/>
  <c r="U430" i="9"/>
  <c r="T430" i="9"/>
  <c r="S430" i="9"/>
  <c r="AA430" i="9" s="1"/>
  <c r="R430" i="9"/>
  <c r="P430" i="9"/>
  <c r="D430" i="9"/>
  <c r="E430" i="9" s="1"/>
  <c r="AG429" i="9"/>
  <c r="AF429" i="9"/>
  <c r="Z429" i="9"/>
  <c r="Y429" i="9"/>
  <c r="X429" i="9"/>
  <c r="W429" i="9"/>
  <c r="V429" i="9"/>
  <c r="U429" i="9"/>
  <c r="AB429" i="9" s="1"/>
  <c r="T429" i="9"/>
  <c r="S429" i="9"/>
  <c r="R429" i="9"/>
  <c r="P429" i="9"/>
  <c r="D429" i="9"/>
  <c r="E429" i="9" s="1"/>
  <c r="AG428" i="9"/>
  <c r="AF428" i="9"/>
  <c r="Z428" i="9"/>
  <c r="Y428" i="9"/>
  <c r="AD428" i="9" s="1"/>
  <c r="X428" i="9"/>
  <c r="W428" i="9"/>
  <c r="V428" i="9"/>
  <c r="U428" i="9"/>
  <c r="AB428" i="9" s="1"/>
  <c r="T428" i="9"/>
  <c r="S428" i="9"/>
  <c r="AA428" i="9" s="1"/>
  <c r="R428" i="9"/>
  <c r="P428" i="9"/>
  <c r="D428" i="9"/>
  <c r="E428" i="9" s="1"/>
  <c r="AG427" i="9"/>
  <c r="AF427" i="9"/>
  <c r="Z427" i="9"/>
  <c r="Y427" i="9"/>
  <c r="X427" i="9"/>
  <c r="W427" i="9"/>
  <c r="AC427" i="9" s="1"/>
  <c r="V427" i="9"/>
  <c r="U427" i="9"/>
  <c r="AB427" i="9" s="1"/>
  <c r="T427" i="9"/>
  <c r="S427" i="9"/>
  <c r="R427" i="9"/>
  <c r="P427" i="9"/>
  <c r="D427" i="9"/>
  <c r="E427" i="9" s="1"/>
  <c r="AG426" i="9"/>
  <c r="AF426" i="9"/>
  <c r="Z426" i="9"/>
  <c r="Y426" i="9"/>
  <c r="AD426" i="9" s="1"/>
  <c r="X426" i="9"/>
  <c r="W426" i="9"/>
  <c r="AC426" i="9" s="1"/>
  <c r="V426" i="9"/>
  <c r="U426" i="9"/>
  <c r="T426" i="9"/>
  <c r="S426" i="9"/>
  <c r="AA426" i="9" s="1"/>
  <c r="R426" i="9"/>
  <c r="P426" i="9"/>
  <c r="D426" i="9"/>
  <c r="E426" i="9" s="1"/>
  <c r="AG425" i="9"/>
  <c r="AF425" i="9"/>
  <c r="Z425" i="9"/>
  <c r="Y425" i="9"/>
  <c r="X425" i="9"/>
  <c r="W425" i="9"/>
  <c r="AC425" i="9" s="1"/>
  <c r="V425" i="9"/>
  <c r="U425" i="9"/>
  <c r="AB425" i="9" s="1"/>
  <c r="T425" i="9"/>
  <c r="S425" i="9"/>
  <c r="R425" i="9"/>
  <c r="P425" i="9"/>
  <c r="D425" i="9"/>
  <c r="E425" i="9" s="1"/>
  <c r="AG424" i="9"/>
  <c r="AF424" i="9"/>
  <c r="Z424" i="9"/>
  <c r="Y424" i="9"/>
  <c r="AD424" i="9" s="1"/>
  <c r="X424" i="9"/>
  <c r="W424" i="9"/>
  <c r="V424" i="9"/>
  <c r="U424" i="9"/>
  <c r="AB424" i="9" s="1"/>
  <c r="T424" i="9"/>
  <c r="S424" i="9"/>
  <c r="AA424" i="9" s="1"/>
  <c r="R424" i="9"/>
  <c r="P424" i="9"/>
  <c r="D424" i="9"/>
  <c r="E424" i="9" s="1"/>
  <c r="AG423" i="9"/>
  <c r="AF423" i="9"/>
  <c r="Z423" i="9"/>
  <c r="Y423" i="9"/>
  <c r="X423" i="9"/>
  <c r="W423" i="9"/>
  <c r="AC423" i="9" s="1"/>
  <c r="V423" i="9"/>
  <c r="U423" i="9"/>
  <c r="T423" i="9"/>
  <c r="S423" i="9"/>
  <c r="AA423" i="9" s="1"/>
  <c r="R423" i="9"/>
  <c r="P423" i="9"/>
  <c r="D423" i="9"/>
  <c r="E423" i="9" s="1"/>
  <c r="AG422" i="9"/>
  <c r="AF422" i="9"/>
  <c r="Z422" i="9"/>
  <c r="Y422" i="9"/>
  <c r="AD422" i="9" s="1"/>
  <c r="X422" i="9"/>
  <c r="W422" i="9"/>
  <c r="AC422" i="9" s="1"/>
  <c r="V422" i="9"/>
  <c r="U422" i="9"/>
  <c r="T422" i="9"/>
  <c r="S422" i="9"/>
  <c r="R422" i="9"/>
  <c r="P422" i="9"/>
  <c r="D422" i="9"/>
  <c r="E422" i="9" s="1"/>
  <c r="AG421" i="9"/>
  <c r="AF421" i="9"/>
  <c r="Z421" i="9"/>
  <c r="Y421" i="9"/>
  <c r="AD421" i="9" s="1"/>
  <c r="X421" i="9"/>
  <c r="W421" i="9"/>
  <c r="AC421" i="9" s="1"/>
  <c r="V421" i="9"/>
  <c r="U421" i="9"/>
  <c r="AB421" i="9" s="1"/>
  <c r="T421" i="9"/>
  <c r="S421" i="9"/>
  <c r="R421" i="9"/>
  <c r="P421" i="9"/>
  <c r="D421" i="9"/>
  <c r="E421" i="9" s="1"/>
  <c r="AG420" i="9"/>
  <c r="AF420" i="9"/>
  <c r="Z420" i="9"/>
  <c r="Y420" i="9"/>
  <c r="AD420" i="9" s="1"/>
  <c r="X420" i="9"/>
  <c r="W420" i="9"/>
  <c r="AC420" i="9" s="1"/>
  <c r="V420" i="9"/>
  <c r="U420" i="9"/>
  <c r="AB420" i="9" s="1"/>
  <c r="T420" i="9"/>
  <c r="S420" i="9"/>
  <c r="AA420" i="9" s="1"/>
  <c r="R420" i="9"/>
  <c r="P420" i="9"/>
  <c r="D420" i="9"/>
  <c r="E420" i="9" s="1"/>
  <c r="AG419" i="9"/>
  <c r="AF419" i="9"/>
  <c r="Z419" i="9"/>
  <c r="Y419" i="9"/>
  <c r="AD419" i="9" s="1"/>
  <c r="X419" i="9"/>
  <c r="W419" i="9"/>
  <c r="AC419" i="9" s="1"/>
  <c r="V419" i="9"/>
  <c r="U419" i="9"/>
  <c r="AB419" i="9" s="1"/>
  <c r="T419" i="9"/>
  <c r="S419" i="9"/>
  <c r="AA419" i="9" s="1"/>
  <c r="R419" i="9"/>
  <c r="P419" i="9"/>
  <c r="D419" i="9"/>
  <c r="E419" i="9" s="1"/>
  <c r="AG418" i="9"/>
  <c r="AF418" i="9"/>
  <c r="Z418" i="9"/>
  <c r="Y418" i="9"/>
  <c r="AD418" i="9" s="1"/>
  <c r="X418" i="9"/>
  <c r="W418" i="9"/>
  <c r="AC418" i="9" s="1"/>
  <c r="V418" i="9"/>
  <c r="U418" i="9"/>
  <c r="AB418" i="9" s="1"/>
  <c r="T418" i="9"/>
  <c r="S418" i="9"/>
  <c r="R418" i="9"/>
  <c r="P418" i="9"/>
  <c r="D418" i="9"/>
  <c r="E418" i="9" s="1"/>
  <c r="AG417" i="9"/>
  <c r="AF417" i="9"/>
  <c r="Z417" i="9"/>
  <c r="Y417" i="9"/>
  <c r="AD417" i="9" s="1"/>
  <c r="X417" i="9"/>
  <c r="W417" i="9"/>
  <c r="AC417" i="9" s="1"/>
  <c r="V417" i="9"/>
  <c r="U417" i="9"/>
  <c r="AB417" i="9" s="1"/>
  <c r="T417" i="9"/>
  <c r="S417" i="9"/>
  <c r="AA417" i="9" s="1"/>
  <c r="R417" i="9"/>
  <c r="P417" i="9"/>
  <c r="D417" i="9"/>
  <c r="E417" i="9" s="1"/>
  <c r="AG416" i="9"/>
  <c r="AF416" i="9"/>
  <c r="Z416" i="9"/>
  <c r="Y416" i="9"/>
  <c r="AD416" i="9" s="1"/>
  <c r="X416" i="9"/>
  <c r="W416" i="9"/>
  <c r="AC416" i="9" s="1"/>
  <c r="V416" i="9"/>
  <c r="U416" i="9"/>
  <c r="T416" i="9"/>
  <c r="S416" i="9"/>
  <c r="AA416" i="9" s="1"/>
  <c r="R416" i="9"/>
  <c r="P416" i="9"/>
  <c r="D416" i="9"/>
  <c r="E416" i="9" s="1"/>
  <c r="AG415" i="9"/>
  <c r="AF415" i="9"/>
  <c r="Z415" i="9"/>
  <c r="Y415" i="9"/>
  <c r="X415" i="9"/>
  <c r="W415" i="9"/>
  <c r="AC415" i="9" s="1"/>
  <c r="V415" i="9"/>
  <c r="U415" i="9"/>
  <c r="AB415" i="9" s="1"/>
  <c r="T415" i="9"/>
  <c r="S415" i="9"/>
  <c r="R415" i="9"/>
  <c r="P415" i="9"/>
  <c r="D415" i="9"/>
  <c r="E415" i="9" s="1"/>
  <c r="AG414" i="9"/>
  <c r="AF414" i="9"/>
  <c r="Z414" i="9"/>
  <c r="Y414" i="9"/>
  <c r="AD414" i="9" s="1"/>
  <c r="X414" i="9"/>
  <c r="W414" i="9"/>
  <c r="AC414" i="9" s="1"/>
  <c r="V414" i="9"/>
  <c r="U414" i="9"/>
  <c r="AB414" i="9" s="1"/>
  <c r="T414" i="9"/>
  <c r="S414" i="9"/>
  <c r="R414" i="9"/>
  <c r="P414" i="9"/>
  <c r="D414" i="9"/>
  <c r="E414" i="9" s="1"/>
  <c r="AG413" i="9"/>
  <c r="AF413" i="9"/>
  <c r="Z413" i="9"/>
  <c r="Y413" i="9"/>
  <c r="X413" i="9"/>
  <c r="W413" i="9"/>
  <c r="AC413" i="9" s="1"/>
  <c r="V413" i="9"/>
  <c r="U413" i="9"/>
  <c r="AB413" i="9" s="1"/>
  <c r="T413" i="9"/>
  <c r="S413" i="9"/>
  <c r="R413" i="9"/>
  <c r="P413" i="9"/>
  <c r="D413" i="9"/>
  <c r="E413" i="9" s="1"/>
  <c r="AG412" i="9"/>
  <c r="AF412" i="9"/>
  <c r="Z412" i="9"/>
  <c r="Y412" i="9"/>
  <c r="AD412" i="9" s="1"/>
  <c r="X412" i="9"/>
  <c r="W412" i="9"/>
  <c r="V412" i="9"/>
  <c r="U412" i="9"/>
  <c r="AB412" i="9" s="1"/>
  <c r="T412" i="9"/>
  <c r="S412" i="9"/>
  <c r="AA412" i="9" s="1"/>
  <c r="R412" i="9"/>
  <c r="P412" i="9"/>
  <c r="D412" i="9"/>
  <c r="E412" i="9" s="1"/>
  <c r="AG411" i="9"/>
  <c r="AF411" i="9"/>
  <c r="Z411" i="9"/>
  <c r="Y411" i="9"/>
  <c r="X411" i="9"/>
  <c r="W411" i="9"/>
  <c r="AC411" i="9" s="1"/>
  <c r="V411" i="9"/>
  <c r="U411" i="9"/>
  <c r="AB411" i="9" s="1"/>
  <c r="T411" i="9"/>
  <c r="S411" i="9"/>
  <c r="AA411" i="9" s="1"/>
  <c r="R411" i="9"/>
  <c r="P411" i="9"/>
  <c r="D411" i="9"/>
  <c r="E411" i="9" s="1"/>
  <c r="AG410" i="9"/>
  <c r="AF410" i="9"/>
  <c r="Z410" i="9"/>
  <c r="Y410" i="9"/>
  <c r="AD410" i="9" s="1"/>
  <c r="X410" i="9"/>
  <c r="W410" i="9"/>
  <c r="AC410" i="9" s="1"/>
  <c r="V410" i="9"/>
  <c r="U410" i="9"/>
  <c r="T410" i="9"/>
  <c r="S410" i="9"/>
  <c r="AA410" i="9" s="1"/>
  <c r="R410" i="9"/>
  <c r="P410" i="9"/>
  <c r="D410" i="9"/>
  <c r="E410" i="9" s="1"/>
  <c r="AG409" i="9"/>
  <c r="AF409" i="9"/>
  <c r="Z409" i="9"/>
  <c r="Y409" i="9"/>
  <c r="X409" i="9"/>
  <c r="W409" i="9"/>
  <c r="AC409" i="9" s="1"/>
  <c r="V409" i="9"/>
  <c r="U409" i="9"/>
  <c r="AB409" i="9" s="1"/>
  <c r="T409" i="9"/>
  <c r="S409" i="9"/>
  <c r="R409" i="9"/>
  <c r="P409" i="9"/>
  <c r="D409" i="9"/>
  <c r="E409" i="9" s="1"/>
  <c r="AG408" i="9"/>
  <c r="AF408" i="9"/>
  <c r="Z408" i="9"/>
  <c r="Y408" i="9"/>
  <c r="AD408" i="9" s="1"/>
  <c r="X408" i="9"/>
  <c r="W408" i="9"/>
  <c r="V408" i="9"/>
  <c r="U408" i="9"/>
  <c r="AB408" i="9" s="1"/>
  <c r="T408" i="9"/>
  <c r="S408" i="9"/>
  <c r="AA408" i="9" s="1"/>
  <c r="R408" i="9"/>
  <c r="P408" i="9"/>
  <c r="D408" i="9"/>
  <c r="E408" i="9" s="1"/>
  <c r="AG407" i="9"/>
  <c r="AF407" i="9"/>
  <c r="Z407" i="9"/>
  <c r="Y407" i="9"/>
  <c r="AD407" i="9" s="1"/>
  <c r="X407" i="9"/>
  <c r="W407" i="9"/>
  <c r="AC407" i="9" s="1"/>
  <c r="V407" i="9"/>
  <c r="U407" i="9"/>
  <c r="AB407" i="9" s="1"/>
  <c r="T407" i="9"/>
  <c r="S407" i="9"/>
  <c r="AA407" i="9" s="1"/>
  <c r="R407" i="9"/>
  <c r="P407" i="9"/>
  <c r="D407" i="9"/>
  <c r="E407" i="9" s="1"/>
  <c r="AG406" i="9"/>
  <c r="AF406" i="9"/>
  <c r="Z406" i="9"/>
  <c r="Y406" i="9"/>
  <c r="AD406" i="9" s="1"/>
  <c r="X406" i="9"/>
  <c r="W406" i="9"/>
  <c r="AC406" i="9" s="1"/>
  <c r="V406" i="9"/>
  <c r="U406" i="9"/>
  <c r="AB406" i="9" s="1"/>
  <c r="T406" i="9"/>
  <c r="S406" i="9"/>
  <c r="AA406" i="9" s="1"/>
  <c r="R406" i="9"/>
  <c r="P406" i="9"/>
  <c r="D406" i="9"/>
  <c r="E406" i="9" s="1"/>
  <c r="AG405" i="9"/>
  <c r="AF405" i="9"/>
  <c r="Z405" i="9"/>
  <c r="Y405" i="9"/>
  <c r="AD405" i="9" s="1"/>
  <c r="X405" i="9"/>
  <c r="W405" i="9"/>
  <c r="V405" i="9"/>
  <c r="U405" i="9"/>
  <c r="AB405" i="9" s="1"/>
  <c r="T405" i="9"/>
  <c r="S405" i="9"/>
  <c r="AA405" i="9" s="1"/>
  <c r="R405" i="9"/>
  <c r="P405" i="9"/>
  <c r="D405" i="9"/>
  <c r="E405" i="9" s="1"/>
  <c r="AG404" i="9"/>
  <c r="AF404" i="9"/>
  <c r="Z404" i="9"/>
  <c r="Y404" i="9"/>
  <c r="X404" i="9"/>
  <c r="W404" i="9"/>
  <c r="AC404" i="9" s="1"/>
  <c r="V404" i="9"/>
  <c r="U404" i="9"/>
  <c r="AB404" i="9" s="1"/>
  <c r="T404" i="9"/>
  <c r="S404" i="9"/>
  <c r="R404" i="9"/>
  <c r="P404" i="9"/>
  <c r="D404" i="9"/>
  <c r="E404" i="9" s="1"/>
  <c r="AG403" i="9"/>
  <c r="AF403" i="9"/>
  <c r="Z403" i="9"/>
  <c r="Y403" i="9"/>
  <c r="AD403" i="9" s="1"/>
  <c r="X403" i="9"/>
  <c r="W403" i="9"/>
  <c r="AC403" i="9" s="1"/>
  <c r="V403" i="9"/>
  <c r="U403" i="9"/>
  <c r="AB403" i="9" s="1"/>
  <c r="T403" i="9"/>
  <c r="S403" i="9"/>
  <c r="R403" i="9"/>
  <c r="P403" i="9"/>
  <c r="D403" i="9"/>
  <c r="E403" i="9" s="1"/>
  <c r="AG402" i="9"/>
  <c r="AF402" i="9"/>
  <c r="Z402" i="9"/>
  <c r="Y402" i="9"/>
  <c r="X402" i="9"/>
  <c r="W402" i="9"/>
  <c r="AC402" i="9" s="1"/>
  <c r="V402" i="9"/>
  <c r="U402" i="9"/>
  <c r="AB402" i="9" s="1"/>
  <c r="T402" i="9"/>
  <c r="S402" i="9"/>
  <c r="AA402" i="9" s="1"/>
  <c r="R402" i="9"/>
  <c r="P402" i="9"/>
  <c r="D402" i="9"/>
  <c r="E402" i="9" s="1"/>
  <c r="AG401" i="9"/>
  <c r="AF401" i="9"/>
  <c r="Z401" i="9"/>
  <c r="Y401" i="9"/>
  <c r="AD401" i="9" s="1"/>
  <c r="X401" i="9"/>
  <c r="W401" i="9"/>
  <c r="AC401" i="9" s="1"/>
  <c r="V401" i="9"/>
  <c r="U401" i="9"/>
  <c r="T401" i="9"/>
  <c r="S401" i="9"/>
  <c r="AA401" i="9" s="1"/>
  <c r="R401" i="9"/>
  <c r="P401" i="9"/>
  <c r="D401" i="9"/>
  <c r="E401" i="9" s="1"/>
  <c r="AG400" i="9"/>
  <c r="AF400" i="9"/>
  <c r="Z400" i="9"/>
  <c r="Y400" i="9"/>
  <c r="X400" i="9"/>
  <c r="W400" i="9"/>
  <c r="AC400" i="9" s="1"/>
  <c r="V400" i="9"/>
  <c r="U400" i="9"/>
  <c r="AB400" i="9" s="1"/>
  <c r="T400" i="9"/>
  <c r="S400" i="9"/>
  <c r="AA400" i="9" s="1"/>
  <c r="R400" i="9"/>
  <c r="P400" i="9"/>
  <c r="D400" i="9"/>
  <c r="E400" i="9" s="1"/>
  <c r="AG399" i="9"/>
  <c r="AF399" i="9"/>
  <c r="Z399" i="9"/>
  <c r="Y399" i="9"/>
  <c r="AD399" i="9" s="1"/>
  <c r="X399" i="9"/>
  <c r="W399" i="9"/>
  <c r="AC399" i="9" s="1"/>
  <c r="V399" i="9"/>
  <c r="U399" i="9"/>
  <c r="AB399" i="9" s="1"/>
  <c r="T399" i="9"/>
  <c r="S399" i="9"/>
  <c r="AA399" i="9" s="1"/>
  <c r="R399" i="9"/>
  <c r="P399" i="9"/>
  <c r="D399" i="9"/>
  <c r="E399" i="9" s="1"/>
  <c r="AG398" i="9"/>
  <c r="AF398" i="9"/>
  <c r="Z398" i="9"/>
  <c r="Y398" i="9"/>
  <c r="X398" i="9"/>
  <c r="W398" i="9"/>
  <c r="AC398" i="9" s="1"/>
  <c r="V398" i="9"/>
  <c r="U398" i="9"/>
  <c r="AB398" i="9" s="1"/>
  <c r="T398" i="9"/>
  <c r="S398" i="9"/>
  <c r="AA398" i="9" s="1"/>
  <c r="R398" i="9"/>
  <c r="P398" i="9"/>
  <c r="D398" i="9"/>
  <c r="E398" i="9" s="1"/>
  <c r="AG397" i="9"/>
  <c r="AF397" i="9"/>
  <c r="Z397" i="9"/>
  <c r="Y397" i="9"/>
  <c r="AD397" i="9" s="1"/>
  <c r="X397" i="9"/>
  <c r="W397" i="9"/>
  <c r="AC397" i="9" s="1"/>
  <c r="V397" i="9"/>
  <c r="U397" i="9"/>
  <c r="T397" i="9"/>
  <c r="S397" i="9"/>
  <c r="R397" i="9"/>
  <c r="P397" i="9"/>
  <c r="D397" i="9"/>
  <c r="E397" i="9" s="1"/>
  <c r="AG396" i="9"/>
  <c r="AF396" i="9"/>
  <c r="Z396" i="9"/>
  <c r="Y396" i="9"/>
  <c r="AD396" i="9" s="1"/>
  <c r="X396" i="9"/>
  <c r="W396" i="9"/>
  <c r="AC396" i="9" s="1"/>
  <c r="V396" i="9"/>
  <c r="U396" i="9"/>
  <c r="AB396" i="9" s="1"/>
  <c r="T396" i="9"/>
  <c r="S396" i="9"/>
  <c r="AA396" i="9" s="1"/>
  <c r="R396" i="9"/>
  <c r="P396" i="9"/>
  <c r="D396" i="9"/>
  <c r="E396" i="9" s="1"/>
  <c r="AG395" i="9"/>
  <c r="AF395" i="9"/>
  <c r="Z395" i="9"/>
  <c r="Y395" i="9"/>
  <c r="AD395" i="9" s="1"/>
  <c r="X395" i="9"/>
  <c r="W395" i="9"/>
  <c r="AC395" i="9" s="1"/>
  <c r="V395" i="9"/>
  <c r="U395" i="9"/>
  <c r="AB395" i="9" s="1"/>
  <c r="T395" i="9"/>
  <c r="S395" i="9"/>
  <c r="AA395" i="9" s="1"/>
  <c r="R395" i="9"/>
  <c r="P395" i="9"/>
  <c r="D395" i="9"/>
  <c r="E395" i="9" s="1"/>
  <c r="AG394" i="9"/>
  <c r="AF394" i="9"/>
  <c r="Z394" i="9"/>
  <c r="Y394" i="9"/>
  <c r="AD394" i="9" s="1"/>
  <c r="X394" i="9"/>
  <c r="W394" i="9"/>
  <c r="AC394" i="9" s="1"/>
  <c r="V394" i="9"/>
  <c r="U394" i="9"/>
  <c r="AB394" i="9" s="1"/>
  <c r="T394" i="9"/>
  <c r="S394" i="9"/>
  <c r="AA394" i="9" s="1"/>
  <c r="R394" i="9"/>
  <c r="P394" i="9"/>
  <c r="D394" i="9"/>
  <c r="E394" i="9" s="1"/>
  <c r="AG393" i="9"/>
  <c r="AF393" i="9"/>
  <c r="Z393" i="9"/>
  <c r="Y393" i="9"/>
  <c r="AD393" i="9" s="1"/>
  <c r="X393" i="9"/>
  <c r="W393" i="9"/>
  <c r="AC393" i="9" s="1"/>
  <c r="V393" i="9"/>
  <c r="U393" i="9"/>
  <c r="AB393" i="9" s="1"/>
  <c r="T393" i="9"/>
  <c r="S393" i="9"/>
  <c r="AA393" i="9" s="1"/>
  <c r="R393" i="9"/>
  <c r="P393" i="9"/>
  <c r="D393" i="9"/>
  <c r="E393" i="9" s="1"/>
  <c r="AG392" i="9"/>
  <c r="AF392" i="9"/>
  <c r="Z392" i="9"/>
  <c r="Y392" i="9"/>
  <c r="X392" i="9"/>
  <c r="W392" i="9"/>
  <c r="AC392" i="9" s="1"/>
  <c r="V392" i="9"/>
  <c r="U392" i="9"/>
  <c r="AB392" i="9" s="1"/>
  <c r="T392" i="9"/>
  <c r="S392" i="9"/>
  <c r="R392" i="9"/>
  <c r="P392" i="9"/>
  <c r="D392" i="9"/>
  <c r="E392" i="9" s="1"/>
  <c r="AG391" i="9"/>
  <c r="AF391" i="9"/>
  <c r="Z391" i="9"/>
  <c r="Y391" i="9"/>
  <c r="AD391" i="9" s="1"/>
  <c r="X391" i="9"/>
  <c r="W391" i="9"/>
  <c r="AC391" i="9" s="1"/>
  <c r="V391" i="9"/>
  <c r="U391" i="9"/>
  <c r="AB391" i="9" s="1"/>
  <c r="T391" i="9"/>
  <c r="S391" i="9"/>
  <c r="AA391" i="9" s="1"/>
  <c r="R391" i="9"/>
  <c r="P391" i="9"/>
  <c r="D391" i="9"/>
  <c r="E391" i="9" s="1"/>
  <c r="AG390" i="9"/>
  <c r="AF390" i="9"/>
  <c r="Z390" i="9"/>
  <c r="Y390" i="9"/>
  <c r="X390" i="9"/>
  <c r="W390" i="9"/>
  <c r="AC390" i="9" s="1"/>
  <c r="V390" i="9"/>
  <c r="U390" i="9"/>
  <c r="AB390" i="9" s="1"/>
  <c r="T390" i="9"/>
  <c r="S390" i="9"/>
  <c r="R390" i="9"/>
  <c r="P390" i="9"/>
  <c r="D390" i="9"/>
  <c r="E390" i="9" s="1"/>
  <c r="AG389" i="9"/>
  <c r="AF389" i="9"/>
  <c r="Z389" i="9"/>
  <c r="Y389" i="9"/>
  <c r="AD389" i="9" s="1"/>
  <c r="X389" i="9"/>
  <c r="W389" i="9"/>
  <c r="AC389" i="9" s="1"/>
  <c r="V389" i="9"/>
  <c r="U389" i="9"/>
  <c r="AB389" i="9" s="1"/>
  <c r="T389" i="9"/>
  <c r="S389" i="9"/>
  <c r="AA389" i="9" s="1"/>
  <c r="R389" i="9"/>
  <c r="P389" i="9"/>
  <c r="D389" i="9"/>
  <c r="E389" i="9" s="1"/>
  <c r="AG388" i="9"/>
  <c r="AF388" i="9"/>
  <c r="Z388" i="9"/>
  <c r="Y388" i="9"/>
  <c r="X388" i="9"/>
  <c r="W388" i="9"/>
  <c r="AC388" i="9" s="1"/>
  <c r="V388" i="9"/>
  <c r="U388" i="9"/>
  <c r="AB388" i="9" s="1"/>
  <c r="T388" i="9"/>
  <c r="S388" i="9"/>
  <c r="AA388" i="9" s="1"/>
  <c r="R388" i="9"/>
  <c r="P388" i="9"/>
  <c r="D388" i="9"/>
  <c r="E388" i="9" s="1"/>
  <c r="AG387" i="9"/>
  <c r="AF387" i="9"/>
  <c r="Z387" i="9"/>
  <c r="Y387" i="9"/>
  <c r="AD387" i="9" s="1"/>
  <c r="X387" i="9"/>
  <c r="W387" i="9"/>
  <c r="AC387" i="9" s="1"/>
  <c r="V387" i="9"/>
  <c r="U387" i="9"/>
  <c r="AB387" i="9" s="1"/>
  <c r="T387" i="9"/>
  <c r="S387" i="9"/>
  <c r="AA387" i="9" s="1"/>
  <c r="R387" i="9"/>
  <c r="P387" i="9"/>
  <c r="D387" i="9"/>
  <c r="E387" i="9" s="1"/>
  <c r="AG386" i="9"/>
  <c r="AF386" i="9"/>
  <c r="Z386" i="9"/>
  <c r="Y386" i="9"/>
  <c r="X386" i="9"/>
  <c r="W386" i="9"/>
  <c r="AC386" i="9" s="1"/>
  <c r="V386" i="9"/>
  <c r="U386" i="9"/>
  <c r="AB386" i="9" s="1"/>
  <c r="T386" i="9"/>
  <c r="S386" i="9"/>
  <c r="AA386" i="9" s="1"/>
  <c r="R386" i="9"/>
  <c r="P386" i="9"/>
  <c r="D386" i="9"/>
  <c r="E386" i="9" s="1"/>
  <c r="AG385" i="9"/>
  <c r="AF385" i="9"/>
  <c r="Z385" i="9"/>
  <c r="Y385" i="9"/>
  <c r="AD385" i="9" s="1"/>
  <c r="X385" i="9"/>
  <c r="W385" i="9"/>
  <c r="AC385" i="9" s="1"/>
  <c r="V385" i="9"/>
  <c r="U385" i="9"/>
  <c r="AB385" i="9" s="1"/>
  <c r="T385" i="9"/>
  <c r="S385" i="9"/>
  <c r="AA385" i="9" s="1"/>
  <c r="R385" i="9"/>
  <c r="P385" i="9"/>
  <c r="D385" i="9"/>
  <c r="E385" i="9" s="1"/>
  <c r="AG384" i="9"/>
  <c r="AF384" i="9"/>
  <c r="Z384" i="9"/>
  <c r="Y384" i="9"/>
  <c r="AD384" i="9" s="1"/>
  <c r="X384" i="9"/>
  <c r="W384" i="9"/>
  <c r="AC384" i="9" s="1"/>
  <c r="V384" i="9"/>
  <c r="U384" i="9"/>
  <c r="AB384" i="9" s="1"/>
  <c r="T384" i="9"/>
  <c r="S384" i="9"/>
  <c r="AA384" i="9" s="1"/>
  <c r="R384" i="9"/>
  <c r="P384" i="9"/>
  <c r="D384" i="9"/>
  <c r="E384" i="9" s="1"/>
  <c r="AG383" i="9"/>
  <c r="AF383" i="9"/>
  <c r="Z383" i="9"/>
  <c r="Y383" i="9"/>
  <c r="AD383" i="9" s="1"/>
  <c r="X383" i="9"/>
  <c r="W383" i="9"/>
  <c r="AC383" i="9" s="1"/>
  <c r="V383" i="9"/>
  <c r="U383" i="9"/>
  <c r="T383" i="9"/>
  <c r="S383" i="9"/>
  <c r="AA383" i="9" s="1"/>
  <c r="R383" i="9"/>
  <c r="P383" i="9"/>
  <c r="D383" i="9"/>
  <c r="E383" i="9" s="1"/>
  <c r="AG382" i="9"/>
  <c r="AF382" i="9"/>
  <c r="Z382" i="9"/>
  <c r="Y382" i="9"/>
  <c r="AD382" i="9" s="1"/>
  <c r="X382" i="9"/>
  <c r="W382" i="9"/>
  <c r="AC382" i="9" s="1"/>
  <c r="V382" i="9"/>
  <c r="U382" i="9"/>
  <c r="AB382" i="9" s="1"/>
  <c r="T382" i="9"/>
  <c r="S382" i="9"/>
  <c r="AA382" i="9" s="1"/>
  <c r="R382" i="9"/>
  <c r="P382" i="9"/>
  <c r="D382" i="9"/>
  <c r="E382" i="9" s="1"/>
  <c r="AG381" i="9"/>
  <c r="AF381" i="9"/>
  <c r="Z381" i="9"/>
  <c r="Y381" i="9"/>
  <c r="X381" i="9"/>
  <c r="W381" i="9"/>
  <c r="AC381" i="9" s="1"/>
  <c r="V381" i="9"/>
  <c r="U381" i="9"/>
  <c r="AB381" i="9" s="1"/>
  <c r="T381" i="9"/>
  <c r="S381" i="9"/>
  <c r="R381" i="9"/>
  <c r="P381" i="9"/>
  <c r="D381" i="9"/>
  <c r="E381" i="9" s="1"/>
  <c r="AG380" i="9"/>
  <c r="AF380" i="9"/>
  <c r="Z380" i="9"/>
  <c r="Y380" i="9"/>
  <c r="AD380" i="9" s="1"/>
  <c r="X380" i="9"/>
  <c r="W380" i="9"/>
  <c r="V380" i="9"/>
  <c r="U380" i="9"/>
  <c r="AB380" i="9" s="1"/>
  <c r="T380" i="9"/>
  <c r="S380" i="9"/>
  <c r="AA380" i="9" s="1"/>
  <c r="R380" i="9"/>
  <c r="P380" i="9"/>
  <c r="D380" i="9"/>
  <c r="E380" i="9" s="1"/>
  <c r="AG379" i="9"/>
  <c r="AF379" i="9"/>
  <c r="Z379" i="9"/>
  <c r="Y379" i="9"/>
  <c r="X379" i="9"/>
  <c r="W379" i="9"/>
  <c r="AC379" i="9" s="1"/>
  <c r="V379" i="9"/>
  <c r="U379" i="9"/>
  <c r="AB379" i="9" s="1"/>
  <c r="T379" i="9"/>
  <c r="S379" i="9"/>
  <c r="AA379" i="9" s="1"/>
  <c r="R379" i="9"/>
  <c r="P379" i="9"/>
  <c r="D379" i="9"/>
  <c r="E379" i="9" s="1"/>
  <c r="AG378" i="9"/>
  <c r="AF378" i="9"/>
  <c r="Z378" i="9"/>
  <c r="Y378" i="9"/>
  <c r="AD378" i="9" s="1"/>
  <c r="X378" i="9"/>
  <c r="W378" i="9"/>
  <c r="AC378" i="9" s="1"/>
  <c r="V378" i="9"/>
  <c r="U378" i="9"/>
  <c r="AB378" i="9" s="1"/>
  <c r="T378" i="9"/>
  <c r="S378" i="9"/>
  <c r="AA378" i="9" s="1"/>
  <c r="R378" i="9"/>
  <c r="P378" i="9"/>
  <c r="D378" i="9"/>
  <c r="E378" i="9" s="1"/>
  <c r="AG377" i="9"/>
  <c r="AF377" i="9"/>
  <c r="Z377" i="9"/>
  <c r="Y377" i="9"/>
  <c r="AD377" i="9" s="1"/>
  <c r="X377" i="9"/>
  <c r="W377" i="9"/>
  <c r="AC377" i="9" s="1"/>
  <c r="V377" i="9"/>
  <c r="U377" i="9"/>
  <c r="AB377" i="9" s="1"/>
  <c r="T377" i="9"/>
  <c r="S377" i="9"/>
  <c r="AA377" i="9" s="1"/>
  <c r="R377" i="9"/>
  <c r="P377" i="9"/>
  <c r="D377" i="9"/>
  <c r="E377" i="9" s="1"/>
  <c r="AG376" i="9"/>
  <c r="AF376" i="9"/>
  <c r="Z376" i="9"/>
  <c r="Y376" i="9"/>
  <c r="AD376" i="9" s="1"/>
  <c r="X376" i="9"/>
  <c r="W376" i="9"/>
  <c r="AC376" i="9" s="1"/>
  <c r="V376" i="9"/>
  <c r="U376" i="9"/>
  <c r="T376" i="9"/>
  <c r="S376" i="9"/>
  <c r="AA376" i="9" s="1"/>
  <c r="R376" i="9"/>
  <c r="P376" i="9"/>
  <c r="D376" i="9"/>
  <c r="E376" i="9" s="1"/>
  <c r="AG375" i="9"/>
  <c r="AF375" i="9"/>
  <c r="Z375" i="9"/>
  <c r="Y375" i="9"/>
  <c r="X375" i="9"/>
  <c r="W375" i="9"/>
  <c r="AC375" i="9" s="1"/>
  <c r="V375" i="9"/>
  <c r="U375" i="9"/>
  <c r="AB375" i="9" s="1"/>
  <c r="T375" i="9"/>
  <c r="S375" i="9"/>
  <c r="R375" i="9"/>
  <c r="P375" i="9"/>
  <c r="D375" i="9"/>
  <c r="E375" i="9" s="1"/>
  <c r="AG374" i="9"/>
  <c r="AF374" i="9"/>
  <c r="Z374" i="9"/>
  <c r="Y374" i="9"/>
  <c r="AD374" i="9" s="1"/>
  <c r="X374" i="9"/>
  <c r="W374" i="9"/>
  <c r="AC374" i="9" s="1"/>
  <c r="V374" i="9"/>
  <c r="U374" i="9"/>
  <c r="AB374" i="9" s="1"/>
  <c r="T374" i="9"/>
  <c r="S374" i="9"/>
  <c r="AA374" i="9" s="1"/>
  <c r="R374" i="9"/>
  <c r="P374" i="9"/>
  <c r="D374" i="9"/>
  <c r="E374" i="9" s="1"/>
  <c r="AG373" i="9"/>
  <c r="AF373" i="9"/>
  <c r="Z373" i="9"/>
  <c r="Y373" i="9"/>
  <c r="X373" i="9"/>
  <c r="W373" i="9"/>
  <c r="AC373" i="9" s="1"/>
  <c r="V373" i="9"/>
  <c r="U373" i="9"/>
  <c r="AB373" i="9" s="1"/>
  <c r="T373" i="9"/>
  <c r="S373" i="9"/>
  <c r="R373" i="9"/>
  <c r="P373" i="9"/>
  <c r="D373" i="9"/>
  <c r="E373" i="9" s="1"/>
  <c r="AG372" i="9"/>
  <c r="AF372" i="9"/>
  <c r="Z372" i="9"/>
  <c r="Y372" i="9"/>
  <c r="AD372" i="9" s="1"/>
  <c r="X372" i="9"/>
  <c r="W372" i="9"/>
  <c r="V372" i="9"/>
  <c r="U372" i="9"/>
  <c r="T372" i="9"/>
  <c r="S372" i="9"/>
  <c r="AA372" i="9" s="1"/>
  <c r="R372" i="9"/>
  <c r="P372" i="9"/>
  <c r="D372" i="9"/>
  <c r="E372" i="9" s="1"/>
  <c r="AG371" i="9"/>
  <c r="AF371" i="9"/>
  <c r="Z371" i="9"/>
  <c r="Y371" i="9"/>
  <c r="AD371" i="9" s="1"/>
  <c r="X371" i="9"/>
  <c r="W371" i="9"/>
  <c r="AC371" i="9" s="1"/>
  <c r="V371" i="9"/>
  <c r="U371" i="9"/>
  <c r="AB371" i="9" s="1"/>
  <c r="T371" i="9"/>
  <c r="S371" i="9"/>
  <c r="AA371" i="9" s="1"/>
  <c r="R371" i="9"/>
  <c r="P371" i="9"/>
  <c r="D371" i="9"/>
  <c r="E371" i="9" s="1"/>
  <c r="AG370" i="9"/>
  <c r="AF370" i="9"/>
  <c r="Z370" i="9"/>
  <c r="Y370" i="9"/>
  <c r="AD370" i="9" s="1"/>
  <c r="X370" i="9"/>
  <c r="W370" i="9"/>
  <c r="AC370" i="9" s="1"/>
  <c r="V370" i="9"/>
  <c r="U370" i="9"/>
  <c r="AB370" i="9" s="1"/>
  <c r="T370" i="9"/>
  <c r="S370" i="9"/>
  <c r="AA370" i="9" s="1"/>
  <c r="R370" i="9"/>
  <c r="P370" i="9"/>
  <c r="D370" i="9"/>
  <c r="E370" i="9" s="1"/>
  <c r="AG369" i="9"/>
  <c r="AF369" i="9"/>
  <c r="Z369" i="9"/>
  <c r="Y369" i="9"/>
  <c r="AD369" i="9" s="1"/>
  <c r="X369" i="9"/>
  <c r="W369" i="9"/>
  <c r="AC369" i="9" s="1"/>
  <c r="V369" i="9"/>
  <c r="U369" i="9"/>
  <c r="AB369" i="9" s="1"/>
  <c r="T369" i="9"/>
  <c r="S369" i="9"/>
  <c r="AA369" i="9" s="1"/>
  <c r="R369" i="9"/>
  <c r="P369" i="9"/>
  <c r="D369" i="9"/>
  <c r="E369" i="9" s="1"/>
  <c r="AG368" i="9"/>
  <c r="AF368" i="9"/>
  <c r="Z368" i="9"/>
  <c r="Y368" i="9"/>
  <c r="AD368" i="9" s="1"/>
  <c r="X368" i="9"/>
  <c r="W368" i="9"/>
  <c r="AC368" i="9" s="1"/>
  <c r="V368" i="9"/>
  <c r="U368" i="9"/>
  <c r="AB368" i="9" s="1"/>
  <c r="T368" i="9"/>
  <c r="S368" i="9"/>
  <c r="AA368" i="9" s="1"/>
  <c r="R368" i="9"/>
  <c r="P368" i="9"/>
  <c r="D368" i="9"/>
  <c r="E368" i="9" s="1"/>
  <c r="AG367" i="9"/>
  <c r="AF367" i="9"/>
  <c r="Z367" i="9"/>
  <c r="Y367" i="9"/>
  <c r="AD367" i="9" s="1"/>
  <c r="X367" i="9"/>
  <c r="W367" i="9"/>
  <c r="AC367" i="9" s="1"/>
  <c r="V367" i="9"/>
  <c r="U367" i="9"/>
  <c r="AB367" i="9" s="1"/>
  <c r="T367" i="9"/>
  <c r="S367" i="9"/>
  <c r="AA367" i="9" s="1"/>
  <c r="R367" i="9"/>
  <c r="P367" i="9"/>
  <c r="D367" i="9"/>
  <c r="E367" i="9" s="1"/>
  <c r="AG366" i="9"/>
  <c r="AF366" i="9"/>
  <c r="Z366" i="9"/>
  <c r="Y366" i="9"/>
  <c r="AD366" i="9" s="1"/>
  <c r="X366" i="9"/>
  <c r="W366" i="9"/>
  <c r="AC366" i="9" s="1"/>
  <c r="V366" i="9"/>
  <c r="U366" i="9"/>
  <c r="AB366" i="9" s="1"/>
  <c r="T366" i="9"/>
  <c r="S366" i="9"/>
  <c r="R366" i="9"/>
  <c r="P366" i="9"/>
  <c r="D366" i="9"/>
  <c r="E366" i="9" s="1"/>
  <c r="AG365" i="9"/>
  <c r="AF365" i="9"/>
  <c r="Z365" i="9"/>
  <c r="Y365" i="9"/>
  <c r="AD365" i="9" s="1"/>
  <c r="X365" i="9"/>
  <c r="W365" i="9"/>
  <c r="AC365" i="9" s="1"/>
  <c r="V365" i="9"/>
  <c r="U365" i="9"/>
  <c r="AB365" i="9" s="1"/>
  <c r="T365" i="9"/>
  <c r="S365" i="9"/>
  <c r="AA365" i="9" s="1"/>
  <c r="R365" i="9"/>
  <c r="P365" i="9"/>
  <c r="D365" i="9"/>
  <c r="E365" i="9" s="1"/>
  <c r="AG364" i="9"/>
  <c r="AF364" i="9"/>
  <c r="Z364" i="9"/>
  <c r="Y364" i="9"/>
  <c r="AD364" i="9" s="1"/>
  <c r="X364" i="9"/>
  <c r="W364" i="9"/>
  <c r="AC364" i="9" s="1"/>
  <c r="V364" i="9"/>
  <c r="U364" i="9"/>
  <c r="AB364" i="9" s="1"/>
  <c r="T364" i="9"/>
  <c r="S364" i="9"/>
  <c r="AA364" i="9" s="1"/>
  <c r="R364" i="9"/>
  <c r="P364" i="9"/>
  <c r="D364" i="9"/>
  <c r="E364" i="9" s="1"/>
  <c r="AG363" i="9"/>
  <c r="AF363" i="9"/>
  <c r="Z363" i="9"/>
  <c r="Y363" i="9"/>
  <c r="AD363" i="9" s="1"/>
  <c r="X363" i="9"/>
  <c r="W363" i="9"/>
  <c r="AC363" i="9" s="1"/>
  <c r="V363" i="9"/>
  <c r="U363" i="9"/>
  <c r="AB363" i="9" s="1"/>
  <c r="T363" i="9"/>
  <c r="S363" i="9"/>
  <c r="R363" i="9"/>
  <c r="P363" i="9"/>
  <c r="D363" i="9"/>
  <c r="E363" i="9" s="1"/>
  <c r="AG362" i="9"/>
  <c r="AF362" i="9"/>
  <c r="Z362" i="9"/>
  <c r="Y362" i="9"/>
  <c r="AD362" i="9" s="1"/>
  <c r="X362" i="9"/>
  <c r="W362" i="9"/>
  <c r="AC362" i="9" s="1"/>
  <c r="V362" i="9"/>
  <c r="U362" i="9"/>
  <c r="AB362" i="9" s="1"/>
  <c r="T362" i="9"/>
  <c r="S362" i="9"/>
  <c r="R362" i="9"/>
  <c r="P362" i="9"/>
  <c r="D362" i="9"/>
  <c r="E362" i="9" s="1"/>
  <c r="AG361" i="9"/>
  <c r="AF361" i="9"/>
  <c r="Z361" i="9"/>
  <c r="Y361" i="9"/>
  <c r="AD361" i="9" s="1"/>
  <c r="X361" i="9"/>
  <c r="W361" i="9"/>
  <c r="AC361" i="9" s="1"/>
  <c r="V361" i="9"/>
  <c r="U361" i="9"/>
  <c r="AB361" i="9" s="1"/>
  <c r="T361" i="9"/>
  <c r="S361" i="9"/>
  <c r="AA361" i="9" s="1"/>
  <c r="R361" i="9"/>
  <c r="P361" i="9"/>
  <c r="D361" i="9"/>
  <c r="E361" i="9" s="1"/>
  <c r="AG360" i="9"/>
  <c r="AF360" i="9"/>
  <c r="Z360" i="9"/>
  <c r="Y360" i="9"/>
  <c r="AD360" i="9" s="1"/>
  <c r="X360" i="9"/>
  <c r="W360" i="9"/>
  <c r="AC360" i="9" s="1"/>
  <c r="V360" i="9"/>
  <c r="U360" i="9"/>
  <c r="AB360" i="9" s="1"/>
  <c r="T360" i="9"/>
  <c r="S360" i="9"/>
  <c r="AA360" i="9" s="1"/>
  <c r="R360" i="9"/>
  <c r="P360" i="9"/>
  <c r="D360" i="9"/>
  <c r="E360" i="9" s="1"/>
  <c r="AG359" i="9"/>
  <c r="AF359" i="9"/>
  <c r="Z359" i="9"/>
  <c r="Y359" i="9"/>
  <c r="AD359" i="9" s="1"/>
  <c r="X359" i="9"/>
  <c r="W359" i="9"/>
  <c r="AC359" i="9" s="1"/>
  <c r="V359" i="9"/>
  <c r="U359" i="9"/>
  <c r="AB359" i="9" s="1"/>
  <c r="T359" i="9"/>
  <c r="S359" i="9"/>
  <c r="AA359" i="9" s="1"/>
  <c r="R359" i="9"/>
  <c r="P359" i="9"/>
  <c r="D359" i="9"/>
  <c r="E359" i="9" s="1"/>
  <c r="AG358" i="9"/>
  <c r="AF358" i="9"/>
  <c r="Z358" i="9"/>
  <c r="Y358" i="9"/>
  <c r="AD358" i="9" s="1"/>
  <c r="X358" i="9"/>
  <c r="W358" i="9"/>
  <c r="AC358" i="9" s="1"/>
  <c r="V358" i="9"/>
  <c r="U358" i="9"/>
  <c r="AB358" i="9" s="1"/>
  <c r="T358" i="9"/>
  <c r="S358" i="9"/>
  <c r="AA358" i="9" s="1"/>
  <c r="R358" i="9"/>
  <c r="P358" i="9"/>
  <c r="D358" i="9"/>
  <c r="E358" i="9" s="1"/>
  <c r="AG357" i="9"/>
  <c r="AF357" i="9"/>
  <c r="Z357" i="9"/>
  <c r="Y357" i="9"/>
  <c r="AD357" i="9" s="1"/>
  <c r="X357" i="9"/>
  <c r="W357" i="9"/>
  <c r="AC357" i="9" s="1"/>
  <c r="V357" i="9"/>
  <c r="U357" i="9"/>
  <c r="AB357" i="9" s="1"/>
  <c r="T357" i="9"/>
  <c r="S357" i="9"/>
  <c r="AA357" i="9" s="1"/>
  <c r="R357" i="9"/>
  <c r="P357" i="9"/>
  <c r="D357" i="9"/>
  <c r="E357" i="9" s="1"/>
  <c r="AG356" i="9"/>
  <c r="AF356" i="9"/>
  <c r="Z356" i="9"/>
  <c r="Y356" i="9"/>
  <c r="AD356" i="9" s="1"/>
  <c r="X356" i="9"/>
  <c r="W356" i="9"/>
  <c r="AC356" i="9" s="1"/>
  <c r="V356" i="9"/>
  <c r="U356" i="9"/>
  <c r="AB356" i="9" s="1"/>
  <c r="T356" i="9"/>
  <c r="S356" i="9"/>
  <c r="AA356" i="9" s="1"/>
  <c r="R356" i="9"/>
  <c r="P356" i="9"/>
  <c r="D356" i="9"/>
  <c r="E356" i="9" s="1"/>
  <c r="AG355" i="9"/>
  <c r="AF355" i="9"/>
  <c r="Z355" i="9"/>
  <c r="Y355" i="9"/>
  <c r="AD355" i="9" s="1"/>
  <c r="X355" i="9"/>
  <c r="W355" i="9"/>
  <c r="AC355" i="9" s="1"/>
  <c r="V355" i="9"/>
  <c r="U355" i="9"/>
  <c r="AB355" i="9" s="1"/>
  <c r="T355" i="9"/>
  <c r="S355" i="9"/>
  <c r="AA355" i="9" s="1"/>
  <c r="R355" i="9"/>
  <c r="P355" i="9"/>
  <c r="D355" i="9"/>
  <c r="E355" i="9" s="1"/>
  <c r="AG354" i="9"/>
  <c r="AF354" i="9"/>
  <c r="Z354" i="9"/>
  <c r="Y354" i="9"/>
  <c r="AD354" i="9" s="1"/>
  <c r="X354" i="9"/>
  <c r="W354" i="9"/>
  <c r="V354" i="9"/>
  <c r="U354" i="9"/>
  <c r="T354" i="9"/>
  <c r="S354" i="9"/>
  <c r="R354" i="9"/>
  <c r="P354" i="9"/>
  <c r="D354" i="9"/>
  <c r="E354" i="9" s="1"/>
  <c r="AG353" i="9"/>
  <c r="AF353" i="9"/>
  <c r="Z353" i="9"/>
  <c r="Y353" i="9"/>
  <c r="AD353" i="9" s="1"/>
  <c r="X353" i="9"/>
  <c r="W353" i="9"/>
  <c r="AC353" i="9" s="1"/>
  <c r="V353" i="9"/>
  <c r="U353" i="9"/>
  <c r="AB353" i="9" s="1"/>
  <c r="T353" i="9"/>
  <c r="S353" i="9"/>
  <c r="AA353" i="9" s="1"/>
  <c r="R353" i="9"/>
  <c r="P353" i="9"/>
  <c r="D353" i="9"/>
  <c r="E353" i="9" s="1"/>
  <c r="AG352" i="9"/>
  <c r="AF352" i="9"/>
  <c r="Z352" i="9"/>
  <c r="Y352" i="9"/>
  <c r="AD352" i="9" s="1"/>
  <c r="X352" i="9"/>
  <c r="W352" i="9"/>
  <c r="AC352" i="9" s="1"/>
  <c r="V352" i="9"/>
  <c r="U352" i="9"/>
  <c r="AB352" i="9" s="1"/>
  <c r="T352" i="9"/>
  <c r="S352" i="9"/>
  <c r="R352" i="9"/>
  <c r="P352" i="9"/>
  <c r="D352" i="9"/>
  <c r="E352" i="9" s="1"/>
  <c r="AG351" i="9"/>
  <c r="AF351" i="9"/>
  <c r="Z351" i="9"/>
  <c r="Y351" i="9"/>
  <c r="AD351" i="9" s="1"/>
  <c r="X351" i="9"/>
  <c r="W351" i="9"/>
  <c r="AC351" i="9" s="1"/>
  <c r="V351" i="9"/>
  <c r="U351" i="9"/>
  <c r="AB351" i="9" s="1"/>
  <c r="T351" i="9"/>
  <c r="S351" i="9"/>
  <c r="AA351" i="9" s="1"/>
  <c r="R351" i="9"/>
  <c r="P351" i="9"/>
  <c r="D351" i="9"/>
  <c r="E351" i="9" s="1"/>
  <c r="AG350" i="9"/>
  <c r="AF350" i="9"/>
  <c r="Z350" i="9"/>
  <c r="Y350" i="9"/>
  <c r="AD350" i="9" s="1"/>
  <c r="X350" i="9"/>
  <c r="W350" i="9"/>
  <c r="AC350" i="9" s="1"/>
  <c r="V350" i="9"/>
  <c r="U350" i="9"/>
  <c r="AB350" i="9" s="1"/>
  <c r="T350" i="9"/>
  <c r="S350" i="9"/>
  <c r="AA350" i="9" s="1"/>
  <c r="R350" i="9"/>
  <c r="P350" i="9"/>
  <c r="D350" i="9"/>
  <c r="E350" i="9" s="1"/>
  <c r="AG349" i="9"/>
  <c r="AF349" i="9"/>
  <c r="Z349" i="9"/>
  <c r="Y349" i="9"/>
  <c r="AD349" i="9" s="1"/>
  <c r="X349" i="9"/>
  <c r="W349" i="9"/>
  <c r="AC349" i="9" s="1"/>
  <c r="V349" i="9"/>
  <c r="U349" i="9"/>
  <c r="AB349" i="9" s="1"/>
  <c r="T349" i="9"/>
  <c r="S349" i="9"/>
  <c r="AA349" i="9" s="1"/>
  <c r="R349" i="9"/>
  <c r="P349" i="9"/>
  <c r="D349" i="9"/>
  <c r="E349" i="9" s="1"/>
  <c r="AG348" i="9"/>
  <c r="AF348" i="9"/>
  <c r="Z348" i="9"/>
  <c r="Y348" i="9"/>
  <c r="AD348" i="9" s="1"/>
  <c r="X348" i="9"/>
  <c r="W348" i="9"/>
  <c r="AC348" i="9" s="1"/>
  <c r="V348" i="9"/>
  <c r="U348" i="9"/>
  <c r="AB348" i="9" s="1"/>
  <c r="T348" i="9"/>
  <c r="S348" i="9"/>
  <c r="AA348" i="9" s="1"/>
  <c r="R348" i="9"/>
  <c r="P348" i="9"/>
  <c r="D348" i="9"/>
  <c r="E348" i="9" s="1"/>
  <c r="AG347" i="9"/>
  <c r="AF347" i="9"/>
  <c r="Z347" i="9"/>
  <c r="Y347" i="9"/>
  <c r="AD347" i="9" s="1"/>
  <c r="X347" i="9"/>
  <c r="W347" i="9"/>
  <c r="AC347" i="9" s="1"/>
  <c r="V347" i="9"/>
  <c r="U347" i="9"/>
  <c r="AB347" i="9" s="1"/>
  <c r="T347" i="9"/>
  <c r="S347" i="9"/>
  <c r="R347" i="9"/>
  <c r="P347" i="9"/>
  <c r="D347" i="9"/>
  <c r="E347" i="9" s="1"/>
  <c r="AG346" i="9"/>
  <c r="AF346" i="9"/>
  <c r="Z346" i="9"/>
  <c r="Y346" i="9"/>
  <c r="AD346" i="9" s="1"/>
  <c r="X346" i="9"/>
  <c r="W346" i="9"/>
  <c r="AC346" i="9" s="1"/>
  <c r="V346" i="9"/>
  <c r="U346" i="9"/>
  <c r="AB346" i="9" s="1"/>
  <c r="T346" i="9"/>
  <c r="S346" i="9"/>
  <c r="R346" i="9"/>
  <c r="P346" i="9"/>
  <c r="D346" i="9"/>
  <c r="E346" i="9" s="1"/>
  <c r="AG345" i="9"/>
  <c r="AF345" i="9"/>
  <c r="Z345" i="9"/>
  <c r="Y345" i="9"/>
  <c r="AD345" i="9" s="1"/>
  <c r="X345" i="9"/>
  <c r="W345" i="9"/>
  <c r="AC345" i="9" s="1"/>
  <c r="V345" i="9"/>
  <c r="U345" i="9"/>
  <c r="AB345" i="9" s="1"/>
  <c r="T345" i="9"/>
  <c r="S345" i="9"/>
  <c r="R345" i="9"/>
  <c r="P345" i="9"/>
  <c r="D345" i="9"/>
  <c r="E345" i="9" s="1"/>
  <c r="AG344" i="9"/>
  <c r="AF344" i="9"/>
  <c r="Z344" i="9"/>
  <c r="Y344" i="9"/>
  <c r="AD344" i="9" s="1"/>
  <c r="X344" i="9"/>
  <c r="W344" i="9"/>
  <c r="AC344" i="9" s="1"/>
  <c r="V344" i="9"/>
  <c r="U344" i="9"/>
  <c r="AB344" i="9" s="1"/>
  <c r="T344" i="9"/>
  <c r="S344" i="9"/>
  <c r="AA344" i="9" s="1"/>
  <c r="R344" i="9"/>
  <c r="P344" i="9"/>
  <c r="D344" i="9"/>
  <c r="E344" i="9" s="1"/>
  <c r="AG343" i="9"/>
  <c r="AF343" i="9"/>
  <c r="Z343" i="9"/>
  <c r="Y343" i="9"/>
  <c r="AD343" i="9" s="1"/>
  <c r="X343" i="9"/>
  <c r="W343" i="9"/>
  <c r="AC343" i="9" s="1"/>
  <c r="V343" i="9"/>
  <c r="U343" i="9"/>
  <c r="AB343" i="9" s="1"/>
  <c r="T343" i="9"/>
  <c r="S343" i="9"/>
  <c r="R343" i="9"/>
  <c r="P343" i="9"/>
  <c r="D343" i="9"/>
  <c r="E343" i="9" s="1"/>
  <c r="AG342" i="9"/>
  <c r="AF342" i="9"/>
  <c r="Z342" i="9"/>
  <c r="Y342" i="9"/>
  <c r="AD342" i="9" s="1"/>
  <c r="X342" i="9"/>
  <c r="W342" i="9"/>
  <c r="AC342" i="9" s="1"/>
  <c r="V342" i="9"/>
  <c r="U342" i="9"/>
  <c r="AB342" i="9" s="1"/>
  <c r="T342" i="9"/>
  <c r="S342" i="9"/>
  <c r="AA342" i="9" s="1"/>
  <c r="R342" i="9"/>
  <c r="P342" i="9"/>
  <c r="D342" i="9"/>
  <c r="E342" i="9" s="1"/>
  <c r="AG341" i="9"/>
  <c r="AF341" i="9"/>
  <c r="Z341" i="9"/>
  <c r="Y341" i="9"/>
  <c r="AD341" i="9" s="1"/>
  <c r="X341" i="9"/>
  <c r="W341" i="9"/>
  <c r="AC341" i="9" s="1"/>
  <c r="V341" i="9"/>
  <c r="U341" i="9"/>
  <c r="AB341" i="9" s="1"/>
  <c r="T341" i="9"/>
  <c r="S341" i="9"/>
  <c r="R341" i="9"/>
  <c r="P341" i="9"/>
  <c r="D341" i="9"/>
  <c r="E341" i="9" s="1"/>
  <c r="AG340" i="9"/>
  <c r="AF340" i="9"/>
  <c r="Z340" i="9"/>
  <c r="Y340" i="9"/>
  <c r="AD340" i="9" s="1"/>
  <c r="X340" i="9"/>
  <c r="W340" i="9"/>
  <c r="AC340" i="9" s="1"/>
  <c r="V340" i="9"/>
  <c r="U340" i="9"/>
  <c r="AB340" i="9" s="1"/>
  <c r="T340" i="9"/>
  <c r="S340" i="9"/>
  <c r="R340" i="9"/>
  <c r="P340" i="9"/>
  <c r="D340" i="9"/>
  <c r="E340" i="9" s="1"/>
  <c r="AG339" i="9"/>
  <c r="AF339" i="9"/>
  <c r="Z339" i="9"/>
  <c r="Y339" i="9"/>
  <c r="AD339" i="9" s="1"/>
  <c r="X339" i="9"/>
  <c r="W339" i="9"/>
  <c r="V339" i="9"/>
  <c r="U339" i="9"/>
  <c r="AB339" i="9" s="1"/>
  <c r="T339" i="9"/>
  <c r="S339" i="9"/>
  <c r="R339" i="9"/>
  <c r="P339" i="9"/>
  <c r="D339" i="9"/>
  <c r="E339" i="9" s="1"/>
  <c r="AG338" i="9"/>
  <c r="AF338" i="9"/>
  <c r="Z338" i="9"/>
  <c r="Y338" i="9"/>
  <c r="AD338" i="9" s="1"/>
  <c r="X338" i="9"/>
  <c r="W338" i="9"/>
  <c r="AC338" i="9" s="1"/>
  <c r="V338" i="9"/>
  <c r="U338" i="9"/>
  <c r="T338" i="9"/>
  <c r="S338" i="9"/>
  <c r="R338" i="9"/>
  <c r="P338" i="9"/>
  <c r="D338" i="9"/>
  <c r="E338" i="9" s="1"/>
  <c r="AG337" i="9"/>
  <c r="AF337" i="9"/>
  <c r="Z337" i="9"/>
  <c r="Y337" i="9"/>
  <c r="AD337" i="9" s="1"/>
  <c r="X337" i="9"/>
  <c r="W337" i="9"/>
  <c r="AC337" i="9" s="1"/>
  <c r="V337" i="9"/>
  <c r="U337" i="9"/>
  <c r="AB337" i="9" s="1"/>
  <c r="T337" i="9"/>
  <c r="S337" i="9"/>
  <c r="AA337" i="9" s="1"/>
  <c r="R337" i="9"/>
  <c r="P337" i="9"/>
  <c r="D337" i="9"/>
  <c r="E337" i="9" s="1"/>
  <c r="AG336" i="9"/>
  <c r="AF336" i="9"/>
  <c r="Z336" i="9"/>
  <c r="Y336" i="9"/>
  <c r="AD336" i="9" s="1"/>
  <c r="X336" i="9"/>
  <c r="W336" i="9"/>
  <c r="AC336" i="9" s="1"/>
  <c r="V336" i="9"/>
  <c r="U336" i="9"/>
  <c r="AB336" i="9" s="1"/>
  <c r="T336" i="9"/>
  <c r="S336" i="9"/>
  <c r="AA336" i="9" s="1"/>
  <c r="R336" i="9"/>
  <c r="P336" i="9"/>
  <c r="D336" i="9"/>
  <c r="E336" i="9" s="1"/>
  <c r="AG335" i="9"/>
  <c r="AF335" i="9"/>
  <c r="Z335" i="9"/>
  <c r="Y335" i="9"/>
  <c r="AD335" i="9" s="1"/>
  <c r="X335" i="9"/>
  <c r="W335" i="9"/>
  <c r="AC335" i="9" s="1"/>
  <c r="V335" i="9"/>
  <c r="U335" i="9"/>
  <c r="AB335" i="9" s="1"/>
  <c r="T335" i="9"/>
  <c r="S335" i="9"/>
  <c r="R335" i="9"/>
  <c r="P335" i="9"/>
  <c r="D335" i="9"/>
  <c r="E335" i="9" s="1"/>
  <c r="AG334" i="9"/>
  <c r="AF334" i="9"/>
  <c r="Z334" i="9"/>
  <c r="Y334" i="9"/>
  <c r="AD334" i="9" s="1"/>
  <c r="X334" i="9"/>
  <c r="W334" i="9"/>
  <c r="AC334" i="9" s="1"/>
  <c r="V334" i="9"/>
  <c r="U334" i="9"/>
  <c r="AB334" i="9" s="1"/>
  <c r="T334" i="9"/>
  <c r="S334" i="9"/>
  <c r="AA334" i="9" s="1"/>
  <c r="R334" i="9"/>
  <c r="P334" i="9"/>
  <c r="D334" i="9"/>
  <c r="E334" i="9" s="1"/>
  <c r="AG333" i="9"/>
  <c r="AF333" i="9"/>
  <c r="Z333" i="9"/>
  <c r="Y333" i="9"/>
  <c r="AD333" i="9" s="1"/>
  <c r="X333" i="9"/>
  <c r="W333" i="9"/>
  <c r="V333" i="9"/>
  <c r="U333" i="9"/>
  <c r="AB333" i="9" s="1"/>
  <c r="T333" i="9"/>
  <c r="S333" i="9"/>
  <c r="R333" i="9"/>
  <c r="P333" i="9"/>
  <c r="D333" i="9"/>
  <c r="E333" i="9" s="1"/>
  <c r="AG332" i="9"/>
  <c r="AF332" i="9"/>
  <c r="Z332" i="9"/>
  <c r="Y332" i="9"/>
  <c r="AD332" i="9" s="1"/>
  <c r="X332" i="9"/>
  <c r="W332" i="9"/>
  <c r="AC332" i="9" s="1"/>
  <c r="V332" i="9"/>
  <c r="U332" i="9"/>
  <c r="T332" i="9"/>
  <c r="S332" i="9"/>
  <c r="AA332" i="9" s="1"/>
  <c r="R332" i="9"/>
  <c r="P332" i="9"/>
  <c r="D332" i="9"/>
  <c r="E332" i="9" s="1"/>
  <c r="AG331" i="9"/>
  <c r="AF331" i="9"/>
  <c r="Z331" i="9"/>
  <c r="Y331" i="9"/>
  <c r="X331" i="9"/>
  <c r="W331" i="9"/>
  <c r="V331" i="9"/>
  <c r="U331" i="9"/>
  <c r="AB331" i="9" s="1"/>
  <c r="T331" i="9"/>
  <c r="S331" i="9"/>
  <c r="AA331" i="9" s="1"/>
  <c r="R331" i="9"/>
  <c r="P331" i="9"/>
  <c r="D331" i="9"/>
  <c r="E331" i="9" s="1"/>
  <c r="AG330" i="9"/>
  <c r="AF330" i="9"/>
  <c r="Z330" i="9"/>
  <c r="Y330" i="9"/>
  <c r="AD330" i="9" s="1"/>
  <c r="X330" i="9"/>
  <c r="W330" i="9"/>
  <c r="V330" i="9"/>
  <c r="U330" i="9"/>
  <c r="T330" i="9"/>
  <c r="S330" i="9"/>
  <c r="AA330" i="9" s="1"/>
  <c r="R330" i="9"/>
  <c r="P330" i="9"/>
  <c r="D330" i="9"/>
  <c r="E330" i="9" s="1"/>
  <c r="AG329" i="9"/>
  <c r="AF329" i="9"/>
  <c r="Z329" i="9"/>
  <c r="Y329" i="9"/>
  <c r="AD329" i="9" s="1"/>
  <c r="X329" i="9"/>
  <c r="W329" i="9"/>
  <c r="V329" i="9"/>
  <c r="U329" i="9"/>
  <c r="AB329" i="9" s="1"/>
  <c r="T329" i="9"/>
  <c r="S329" i="9"/>
  <c r="R329" i="9"/>
  <c r="P329" i="9"/>
  <c r="D329" i="9"/>
  <c r="E329" i="9" s="1"/>
  <c r="AG328" i="9"/>
  <c r="AF328" i="9"/>
  <c r="Z328" i="9"/>
  <c r="Y328" i="9"/>
  <c r="AD328" i="9" s="1"/>
  <c r="X328" i="9"/>
  <c r="W328" i="9"/>
  <c r="V328" i="9"/>
  <c r="U328" i="9"/>
  <c r="T328" i="9"/>
  <c r="S328" i="9"/>
  <c r="AA328" i="9" s="1"/>
  <c r="R328" i="9"/>
  <c r="P328" i="9"/>
  <c r="D328" i="9"/>
  <c r="E328" i="9" s="1"/>
  <c r="AG327" i="9"/>
  <c r="AF327" i="9"/>
  <c r="Z327" i="9"/>
  <c r="Y327" i="9"/>
  <c r="AD327" i="9" s="1"/>
  <c r="X327" i="9"/>
  <c r="W327" i="9"/>
  <c r="AC327" i="9" s="1"/>
  <c r="V327" i="9"/>
  <c r="U327" i="9"/>
  <c r="T327" i="9"/>
  <c r="S327" i="9"/>
  <c r="AA327" i="9" s="1"/>
  <c r="R327" i="9"/>
  <c r="P327" i="9"/>
  <c r="D327" i="9"/>
  <c r="E327" i="9" s="1"/>
  <c r="AG326" i="9"/>
  <c r="AF326" i="9"/>
  <c r="Z326" i="9"/>
  <c r="Y326" i="9"/>
  <c r="AD326" i="9" s="1"/>
  <c r="X326" i="9"/>
  <c r="W326" i="9"/>
  <c r="V326" i="9"/>
  <c r="U326" i="9"/>
  <c r="AB326" i="9" s="1"/>
  <c r="T326" i="9"/>
  <c r="S326" i="9"/>
  <c r="R326" i="9"/>
  <c r="P326" i="9"/>
  <c r="D326" i="9"/>
  <c r="E326" i="9" s="1"/>
  <c r="AG325" i="9"/>
  <c r="AF325" i="9"/>
  <c r="Z325" i="9"/>
  <c r="Y325" i="9"/>
  <c r="X325" i="9"/>
  <c r="W325" i="9"/>
  <c r="AC325" i="9" s="1"/>
  <c r="V325" i="9"/>
  <c r="U325" i="9"/>
  <c r="AB325" i="9" s="1"/>
  <c r="T325" i="9"/>
  <c r="S325" i="9"/>
  <c r="AA325" i="9" s="1"/>
  <c r="R325" i="9"/>
  <c r="P325" i="9"/>
  <c r="D325" i="9"/>
  <c r="E325" i="9" s="1"/>
  <c r="AG324" i="9"/>
  <c r="AF324" i="9"/>
  <c r="Z324" i="9"/>
  <c r="Y324" i="9"/>
  <c r="X324" i="9"/>
  <c r="W324" i="9"/>
  <c r="AC324" i="9" s="1"/>
  <c r="V324" i="9"/>
  <c r="U324" i="9"/>
  <c r="T324" i="9"/>
  <c r="S324" i="9"/>
  <c r="R324" i="9"/>
  <c r="P324" i="9"/>
  <c r="D324" i="9"/>
  <c r="E324" i="9" s="1"/>
  <c r="AG323" i="9"/>
  <c r="AF323" i="9"/>
  <c r="Z323" i="9"/>
  <c r="Y323" i="9"/>
  <c r="X323" i="9"/>
  <c r="W323" i="9"/>
  <c r="V323" i="9"/>
  <c r="U323" i="9"/>
  <c r="AB323" i="9" s="1"/>
  <c r="T323" i="9"/>
  <c r="S323" i="9"/>
  <c r="AA323" i="9" s="1"/>
  <c r="R323" i="9"/>
  <c r="P323" i="9"/>
  <c r="D323" i="9"/>
  <c r="E323" i="9" s="1"/>
  <c r="AG322" i="9"/>
  <c r="AF322" i="9"/>
  <c r="Z322" i="9"/>
  <c r="Y322" i="9"/>
  <c r="AD322" i="9" s="1"/>
  <c r="X322" i="9"/>
  <c r="W322" i="9"/>
  <c r="AC322" i="9" s="1"/>
  <c r="V322" i="9"/>
  <c r="U322" i="9"/>
  <c r="AB322" i="9" s="1"/>
  <c r="T322" i="9"/>
  <c r="S322" i="9"/>
  <c r="AA322" i="9" s="1"/>
  <c r="R322" i="9"/>
  <c r="P322" i="9"/>
  <c r="D322" i="9"/>
  <c r="E322" i="9" s="1"/>
  <c r="AG321" i="9"/>
  <c r="AF321" i="9"/>
  <c r="Z321" i="9"/>
  <c r="Y321" i="9"/>
  <c r="X321" i="9"/>
  <c r="W321" i="9"/>
  <c r="AC321" i="9" s="1"/>
  <c r="V321" i="9"/>
  <c r="U321" i="9"/>
  <c r="AB321" i="9" s="1"/>
  <c r="T321" i="9"/>
  <c r="S321" i="9"/>
  <c r="AA321" i="9" s="1"/>
  <c r="R321" i="9"/>
  <c r="P321" i="9"/>
  <c r="D321" i="9"/>
  <c r="E321" i="9" s="1"/>
  <c r="AG320" i="9"/>
  <c r="AF320" i="9"/>
  <c r="Z320" i="9"/>
  <c r="Y320" i="9"/>
  <c r="AD320" i="9" s="1"/>
  <c r="X320" i="9"/>
  <c r="W320" i="9"/>
  <c r="AC320" i="9" s="1"/>
  <c r="V320" i="9"/>
  <c r="U320" i="9"/>
  <c r="AB320" i="9" s="1"/>
  <c r="T320" i="9"/>
  <c r="S320" i="9"/>
  <c r="AA320" i="9" s="1"/>
  <c r="R320" i="9"/>
  <c r="P320" i="9"/>
  <c r="D320" i="9"/>
  <c r="E320" i="9" s="1"/>
  <c r="AG319" i="9"/>
  <c r="AF319" i="9"/>
  <c r="Z319" i="9"/>
  <c r="Y319" i="9"/>
  <c r="AD319" i="9" s="1"/>
  <c r="X319" i="9"/>
  <c r="W319" i="9"/>
  <c r="AC319" i="9" s="1"/>
  <c r="V319" i="9"/>
  <c r="U319" i="9"/>
  <c r="AB319" i="9" s="1"/>
  <c r="T319" i="9"/>
  <c r="S319" i="9"/>
  <c r="R319" i="9"/>
  <c r="P319" i="9"/>
  <c r="D319" i="9"/>
  <c r="E319" i="9" s="1"/>
  <c r="AG318" i="9"/>
  <c r="AF318" i="9"/>
  <c r="Z318" i="9"/>
  <c r="Y318" i="9"/>
  <c r="AD318" i="9" s="1"/>
  <c r="X318" i="9"/>
  <c r="W318" i="9"/>
  <c r="V318" i="9"/>
  <c r="U318" i="9"/>
  <c r="AB318" i="9" s="1"/>
  <c r="T318" i="9"/>
  <c r="S318" i="9"/>
  <c r="R318" i="9"/>
  <c r="P318" i="9"/>
  <c r="D318" i="9"/>
  <c r="E318" i="9" s="1"/>
  <c r="AG317" i="9"/>
  <c r="AF317" i="9"/>
  <c r="Z317" i="9"/>
  <c r="Y317" i="9"/>
  <c r="X317" i="9"/>
  <c r="W317" i="9"/>
  <c r="V317" i="9"/>
  <c r="U317" i="9"/>
  <c r="AB317" i="9" s="1"/>
  <c r="T317" i="9"/>
  <c r="S317" i="9"/>
  <c r="R317" i="9"/>
  <c r="P317" i="9"/>
  <c r="D317" i="9"/>
  <c r="E317" i="9" s="1"/>
  <c r="AG316" i="9"/>
  <c r="AF316" i="9"/>
  <c r="Z316" i="9"/>
  <c r="Y316" i="9"/>
  <c r="AD316" i="9" s="1"/>
  <c r="X316" i="9"/>
  <c r="W316" i="9"/>
  <c r="AC316" i="9" s="1"/>
  <c r="V316" i="9"/>
  <c r="U316" i="9"/>
  <c r="AB316" i="9" s="1"/>
  <c r="T316" i="9"/>
  <c r="S316" i="9"/>
  <c r="AA316" i="9" s="1"/>
  <c r="R316" i="9"/>
  <c r="P316" i="9"/>
  <c r="D316" i="9"/>
  <c r="E316" i="9" s="1"/>
  <c r="AG315" i="9"/>
  <c r="AF315" i="9"/>
  <c r="Z315" i="9"/>
  <c r="Y315" i="9"/>
  <c r="X315" i="9"/>
  <c r="W315" i="9"/>
  <c r="V315" i="9"/>
  <c r="U315" i="9"/>
  <c r="AB315" i="9" s="1"/>
  <c r="T315" i="9"/>
  <c r="S315" i="9"/>
  <c r="R315" i="9"/>
  <c r="P315" i="9"/>
  <c r="D315" i="9"/>
  <c r="E315" i="9" s="1"/>
  <c r="AG314" i="9"/>
  <c r="AF314" i="9"/>
  <c r="Z314" i="9"/>
  <c r="Y314" i="9"/>
  <c r="X314" i="9"/>
  <c r="W314" i="9"/>
  <c r="AC314" i="9" s="1"/>
  <c r="V314" i="9"/>
  <c r="U314" i="9"/>
  <c r="T314" i="9"/>
  <c r="S314" i="9"/>
  <c r="R314" i="9"/>
  <c r="P314" i="9"/>
  <c r="D314" i="9"/>
  <c r="E314" i="9" s="1"/>
  <c r="AG313" i="9"/>
  <c r="AF313" i="9"/>
  <c r="Z313" i="9"/>
  <c r="Y313" i="9"/>
  <c r="AD313" i="9" s="1"/>
  <c r="X313" i="9"/>
  <c r="W313" i="9"/>
  <c r="V313" i="9"/>
  <c r="U313" i="9"/>
  <c r="AB313" i="9" s="1"/>
  <c r="T313" i="9"/>
  <c r="S313" i="9"/>
  <c r="AA313" i="9" s="1"/>
  <c r="R313" i="9"/>
  <c r="P313" i="9"/>
  <c r="D313" i="9"/>
  <c r="E313" i="9" s="1"/>
  <c r="AG312" i="9"/>
  <c r="AF312" i="9"/>
  <c r="Z312" i="9"/>
  <c r="Y312" i="9"/>
  <c r="AD312" i="9" s="1"/>
  <c r="X312" i="9"/>
  <c r="W312" i="9"/>
  <c r="AC312" i="9" s="1"/>
  <c r="V312" i="9"/>
  <c r="U312" i="9"/>
  <c r="AB312" i="9" s="1"/>
  <c r="T312" i="9"/>
  <c r="S312" i="9"/>
  <c r="R312" i="9"/>
  <c r="P312" i="9"/>
  <c r="D312" i="9"/>
  <c r="E312" i="9" s="1"/>
  <c r="AG311" i="9"/>
  <c r="AF311" i="9"/>
  <c r="Z311" i="9"/>
  <c r="Y311" i="9"/>
  <c r="X311" i="9"/>
  <c r="W311" i="9"/>
  <c r="V311" i="9"/>
  <c r="U311" i="9"/>
  <c r="T311" i="9"/>
  <c r="S311" i="9"/>
  <c r="R311" i="9"/>
  <c r="P311" i="9"/>
  <c r="D311" i="9"/>
  <c r="E311" i="9" s="1"/>
  <c r="AG310" i="9"/>
  <c r="AF310" i="9"/>
  <c r="Z310" i="9"/>
  <c r="Y310" i="9"/>
  <c r="X310" i="9"/>
  <c r="W310" i="9"/>
  <c r="V310" i="9"/>
  <c r="U310" i="9"/>
  <c r="AB310" i="9" s="1"/>
  <c r="T310" i="9"/>
  <c r="S310" i="9"/>
  <c r="AA310" i="9" s="1"/>
  <c r="R310" i="9"/>
  <c r="P310" i="9"/>
  <c r="D310" i="9"/>
  <c r="E310" i="9" s="1"/>
  <c r="AG309" i="9"/>
  <c r="AF309" i="9"/>
  <c r="Z309" i="9"/>
  <c r="Y309" i="9"/>
  <c r="X309" i="9"/>
  <c r="W309" i="9"/>
  <c r="AC309" i="9" s="1"/>
  <c r="V309" i="9"/>
  <c r="U309" i="9"/>
  <c r="T309" i="9"/>
  <c r="S309" i="9"/>
  <c r="R309" i="9"/>
  <c r="P309" i="9"/>
  <c r="D309" i="9"/>
  <c r="E309" i="9" s="1"/>
  <c r="AG308" i="9"/>
  <c r="AF308" i="9"/>
  <c r="Z308" i="9"/>
  <c r="Y308" i="9"/>
  <c r="X308" i="9"/>
  <c r="W308" i="9"/>
  <c r="V308" i="9"/>
  <c r="U308" i="9"/>
  <c r="T308" i="9"/>
  <c r="S308" i="9"/>
  <c r="AA308" i="9" s="1"/>
  <c r="R308" i="9"/>
  <c r="P308" i="9"/>
  <c r="D308" i="9"/>
  <c r="E308" i="9" s="1"/>
  <c r="AG307" i="9"/>
  <c r="AF307" i="9"/>
  <c r="Z307" i="9"/>
  <c r="Y307" i="9"/>
  <c r="X307" i="9"/>
  <c r="W307" i="9"/>
  <c r="V307" i="9"/>
  <c r="U307" i="9"/>
  <c r="T307" i="9"/>
  <c r="S307" i="9"/>
  <c r="R307" i="9"/>
  <c r="P307" i="9"/>
  <c r="D307" i="9"/>
  <c r="E307" i="9" s="1"/>
  <c r="AG306" i="9"/>
  <c r="AF306" i="9"/>
  <c r="Z306" i="9"/>
  <c r="Y306" i="9"/>
  <c r="AD306" i="9" s="1"/>
  <c r="X306" i="9"/>
  <c r="W306" i="9"/>
  <c r="AC306" i="9" s="1"/>
  <c r="V306" i="9"/>
  <c r="U306" i="9"/>
  <c r="AB306" i="9" s="1"/>
  <c r="T306" i="9"/>
  <c r="S306" i="9"/>
  <c r="AA306" i="9" s="1"/>
  <c r="R306" i="9"/>
  <c r="P306" i="9"/>
  <c r="D306" i="9"/>
  <c r="E306" i="9" s="1"/>
  <c r="AG305" i="9"/>
  <c r="AF305" i="9"/>
  <c r="Z305" i="9"/>
  <c r="Y305" i="9"/>
  <c r="X305" i="9"/>
  <c r="W305" i="9"/>
  <c r="V305" i="9"/>
  <c r="U305" i="9"/>
  <c r="AB305" i="9" s="1"/>
  <c r="T305" i="9"/>
  <c r="S305" i="9"/>
  <c r="R305" i="9"/>
  <c r="P305" i="9"/>
  <c r="D305" i="9"/>
  <c r="E305" i="9" s="1"/>
  <c r="AG304" i="9"/>
  <c r="AF304" i="9"/>
  <c r="Z304" i="9"/>
  <c r="Y304" i="9"/>
  <c r="AD304" i="9" s="1"/>
  <c r="X304" i="9"/>
  <c r="W304" i="9"/>
  <c r="V304" i="9"/>
  <c r="U304" i="9"/>
  <c r="AB304" i="9" s="1"/>
  <c r="T304" i="9"/>
  <c r="S304" i="9"/>
  <c r="AA304" i="9" s="1"/>
  <c r="R304" i="9"/>
  <c r="P304" i="9"/>
  <c r="D304" i="9"/>
  <c r="E304" i="9" s="1"/>
  <c r="AG303" i="9"/>
  <c r="AF303" i="9"/>
  <c r="Z303" i="9"/>
  <c r="Y303" i="9"/>
  <c r="X303" i="9"/>
  <c r="W303" i="9"/>
  <c r="V303" i="9"/>
  <c r="U303" i="9"/>
  <c r="AB303" i="9" s="1"/>
  <c r="T303" i="9"/>
  <c r="S303" i="9"/>
  <c r="R303" i="9"/>
  <c r="P303" i="9"/>
  <c r="D303" i="9"/>
  <c r="E303" i="9" s="1"/>
  <c r="AG302" i="9"/>
  <c r="AF302" i="9"/>
  <c r="Z302" i="9"/>
  <c r="Y302" i="9"/>
  <c r="X302" i="9"/>
  <c r="W302" i="9"/>
  <c r="AC302" i="9" s="1"/>
  <c r="V302" i="9"/>
  <c r="U302" i="9"/>
  <c r="T302" i="9"/>
  <c r="S302" i="9"/>
  <c r="R302" i="9"/>
  <c r="P302" i="9"/>
  <c r="D302" i="9"/>
  <c r="E302" i="9" s="1"/>
  <c r="AG301" i="9"/>
  <c r="AF301" i="9"/>
  <c r="Z301" i="9"/>
  <c r="Y301" i="9"/>
  <c r="X301" i="9"/>
  <c r="W301" i="9"/>
  <c r="V301" i="9"/>
  <c r="U301" i="9"/>
  <c r="AB301" i="9" s="1"/>
  <c r="T301" i="9"/>
  <c r="S301" i="9"/>
  <c r="R301" i="9"/>
  <c r="P301" i="9"/>
  <c r="D301" i="9"/>
  <c r="E301" i="9" s="1"/>
  <c r="AG300" i="9"/>
  <c r="AF300" i="9"/>
  <c r="Z300" i="9"/>
  <c r="Y300" i="9"/>
  <c r="AD300" i="9" s="1"/>
  <c r="X300" i="9"/>
  <c r="W300" i="9"/>
  <c r="V300" i="9"/>
  <c r="U300" i="9"/>
  <c r="T300" i="9"/>
  <c r="S300" i="9"/>
  <c r="AA300" i="9" s="1"/>
  <c r="R300" i="9"/>
  <c r="P300" i="9"/>
  <c r="D300" i="9"/>
  <c r="E300" i="9" s="1"/>
  <c r="AG299" i="9"/>
  <c r="AF299" i="9"/>
  <c r="Z299" i="9"/>
  <c r="Y299" i="9"/>
  <c r="X299" i="9"/>
  <c r="W299" i="9"/>
  <c r="V299" i="9"/>
  <c r="U299" i="9"/>
  <c r="T299" i="9"/>
  <c r="S299" i="9"/>
  <c r="R299" i="9"/>
  <c r="P299" i="9"/>
  <c r="D299" i="9"/>
  <c r="E299" i="9" s="1"/>
  <c r="AG298" i="9"/>
  <c r="AF298" i="9"/>
  <c r="Z298" i="9"/>
  <c r="Y298" i="9"/>
  <c r="X298" i="9"/>
  <c r="W298" i="9"/>
  <c r="V298" i="9"/>
  <c r="U298" i="9"/>
  <c r="AB298" i="9" s="1"/>
  <c r="T298" i="9"/>
  <c r="S298" i="9"/>
  <c r="AA298" i="9" s="1"/>
  <c r="R298" i="9"/>
  <c r="P298" i="9"/>
  <c r="D298" i="9"/>
  <c r="E298" i="9" s="1"/>
  <c r="AG297" i="9"/>
  <c r="AF297" i="9"/>
  <c r="Z297" i="9"/>
  <c r="Y297" i="9"/>
  <c r="X297" i="9"/>
  <c r="W297" i="9"/>
  <c r="V297" i="9"/>
  <c r="U297" i="9"/>
  <c r="T297" i="9"/>
  <c r="S297" i="9"/>
  <c r="R297" i="9"/>
  <c r="P297" i="9"/>
  <c r="D297" i="9"/>
  <c r="E297" i="9" s="1"/>
  <c r="AG296" i="9"/>
  <c r="AF296" i="9"/>
  <c r="Z296" i="9"/>
  <c r="Y296" i="9"/>
  <c r="X296" i="9"/>
  <c r="W296" i="9"/>
  <c r="V296" i="9"/>
  <c r="U296" i="9"/>
  <c r="T296" i="9"/>
  <c r="S296" i="9"/>
  <c r="AA296" i="9" s="1"/>
  <c r="R296" i="9"/>
  <c r="P296" i="9"/>
  <c r="D296" i="9"/>
  <c r="E296" i="9" s="1"/>
  <c r="AG295" i="9"/>
  <c r="AF295" i="9"/>
  <c r="Z295" i="9"/>
  <c r="Y295" i="9"/>
  <c r="AD295" i="9" s="1"/>
  <c r="X295" i="9"/>
  <c r="W295" i="9"/>
  <c r="V295" i="9"/>
  <c r="U295" i="9"/>
  <c r="T295" i="9"/>
  <c r="S295" i="9"/>
  <c r="R295" i="9"/>
  <c r="P295" i="9"/>
  <c r="D295" i="9"/>
  <c r="E295" i="9" s="1"/>
  <c r="AG294" i="9"/>
  <c r="AF294" i="9"/>
  <c r="Z294" i="9"/>
  <c r="Y294" i="9"/>
  <c r="AD294" i="9" s="1"/>
  <c r="X294" i="9"/>
  <c r="W294" i="9"/>
  <c r="V294" i="9"/>
  <c r="U294" i="9"/>
  <c r="T294" i="9"/>
  <c r="S294" i="9"/>
  <c r="AA294" i="9" s="1"/>
  <c r="R294" i="9"/>
  <c r="P294" i="9"/>
  <c r="D294" i="9"/>
  <c r="E294" i="9" s="1"/>
  <c r="AG293" i="9"/>
  <c r="AF293" i="9"/>
  <c r="Z293" i="9"/>
  <c r="Y293" i="9"/>
  <c r="AD293" i="9" s="1"/>
  <c r="X293" i="9"/>
  <c r="W293" i="9"/>
  <c r="AC293" i="9" s="1"/>
  <c r="V293" i="9"/>
  <c r="U293" i="9"/>
  <c r="T293" i="9"/>
  <c r="S293" i="9"/>
  <c r="AA293" i="9" s="1"/>
  <c r="R293" i="9"/>
  <c r="P293" i="9"/>
  <c r="D293" i="9"/>
  <c r="E293" i="9" s="1"/>
  <c r="AG292" i="9"/>
  <c r="AF292" i="9"/>
  <c r="Z292" i="9"/>
  <c r="Y292" i="9"/>
  <c r="X292" i="9"/>
  <c r="W292" i="9"/>
  <c r="AC292" i="9" s="1"/>
  <c r="V292" i="9"/>
  <c r="U292" i="9"/>
  <c r="T292" i="9"/>
  <c r="S292" i="9"/>
  <c r="AA292" i="9" s="1"/>
  <c r="R292" i="9"/>
  <c r="P292" i="9"/>
  <c r="D292" i="9"/>
  <c r="E292" i="9" s="1"/>
  <c r="AG291" i="9"/>
  <c r="AF291" i="9"/>
  <c r="Z291" i="9"/>
  <c r="Y291" i="9"/>
  <c r="X291" i="9"/>
  <c r="W291" i="9"/>
  <c r="V291" i="9"/>
  <c r="U291" i="9"/>
  <c r="AB291" i="9" s="1"/>
  <c r="T291" i="9"/>
  <c r="S291" i="9"/>
  <c r="R291" i="9"/>
  <c r="P291" i="9"/>
  <c r="D291" i="9"/>
  <c r="E291" i="9" s="1"/>
  <c r="AG290" i="9"/>
  <c r="AF290" i="9"/>
  <c r="Z290" i="9"/>
  <c r="Y290" i="9"/>
  <c r="X290" i="9"/>
  <c r="W290" i="9"/>
  <c r="V290" i="9"/>
  <c r="U290" i="9"/>
  <c r="AB290" i="9" s="1"/>
  <c r="T290" i="9"/>
  <c r="S290" i="9"/>
  <c r="AA290" i="9" s="1"/>
  <c r="R290" i="9"/>
  <c r="P290" i="9"/>
  <c r="D290" i="9"/>
  <c r="E290" i="9" s="1"/>
  <c r="AG289" i="9"/>
  <c r="AF289" i="9"/>
  <c r="Z289" i="9"/>
  <c r="Y289" i="9"/>
  <c r="AD289" i="9" s="1"/>
  <c r="X289" i="9"/>
  <c r="W289" i="9"/>
  <c r="AC289" i="9" s="1"/>
  <c r="V289" i="9"/>
  <c r="U289" i="9"/>
  <c r="AB289" i="9" s="1"/>
  <c r="T289" i="9"/>
  <c r="S289" i="9"/>
  <c r="AA289" i="9" s="1"/>
  <c r="R289" i="9"/>
  <c r="P289" i="9"/>
  <c r="D289" i="9"/>
  <c r="E289" i="9" s="1"/>
  <c r="AG288" i="9"/>
  <c r="AF288" i="9"/>
  <c r="Z288" i="9"/>
  <c r="Y288" i="9"/>
  <c r="X288" i="9"/>
  <c r="W288" i="9"/>
  <c r="V288" i="9"/>
  <c r="U288" i="9"/>
  <c r="T288" i="9"/>
  <c r="S288" i="9"/>
  <c r="AA288" i="9" s="1"/>
  <c r="R288" i="9"/>
  <c r="P288" i="9"/>
  <c r="D288" i="9"/>
  <c r="E288" i="9" s="1"/>
  <c r="AG287" i="9"/>
  <c r="AF287" i="9"/>
  <c r="Z287" i="9"/>
  <c r="Y287" i="9"/>
  <c r="X287" i="9"/>
  <c r="W287" i="9"/>
  <c r="AC287" i="9" s="1"/>
  <c r="V287" i="9"/>
  <c r="U287" i="9"/>
  <c r="T287" i="9"/>
  <c r="S287" i="9"/>
  <c r="AA287" i="9" s="1"/>
  <c r="R287" i="9"/>
  <c r="P287" i="9"/>
  <c r="D287" i="9"/>
  <c r="E287" i="9" s="1"/>
  <c r="AG286" i="9"/>
  <c r="AF286" i="9"/>
  <c r="Z286" i="9"/>
  <c r="Y286" i="9"/>
  <c r="X286" i="9"/>
  <c r="W286" i="9"/>
  <c r="V286" i="9"/>
  <c r="U286" i="9"/>
  <c r="AB286" i="9" s="1"/>
  <c r="T286" i="9"/>
  <c r="S286" i="9"/>
  <c r="AA286" i="9" s="1"/>
  <c r="R286" i="9"/>
  <c r="P286" i="9"/>
  <c r="D286" i="9"/>
  <c r="E286" i="9" s="1"/>
  <c r="AG285" i="9"/>
  <c r="AF285" i="9"/>
  <c r="Z285" i="9"/>
  <c r="Y285" i="9"/>
  <c r="AD285" i="9" s="1"/>
  <c r="X285" i="9"/>
  <c r="W285" i="9"/>
  <c r="V285" i="9"/>
  <c r="U285" i="9"/>
  <c r="AB285" i="9" s="1"/>
  <c r="T285" i="9"/>
  <c r="S285" i="9"/>
  <c r="R285" i="9"/>
  <c r="P285" i="9"/>
  <c r="D285" i="9"/>
  <c r="E285" i="9" s="1"/>
  <c r="AG284" i="9"/>
  <c r="AF284" i="9"/>
  <c r="Z284" i="9"/>
  <c r="Y284" i="9"/>
  <c r="X284" i="9"/>
  <c r="W284" i="9"/>
  <c r="V284" i="9"/>
  <c r="U284" i="9"/>
  <c r="AB284" i="9" s="1"/>
  <c r="T284" i="9"/>
  <c r="S284" i="9"/>
  <c r="R284" i="9"/>
  <c r="P284" i="9"/>
  <c r="D284" i="9"/>
  <c r="E284" i="9" s="1"/>
  <c r="AG283" i="9"/>
  <c r="AF283" i="9"/>
  <c r="Z283" i="9"/>
  <c r="Y283" i="9"/>
  <c r="X283" i="9"/>
  <c r="W283" i="9"/>
  <c r="V283" i="9"/>
  <c r="U283" i="9"/>
  <c r="AB283" i="9" s="1"/>
  <c r="T283" i="9"/>
  <c r="S283" i="9"/>
  <c r="AA283" i="9" s="1"/>
  <c r="R283" i="9"/>
  <c r="P283" i="9"/>
  <c r="D283" i="9"/>
  <c r="E283" i="9" s="1"/>
  <c r="AG282" i="9"/>
  <c r="AF282" i="9"/>
  <c r="Z282" i="9"/>
  <c r="Y282" i="9"/>
  <c r="AD282" i="9" s="1"/>
  <c r="X282" i="9"/>
  <c r="W282" i="9"/>
  <c r="V282" i="9"/>
  <c r="U282" i="9"/>
  <c r="AB282" i="9" s="1"/>
  <c r="T282" i="9"/>
  <c r="S282" i="9"/>
  <c r="AA282" i="9" s="1"/>
  <c r="R282" i="9"/>
  <c r="P282" i="9"/>
  <c r="D282" i="9"/>
  <c r="E282" i="9" s="1"/>
  <c r="AG281" i="9"/>
  <c r="AF281" i="9"/>
  <c r="Z281" i="9"/>
  <c r="Y281" i="9"/>
  <c r="X281" i="9"/>
  <c r="W281" i="9"/>
  <c r="V281" i="9"/>
  <c r="U281" i="9"/>
  <c r="T281" i="9"/>
  <c r="S281" i="9"/>
  <c r="AA281" i="9" s="1"/>
  <c r="R281" i="9"/>
  <c r="P281" i="9"/>
  <c r="D281" i="9"/>
  <c r="E281" i="9" s="1"/>
  <c r="AG280" i="9"/>
  <c r="AF280" i="9"/>
  <c r="Z280" i="9"/>
  <c r="Y280" i="9"/>
  <c r="X280" i="9"/>
  <c r="W280" i="9"/>
  <c r="V280" i="9"/>
  <c r="U280" i="9"/>
  <c r="AB280" i="9" s="1"/>
  <c r="T280" i="9"/>
  <c r="S280" i="9"/>
  <c r="R280" i="9"/>
  <c r="P280" i="9"/>
  <c r="D280" i="9"/>
  <c r="E280" i="9" s="1"/>
  <c r="AG279" i="9"/>
  <c r="AF279" i="9"/>
  <c r="Z279" i="9"/>
  <c r="Y279" i="9"/>
  <c r="X279" i="9"/>
  <c r="W279" i="9"/>
  <c r="AC279" i="9" s="1"/>
  <c r="V279" i="9"/>
  <c r="U279" i="9"/>
  <c r="AB279" i="9" s="1"/>
  <c r="T279" i="9"/>
  <c r="S279" i="9"/>
  <c r="AA279" i="9" s="1"/>
  <c r="R279" i="9"/>
  <c r="P279" i="9"/>
  <c r="D279" i="9"/>
  <c r="E279" i="9" s="1"/>
  <c r="AG278" i="9"/>
  <c r="AF278" i="9"/>
  <c r="Z278" i="9"/>
  <c r="Y278" i="9"/>
  <c r="X278" i="9"/>
  <c r="W278" i="9"/>
  <c r="V278" i="9"/>
  <c r="U278" i="9"/>
  <c r="AB278" i="9" s="1"/>
  <c r="T278" i="9"/>
  <c r="S278" i="9"/>
  <c r="R278" i="9"/>
  <c r="P278" i="9"/>
  <c r="D278" i="9"/>
  <c r="E278" i="9" s="1"/>
  <c r="AG277" i="9"/>
  <c r="AF277" i="9"/>
  <c r="Z277" i="9"/>
  <c r="Y277" i="9"/>
  <c r="AD277" i="9" s="1"/>
  <c r="X277" i="9"/>
  <c r="W277" i="9"/>
  <c r="V277" i="9"/>
  <c r="U277" i="9"/>
  <c r="AB277" i="9" s="1"/>
  <c r="T277" i="9"/>
  <c r="S277" i="9"/>
  <c r="AA277" i="9" s="1"/>
  <c r="R277" i="9"/>
  <c r="P277" i="9"/>
  <c r="D277" i="9"/>
  <c r="E277" i="9" s="1"/>
  <c r="AG276" i="9"/>
  <c r="AF276" i="9"/>
  <c r="Z276" i="9"/>
  <c r="Y276" i="9"/>
  <c r="AD276" i="9" s="1"/>
  <c r="X276" i="9"/>
  <c r="W276" i="9"/>
  <c r="AC276" i="9" s="1"/>
  <c r="V276" i="9"/>
  <c r="U276" i="9"/>
  <c r="AB276" i="9" s="1"/>
  <c r="T276" i="9"/>
  <c r="S276" i="9"/>
  <c r="AA276" i="9" s="1"/>
  <c r="R276" i="9"/>
  <c r="P276" i="9"/>
  <c r="D276" i="9"/>
  <c r="E276" i="9" s="1"/>
  <c r="AG275" i="9"/>
  <c r="AF275" i="9"/>
  <c r="Z275" i="9"/>
  <c r="Y275" i="9"/>
  <c r="AD275" i="9" s="1"/>
  <c r="X275" i="9"/>
  <c r="W275" i="9"/>
  <c r="V275" i="9"/>
  <c r="U275" i="9"/>
  <c r="AB275" i="9" s="1"/>
  <c r="T275" i="9"/>
  <c r="S275" i="9"/>
  <c r="AA275" i="9" s="1"/>
  <c r="R275" i="9"/>
  <c r="P275" i="9"/>
  <c r="D275" i="9"/>
  <c r="E275" i="9" s="1"/>
  <c r="AG274" i="9"/>
  <c r="AF274" i="9"/>
  <c r="Z274" i="9"/>
  <c r="Y274" i="9"/>
  <c r="AD274" i="9" s="1"/>
  <c r="X274" i="9"/>
  <c r="W274" i="9"/>
  <c r="V274" i="9"/>
  <c r="U274" i="9"/>
  <c r="AB274" i="9" s="1"/>
  <c r="T274" i="9"/>
  <c r="S274" i="9"/>
  <c r="AA274" i="9" s="1"/>
  <c r="R274" i="9"/>
  <c r="P274" i="9"/>
  <c r="D274" i="9"/>
  <c r="E274" i="9" s="1"/>
  <c r="AG273" i="9"/>
  <c r="AF273" i="9"/>
  <c r="Z273" i="9"/>
  <c r="Y273" i="9"/>
  <c r="AD273" i="9" s="1"/>
  <c r="X273" i="9"/>
  <c r="W273" i="9"/>
  <c r="V273" i="9"/>
  <c r="U273" i="9"/>
  <c r="AB273" i="9" s="1"/>
  <c r="T273" i="9"/>
  <c r="S273" i="9"/>
  <c r="AA273" i="9" s="1"/>
  <c r="R273" i="9"/>
  <c r="P273" i="9"/>
  <c r="D273" i="9"/>
  <c r="E273" i="9" s="1"/>
  <c r="AG272" i="9"/>
  <c r="AF272" i="9"/>
  <c r="Z272" i="9"/>
  <c r="Y272" i="9"/>
  <c r="AD272" i="9" s="1"/>
  <c r="X272" i="9"/>
  <c r="W272" i="9"/>
  <c r="AC272" i="9" s="1"/>
  <c r="V272" i="9"/>
  <c r="U272" i="9"/>
  <c r="AB272" i="9" s="1"/>
  <c r="T272" i="9"/>
  <c r="S272" i="9"/>
  <c r="AA272" i="9" s="1"/>
  <c r="R272" i="9"/>
  <c r="P272" i="9"/>
  <c r="D272" i="9"/>
  <c r="E272" i="9" s="1"/>
  <c r="AG271" i="9"/>
  <c r="AF271" i="9"/>
  <c r="Z271" i="9"/>
  <c r="Y271" i="9"/>
  <c r="X271" i="9"/>
  <c r="W271" i="9"/>
  <c r="AC271" i="9" s="1"/>
  <c r="V271" i="9"/>
  <c r="U271" i="9"/>
  <c r="T271" i="9"/>
  <c r="S271" i="9"/>
  <c r="AA271" i="9" s="1"/>
  <c r="R271" i="9"/>
  <c r="P271" i="9"/>
  <c r="D271" i="9"/>
  <c r="E271" i="9" s="1"/>
  <c r="AG270" i="9"/>
  <c r="AF270" i="9"/>
  <c r="Z270" i="9"/>
  <c r="Y270" i="9"/>
  <c r="AD270" i="9" s="1"/>
  <c r="X270" i="9"/>
  <c r="W270" i="9"/>
  <c r="V270" i="9"/>
  <c r="U270" i="9"/>
  <c r="AB270" i="9" s="1"/>
  <c r="T270" i="9"/>
  <c r="S270" i="9"/>
  <c r="R270" i="9"/>
  <c r="P270" i="9"/>
  <c r="D270" i="9"/>
  <c r="E270" i="9" s="1"/>
  <c r="AG269" i="9"/>
  <c r="AF269" i="9"/>
  <c r="Z269" i="9"/>
  <c r="Y269" i="9"/>
  <c r="X269" i="9"/>
  <c r="W269" i="9"/>
  <c r="AC269" i="9" s="1"/>
  <c r="V269" i="9"/>
  <c r="U269" i="9"/>
  <c r="T269" i="9"/>
  <c r="S269" i="9"/>
  <c r="R269" i="9"/>
  <c r="P269" i="9"/>
  <c r="D269" i="9"/>
  <c r="E269" i="9" s="1"/>
  <c r="AG268" i="9"/>
  <c r="AF268" i="9"/>
  <c r="Z268" i="9"/>
  <c r="Y268" i="9"/>
  <c r="X268" i="9"/>
  <c r="W268" i="9"/>
  <c r="V268" i="9"/>
  <c r="U268" i="9"/>
  <c r="AB268" i="9" s="1"/>
  <c r="T268" i="9"/>
  <c r="S268" i="9"/>
  <c r="R268" i="9"/>
  <c r="P268" i="9"/>
  <c r="D268" i="9"/>
  <c r="E268" i="9" s="1"/>
  <c r="AG267" i="9"/>
  <c r="AF267" i="9"/>
  <c r="Z267" i="9"/>
  <c r="Y267" i="9"/>
  <c r="AD267" i="9" s="1"/>
  <c r="X267" i="9"/>
  <c r="W267" i="9"/>
  <c r="V267" i="9"/>
  <c r="U267" i="9"/>
  <c r="T267" i="9"/>
  <c r="S267" i="9"/>
  <c r="AA267" i="9" s="1"/>
  <c r="R267" i="9"/>
  <c r="P267" i="9"/>
  <c r="D267" i="9"/>
  <c r="E267" i="9" s="1"/>
  <c r="AG266" i="9"/>
  <c r="AF266" i="9"/>
  <c r="Z266" i="9"/>
  <c r="Y266" i="9"/>
  <c r="AD266" i="9" s="1"/>
  <c r="X266" i="9"/>
  <c r="W266" i="9"/>
  <c r="V266" i="9"/>
  <c r="U266" i="9"/>
  <c r="AB266" i="9" s="1"/>
  <c r="T266" i="9"/>
  <c r="S266" i="9"/>
  <c r="AA266" i="9" s="1"/>
  <c r="R266" i="9"/>
  <c r="P266" i="9"/>
  <c r="D266" i="9"/>
  <c r="E266" i="9" s="1"/>
  <c r="AG265" i="9"/>
  <c r="AF265" i="9"/>
  <c r="Z265" i="9"/>
  <c r="Y265" i="9"/>
  <c r="X265" i="9"/>
  <c r="W265" i="9"/>
  <c r="V265" i="9"/>
  <c r="U265" i="9"/>
  <c r="AB265" i="9" s="1"/>
  <c r="T265" i="9"/>
  <c r="S265" i="9"/>
  <c r="R265" i="9"/>
  <c r="P265" i="9"/>
  <c r="D265" i="9"/>
  <c r="E265" i="9" s="1"/>
  <c r="AG264" i="9"/>
  <c r="AF264" i="9"/>
  <c r="Z264" i="9"/>
  <c r="Y264" i="9"/>
  <c r="AD264" i="9" s="1"/>
  <c r="X264" i="9"/>
  <c r="W264" i="9"/>
  <c r="V264" i="9"/>
  <c r="U264" i="9"/>
  <c r="AB264" i="9" s="1"/>
  <c r="T264" i="9"/>
  <c r="S264" i="9"/>
  <c r="R264" i="9"/>
  <c r="P264" i="9"/>
  <c r="D264" i="9"/>
  <c r="E264" i="9" s="1"/>
  <c r="AG263" i="9"/>
  <c r="AF263" i="9"/>
  <c r="Z263" i="9"/>
  <c r="Y263" i="9"/>
  <c r="AD263" i="9" s="1"/>
  <c r="X263" i="9"/>
  <c r="W263" i="9"/>
  <c r="V263" i="9"/>
  <c r="U263" i="9"/>
  <c r="T263" i="9"/>
  <c r="S263" i="9"/>
  <c r="R263" i="9"/>
  <c r="P263" i="9"/>
  <c r="D263" i="9"/>
  <c r="E263" i="9" s="1"/>
  <c r="AG262" i="9"/>
  <c r="AF262" i="9"/>
  <c r="Z262" i="9"/>
  <c r="Y262" i="9"/>
  <c r="AD262" i="9" s="1"/>
  <c r="X262" i="9"/>
  <c r="W262" i="9"/>
  <c r="V262" i="9"/>
  <c r="U262" i="9"/>
  <c r="AB262" i="9" s="1"/>
  <c r="T262" i="9"/>
  <c r="S262" i="9"/>
  <c r="R262" i="9"/>
  <c r="P262" i="9"/>
  <c r="D262" i="9"/>
  <c r="E262" i="9" s="1"/>
  <c r="AG261" i="9"/>
  <c r="AF261" i="9"/>
  <c r="Z261" i="9"/>
  <c r="Y261" i="9"/>
  <c r="AD261" i="9" s="1"/>
  <c r="X261" i="9"/>
  <c r="W261" i="9"/>
  <c r="AC261" i="9" s="1"/>
  <c r="V261" i="9"/>
  <c r="U261" i="9"/>
  <c r="AB261" i="9" s="1"/>
  <c r="T261" i="9"/>
  <c r="S261" i="9"/>
  <c r="AA261" i="9" s="1"/>
  <c r="R261" i="9"/>
  <c r="P261" i="9"/>
  <c r="D261" i="9"/>
  <c r="E261" i="9" s="1"/>
  <c r="AG260" i="9"/>
  <c r="AF260" i="9"/>
  <c r="Z260" i="9"/>
  <c r="Y260" i="9"/>
  <c r="X260" i="9"/>
  <c r="W260" i="9"/>
  <c r="V260" i="9"/>
  <c r="U260" i="9"/>
  <c r="AB260" i="9" s="1"/>
  <c r="T260" i="9"/>
  <c r="S260" i="9"/>
  <c r="AA260" i="9" s="1"/>
  <c r="R260" i="9"/>
  <c r="P260" i="9"/>
  <c r="D260" i="9"/>
  <c r="E260" i="9" s="1"/>
  <c r="AG259" i="9"/>
  <c r="AF259" i="9"/>
  <c r="Z259" i="9"/>
  <c r="Y259" i="9"/>
  <c r="AD259" i="9" s="1"/>
  <c r="X259" i="9"/>
  <c r="W259" i="9"/>
  <c r="AC259" i="9" s="1"/>
  <c r="V259" i="9"/>
  <c r="U259" i="9"/>
  <c r="AB259" i="9" s="1"/>
  <c r="T259" i="9"/>
  <c r="S259" i="9"/>
  <c r="AA259" i="9" s="1"/>
  <c r="R259" i="9"/>
  <c r="P259" i="9"/>
  <c r="D259" i="9"/>
  <c r="E259" i="9" s="1"/>
  <c r="AG258" i="9"/>
  <c r="AF258" i="9"/>
  <c r="Z258" i="9"/>
  <c r="Y258" i="9"/>
  <c r="AD258" i="9" s="1"/>
  <c r="X258" i="9"/>
  <c r="W258" i="9"/>
  <c r="V258" i="9"/>
  <c r="U258" i="9"/>
  <c r="AB258" i="9" s="1"/>
  <c r="T258" i="9"/>
  <c r="S258" i="9"/>
  <c r="R258" i="9"/>
  <c r="P258" i="9"/>
  <c r="D258" i="9"/>
  <c r="E258" i="9" s="1"/>
  <c r="AG257" i="9"/>
  <c r="AF257" i="9"/>
  <c r="Z257" i="9"/>
  <c r="Y257" i="9"/>
  <c r="AD257" i="9" s="1"/>
  <c r="X257" i="9"/>
  <c r="W257" i="9"/>
  <c r="V257" i="9"/>
  <c r="U257" i="9"/>
  <c r="AB257" i="9" s="1"/>
  <c r="T257" i="9"/>
  <c r="S257" i="9"/>
  <c r="R257" i="9"/>
  <c r="P257" i="9"/>
  <c r="D257" i="9"/>
  <c r="E257" i="9" s="1"/>
  <c r="AG256" i="9"/>
  <c r="AF256" i="9"/>
  <c r="Z256" i="9"/>
  <c r="Y256" i="9"/>
  <c r="AD256" i="9" s="1"/>
  <c r="X256" i="9"/>
  <c r="W256" i="9"/>
  <c r="V256" i="9"/>
  <c r="U256" i="9"/>
  <c r="AB256" i="9" s="1"/>
  <c r="T256" i="9"/>
  <c r="S256" i="9"/>
  <c r="R256" i="9"/>
  <c r="P256" i="9"/>
  <c r="D256" i="9"/>
  <c r="E256" i="9" s="1"/>
  <c r="AG255" i="9"/>
  <c r="AF255" i="9"/>
  <c r="Z255" i="9"/>
  <c r="Y255" i="9"/>
  <c r="X255" i="9"/>
  <c r="W255" i="9"/>
  <c r="AC255" i="9" s="1"/>
  <c r="V255" i="9"/>
  <c r="U255" i="9"/>
  <c r="AB255" i="9" s="1"/>
  <c r="T255" i="9"/>
  <c r="S255" i="9"/>
  <c r="AA255" i="9" s="1"/>
  <c r="R255" i="9"/>
  <c r="P255" i="9"/>
  <c r="D255" i="9"/>
  <c r="E255" i="9" s="1"/>
  <c r="AG254" i="9"/>
  <c r="AF254" i="9"/>
  <c r="Z254" i="9"/>
  <c r="Y254" i="9"/>
  <c r="AD254" i="9" s="1"/>
  <c r="X254" i="9"/>
  <c r="W254" i="9"/>
  <c r="AC254" i="9" s="1"/>
  <c r="V254" i="9"/>
  <c r="U254" i="9"/>
  <c r="AB254" i="9" s="1"/>
  <c r="T254" i="9"/>
  <c r="S254" i="9"/>
  <c r="R254" i="9"/>
  <c r="P254" i="9"/>
  <c r="D254" i="9"/>
  <c r="E254" i="9" s="1"/>
  <c r="AG253" i="9"/>
  <c r="AF253" i="9"/>
  <c r="Z253" i="9"/>
  <c r="Y253" i="9"/>
  <c r="AD253" i="9" s="1"/>
  <c r="X253" i="9"/>
  <c r="W253" i="9"/>
  <c r="V253" i="9"/>
  <c r="U253" i="9"/>
  <c r="AB253" i="9" s="1"/>
  <c r="T253" i="9"/>
  <c r="S253" i="9"/>
  <c r="AA253" i="9" s="1"/>
  <c r="R253" i="9"/>
  <c r="P253" i="9"/>
  <c r="D253" i="9"/>
  <c r="E253" i="9" s="1"/>
  <c r="AG252" i="9"/>
  <c r="AF252" i="9"/>
  <c r="Z252" i="9"/>
  <c r="Y252" i="9"/>
  <c r="AD252" i="9" s="1"/>
  <c r="X252" i="9"/>
  <c r="W252" i="9"/>
  <c r="V252" i="9"/>
  <c r="U252" i="9"/>
  <c r="AB252" i="9" s="1"/>
  <c r="T252" i="9"/>
  <c r="S252" i="9"/>
  <c r="AA252" i="9" s="1"/>
  <c r="R252" i="9"/>
  <c r="P252" i="9"/>
  <c r="D252" i="9"/>
  <c r="E252" i="9" s="1"/>
  <c r="AG251" i="9"/>
  <c r="AF251" i="9"/>
  <c r="Z251" i="9"/>
  <c r="Y251" i="9"/>
  <c r="AD251" i="9" s="1"/>
  <c r="X251" i="9"/>
  <c r="W251" i="9"/>
  <c r="AC251" i="9" s="1"/>
  <c r="V251" i="9"/>
  <c r="U251" i="9"/>
  <c r="AB251" i="9" s="1"/>
  <c r="T251" i="9"/>
  <c r="S251" i="9"/>
  <c r="R251" i="9"/>
  <c r="P251" i="9"/>
  <c r="D251" i="9"/>
  <c r="E251" i="9" s="1"/>
  <c r="AG250" i="9"/>
  <c r="AF250" i="9"/>
  <c r="Z250" i="9"/>
  <c r="Y250" i="9"/>
  <c r="AD250" i="9" s="1"/>
  <c r="X250" i="9"/>
  <c r="W250" i="9"/>
  <c r="V250" i="9"/>
  <c r="U250" i="9"/>
  <c r="AB250" i="9" s="1"/>
  <c r="T250" i="9"/>
  <c r="S250" i="9"/>
  <c r="AA250" i="9" s="1"/>
  <c r="R250" i="9"/>
  <c r="P250" i="9"/>
  <c r="D250" i="9"/>
  <c r="E250" i="9" s="1"/>
  <c r="AG249" i="9"/>
  <c r="AF249" i="9"/>
  <c r="Z249" i="9"/>
  <c r="Y249" i="9"/>
  <c r="AD249" i="9" s="1"/>
  <c r="X249" i="9"/>
  <c r="W249" i="9"/>
  <c r="V249" i="9"/>
  <c r="U249" i="9"/>
  <c r="AB249" i="9" s="1"/>
  <c r="T249" i="9"/>
  <c r="S249" i="9"/>
  <c r="AA249" i="9" s="1"/>
  <c r="R249" i="9"/>
  <c r="P249" i="9"/>
  <c r="D249" i="9"/>
  <c r="E249" i="9" s="1"/>
  <c r="AG248" i="9"/>
  <c r="AF248" i="9"/>
  <c r="Z248" i="9"/>
  <c r="Y248" i="9"/>
  <c r="AD248" i="9" s="1"/>
  <c r="X248" i="9"/>
  <c r="W248" i="9"/>
  <c r="V248" i="9"/>
  <c r="U248" i="9"/>
  <c r="AB248" i="9" s="1"/>
  <c r="T248" i="9"/>
  <c r="S248" i="9"/>
  <c r="AA248" i="9" s="1"/>
  <c r="R248" i="9"/>
  <c r="P248" i="9"/>
  <c r="D248" i="9"/>
  <c r="E248" i="9" s="1"/>
  <c r="AG247" i="9"/>
  <c r="AF247" i="9"/>
  <c r="Z247" i="9"/>
  <c r="Y247" i="9"/>
  <c r="AD247" i="9" s="1"/>
  <c r="X247" i="9"/>
  <c r="W247" i="9"/>
  <c r="V247" i="9"/>
  <c r="U247" i="9"/>
  <c r="AB247" i="9" s="1"/>
  <c r="T247" i="9"/>
  <c r="S247" i="9"/>
  <c r="R247" i="9"/>
  <c r="P247" i="9"/>
  <c r="D247" i="9"/>
  <c r="E247" i="9" s="1"/>
  <c r="AG246" i="9"/>
  <c r="AF246" i="9"/>
  <c r="Z246" i="9"/>
  <c r="Y246" i="9"/>
  <c r="X246" i="9"/>
  <c r="W246" i="9"/>
  <c r="V246" i="9"/>
  <c r="U246" i="9"/>
  <c r="AB246" i="9" s="1"/>
  <c r="T246" i="9"/>
  <c r="S246" i="9"/>
  <c r="AA246" i="9" s="1"/>
  <c r="R246" i="9"/>
  <c r="P246" i="9"/>
  <c r="D246" i="9"/>
  <c r="E246" i="9" s="1"/>
  <c r="AG245" i="9"/>
  <c r="AF245" i="9"/>
  <c r="Z245" i="9"/>
  <c r="Y245" i="9"/>
  <c r="AD245" i="9" s="1"/>
  <c r="X245" i="9"/>
  <c r="W245" i="9"/>
  <c r="V245" i="9"/>
  <c r="U245" i="9"/>
  <c r="AB245" i="9" s="1"/>
  <c r="T245" i="9"/>
  <c r="S245" i="9"/>
  <c r="AA245" i="9" s="1"/>
  <c r="R245" i="9"/>
  <c r="P245" i="9"/>
  <c r="D245" i="9"/>
  <c r="E245" i="9" s="1"/>
  <c r="AG244" i="9"/>
  <c r="AF244" i="9"/>
  <c r="Z244" i="9"/>
  <c r="Y244" i="9"/>
  <c r="AD244" i="9" s="1"/>
  <c r="X244" i="9"/>
  <c r="W244" i="9"/>
  <c r="V244" i="9"/>
  <c r="U244" i="9"/>
  <c r="AB244" i="9" s="1"/>
  <c r="T244" i="9"/>
  <c r="S244" i="9"/>
  <c r="R244" i="9"/>
  <c r="P244" i="9"/>
  <c r="D244" i="9"/>
  <c r="E244" i="9" s="1"/>
  <c r="AG243" i="9"/>
  <c r="AF243" i="9"/>
  <c r="Z243" i="9"/>
  <c r="Y243" i="9"/>
  <c r="AD243" i="9" s="1"/>
  <c r="X243" i="9"/>
  <c r="W243" i="9"/>
  <c r="V243" i="9"/>
  <c r="U243" i="9"/>
  <c r="AB243" i="9" s="1"/>
  <c r="T243" i="9"/>
  <c r="S243" i="9"/>
  <c r="R243" i="9"/>
  <c r="P243" i="9"/>
  <c r="D243" i="9"/>
  <c r="E243" i="9" s="1"/>
  <c r="AG242" i="9"/>
  <c r="AF242" i="9"/>
  <c r="Z242" i="9"/>
  <c r="Y242" i="9"/>
  <c r="X242" i="9"/>
  <c r="W242" i="9"/>
  <c r="AC242" i="9" s="1"/>
  <c r="V242" i="9"/>
  <c r="U242" i="9"/>
  <c r="AB242" i="9" s="1"/>
  <c r="T242" i="9"/>
  <c r="S242" i="9"/>
  <c r="AA242" i="9" s="1"/>
  <c r="R242" i="9"/>
  <c r="P242" i="9"/>
  <c r="D242" i="9"/>
  <c r="E242" i="9" s="1"/>
  <c r="AG241" i="9"/>
  <c r="AF241" i="9"/>
  <c r="Z241" i="9"/>
  <c r="Y241" i="9"/>
  <c r="AD241" i="9" s="1"/>
  <c r="X241" i="9"/>
  <c r="W241" i="9"/>
  <c r="V241" i="9"/>
  <c r="U241" i="9"/>
  <c r="AB241" i="9" s="1"/>
  <c r="T241" i="9"/>
  <c r="S241" i="9"/>
  <c r="AA241" i="9" s="1"/>
  <c r="R241" i="9"/>
  <c r="P241" i="9"/>
  <c r="D241" i="9"/>
  <c r="E241" i="9" s="1"/>
  <c r="AG240" i="9"/>
  <c r="AF240" i="9"/>
  <c r="Z240" i="9"/>
  <c r="Y240" i="9"/>
  <c r="AD240" i="9" s="1"/>
  <c r="X240" i="9"/>
  <c r="W240" i="9"/>
  <c r="V240" i="9"/>
  <c r="U240" i="9"/>
  <c r="AB240" i="9" s="1"/>
  <c r="T240" i="9"/>
  <c r="S240" i="9"/>
  <c r="R240" i="9"/>
  <c r="P240" i="9"/>
  <c r="D240" i="9"/>
  <c r="E240" i="9" s="1"/>
  <c r="AG239" i="9"/>
  <c r="AF239" i="9"/>
  <c r="Z239" i="9"/>
  <c r="Y239" i="9"/>
  <c r="X239" i="9"/>
  <c r="W239" i="9"/>
  <c r="AC239" i="9" s="1"/>
  <c r="V239" i="9"/>
  <c r="U239" i="9"/>
  <c r="T239" i="9"/>
  <c r="S239" i="9"/>
  <c r="AA239" i="9" s="1"/>
  <c r="R239" i="9"/>
  <c r="P239" i="9"/>
  <c r="D239" i="9"/>
  <c r="E239" i="9" s="1"/>
  <c r="AG238" i="9"/>
  <c r="AF238" i="9"/>
  <c r="Z238" i="9"/>
  <c r="Y238" i="9"/>
  <c r="X238" i="9"/>
  <c r="W238" i="9"/>
  <c r="AC238" i="9" s="1"/>
  <c r="V238" i="9"/>
  <c r="U238" i="9"/>
  <c r="AB238" i="9" s="1"/>
  <c r="T238" i="9"/>
  <c r="S238" i="9"/>
  <c r="R238" i="9"/>
  <c r="P238" i="9"/>
  <c r="D238" i="9"/>
  <c r="E238" i="9" s="1"/>
  <c r="AG237" i="9"/>
  <c r="AF237" i="9"/>
  <c r="Z237" i="9"/>
  <c r="Y237" i="9"/>
  <c r="AD237" i="9" s="1"/>
  <c r="X237" i="9"/>
  <c r="W237" i="9"/>
  <c r="V237" i="9"/>
  <c r="U237" i="9"/>
  <c r="AB237" i="9" s="1"/>
  <c r="T237" i="9"/>
  <c r="S237" i="9"/>
  <c r="R237" i="9"/>
  <c r="P237" i="9"/>
  <c r="D237" i="9"/>
  <c r="E237" i="9" s="1"/>
  <c r="AG236" i="9"/>
  <c r="AF236" i="9"/>
  <c r="Z236" i="9"/>
  <c r="Y236" i="9"/>
  <c r="AD236" i="9" s="1"/>
  <c r="X236" i="9"/>
  <c r="W236" i="9"/>
  <c r="V236" i="9"/>
  <c r="U236" i="9"/>
  <c r="AB236" i="9" s="1"/>
  <c r="T236" i="9"/>
  <c r="S236" i="9"/>
  <c r="AA236" i="9" s="1"/>
  <c r="R236" i="9"/>
  <c r="P236" i="9"/>
  <c r="D236" i="9"/>
  <c r="E236" i="9" s="1"/>
  <c r="AG235" i="9"/>
  <c r="AF235" i="9"/>
  <c r="Z235" i="9"/>
  <c r="Y235" i="9"/>
  <c r="AD235" i="9" s="1"/>
  <c r="X235" i="9"/>
  <c r="W235" i="9"/>
  <c r="V235" i="9"/>
  <c r="U235" i="9"/>
  <c r="AB235" i="9" s="1"/>
  <c r="T235" i="9"/>
  <c r="S235" i="9"/>
  <c r="AA235" i="9" s="1"/>
  <c r="R235" i="9"/>
  <c r="P235" i="9"/>
  <c r="D235" i="9"/>
  <c r="E235" i="9" s="1"/>
  <c r="AG234" i="9"/>
  <c r="AF234" i="9"/>
  <c r="Z234" i="9"/>
  <c r="Y234" i="9"/>
  <c r="AD234" i="9" s="1"/>
  <c r="X234" i="9"/>
  <c r="W234" i="9"/>
  <c r="V234" i="9"/>
  <c r="U234" i="9"/>
  <c r="AB234" i="9" s="1"/>
  <c r="T234" i="9"/>
  <c r="S234" i="9"/>
  <c r="R234" i="9"/>
  <c r="P234" i="9"/>
  <c r="D234" i="9"/>
  <c r="E234" i="9" s="1"/>
  <c r="AG233" i="9"/>
  <c r="AF233" i="9"/>
  <c r="Z233" i="9"/>
  <c r="Y233" i="9"/>
  <c r="X233" i="9"/>
  <c r="W233" i="9"/>
  <c r="V233" i="9"/>
  <c r="U233" i="9"/>
  <c r="AB233" i="9" s="1"/>
  <c r="T233" i="9"/>
  <c r="S233" i="9"/>
  <c r="AA233" i="9" s="1"/>
  <c r="R233" i="9"/>
  <c r="P233" i="9"/>
  <c r="D233" i="9"/>
  <c r="E233" i="9" s="1"/>
  <c r="AG232" i="9"/>
  <c r="AF232" i="9"/>
  <c r="Z232" i="9"/>
  <c r="Y232" i="9"/>
  <c r="X232" i="9"/>
  <c r="W232" i="9"/>
  <c r="V232" i="9"/>
  <c r="U232" i="9"/>
  <c r="AB232" i="9" s="1"/>
  <c r="T232" i="9"/>
  <c r="S232" i="9"/>
  <c r="AA232" i="9" s="1"/>
  <c r="R232" i="9"/>
  <c r="P232" i="9"/>
  <c r="D232" i="9"/>
  <c r="E232" i="9" s="1"/>
  <c r="AG231" i="9"/>
  <c r="AF231" i="9"/>
  <c r="Z231" i="9"/>
  <c r="Y231" i="9"/>
  <c r="X231" i="9"/>
  <c r="W231" i="9"/>
  <c r="V231" i="9"/>
  <c r="U231" i="9"/>
  <c r="AB231" i="9" s="1"/>
  <c r="T231" i="9"/>
  <c r="S231" i="9"/>
  <c r="AA231" i="9" s="1"/>
  <c r="R231" i="9"/>
  <c r="P231" i="9"/>
  <c r="D231" i="9"/>
  <c r="E231" i="9" s="1"/>
  <c r="AG230" i="9"/>
  <c r="AF230" i="9"/>
  <c r="Z230" i="9"/>
  <c r="Y230" i="9"/>
  <c r="AD230" i="9" s="1"/>
  <c r="X230" i="9"/>
  <c r="W230" i="9"/>
  <c r="V230" i="9"/>
  <c r="U230" i="9"/>
  <c r="AB230" i="9" s="1"/>
  <c r="T230" i="9"/>
  <c r="S230" i="9"/>
  <c r="AA230" i="9" s="1"/>
  <c r="R230" i="9"/>
  <c r="P230" i="9"/>
  <c r="D230" i="9"/>
  <c r="E230" i="9" s="1"/>
  <c r="AG229" i="9"/>
  <c r="AF229" i="9"/>
  <c r="Z229" i="9"/>
  <c r="Y229" i="9"/>
  <c r="AD229" i="9" s="1"/>
  <c r="X229" i="9"/>
  <c r="W229" i="9"/>
  <c r="V229" i="9"/>
  <c r="U229" i="9"/>
  <c r="AB229" i="9" s="1"/>
  <c r="T229" i="9"/>
  <c r="S229" i="9"/>
  <c r="AA229" i="9" s="1"/>
  <c r="R229" i="9"/>
  <c r="P229" i="9"/>
  <c r="D229" i="9"/>
  <c r="E229" i="9" s="1"/>
  <c r="AG228" i="9"/>
  <c r="AF228" i="9"/>
  <c r="Z228" i="9"/>
  <c r="Y228" i="9"/>
  <c r="X228" i="9"/>
  <c r="W228" i="9"/>
  <c r="AC228" i="9" s="1"/>
  <c r="V228" i="9"/>
  <c r="U228" i="9"/>
  <c r="AB228" i="9" s="1"/>
  <c r="T228" i="9"/>
  <c r="S228" i="9"/>
  <c r="R228" i="9"/>
  <c r="P228" i="9"/>
  <c r="D228" i="9"/>
  <c r="E228" i="9" s="1"/>
  <c r="AG227" i="9"/>
  <c r="AF227" i="9"/>
  <c r="Z227" i="9"/>
  <c r="Y227" i="9"/>
  <c r="X227" i="9"/>
  <c r="W227" i="9"/>
  <c r="V227" i="9"/>
  <c r="U227" i="9"/>
  <c r="AB227" i="9" s="1"/>
  <c r="T227" i="9"/>
  <c r="S227" i="9"/>
  <c r="AA227" i="9" s="1"/>
  <c r="R227" i="9"/>
  <c r="P227" i="9"/>
  <c r="D227" i="9"/>
  <c r="E227" i="9" s="1"/>
  <c r="AG226" i="9"/>
  <c r="AF226" i="9"/>
  <c r="Z226" i="9"/>
  <c r="Y226" i="9"/>
  <c r="AD226" i="9" s="1"/>
  <c r="X226" i="9"/>
  <c r="W226" i="9"/>
  <c r="V226" i="9"/>
  <c r="U226" i="9"/>
  <c r="AB226" i="9" s="1"/>
  <c r="T226" i="9"/>
  <c r="S226" i="9"/>
  <c r="AA226" i="9" s="1"/>
  <c r="R226" i="9"/>
  <c r="P226" i="9"/>
  <c r="D226" i="9"/>
  <c r="E226" i="9" s="1"/>
  <c r="AG225" i="9"/>
  <c r="AF225" i="9"/>
  <c r="Z225" i="9"/>
  <c r="Y225" i="9"/>
  <c r="X225" i="9"/>
  <c r="W225" i="9"/>
  <c r="AC225" i="9" s="1"/>
  <c r="V225" i="9"/>
  <c r="U225" i="9"/>
  <c r="AB225" i="9" s="1"/>
  <c r="T225" i="9"/>
  <c r="S225" i="9"/>
  <c r="AA225" i="9" s="1"/>
  <c r="R225" i="9"/>
  <c r="P225" i="9"/>
  <c r="D225" i="9"/>
  <c r="E225" i="9" s="1"/>
  <c r="AG224" i="9"/>
  <c r="AF224" i="9"/>
  <c r="Z224" i="9"/>
  <c r="Y224" i="9"/>
  <c r="AD224" i="9" s="1"/>
  <c r="X224" i="9"/>
  <c r="W224" i="9"/>
  <c r="AC224" i="9" s="1"/>
  <c r="V224" i="9"/>
  <c r="U224" i="9"/>
  <c r="AB224" i="9" s="1"/>
  <c r="T224" i="9"/>
  <c r="S224" i="9"/>
  <c r="R224" i="9"/>
  <c r="P224" i="9"/>
  <c r="D224" i="9"/>
  <c r="E224" i="9" s="1"/>
  <c r="AG223" i="9"/>
  <c r="AF223" i="9"/>
  <c r="Z223" i="9"/>
  <c r="Y223" i="9"/>
  <c r="X223" i="9"/>
  <c r="W223" i="9"/>
  <c r="AC223" i="9" s="1"/>
  <c r="V223" i="9"/>
  <c r="U223" i="9"/>
  <c r="AB223" i="9" s="1"/>
  <c r="T223" i="9"/>
  <c r="S223" i="9"/>
  <c r="R223" i="9"/>
  <c r="P223" i="9"/>
  <c r="D223" i="9"/>
  <c r="E223" i="9" s="1"/>
  <c r="AG222" i="9"/>
  <c r="AF222" i="9"/>
  <c r="Z222" i="9"/>
  <c r="Y222" i="9"/>
  <c r="AD222" i="9" s="1"/>
  <c r="X222" i="9"/>
  <c r="W222" i="9"/>
  <c r="V222" i="9"/>
  <c r="U222" i="9"/>
  <c r="AB222" i="9" s="1"/>
  <c r="T222" i="9"/>
  <c r="S222" i="9"/>
  <c r="R222" i="9"/>
  <c r="P222" i="9"/>
  <c r="D222" i="9"/>
  <c r="E222" i="9" s="1"/>
  <c r="AG221" i="9"/>
  <c r="AF221" i="9"/>
  <c r="Z221" i="9"/>
  <c r="Y221" i="9"/>
  <c r="X221" i="9"/>
  <c r="W221" i="9"/>
  <c r="AC221" i="9" s="1"/>
  <c r="V221" i="9"/>
  <c r="U221" i="9"/>
  <c r="AB221" i="9" s="1"/>
  <c r="T221" i="9"/>
  <c r="S221" i="9"/>
  <c r="AA221" i="9" s="1"/>
  <c r="R221" i="9"/>
  <c r="P221" i="9"/>
  <c r="D221" i="9"/>
  <c r="E221" i="9" s="1"/>
  <c r="AG220" i="9"/>
  <c r="AF220" i="9"/>
  <c r="Z220" i="9"/>
  <c r="Y220" i="9"/>
  <c r="X220" i="9"/>
  <c r="W220" i="9"/>
  <c r="V220" i="9"/>
  <c r="U220" i="9"/>
  <c r="AB220" i="9" s="1"/>
  <c r="T220" i="9"/>
  <c r="S220" i="9"/>
  <c r="R220" i="9"/>
  <c r="P220" i="9"/>
  <c r="D220" i="9"/>
  <c r="E220" i="9" s="1"/>
  <c r="AG219" i="9"/>
  <c r="AF219" i="9"/>
  <c r="Z219" i="9"/>
  <c r="Y219" i="9"/>
  <c r="AD219" i="9" s="1"/>
  <c r="X219" i="9"/>
  <c r="W219" i="9"/>
  <c r="V219" i="9"/>
  <c r="U219" i="9"/>
  <c r="AB219" i="9" s="1"/>
  <c r="T219" i="9"/>
  <c r="S219" i="9"/>
  <c r="AA219" i="9" s="1"/>
  <c r="R219" i="9"/>
  <c r="P219" i="9"/>
  <c r="D219" i="9"/>
  <c r="E219" i="9" s="1"/>
  <c r="AG218" i="9"/>
  <c r="AF218" i="9"/>
  <c r="Z218" i="9"/>
  <c r="Y218" i="9"/>
  <c r="AD218" i="9" s="1"/>
  <c r="X218" i="9"/>
  <c r="W218" i="9"/>
  <c r="V218" i="9"/>
  <c r="U218" i="9"/>
  <c r="AB218" i="9" s="1"/>
  <c r="T218" i="9"/>
  <c r="S218" i="9"/>
  <c r="R218" i="9"/>
  <c r="P218" i="9"/>
  <c r="D218" i="9"/>
  <c r="E218" i="9" s="1"/>
  <c r="AG217" i="9"/>
  <c r="AF217" i="9"/>
  <c r="Z217" i="9"/>
  <c r="Y217" i="9"/>
  <c r="X217" i="9"/>
  <c r="W217" i="9"/>
  <c r="V217" i="9"/>
  <c r="U217" i="9"/>
  <c r="AB217" i="9" s="1"/>
  <c r="T217" i="9"/>
  <c r="S217" i="9"/>
  <c r="AA217" i="9" s="1"/>
  <c r="R217" i="9"/>
  <c r="P217" i="9"/>
  <c r="D217" i="9"/>
  <c r="E217" i="9" s="1"/>
  <c r="AG216" i="9"/>
  <c r="AF216" i="9"/>
  <c r="Z216" i="9"/>
  <c r="Y216" i="9"/>
  <c r="AD216" i="9" s="1"/>
  <c r="X216" i="9"/>
  <c r="W216" i="9"/>
  <c r="V216" i="9"/>
  <c r="U216" i="9"/>
  <c r="AB216" i="9" s="1"/>
  <c r="T216" i="9"/>
  <c r="S216" i="9"/>
  <c r="AA216" i="9" s="1"/>
  <c r="R216" i="9"/>
  <c r="P216" i="9"/>
  <c r="D216" i="9"/>
  <c r="E216" i="9" s="1"/>
  <c r="AG215" i="9"/>
  <c r="AF215" i="9"/>
  <c r="Z215" i="9"/>
  <c r="Y215" i="9"/>
  <c r="AD215" i="9" s="1"/>
  <c r="X215" i="9"/>
  <c r="W215" i="9"/>
  <c r="V215" i="9"/>
  <c r="U215" i="9"/>
  <c r="AB215" i="9" s="1"/>
  <c r="T215" i="9"/>
  <c r="S215" i="9"/>
  <c r="R215" i="9"/>
  <c r="P215" i="9"/>
  <c r="D215" i="9"/>
  <c r="E215" i="9" s="1"/>
  <c r="AG214" i="9"/>
  <c r="AF214" i="9"/>
  <c r="Z214" i="9"/>
  <c r="Y214" i="9"/>
  <c r="X214" i="9"/>
  <c r="W214" i="9"/>
  <c r="V214" i="9"/>
  <c r="U214" i="9"/>
  <c r="AB214" i="9" s="1"/>
  <c r="T214" i="9"/>
  <c r="S214" i="9"/>
  <c r="AA214" i="9" s="1"/>
  <c r="R214" i="9"/>
  <c r="P214" i="9"/>
  <c r="D214" i="9"/>
  <c r="E214" i="9" s="1"/>
  <c r="AG213" i="9"/>
  <c r="AF213" i="9"/>
  <c r="Z213" i="9"/>
  <c r="Y213" i="9"/>
  <c r="X213" i="9"/>
  <c r="W213" i="9"/>
  <c r="V213" i="9"/>
  <c r="U213" i="9"/>
  <c r="AB213" i="9" s="1"/>
  <c r="T213" i="9"/>
  <c r="S213" i="9"/>
  <c r="R213" i="9"/>
  <c r="P213" i="9"/>
  <c r="D213" i="9"/>
  <c r="E213" i="9" s="1"/>
  <c r="AG212" i="9"/>
  <c r="AF212" i="9"/>
  <c r="Z212" i="9"/>
  <c r="Y212" i="9"/>
  <c r="X212" i="9"/>
  <c r="W212" i="9"/>
  <c r="AC212" i="9" s="1"/>
  <c r="V212" i="9"/>
  <c r="U212" i="9"/>
  <c r="AB212" i="9" s="1"/>
  <c r="T212" i="9"/>
  <c r="S212" i="9"/>
  <c r="R212" i="9"/>
  <c r="P212" i="9"/>
  <c r="D212" i="9"/>
  <c r="E212" i="9" s="1"/>
  <c r="AG211" i="9"/>
  <c r="AF211" i="9"/>
  <c r="Z211" i="9"/>
  <c r="Y211" i="9"/>
  <c r="AD211" i="9" s="1"/>
  <c r="X211" i="9"/>
  <c r="W211" i="9"/>
  <c r="V211" i="9"/>
  <c r="U211" i="9"/>
  <c r="AB211" i="9" s="1"/>
  <c r="T211" i="9"/>
  <c r="S211" i="9"/>
  <c r="R211" i="9"/>
  <c r="P211" i="9"/>
  <c r="D211" i="9"/>
  <c r="E211" i="9" s="1"/>
  <c r="AG210" i="9"/>
  <c r="AF210" i="9"/>
  <c r="Z210" i="9"/>
  <c r="Y210" i="9"/>
  <c r="X210" i="9"/>
  <c r="W210" i="9"/>
  <c r="V210" i="9"/>
  <c r="U210" i="9"/>
  <c r="T210" i="9"/>
  <c r="S210" i="9"/>
  <c r="AA210" i="9" s="1"/>
  <c r="R210" i="9"/>
  <c r="P210" i="9"/>
  <c r="D210" i="9"/>
  <c r="E210" i="9" s="1"/>
  <c r="AG209" i="9"/>
  <c r="AF209" i="9"/>
  <c r="Z209" i="9"/>
  <c r="Y209" i="9"/>
  <c r="X209" i="9"/>
  <c r="W209" i="9"/>
  <c r="V209" i="9"/>
  <c r="U209" i="9"/>
  <c r="AB209" i="9" s="1"/>
  <c r="T209" i="9"/>
  <c r="S209" i="9"/>
  <c r="R209" i="9"/>
  <c r="P209" i="9"/>
  <c r="D209" i="9"/>
  <c r="E209" i="9" s="1"/>
  <c r="AG208" i="9"/>
  <c r="AF208" i="9"/>
  <c r="Z208" i="9"/>
  <c r="Y208" i="9"/>
  <c r="X208" i="9"/>
  <c r="W208" i="9"/>
  <c r="AC208" i="9" s="1"/>
  <c r="V208" i="9"/>
  <c r="U208" i="9"/>
  <c r="AB208" i="9" s="1"/>
  <c r="T208" i="9"/>
  <c r="S208" i="9"/>
  <c r="R208" i="9"/>
  <c r="P208" i="9"/>
  <c r="D208" i="9"/>
  <c r="E208" i="9" s="1"/>
  <c r="AG207" i="9"/>
  <c r="AF207" i="9"/>
  <c r="Z207" i="9"/>
  <c r="Y207" i="9"/>
  <c r="X207" i="9"/>
  <c r="W207" i="9"/>
  <c r="AC207" i="9" s="1"/>
  <c r="V207" i="9"/>
  <c r="U207" i="9"/>
  <c r="AB207" i="9" s="1"/>
  <c r="T207" i="9"/>
  <c r="S207" i="9"/>
  <c r="AA207" i="9" s="1"/>
  <c r="R207" i="9"/>
  <c r="P207" i="9"/>
  <c r="D207" i="9"/>
  <c r="E207" i="9" s="1"/>
  <c r="AG206" i="9"/>
  <c r="AF206" i="9"/>
  <c r="Z206" i="9"/>
  <c r="Y206" i="9"/>
  <c r="AD206" i="9" s="1"/>
  <c r="X206" i="9"/>
  <c r="W206" i="9"/>
  <c r="AC206" i="9" s="1"/>
  <c r="V206" i="9"/>
  <c r="U206" i="9"/>
  <c r="AB206" i="9" s="1"/>
  <c r="T206" i="9"/>
  <c r="S206" i="9"/>
  <c r="R206" i="9"/>
  <c r="P206" i="9"/>
  <c r="D206" i="9"/>
  <c r="E206" i="9" s="1"/>
  <c r="AG205" i="9"/>
  <c r="AF205" i="9"/>
  <c r="Z205" i="9"/>
  <c r="Y205" i="9"/>
  <c r="X205" i="9"/>
  <c r="W205" i="9"/>
  <c r="AC205" i="9" s="1"/>
  <c r="V205" i="9"/>
  <c r="U205" i="9"/>
  <c r="AB205" i="9" s="1"/>
  <c r="T205" i="9"/>
  <c r="S205" i="9"/>
  <c r="AA205" i="9" s="1"/>
  <c r="R205" i="9"/>
  <c r="P205" i="9"/>
  <c r="D205" i="9"/>
  <c r="E205" i="9" s="1"/>
  <c r="AG204" i="9"/>
  <c r="AF204" i="9"/>
  <c r="Z204" i="9"/>
  <c r="Y204" i="9"/>
  <c r="AD204" i="9" s="1"/>
  <c r="X204" i="9"/>
  <c r="W204" i="9"/>
  <c r="V204" i="9"/>
  <c r="U204" i="9"/>
  <c r="AB204" i="9" s="1"/>
  <c r="T204" i="9"/>
  <c r="S204" i="9"/>
  <c r="R204" i="9"/>
  <c r="P204" i="9"/>
  <c r="D204" i="9"/>
  <c r="E204" i="9" s="1"/>
  <c r="AG203" i="9"/>
  <c r="AF203" i="9"/>
  <c r="Z203" i="9"/>
  <c r="Y203" i="9"/>
  <c r="AD203" i="9" s="1"/>
  <c r="X203" i="9"/>
  <c r="W203" i="9"/>
  <c r="V203" i="9"/>
  <c r="U203" i="9"/>
  <c r="AB203" i="9" s="1"/>
  <c r="T203" i="9"/>
  <c r="S203" i="9"/>
  <c r="AA203" i="9" s="1"/>
  <c r="R203" i="9"/>
  <c r="P203" i="9"/>
  <c r="D203" i="9"/>
  <c r="E203" i="9" s="1"/>
  <c r="AG202" i="9"/>
  <c r="AF202" i="9"/>
  <c r="Z202" i="9"/>
  <c r="Y202" i="9"/>
  <c r="X202" i="9"/>
  <c r="W202" i="9"/>
  <c r="AC202" i="9" s="1"/>
  <c r="V202" i="9"/>
  <c r="U202" i="9"/>
  <c r="AB202" i="9" s="1"/>
  <c r="T202" i="9"/>
  <c r="S202" i="9"/>
  <c r="AA202" i="9" s="1"/>
  <c r="R202" i="9"/>
  <c r="P202" i="9"/>
  <c r="D202" i="9"/>
  <c r="E202" i="9" s="1"/>
  <c r="AG201" i="9"/>
  <c r="AF201" i="9"/>
  <c r="Z201" i="9"/>
  <c r="Y201" i="9"/>
  <c r="X201" i="9"/>
  <c r="W201" i="9"/>
  <c r="V201" i="9"/>
  <c r="U201" i="9"/>
  <c r="AB201" i="9" s="1"/>
  <c r="T201" i="9"/>
  <c r="S201" i="9"/>
  <c r="AA201" i="9" s="1"/>
  <c r="R201" i="9"/>
  <c r="P201" i="9"/>
  <c r="D201" i="9"/>
  <c r="E201" i="9" s="1"/>
  <c r="AG200" i="9"/>
  <c r="AF200" i="9"/>
  <c r="Z200" i="9"/>
  <c r="Y200" i="9"/>
  <c r="X200" i="9"/>
  <c r="W200" i="9"/>
  <c r="AC200" i="9" s="1"/>
  <c r="V200" i="9"/>
  <c r="U200" i="9"/>
  <c r="AB200" i="9" s="1"/>
  <c r="T200" i="9"/>
  <c r="S200" i="9"/>
  <c r="AA200" i="9" s="1"/>
  <c r="R200" i="9"/>
  <c r="P200" i="9"/>
  <c r="D200" i="9"/>
  <c r="E200" i="9" s="1"/>
  <c r="AG199" i="9"/>
  <c r="AF199" i="9"/>
  <c r="Z199" i="9"/>
  <c r="Y199" i="9"/>
  <c r="X199" i="9"/>
  <c r="W199" i="9"/>
  <c r="AC199" i="9" s="1"/>
  <c r="V199" i="9"/>
  <c r="U199" i="9"/>
  <c r="AB199" i="9" s="1"/>
  <c r="T199" i="9"/>
  <c r="S199" i="9"/>
  <c r="AA199" i="9" s="1"/>
  <c r="R199" i="9"/>
  <c r="P199" i="9"/>
  <c r="D199" i="9"/>
  <c r="E199" i="9" s="1"/>
  <c r="AG198" i="9"/>
  <c r="AF198" i="9"/>
  <c r="Z198" i="9"/>
  <c r="Y198" i="9"/>
  <c r="X198" i="9"/>
  <c r="W198" i="9"/>
  <c r="V198" i="9"/>
  <c r="U198" i="9"/>
  <c r="AB198" i="9" s="1"/>
  <c r="T198" i="9"/>
  <c r="S198" i="9"/>
  <c r="AA198" i="9" s="1"/>
  <c r="R198" i="9"/>
  <c r="P198" i="9"/>
  <c r="D198" i="9"/>
  <c r="E198" i="9" s="1"/>
  <c r="AG197" i="9"/>
  <c r="AF197" i="9"/>
  <c r="Z197" i="9"/>
  <c r="Y197" i="9"/>
  <c r="X197" i="9"/>
  <c r="W197" i="9"/>
  <c r="V197" i="9"/>
  <c r="U197" i="9"/>
  <c r="AB197" i="9" s="1"/>
  <c r="T197" i="9"/>
  <c r="S197" i="9"/>
  <c r="R197" i="9"/>
  <c r="P197" i="9"/>
  <c r="D197" i="9"/>
  <c r="E197" i="9" s="1"/>
  <c r="AG196" i="9"/>
  <c r="AF196" i="9"/>
  <c r="Z196" i="9"/>
  <c r="Y196" i="9"/>
  <c r="X196" i="9"/>
  <c r="W196" i="9"/>
  <c r="V196" i="9"/>
  <c r="U196" i="9"/>
  <c r="AB196" i="9" s="1"/>
  <c r="T196" i="9"/>
  <c r="S196" i="9"/>
  <c r="R196" i="9"/>
  <c r="P196" i="9"/>
  <c r="D196" i="9"/>
  <c r="E196" i="9" s="1"/>
  <c r="AG195" i="9"/>
  <c r="AF195" i="9"/>
  <c r="Z195" i="9"/>
  <c r="Y195" i="9"/>
  <c r="X195" i="9"/>
  <c r="W195" i="9"/>
  <c r="AC195" i="9" s="1"/>
  <c r="V195" i="9"/>
  <c r="U195" i="9"/>
  <c r="AB195" i="9" s="1"/>
  <c r="T195" i="9"/>
  <c r="S195" i="9"/>
  <c r="R195" i="9"/>
  <c r="P195" i="9"/>
  <c r="D195" i="9"/>
  <c r="E195" i="9" s="1"/>
  <c r="AG194" i="9"/>
  <c r="AF194" i="9"/>
  <c r="Z194" i="9"/>
  <c r="Y194" i="9"/>
  <c r="AD194" i="9" s="1"/>
  <c r="X194" i="9"/>
  <c r="W194" i="9"/>
  <c r="AC194" i="9" s="1"/>
  <c r="V194" i="9"/>
  <c r="U194" i="9"/>
  <c r="AB194" i="9" s="1"/>
  <c r="T194" i="9"/>
  <c r="S194" i="9"/>
  <c r="AA194" i="9" s="1"/>
  <c r="R194" i="9"/>
  <c r="P194" i="9"/>
  <c r="D194" i="9"/>
  <c r="E194" i="9" s="1"/>
  <c r="AG193" i="9"/>
  <c r="AF193" i="9"/>
  <c r="Z193" i="9"/>
  <c r="Y193" i="9"/>
  <c r="X193" i="9"/>
  <c r="W193" i="9"/>
  <c r="AC193" i="9" s="1"/>
  <c r="V193" i="9"/>
  <c r="U193" i="9"/>
  <c r="AB193" i="9" s="1"/>
  <c r="T193" i="9"/>
  <c r="S193" i="9"/>
  <c r="R193" i="9"/>
  <c r="P193" i="9"/>
  <c r="D193" i="9"/>
  <c r="E193" i="9" s="1"/>
  <c r="AG192" i="9"/>
  <c r="AF192" i="9"/>
  <c r="Z192" i="9"/>
  <c r="Y192" i="9"/>
  <c r="X192" i="9"/>
  <c r="W192" i="9"/>
  <c r="V192" i="9"/>
  <c r="U192" i="9"/>
  <c r="AB192" i="9" s="1"/>
  <c r="T192" i="9"/>
  <c r="S192" i="9"/>
  <c r="AA192" i="9" s="1"/>
  <c r="R192" i="9"/>
  <c r="P192" i="9"/>
  <c r="D192" i="9"/>
  <c r="E192" i="9" s="1"/>
  <c r="AG191" i="9"/>
  <c r="AF191" i="9"/>
  <c r="Z191" i="9"/>
  <c r="Y191" i="9"/>
  <c r="AD191" i="9" s="1"/>
  <c r="X191" i="9"/>
  <c r="W191" i="9"/>
  <c r="V191" i="9"/>
  <c r="U191" i="9"/>
  <c r="AB191" i="9" s="1"/>
  <c r="T191" i="9"/>
  <c r="S191" i="9"/>
  <c r="R191" i="9"/>
  <c r="P191" i="9"/>
  <c r="D191" i="9"/>
  <c r="E191" i="9" s="1"/>
  <c r="AG190" i="9"/>
  <c r="AF190" i="9"/>
  <c r="Z190" i="9"/>
  <c r="Y190" i="9"/>
  <c r="X190" i="9"/>
  <c r="W190" i="9"/>
  <c r="AC190" i="9" s="1"/>
  <c r="V190" i="9"/>
  <c r="U190" i="9"/>
  <c r="AB190" i="9" s="1"/>
  <c r="T190" i="9"/>
  <c r="S190" i="9"/>
  <c r="R190" i="9"/>
  <c r="P190" i="9"/>
  <c r="D190" i="9"/>
  <c r="E190" i="9" s="1"/>
  <c r="AG189" i="9"/>
  <c r="AF189" i="9"/>
  <c r="Z189" i="9"/>
  <c r="Y189" i="9"/>
  <c r="X189" i="9"/>
  <c r="W189" i="9"/>
  <c r="V189" i="9"/>
  <c r="U189" i="9"/>
  <c r="AB189" i="9" s="1"/>
  <c r="T189" i="9"/>
  <c r="S189" i="9"/>
  <c r="AA189" i="9" s="1"/>
  <c r="R189" i="9"/>
  <c r="P189" i="9"/>
  <c r="D189" i="9"/>
  <c r="E189" i="9" s="1"/>
  <c r="AG188" i="9"/>
  <c r="AF188" i="9"/>
  <c r="Z188" i="9"/>
  <c r="Y188" i="9"/>
  <c r="X188" i="9"/>
  <c r="W188" i="9"/>
  <c r="AC188" i="9" s="1"/>
  <c r="V188" i="9"/>
  <c r="U188" i="9"/>
  <c r="AB188" i="9" s="1"/>
  <c r="T188" i="9"/>
  <c r="S188" i="9"/>
  <c r="R188" i="9"/>
  <c r="P188" i="9"/>
  <c r="D188" i="9"/>
  <c r="E188" i="9" s="1"/>
  <c r="AG187" i="9"/>
  <c r="AF187" i="9"/>
  <c r="Z187" i="9"/>
  <c r="Y187" i="9"/>
  <c r="X187" i="9"/>
  <c r="W187" i="9"/>
  <c r="V187" i="9"/>
  <c r="U187" i="9"/>
  <c r="AB187" i="9" s="1"/>
  <c r="T187" i="9"/>
  <c r="S187" i="9"/>
  <c r="R187" i="9"/>
  <c r="P187" i="9"/>
  <c r="D187" i="9"/>
  <c r="E187" i="9" s="1"/>
  <c r="AG186" i="9"/>
  <c r="AF186" i="9"/>
  <c r="Z186" i="9"/>
  <c r="Y186" i="9"/>
  <c r="AD186" i="9" s="1"/>
  <c r="X186" i="9"/>
  <c r="W186" i="9"/>
  <c r="V186" i="9"/>
  <c r="U186" i="9"/>
  <c r="AB186" i="9" s="1"/>
  <c r="T186" i="9"/>
  <c r="S186" i="9"/>
  <c r="R186" i="9"/>
  <c r="P186" i="9"/>
  <c r="D186" i="9"/>
  <c r="E186" i="9" s="1"/>
  <c r="AG185" i="9"/>
  <c r="AF185" i="9"/>
  <c r="Z185" i="9"/>
  <c r="Y185" i="9"/>
  <c r="X185" i="9"/>
  <c r="W185" i="9"/>
  <c r="V185" i="9"/>
  <c r="U185" i="9"/>
  <c r="AB185" i="9" s="1"/>
  <c r="T185" i="9"/>
  <c r="S185" i="9"/>
  <c r="R185" i="9"/>
  <c r="P185" i="9"/>
  <c r="D185" i="9"/>
  <c r="E185" i="9" s="1"/>
  <c r="AG184" i="9"/>
  <c r="AF184" i="9"/>
  <c r="Z184" i="9"/>
  <c r="Y184" i="9"/>
  <c r="X184" i="9"/>
  <c r="W184" i="9"/>
  <c r="V184" i="9"/>
  <c r="U184" i="9"/>
  <c r="AB184" i="9" s="1"/>
  <c r="T184" i="9"/>
  <c r="S184" i="9"/>
  <c r="AA184" i="9" s="1"/>
  <c r="R184" i="9"/>
  <c r="P184" i="9"/>
  <c r="D184" i="9"/>
  <c r="E184" i="9" s="1"/>
  <c r="AG183" i="9"/>
  <c r="AF183" i="9"/>
  <c r="Z183" i="9"/>
  <c r="Y183" i="9"/>
  <c r="AD183" i="9" s="1"/>
  <c r="X183" i="9"/>
  <c r="W183" i="9"/>
  <c r="AC183" i="9" s="1"/>
  <c r="V183" i="9"/>
  <c r="U183" i="9"/>
  <c r="AB183" i="9" s="1"/>
  <c r="T183" i="9"/>
  <c r="S183" i="9"/>
  <c r="AA183" i="9" s="1"/>
  <c r="R183" i="9"/>
  <c r="P183" i="9"/>
  <c r="D183" i="9"/>
  <c r="E183" i="9" s="1"/>
  <c r="AG182" i="9"/>
  <c r="AF182" i="9"/>
  <c r="Z182" i="9"/>
  <c r="Y182" i="9"/>
  <c r="AD182" i="9" s="1"/>
  <c r="X182" i="9"/>
  <c r="W182" i="9"/>
  <c r="V182" i="9"/>
  <c r="U182" i="9"/>
  <c r="AB182" i="9" s="1"/>
  <c r="T182" i="9"/>
  <c r="S182" i="9"/>
  <c r="R182" i="9"/>
  <c r="P182" i="9"/>
  <c r="D182" i="9"/>
  <c r="E182" i="9" s="1"/>
  <c r="AG181" i="9"/>
  <c r="AF181" i="9"/>
  <c r="Z181" i="9"/>
  <c r="Y181" i="9"/>
  <c r="X181" i="9"/>
  <c r="W181" i="9"/>
  <c r="AC181" i="9" s="1"/>
  <c r="V181" i="9"/>
  <c r="U181" i="9"/>
  <c r="AB181" i="9" s="1"/>
  <c r="T181" i="9"/>
  <c r="S181" i="9"/>
  <c r="R181" i="9"/>
  <c r="P181" i="9"/>
  <c r="D181" i="9"/>
  <c r="E181" i="9" s="1"/>
  <c r="AG180" i="9"/>
  <c r="AF180" i="9"/>
  <c r="Z180" i="9"/>
  <c r="Y180" i="9"/>
  <c r="X180" i="9"/>
  <c r="W180" i="9"/>
  <c r="V180" i="9"/>
  <c r="U180" i="9"/>
  <c r="T180" i="9"/>
  <c r="S180" i="9"/>
  <c r="AA180" i="9" s="1"/>
  <c r="R180" i="9"/>
  <c r="P180" i="9"/>
  <c r="D180" i="9"/>
  <c r="E180" i="9" s="1"/>
  <c r="AG179" i="9"/>
  <c r="AF179" i="9"/>
  <c r="Z179" i="9"/>
  <c r="Y179" i="9"/>
  <c r="X179" i="9"/>
  <c r="W179" i="9"/>
  <c r="V179" i="9"/>
  <c r="U179" i="9"/>
  <c r="T179" i="9"/>
  <c r="S179" i="9"/>
  <c r="AA179" i="9" s="1"/>
  <c r="R179" i="9"/>
  <c r="P179" i="9"/>
  <c r="D179" i="9"/>
  <c r="E179" i="9" s="1"/>
  <c r="AG178" i="9"/>
  <c r="AF178" i="9"/>
  <c r="Z178" i="9"/>
  <c r="Y178" i="9"/>
  <c r="X178" i="9"/>
  <c r="W178" i="9"/>
  <c r="V178" i="9"/>
  <c r="U178" i="9"/>
  <c r="AB178" i="9" s="1"/>
  <c r="T178" i="9"/>
  <c r="S178" i="9"/>
  <c r="R178" i="9"/>
  <c r="P178" i="9"/>
  <c r="D178" i="9"/>
  <c r="E178" i="9" s="1"/>
  <c r="AG177" i="9"/>
  <c r="AF177" i="9"/>
  <c r="Z177" i="9"/>
  <c r="Y177" i="9"/>
  <c r="X177" i="9"/>
  <c r="W177" i="9"/>
  <c r="V177" i="9"/>
  <c r="U177" i="9"/>
  <c r="AB177" i="9" s="1"/>
  <c r="T177" i="9"/>
  <c r="S177" i="9"/>
  <c r="AA177" i="9" s="1"/>
  <c r="R177" i="9"/>
  <c r="P177" i="9"/>
  <c r="D177" i="9"/>
  <c r="E177" i="9" s="1"/>
  <c r="AG176" i="9"/>
  <c r="AF176" i="9"/>
  <c r="Z176" i="9"/>
  <c r="Y176" i="9"/>
  <c r="X176" i="9"/>
  <c r="W176" i="9"/>
  <c r="AC176" i="9" s="1"/>
  <c r="V176" i="9"/>
  <c r="U176" i="9"/>
  <c r="T176" i="9"/>
  <c r="S176" i="9"/>
  <c r="R176" i="9"/>
  <c r="P176" i="9"/>
  <c r="D176" i="9"/>
  <c r="E176" i="9" s="1"/>
  <c r="AG175" i="9"/>
  <c r="AF175" i="9"/>
  <c r="Z175" i="9"/>
  <c r="Y175" i="9"/>
  <c r="X175" i="9"/>
  <c r="W175" i="9"/>
  <c r="AC175" i="9" s="1"/>
  <c r="V175" i="9"/>
  <c r="U175" i="9"/>
  <c r="AB175" i="9" s="1"/>
  <c r="T175" i="9"/>
  <c r="S175" i="9"/>
  <c r="AA175" i="9" s="1"/>
  <c r="R175" i="9"/>
  <c r="P175" i="9"/>
  <c r="D175" i="9"/>
  <c r="E175" i="9" s="1"/>
  <c r="AG174" i="9"/>
  <c r="AF174" i="9"/>
  <c r="Z174" i="9"/>
  <c r="Y174" i="9"/>
  <c r="X174" i="9"/>
  <c r="W174" i="9"/>
  <c r="AC174" i="9" s="1"/>
  <c r="V174" i="9"/>
  <c r="U174" i="9"/>
  <c r="T174" i="9"/>
  <c r="S174" i="9"/>
  <c r="AA174" i="9" s="1"/>
  <c r="R174" i="9"/>
  <c r="P174" i="9"/>
  <c r="D174" i="9"/>
  <c r="E174" i="9" s="1"/>
  <c r="AG173" i="9"/>
  <c r="AF173" i="9"/>
  <c r="Z173" i="9"/>
  <c r="Y173" i="9"/>
  <c r="X173" i="9"/>
  <c r="W173" i="9"/>
  <c r="AC173" i="9" s="1"/>
  <c r="V173" i="9"/>
  <c r="U173" i="9"/>
  <c r="AB173" i="9" s="1"/>
  <c r="T173" i="9"/>
  <c r="S173" i="9"/>
  <c r="R173" i="9"/>
  <c r="P173" i="9"/>
  <c r="D173" i="9"/>
  <c r="E173" i="9" s="1"/>
  <c r="AG172" i="9"/>
  <c r="AF172" i="9"/>
  <c r="Z172" i="9"/>
  <c r="Y172" i="9"/>
  <c r="X172" i="9"/>
  <c r="W172" i="9"/>
  <c r="AC172" i="9" s="1"/>
  <c r="V172" i="9"/>
  <c r="U172" i="9"/>
  <c r="T172" i="9"/>
  <c r="S172" i="9"/>
  <c r="AA172" i="9" s="1"/>
  <c r="R172" i="9"/>
  <c r="P172" i="9"/>
  <c r="D172" i="9"/>
  <c r="E172" i="9" s="1"/>
  <c r="AG171" i="9"/>
  <c r="AF171" i="9"/>
  <c r="Z171" i="9"/>
  <c r="Y171" i="9"/>
  <c r="X171" i="9"/>
  <c r="W171" i="9"/>
  <c r="V171" i="9"/>
  <c r="U171" i="9"/>
  <c r="AB171" i="9" s="1"/>
  <c r="T171" i="9"/>
  <c r="S171" i="9"/>
  <c r="AA171" i="9" s="1"/>
  <c r="R171" i="9"/>
  <c r="P171" i="9"/>
  <c r="D171" i="9"/>
  <c r="E171" i="9" s="1"/>
  <c r="AG170" i="9"/>
  <c r="AF170" i="9"/>
  <c r="Z170" i="9"/>
  <c r="Y170" i="9"/>
  <c r="AD170" i="9" s="1"/>
  <c r="X170" i="9"/>
  <c r="W170" i="9"/>
  <c r="V170" i="9"/>
  <c r="U170" i="9"/>
  <c r="AB170" i="9" s="1"/>
  <c r="T170" i="9"/>
  <c r="S170" i="9"/>
  <c r="AA170" i="9" s="1"/>
  <c r="R170" i="9"/>
  <c r="P170" i="9"/>
  <c r="D170" i="9"/>
  <c r="E170" i="9" s="1"/>
  <c r="AG169" i="9"/>
  <c r="AF169" i="9"/>
  <c r="Z169" i="9"/>
  <c r="Y169" i="9"/>
  <c r="X169" i="9"/>
  <c r="W169" i="9"/>
  <c r="V169" i="9"/>
  <c r="U169" i="9"/>
  <c r="T169" i="9"/>
  <c r="S169" i="9"/>
  <c r="R169" i="9"/>
  <c r="P169" i="9"/>
  <c r="D169" i="9"/>
  <c r="E169" i="9" s="1"/>
  <c r="AG168" i="9"/>
  <c r="AF168" i="9"/>
  <c r="Z168" i="9"/>
  <c r="Y168" i="9"/>
  <c r="X168" i="9"/>
  <c r="W168" i="9"/>
  <c r="AC168" i="9" s="1"/>
  <c r="V168" i="9"/>
  <c r="U168" i="9"/>
  <c r="AB168" i="9" s="1"/>
  <c r="T168" i="9"/>
  <c r="S168" i="9"/>
  <c r="R168" i="9"/>
  <c r="P168" i="9"/>
  <c r="D168" i="9"/>
  <c r="E168" i="9" s="1"/>
  <c r="AG167" i="9"/>
  <c r="AF167" i="9"/>
  <c r="Z167" i="9"/>
  <c r="Y167" i="9"/>
  <c r="X167" i="9"/>
  <c r="W167" i="9"/>
  <c r="V167" i="9"/>
  <c r="U167" i="9"/>
  <c r="T167" i="9"/>
  <c r="S167" i="9"/>
  <c r="AA167" i="9" s="1"/>
  <c r="R167" i="9"/>
  <c r="P167" i="9"/>
  <c r="D167" i="9"/>
  <c r="E167" i="9" s="1"/>
  <c r="AG166" i="9"/>
  <c r="AF166" i="9"/>
  <c r="Z166" i="9"/>
  <c r="Y166" i="9"/>
  <c r="X166" i="9"/>
  <c r="W166" i="9"/>
  <c r="AC166" i="9" s="1"/>
  <c r="V166" i="9"/>
  <c r="U166" i="9"/>
  <c r="AB166" i="9" s="1"/>
  <c r="T166" i="9"/>
  <c r="S166" i="9"/>
  <c r="AA166" i="9" s="1"/>
  <c r="R166" i="9"/>
  <c r="P166" i="9"/>
  <c r="D166" i="9"/>
  <c r="E166" i="9" s="1"/>
  <c r="AG165" i="9"/>
  <c r="AF165" i="9"/>
  <c r="Z165" i="9"/>
  <c r="Y165" i="9"/>
  <c r="X165" i="9"/>
  <c r="W165" i="9"/>
  <c r="V165" i="9"/>
  <c r="U165" i="9"/>
  <c r="AB165" i="9" s="1"/>
  <c r="T165" i="9"/>
  <c r="S165" i="9"/>
  <c r="AA165" i="9" s="1"/>
  <c r="R165" i="9"/>
  <c r="P165" i="9"/>
  <c r="D165" i="9"/>
  <c r="E165" i="9" s="1"/>
  <c r="AG164" i="9"/>
  <c r="AF164" i="9"/>
  <c r="Z164" i="9"/>
  <c r="Y164" i="9"/>
  <c r="AD164" i="9" s="1"/>
  <c r="X164" i="9"/>
  <c r="W164" i="9"/>
  <c r="AC164" i="9" s="1"/>
  <c r="V164" i="9"/>
  <c r="U164" i="9"/>
  <c r="AB164" i="9" s="1"/>
  <c r="T164" i="9"/>
  <c r="S164" i="9"/>
  <c r="R164" i="9"/>
  <c r="P164" i="9"/>
  <c r="D164" i="9"/>
  <c r="E164" i="9" s="1"/>
  <c r="AG163" i="9"/>
  <c r="AF163" i="9"/>
  <c r="Z163" i="9"/>
  <c r="Y163" i="9"/>
  <c r="X163" i="9"/>
  <c r="W163" i="9"/>
  <c r="V163" i="9"/>
  <c r="U163" i="9"/>
  <c r="T163" i="9"/>
  <c r="S163" i="9"/>
  <c r="R163" i="9"/>
  <c r="P163" i="9"/>
  <c r="D163" i="9"/>
  <c r="E163" i="9" s="1"/>
  <c r="AG162" i="9"/>
  <c r="AF162" i="9"/>
  <c r="Z162" i="9"/>
  <c r="Y162" i="9"/>
  <c r="X162" i="9"/>
  <c r="W162" i="9"/>
  <c r="V162" i="9"/>
  <c r="U162" i="9"/>
  <c r="AB162" i="9" s="1"/>
  <c r="T162" i="9"/>
  <c r="S162" i="9"/>
  <c r="R162" i="9"/>
  <c r="P162" i="9"/>
  <c r="D162" i="9"/>
  <c r="E162" i="9" s="1"/>
  <c r="AG161" i="9"/>
  <c r="AF161" i="9"/>
  <c r="Z161" i="9"/>
  <c r="Y161" i="9"/>
  <c r="X161" i="9"/>
  <c r="W161" i="9"/>
  <c r="AC161" i="9" s="1"/>
  <c r="V161" i="9"/>
  <c r="U161" i="9"/>
  <c r="AB161" i="9" s="1"/>
  <c r="T161" i="9"/>
  <c r="S161" i="9"/>
  <c r="R161" i="9"/>
  <c r="P161" i="9"/>
  <c r="D161" i="9"/>
  <c r="E161" i="9" s="1"/>
  <c r="AG160" i="9"/>
  <c r="AF160" i="9"/>
  <c r="Z160" i="9"/>
  <c r="Y160" i="9"/>
  <c r="AD160" i="9" s="1"/>
  <c r="X160" i="9"/>
  <c r="W160" i="9"/>
  <c r="V160" i="9"/>
  <c r="U160" i="9"/>
  <c r="AB160" i="9" s="1"/>
  <c r="T160" i="9"/>
  <c r="S160" i="9"/>
  <c r="AA160" i="9" s="1"/>
  <c r="R160" i="9"/>
  <c r="P160" i="9"/>
  <c r="D160" i="9"/>
  <c r="E160" i="9" s="1"/>
  <c r="AG159" i="9"/>
  <c r="AF159" i="9"/>
  <c r="Z159" i="9"/>
  <c r="Y159" i="9"/>
  <c r="AD159" i="9" s="1"/>
  <c r="X159" i="9"/>
  <c r="W159" i="9"/>
  <c r="V159" i="9"/>
  <c r="U159" i="9"/>
  <c r="AB159" i="9" s="1"/>
  <c r="T159" i="9"/>
  <c r="S159" i="9"/>
  <c r="AA159" i="9" s="1"/>
  <c r="R159" i="9"/>
  <c r="P159" i="9"/>
  <c r="D159" i="9"/>
  <c r="E159" i="9" s="1"/>
  <c r="AG158" i="9"/>
  <c r="AF158" i="9"/>
  <c r="Z158" i="9"/>
  <c r="Y158" i="9"/>
  <c r="AD158" i="9" s="1"/>
  <c r="X158" i="9"/>
  <c r="W158" i="9"/>
  <c r="AC158" i="9" s="1"/>
  <c r="V158" i="9"/>
  <c r="U158" i="9"/>
  <c r="T158" i="9"/>
  <c r="S158" i="9"/>
  <c r="AA158" i="9" s="1"/>
  <c r="R158" i="9"/>
  <c r="P158" i="9"/>
  <c r="D158" i="9"/>
  <c r="E158" i="9" s="1"/>
  <c r="AG157" i="9"/>
  <c r="AF157" i="9"/>
  <c r="Z157" i="9"/>
  <c r="Y157" i="9"/>
  <c r="X157" i="9"/>
  <c r="W157" i="9"/>
  <c r="AC157" i="9" s="1"/>
  <c r="V157" i="9"/>
  <c r="U157" i="9"/>
  <c r="AB157" i="9" s="1"/>
  <c r="T157" i="9"/>
  <c r="S157" i="9"/>
  <c r="AA157" i="9" s="1"/>
  <c r="R157" i="9"/>
  <c r="P157" i="9"/>
  <c r="D157" i="9"/>
  <c r="E157" i="9" s="1"/>
  <c r="AG156" i="9"/>
  <c r="AF156" i="9"/>
  <c r="Z156" i="9"/>
  <c r="Y156" i="9"/>
  <c r="AD156" i="9" s="1"/>
  <c r="X156" i="9"/>
  <c r="W156" i="9"/>
  <c r="AC156" i="9" s="1"/>
  <c r="V156" i="9"/>
  <c r="U156" i="9"/>
  <c r="T156" i="9"/>
  <c r="S156" i="9"/>
  <c r="AA156" i="9" s="1"/>
  <c r="R156" i="9"/>
  <c r="P156" i="9"/>
  <c r="D156" i="9"/>
  <c r="E156" i="9" s="1"/>
  <c r="AG155" i="9"/>
  <c r="AF155" i="9"/>
  <c r="Z155" i="9"/>
  <c r="Y155" i="9"/>
  <c r="AD155" i="9" s="1"/>
  <c r="X155" i="9"/>
  <c r="W155" i="9"/>
  <c r="V155" i="9"/>
  <c r="U155" i="9"/>
  <c r="T155" i="9"/>
  <c r="S155" i="9"/>
  <c r="R155" i="9"/>
  <c r="P155" i="9"/>
  <c r="D155" i="9"/>
  <c r="E155" i="9" s="1"/>
  <c r="AG154" i="9"/>
  <c r="AF154" i="9"/>
  <c r="Z154" i="9"/>
  <c r="Y154" i="9"/>
  <c r="X154" i="9"/>
  <c r="W154" i="9"/>
  <c r="AC154" i="9" s="1"/>
  <c r="V154" i="9"/>
  <c r="U154" i="9"/>
  <c r="AB154" i="9" s="1"/>
  <c r="T154" i="9"/>
  <c r="S154" i="9"/>
  <c r="AA154" i="9" s="1"/>
  <c r="R154" i="9"/>
  <c r="P154" i="9"/>
  <c r="D154" i="9"/>
  <c r="E154" i="9" s="1"/>
  <c r="AG153" i="9"/>
  <c r="AF153" i="9"/>
  <c r="Z153" i="9"/>
  <c r="Y153" i="9"/>
  <c r="X153" i="9"/>
  <c r="W153" i="9"/>
  <c r="V153" i="9"/>
  <c r="U153" i="9"/>
  <c r="T153" i="9"/>
  <c r="S153" i="9"/>
  <c r="AA153" i="9" s="1"/>
  <c r="R153" i="9"/>
  <c r="P153" i="9"/>
  <c r="D153" i="9"/>
  <c r="E153" i="9" s="1"/>
  <c r="AG152" i="9"/>
  <c r="AF152" i="9"/>
  <c r="Z152" i="9"/>
  <c r="Y152" i="9"/>
  <c r="X152" i="9"/>
  <c r="W152" i="9"/>
  <c r="AC152" i="9" s="1"/>
  <c r="V152" i="9"/>
  <c r="U152" i="9"/>
  <c r="AB152" i="9" s="1"/>
  <c r="T152" i="9"/>
  <c r="S152" i="9"/>
  <c r="R152" i="9"/>
  <c r="P152" i="9"/>
  <c r="D152" i="9"/>
  <c r="E152" i="9" s="1"/>
  <c r="AG151" i="9"/>
  <c r="AF151" i="9"/>
  <c r="Z151" i="9"/>
  <c r="Y151" i="9"/>
  <c r="X151" i="9"/>
  <c r="W151" i="9"/>
  <c r="V151" i="9"/>
  <c r="U151" i="9"/>
  <c r="AB151" i="9" s="1"/>
  <c r="T151" i="9"/>
  <c r="S151" i="9"/>
  <c r="R151" i="9"/>
  <c r="P151" i="9"/>
  <c r="D151" i="9"/>
  <c r="E151" i="9" s="1"/>
  <c r="AG150" i="9"/>
  <c r="AF150" i="9"/>
  <c r="Z150" i="9"/>
  <c r="Y150" i="9"/>
  <c r="X150" i="9"/>
  <c r="W150" i="9"/>
  <c r="V150" i="9"/>
  <c r="U150" i="9"/>
  <c r="T150" i="9"/>
  <c r="S150" i="9"/>
  <c r="R150" i="9"/>
  <c r="P150" i="9"/>
  <c r="D150" i="9"/>
  <c r="E150" i="9" s="1"/>
  <c r="AG149" i="9"/>
  <c r="AF149" i="9"/>
  <c r="Z149" i="9"/>
  <c r="Y149" i="9"/>
  <c r="X149" i="9"/>
  <c r="W149" i="9"/>
  <c r="AC149" i="9" s="1"/>
  <c r="V149" i="9"/>
  <c r="U149" i="9"/>
  <c r="AB149" i="9" s="1"/>
  <c r="T149" i="9"/>
  <c r="S149" i="9"/>
  <c r="R149" i="9"/>
  <c r="P149" i="9"/>
  <c r="D149" i="9"/>
  <c r="E149" i="9" s="1"/>
  <c r="AG148" i="9"/>
  <c r="AF148" i="9"/>
  <c r="Z148" i="9"/>
  <c r="Y148" i="9"/>
  <c r="AD148" i="9" s="1"/>
  <c r="X148" i="9"/>
  <c r="W148" i="9"/>
  <c r="V148" i="9"/>
  <c r="U148" i="9"/>
  <c r="AB148" i="9" s="1"/>
  <c r="T148" i="9"/>
  <c r="S148" i="9"/>
  <c r="R148" i="9"/>
  <c r="P148" i="9"/>
  <c r="D148" i="9"/>
  <c r="E148" i="9" s="1"/>
  <c r="AG147" i="9"/>
  <c r="AF147" i="9"/>
  <c r="Z147" i="9"/>
  <c r="Y147" i="9"/>
  <c r="X147" i="9"/>
  <c r="W147" i="9"/>
  <c r="V147" i="9"/>
  <c r="U147" i="9"/>
  <c r="AB147" i="9" s="1"/>
  <c r="T147" i="9"/>
  <c r="S147" i="9"/>
  <c r="R147" i="9"/>
  <c r="P147" i="9"/>
  <c r="D147" i="9"/>
  <c r="E147" i="9" s="1"/>
  <c r="AG146" i="9"/>
  <c r="AF146" i="9"/>
  <c r="Z146" i="9"/>
  <c r="Y146" i="9"/>
  <c r="AD146" i="9" s="1"/>
  <c r="X146" i="9"/>
  <c r="W146" i="9"/>
  <c r="V146" i="9"/>
  <c r="U146" i="9"/>
  <c r="T146" i="9"/>
  <c r="S146" i="9"/>
  <c r="R146" i="9"/>
  <c r="P146" i="9"/>
  <c r="D146" i="9"/>
  <c r="E146" i="9" s="1"/>
  <c r="AG145" i="9"/>
  <c r="AF145" i="9"/>
  <c r="Z145" i="9"/>
  <c r="Y145" i="9"/>
  <c r="AD145" i="9" s="1"/>
  <c r="X145" i="9"/>
  <c r="W145" i="9"/>
  <c r="AC145" i="9" s="1"/>
  <c r="V145" i="9"/>
  <c r="U145" i="9"/>
  <c r="AB145" i="9" s="1"/>
  <c r="T145" i="9"/>
  <c r="S145" i="9"/>
  <c r="R145" i="9"/>
  <c r="P145" i="9"/>
  <c r="D145" i="9"/>
  <c r="E145" i="9" s="1"/>
  <c r="AG144" i="9"/>
  <c r="AF144" i="9"/>
  <c r="Z144" i="9"/>
  <c r="Y144" i="9"/>
  <c r="AD144" i="9" s="1"/>
  <c r="X144" i="9"/>
  <c r="W144" i="9"/>
  <c r="AC144" i="9" s="1"/>
  <c r="V144" i="9"/>
  <c r="U144" i="9"/>
  <c r="AB144" i="9" s="1"/>
  <c r="T144" i="9"/>
  <c r="S144" i="9"/>
  <c r="R144" i="9"/>
  <c r="P144" i="9"/>
  <c r="D144" i="9"/>
  <c r="E144" i="9" s="1"/>
  <c r="AG143" i="9"/>
  <c r="AF143" i="9"/>
  <c r="Z143" i="9"/>
  <c r="Y143" i="9"/>
  <c r="AD143" i="9" s="1"/>
  <c r="X143" i="9"/>
  <c r="W143" i="9"/>
  <c r="AC143" i="9" s="1"/>
  <c r="V143" i="9"/>
  <c r="U143" i="9"/>
  <c r="T143" i="9"/>
  <c r="S143" i="9"/>
  <c r="R143" i="9"/>
  <c r="P143" i="9"/>
  <c r="D143" i="9"/>
  <c r="E143" i="9" s="1"/>
  <c r="AG142" i="9"/>
  <c r="AF142" i="9"/>
  <c r="Z142" i="9"/>
  <c r="Y142" i="9"/>
  <c r="AD142" i="9" s="1"/>
  <c r="X142" i="9"/>
  <c r="W142" i="9"/>
  <c r="V142" i="9"/>
  <c r="U142" i="9"/>
  <c r="T142" i="9"/>
  <c r="S142" i="9"/>
  <c r="R142" i="9"/>
  <c r="P142" i="9"/>
  <c r="D142" i="9"/>
  <c r="E142" i="9" s="1"/>
  <c r="AG141" i="9"/>
  <c r="AF141" i="9"/>
  <c r="Z141" i="9"/>
  <c r="Y141" i="9"/>
  <c r="AD141" i="9" s="1"/>
  <c r="X141" i="9"/>
  <c r="W141" i="9"/>
  <c r="AC141" i="9" s="1"/>
  <c r="V141" i="9"/>
  <c r="U141" i="9"/>
  <c r="T141" i="9"/>
  <c r="S141" i="9"/>
  <c r="R141" i="9"/>
  <c r="P141" i="9"/>
  <c r="D141" i="9"/>
  <c r="E141" i="9" s="1"/>
  <c r="AG140" i="9"/>
  <c r="AF140" i="9"/>
  <c r="Z140" i="9"/>
  <c r="Y140" i="9"/>
  <c r="X140" i="9"/>
  <c r="W140" i="9"/>
  <c r="V140" i="9"/>
  <c r="U140" i="9"/>
  <c r="AB140" i="9" s="1"/>
  <c r="T140" i="9"/>
  <c r="S140" i="9"/>
  <c r="AA140" i="9" s="1"/>
  <c r="R140" i="9"/>
  <c r="P140" i="9"/>
  <c r="D140" i="9"/>
  <c r="E140" i="9" s="1"/>
  <c r="AG139" i="9"/>
  <c r="AF139" i="9"/>
  <c r="Z139" i="9"/>
  <c r="Y139" i="9"/>
  <c r="X139" i="9"/>
  <c r="W139" i="9"/>
  <c r="V139" i="9"/>
  <c r="U139" i="9"/>
  <c r="T139" i="9"/>
  <c r="S139" i="9"/>
  <c r="R139" i="9"/>
  <c r="P139" i="9"/>
  <c r="D139" i="9"/>
  <c r="E139" i="9" s="1"/>
  <c r="AG138" i="9"/>
  <c r="AF138" i="9"/>
  <c r="Z138" i="9"/>
  <c r="Y138" i="9"/>
  <c r="X138" i="9"/>
  <c r="W138" i="9"/>
  <c r="V138" i="9"/>
  <c r="U138" i="9"/>
  <c r="AB138" i="9" s="1"/>
  <c r="T138" i="9"/>
  <c r="S138" i="9"/>
  <c r="AA138" i="9" s="1"/>
  <c r="R138" i="9"/>
  <c r="P138" i="9"/>
  <c r="D138" i="9"/>
  <c r="E138" i="9" s="1"/>
  <c r="AG137" i="9"/>
  <c r="AF137" i="9"/>
  <c r="Z137" i="9"/>
  <c r="Y137" i="9"/>
  <c r="AD137" i="9" s="1"/>
  <c r="X137" i="9"/>
  <c r="W137" i="9"/>
  <c r="AC137" i="9" s="1"/>
  <c r="V137" i="9"/>
  <c r="U137" i="9"/>
  <c r="T137" i="9"/>
  <c r="S137" i="9"/>
  <c r="AA137" i="9" s="1"/>
  <c r="R137" i="9"/>
  <c r="P137" i="9"/>
  <c r="D137" i="9"/>
  <c r="E137" i="9" s="1"/>
  <c r="AG136" i="9"/>
  <c r="AF136" i="9"/>
  <c r="Z136" i="9"/>
  <c r="Y136" i="9"/>
  <c r="X136" i="9"/>
  <c r="W136" i="9"/>
  <c r="V136" i="9"/>
  <c r="U136" i="9"/>
  <c r="AB136" i="9" s="1"/>
  <c r="T136" i="9"/>
  <c r="S136" i="9"/>
  <c r="AA136" i="9" s="1"/>
  <c r="R136" i="9"/>
  <c r="P136" i="9"/>
  <c r="D136" i="9"/>
  <c r="E136" i="9" s="1"/>
  <c r="AG135" i="9"/>
  <c r="AF135" i="9"/>
  <c r="Z135" i="9"/>
  <c r="Y135" i="9"/>
  <c r="AD135" i="9" s="1"/>
  <c r="X135" i="9"/>
  <c r="W135" i="9"/>
  <c r="AC135" i="9" s="1"/>
  <c r="V135" i="9"/>
  <c r="U135" i="9"/>
  <c r="AB135" i="9" s="1"/>
  <c r="T135" i="9"/>
  <c r="S135" i="9"/>
  <c r="AA135" i="9" s="1"/>
  <c r="R135" i="9"/>
  <c r="P135" i="9"/>
  <c r="D135" i="9"/>
  <c r="E135" i="9" s="1"/>
  <c r="AG134" i="9"/>
  <c r="AF134" i="9"/>
  <c r="Z134" i="9"/>
  <c r="Y134" i="9"/>
  <c r="AD134" i="9" s="1"/>
  <c r="X134" i="9"/>
  <c r="W134" i="9"/>
  <c r="V134" i="9"/>
  <c r="U134" i="9"/>
  <c r="AB134" i="9" s="1"/>
  <c r="T134" i="9"/>
  <c r="S134" i="9"/>
  <c r="R134" i="9"/>
  <c r="P134" i="9"/>
  <c r="D134" i="9"/>
  <c r="E134" i="9" s="1"/>
  <c r="AG133" i="9"/>
  <c r="AF133" i="9"/>
  <c r="Z133" i="9"/>
  <c r="Y133" i="9"/>
  <c r="AD133" i="9" s="1"/>
  <c r="X133" i="9"/>
  <c r="W133" i="9"/>
  <c r="AC133" i="9" s="1"/>
  <c r="V133" i="9"/>
  <c r="U133" i="9"/>
  <c r="T133" i="9"/>
  <c r="S133" i="9"/>
  <c r="R133" i="9"/>
  <c r="P133" i="9"/>
  <c r="D133" i="9"/>
  <c r="E133" i="9" s="1"/>
  <c r="AG132" i="9"/>
  <c r="AF132" i="9"/>
  <c r="Z132" i="9"/>
  <c r="Y132" i="9"/>
  <c r="AD132" i="9" s="1"/>
  <c r="X132" i="9"/>
  <c r="W132" i="9"/>
  <c r="V132" i="9"/>
  <c r="U132" i="9"/>
  <c r="AB132" i="9" s="1"/>
  <c r="T132" i="9"/>
  <c r="S132" i="9"/>
  <c r="AA132" i="9" s="1"/>
  <c r="R132" i="9"/>
  <c r="P132" i="9"/>
  <c r="D132" i="9"/>
  <c r="E132" i="9" s="1"/>
  <c r="AG131" i="9"/>
  <c r="AF131" i="9"/>
  <c r="Z131" i="9"/>
  <c r="Y131" i="9"/>
  <c r="X131" i="9"/>
  <c r="W131" i="9"/>
  <c r="AC131" i="9" s="1"/>
  <c r="V131" i="9"/>
  <c r="U131" i="9"/>
  <c r="AB131" i="9" s="1"/>
  <c r="T131" i="9"/>
  <c r="S131" i="9"/>
  <c r="AA131" i="9" s="1"/>
  <c r="R131" i="9"/>
  <c r="P131" i="9"/>
  <c r="D131" i="9"/>
  <c r="E131" i="9" s="1"/>
  <c r="AG130" i="9"/>
  <c r="AF130" i="9"/>
  <c r="Z130" i="9"/>
  <c r="Y130" i="9"/>
  <c r="X130" i="9"/>
  <c r="W130" i="9"/>
  <c r="V130" i="9"/>
  <c r="U130" i="9"/>
  <c r="AB130" i="9" s="1"/>
  <c r="T130" i="9"/>
  <c r="S130" i="9"/>
  <c r="R130" i="9"/>
  <c r="P130" i="9"/>
  <c r="D130" i="9"/>
  <c r="E130" i="9" s="1"/>
  <c r="AG129" i="9"/>
  <c r="AF129" i="9"/>
  <c r="Z129" i="9"/>
  <c r="Y129" i="9"/>
  <c r="X129" i="9"/>
  <c r="W129" i="9"/>
  <c r="V129" i="9"/>
  <c r="U129" i="9"/>
  <c r="AB129" i="9" s="1"/>
  <c r="T129" i="9"/>
  <c r="S129" i="9"/>
  <c r="R129" i="9"/>
  <c r="P129" i="9"/>
  <c r="D129" i="9"/>
  <c r="E129" i="9" s="1"/>
  <c r="AG128" i="9"/>
  <c r="AF128" i="9"/>
  <c r="Z128" i="9"/>
  <c r="Y128" i="9"/>
  <c r="X128" i="9"/>
  <c r="W128" i="9"/>
  <c r="V128" i="9"/>
  <c r="U128" i="9"/>
  <c r="T128" i="9"/>
  <c r="S128" i="9"/>
  <c r="R128" i="9"/>
  <c r="P128" i="9"/>
  <c r="D128" i="9"/>
  <c r="E128" i="9" s="1"/>
  <c r="AG127" i="9"/>
  <c r="AF127" i="9"/>
  <c r="Z127" i="9"/>
  <c r="Y127" i="9"/>
  <c r="AD127" i="9" s="1"/>
  <c r="X127" i="9"/>
  <c r="W127" i="9"/>
  <c r="V127" i="9"/>
  <c r="U127" i="9"/>
  <c r="AB127" i="9" s="1"/>
  <c r="T127" i="9"/>
  <c r="S127" i="9"/>
  <c r="R127" i="9"/>
  <c r="P127" i="9"/>
  <c r="D127" i="9"/>
  <c r="E127" i="9" s="1"/>
  <c r="AG126" i="9"/>
  <c r="AF126" i="9"/>
  <c r="Z126" i="9"/>
  <c r="Y126" i="9"/>
  <c r="X126" i="9"/>
  <c r="W126" i="9"/>
  <c r="V126" i="9"/>
  <c r="U126" i="9"/>
  <c r="T126" i="9"/>
  <c r="S126" i="9"/>
  <c r="R126" i="9"/>
  <c r="P126" i="9"/>
  <c r="D126" i="9"/>
  <c r="E126" i="9" s="1"/>
  <c r="AG125" i="9"/>
  <c r="AF125" i="9"/>
  <c r="Z125" i="9"/>
  <c r="Y125" i="9"/>
  <c r="X125" i="9"/>
  <c r="W125" i="9"/>
  <c r="V125" i="9"/>
  <c r="U125" i="9"/>
  <c r="AB125" i="9" s="1"/>
  <c r="T125" i="9"/>
  <c r="S125" i="9"/>
  <c r="R125" i="9"/>
  <c r="P125" i="9"/>
  <c r="D125" i="9"/>
  <c r="E125" i="9" s="1"/>
  <c r="AG124" i="9"/>
  <c r="AF124" i="9"/>
  <c r="Z124" i="9"/>
  <c r="Y124" i="9"/>
  <c r="AD124" i="9" s="1"/>
  <c r="X124" i="9"/>
  <c r="W124" i="9"/>
  <c r="V124" i="9"/>
  <c r="U124" i="9"/>
  <c r="AB124" i="9" s="1"/>
  <c r="T124" i="9"/>
  <c r="S124" i="9"/>
  <c r="R124" i="9"/>
  <c r="P124" i="9"/>
  <c r="D124" i="9"/>
  <c r="E124" i="9" s="1"/>
  <c r="AG123" i="9"/>
  <c r="AF123" i="9"/>
  <c r="Z123" i="9"/>
  <c r="Y123" i="9"/>
  <c r="AD123" i="9" s="1"/>
  <c r="X123" i="9"/>
  <c r="W123" i="9"/>
  <c r="AC123" i="9" s="1"/>
  <c r="V123" i="9"/>
  <c r="U123" i="9"/>
  <c r="AB123" i="9" s="1"/>
  <c r="T123" i="9"/>
  <c r="S123" i="9"/>
  <c r="R123" i="9"/>
  <c r="P123" i="9"/>
  <c r="D123" i="9"/>
  <c r="E123" i="9" s="1"/>
  <c r="AG122" i="9"/>
  <c r="AF122" i="9"/>
  <c r="Z122" i="9"/>
  <c r="Y122" i="9"/>
  <c r="AD122" i="9" s="1"/>
  <c r="X122" i="9"/>
  <c r="W122" i="9"/>
  <c r="V122" i="9"/>
  <c r="U122" i="9"/>
  <c r="AB122" i="9" s="1"/>
  <c r="T122" i="9"/>
  <c r="S122" i="9"/>
  <c r="R122" i="9"/>
  <c r="P122" i="9"/>
  <c r="D122" i="9"/>
  <c r="E122" i="9" s="1"/>
  <c r="AG121" i="9"/>
  <c r="AF121" i="9"/>
  <c r="Z121" i="9"/>
  <c r="Y121" i="9"/>
  <c r="AD121" i="9" s="1"/>
  <c r="X121" i="9"/>
  <c r="W121" i="9"/>
  <c r="AC121" i="9" s="1"/>
  <c r="V121" i="9"/>
  <c r="U121" i="9"/>
  <c r="T121" i="9"/>
  <c r="S121" i="9"/>
  <c r="R121" i="9"/>
  <c r="P121" i="9"/>
  <c r="D121" i="9"/>
  <c r="E121" i="9" s="1"/>
  <c r="AG120" i="9"/>
  <c r="AF120" i="9"/>
  <c r="Z120" i="9"/>
  <c r="Y120" i="9"/>
  <c r="X120" i="9"/>
  <c r="W120" i="9"/>
  <c r="V120" i="9"/>
  <c r="U120" i="9"/>
  <c r="AB120" i="9" s="1"/>
  <c r="T120" i="9"/>
  <c r="S120" i="9"/>
  <c r="AA120" i="9" s="1"/>
  <c r="R120" i="9"/>
  <c r="P120" i="9"/>
  <c r="D120" i="9"/>
  <c r="E120" i="9" s="1"/>
  <c r="AG119" i="9"/>
  <c r="AF119" i="9"/>
  <c r="Z119" i="9"/>
  <c r="Y119" i="9"/>
  <c r="AD119" i="9" s="1"/>
  <c r="X119" i="9"/>
  <c r="W119" i="9"/>
  <c r="AC119" i="9" s="1"/>
  <c r="V119" i="9"/>
  <c r="U119" i="9"/>
  <c r="AB119" i="9" s="1"/>
  <c r="T119" i="9"/>
  <c r="S119" i="9"/>
  <c r="R119" i="9"/>
  <c r="P119" i="9"/>
  <c r="D119" i="9"/>
  <c r="E119" i="9" s="1"/>
  <c r="AG118" i="9"/>
  <c r="AF118" i="9"/>
  <c r="Z118" i="9"/>
  <c r="Y118" i="9"/>
  <c r="AD118" i="9" s="1"/>
  <c r="X118" i="9"/>
  <c r="W118" i="9"/>
  <c r="V118" i="9"/>
  <c r="U118" i="9"/>
  <c r="AB118" i="9" s="1"/>
  <c r="T118" i="9"/>
  <c r="S118" i="9"/>
  <c r="AA118" i="9" s="1"/>
  <c r="R118" i="9"/>
  <c r="P118" i="9"/>
  <c r="D118" i="9"/>
  <c r="E118" i="9" s="1"/>
  <c r="AG117" i="9"/>
  <c r="AF117" i="9"/>
  <c r="Z117" i="9"/>
  <c r="Y117" i="9"/>
  <c r="X117" i="9"/>
  <c r="W117" i="9"/>
  <c r="AC117" i="9" s="1"/>
  <c r="V117" i="9"/>
  <c r="U117" i="9"/>
  <c r="AB117" i="9" s="1"/>
  <c r="T117" i="9"/>
  <c r="S117" i="9"/>
  <c r="AA117" i="9" s="1"/>
  <c r="R117" i="9"/>
  <c r="P117" i="9"/>
  <c r="D117" i="9"/>
  <c r="E117" i="9" s="1"/>
  <c r="AG116" i="9"/>
  <c r="AF116" i="9"/>
  <c r="Z116" i="9"/>
  <c r="Y116" i="9"/>
  <c r="AD116" i="9" s="1"/>
  <c r="X116" i="9"/>
  <c r="W116" i="9"/>
  <c r="AC116" i="9" s="1"/>
  <c r="V116" i="9"/>
  <c r="U116" i="9"/>
  <c r="AB116" i="9" s="1"/>
  <c r="T116" i="9"/>
  <c r="S116" i="9"/>
  <c r="AA116" i="9" s="1"/>
  <c r="R116" i="9"/>
  <c r="P116" i="9"/>
  <c r="D116" i="9"/>
  <c r="E116" i="9" s="1"/>
  <c r="AG115" i="9"/>
  <c r="AF115" i="9"/>
  <c r="Z115" i="9"/>
  <c r="Y115" i="9"/>
  <c r="AD115" i="9" s="1"/>
  <c r="X115" i="9"/>
  <c r="W115" i="9"/>
  <c r="V115" i="9"/>
  <c r="U115" i="9"/>
  <c r="T115" i="9"/>
  <c r="S115" i="9"/>
  <c r="R115" i="9"/>
  <c r="P115" i="9"/>
  <c r="D115" i="9"/>
  <c r="E115" i="9" s="1"/>
  <c r="AG114" i="9"/>
  <c r="AF114" i="9"/>
  <c r="Z114" i="9"/>
  <c r="Y114" i="9"/>
  <c r="AD114" i="9" s="1"/>
  <c r="X114" i="9"/>
  <c r="W114" i="9"/>
  <c r="V114" i="9"/>
  <c r="U114" i="9"/>
  <c r="AB114" i="9" s="1"/>
  <c r="T114" i="9"/>
  <c r="S114" i="9"/>
  <c r="R114" i="9"/>
  <c r="P114" i="9"/>
  <c r="D114" i="9"/>
  <c r="E114" i="9" s="1"/>
  <c r="AG113" i="9"/>
  <c r="AF113" i="9"/>
  <c r="Z113" i="9"/>
  <c r="Y113" i="9"/>
  <c r="AD113" i="9" s="1"/>
  <c r="X113" i="9"/>
  <c r="W113" i="9"/>
  <c r="V113" i="9"/>
  <c r="U113" i="9"/>
  <c r="AB113" i="9" s="1"/>
  <c r="T113" i="9"/>
  <c r="S113" i="9"/>
  <c r="R113" i="9"/>
  <c r="P113" i="9"/>
  <c r="D113" i="9"/>
  <c r="E113" i="9" s="1"/>
  <c r="AG112" i="9"/>
  <c r="AF112" i="9"/>
  <c r="Z112" i="9"/>
  <c r="Y112" i="9"/>
  <c r="X112" i="9"/>
  <c r="W112" i="9"/>
  <c r="V112" i="9"/>
  <c r="U112" i="9"/>
  <c r="AB112" i="9" s="1"/>
  <c r="T112" i="9"/>
  <c r="S112" i="9"/>
  <c r="R112" i="9"/>
  <c r="P112" i="9"/>
  <c r="D112" i="9"/>
  <c r="E112" i="9" s="1"/>
  <c r="AG111" i="9"/>
  <c r="AF111" i="9"/>
  <c r="Z111" i="9"/>
  <c r="Y111" i="9"/>
  <c r="X111" i="9"/>
  <c r="W111" i="9"/>
  <c r="AC111" i="9" s="1"/>
  <c r="V111" i="9"/>
  <c r="U111" i="9"/>
  <c r="AB111" i="9" s="1"/>
  <c r="T111" i="9"/>
  <c r="S111" i="9"/>
  <c r="AA111" i="9" s="1"/>
  <c r="R111" i="9"/>
  <c r="P111" i="9"/>
  <c r="D111" i="9"/>
  <c r="E111" i="9" s="1"/>
  <c r="AG110" i="9"/>
  <c r="AF110" i="9"/>
  <c r="Z110" i="9"/>
  <c r="Y110" i="9"/>
  <c r="X110" i="9"/>
  <c r="W110" i="9"/>
  <c r="AC110" i="9" s="1"/>
  <c r="V110" i="9"/>
  <c r="U110" i="9"/>
  <c r="AB110" i="9" s="1"/>
  <c r="T110" i="9"/>
  <c r="S110" i="9"/>
  <c r="R110" i="9"/>
  <c r="P110" i="9"/>
  <c r="D110" i="9"/>
  <c r="E110" i="9" s="1"/>
  <c r="AG109" i="9"/>
  <c r="AF109" i="9"/>
  <c r="Z109" i="9"/>
  <c r="Y109" i="9"/>
  <c r="AD109" i="9" s="1"/>
  <c r="X109" i="9"/>
  <c r="W109" i="9"/>
  <c r="V109" i="9"/>
  <c r="U109" i="9"/>
  <c r="AB109" i="9" s="1"/>
  <c r="T109" i="9"/>
  <c r="S109" i="9"/>
  <c r="AA109" i="9" s="1"/>
  <c r="R109" i="9"/>
  <c r="P109" i="9"/>
  <c r="D109" i="9"/>
  <c r="E109" i="9" s="1"/>
  <c r="AG108" i="9"/>
  <c r="AF108" i="9"/>
  <c r="Z108" i="9"/>
  <c r="Y108" i="9"/>
  <c r="X108" i="9"/>
  <c r="W108" i="9"/>
  <c r="V108" i="9"/>
  <c r="U108" i="9"/>
  <c r="AB108" i="9" s="1"/>
  <c r="T108" i="9"/>
  <c r="S108" i="9"/>
  <c r="R108" i="9"/>
  <c r="P108" i="9"/>
  <c r="D108" i="9"/>
  <c r="E108" i="9" s="1"/>
  <c r="AG107" i="9"/>
  <c r="AF107" i="9"/>
  <c r="Z107" i="9"/>
  <c r="Y107" i="9"/>
  <c r="AD107" i="9" s="1"/>
  <c r="X107" i="9"/>
  <c r="W107" i="9"/>
  <c r="V107" i="9"/>
  <c r="U107" i="9"/>
  <c r="T107" i="9"/>
  <c r="S107" i="9"/>
  <c r="AA107" i="9" s="1"/>
  <c r="R107" i="9"/>
  <c r="P107" i="9"/>
  <c r="D107" i="9"/>
  <c r="E107" i="9" s="1"/>
  <c r="AG106" i="9"/>
  <c r="AF106" i="9"/>
  <c r="Z106" i="9"/>
  <c r="Y106" i="9"/>
  <c r="AD106" i="9" s="1"/>
  <c r="X106" i="9"/>
  <c r="W106" i="9"/>
  <c r="V106" i="9"/>
  <c r="U106" i="9"/>
  <c r="AB106" i="9" s="1"/>
  <c r="T106" i="9"/>
  <c r="S106" i="9"/>
  <c r="AA106" i="9" s="1"/>
  <c r="R106" i="9"/>
  <c r="P106" i="9"/>
  <c r="D106" i="9"/>
  <c r="E106" i="9" s="1"/>
  <c r="AG105" i="9"/>
  <c r="AF105" i="9"/>
  <c r="Z105" i="9"/>
  <c r="Y105" i="9"/>
  <c r="X105" i="9"/>
  <c r="W105" i="9"/>
  <c r="V105" i="9"/>
  <c r="U105" i="9"/>
  <c r="AB105" i="9" s="1"/>
  <c r="T105" i="9"/>
  <c r="S105" i="9"/>
  <c r="AA105" i="9" s="1"/>
  <c r="R105" i="9"/>
  <c r="P105" i="9"/>
  <c r="D105" i="9"/>
  <c r="E105" i="9" s="1"/>
  <c r="AG104" i="9"/>
  <c r="AF104" i="9"/>
  <c r="Z104" i="9"/>
  <c r="Y104" i="9"/>
  <c r="AD104" i="9" s="1"/>
  <c r="X104" i="9"/>
  <c r="W104" i="9"/>
  <c r="V104" i="9"/>
  <c r="U104" i="9"/>
  <c r="AB104" i="9" s="1"/>
  <c r="T104" i="9"/>
  <c r="S104" i="9"/>
  <c r="R104" i="9"/>
  <c r="P104" i="9"/>
  <c r="D104" i="9"/>
  <c r="E104" i="9" s="1"/>
  <c r="AG103" i="9"/>
  <c r="AF103" i="9"/>
  <c r="Z103" i="9"/>
  <c r="Y103" i="9"/>
  <c r="AD103" i="9" s="1"/>
  <c r="X103" i="9"/>
  <c r="W103" i="9"/>
  <c r="V103" i="9"/>
  <c r="U103" i="9"/>
  <c r="AB103" i="9" s="1"/>
  <c r="T103" i="9"/>
  <c r="S103" i="9"/>
  <c r="R103" i="9"/>
  <c r="P103" i="9"/>
  <c r="D103" i="9"/>
  <c r="E103" i="9" s="1"/>
  <c r="AG102" i="9"/>
  <c r="AF102" i="9"/>
  <c r="Z102" i="9"/>
  <c r="Y102" i="9"/>
  <c r="X102" i="9"/>
  <c r="W102" i="9"/>
  <c r="V102" i="9"/>
  <c r="U102" i="9"/>
  <c r="AB102" i="9" s="1"/>
  <c r="T102" i="9"/>
  <c r="S102" i="9"/>
  <c r="AA102" i="9" s="1"/>
  <c r="R102" i="9"/>
  <c r="P102" i="9"/>
  <c r="D102" i="9"/>
  <c r="E102" i="9" s="1"/>
  <c r="AG101" i="9"/>
  <c r="AF101" i="9"/>
  <c r="Z101" i="9"/>
  <c r="Y101" i="9"/>
  <c r="AD101" i="9" s="1"/>
  <c r="X101" i="9"/>
  <c r="W101" i="9"/>
  <c r="V101" i="9"/>
  <c r="U101" i="9"/>
  <c r="AB101" i="9" s="1"/>
  <c r="T101" i="9"/>
  <c r="S101" i="9"/>
  <c r="AA101" i="9" s="1"/>
  <c r="R101" i="9"/>
  <c r="P101" i="9"/>
  <c r="D101" i="9"/>
  <c r="E101" i="9" s="1"/>
  <c r="AG100" i="9"/>
  <c r="AF100" i="9"/>
  <c r="Z100" i="9"/>
  <c r="Y100" i="9"/>
  <c r="AD100" i="9" s="1"/>
  <c r="X100" i="9"/>
  <c r="W100" i="9"/>
  <c r="V100" i="9"/>
  <c r="U100" i="9"/>
  <c r="T100" i="9"/>
  <c r="S100" i="9"/>
  <c r="AA100" i="9" s="1"/>
  <c r="R100" i="9"/>
  <c r="P100" i="9"/>
  <c r="D100" i="9"/>
  <c r="E100" i="9" s="1"/>
  <c r="AG99" i="9"/>
  <c r="AF99" i="9"/>
  <c r="Z99" i="9"/>
  <c r="Y99" i="9"/>
  <c r="X99" i="9"/>
  <c r="W99" i="9"/>
  <c r="AC99" i="9" s="1"/>
  <c r="V99" i="9"/>
  <c r="U99" i="9"/>
  <c r="AB99" i="9" s="1"/>
  <c r="T99" i="9"/>
  <c r="S99" i="9"/>
  <c r="AA99" i="9" s="1"/>
  <c r="R99" i="9"/>
  <c r="P99" i="9"/>
  <c r="D99" i="9"/>
  <c r="E99" i="9" s="1"/>
  <c r="AG98" i="9"/>
  <c r="AF98" i="9"/>
  <c r="Z98" i="9"/>
  <c r="Y98" i="9"/>
  <c r="AD98" i="9" s="1"/>
  <c r="X98" i="9"/>
  <c r="W98" i="9"/>
  <c r="V98" i="9"/>
  <c r="U98" i="9"/>
  <c r="AB98" i="9" s="1"/>
  <c r="T98" i="9"/>
  <c r="S98" i="9"/>
  <c r="R98" i="9"/>
  <c r="P98" i="9"/>
  <c r="D98" i="9"/>
  <c r="E98" i="9" s="1"/>
  <c r="AG97" i="9"/>
  <c r="AF97" i="9"/>
  <c r="Z97" i="9"/>
  <c r="Y97" i="9"/>
  <c r="X97" i="9"/>
  <c r="W97" i="9"/>
  <c r="AC97" i="9" s="1"/>
  <c r="V97" i="9"/>
  <c r="U97" i="9"/>
  <c r="AB97" i="9" s="1"/>
  <c r="T97" i="9"/>
  <c r="S97" i="9"/>
  <c r="R97" i="9"/>
  <c r="P97" i="9"/>
  <c r="D97" i="9"/>
  <c r="E97" i="9" s="1"/>
  <c r="AG96" i="9"/>
  <c r="AF96" i="9"/>
  <c r="Z96" i="9"/>
  <c r="Y96" i="9"/>
  <c r="AD96" i="9" s="1"/>
  <c r="X96" i="9"/>
  <c r="W96" i="9"/>
  <c r="V96" i="9"/>
  <c r="U96" i="9"/>
  <c r="AB96" i="9" s="1"/>
  <c r="T96" i="9"/>
  <c r="S96" i="9"/>
  <c r="R96" i="9"/>
  <c r="P96" i="9"/>
  <c r="D96" i="9"/>
  <c r="E96" i="9" s="1"/>
  <c r="AG95" i="9"/>
  <c r="AF95" i="9"/>
  <c r="Z95" i="9"/>
  <c r="Y95" i="9"/>
  <c r="AD95" i="9" s="1"/>
  <c r="X95" i="9"/>
  <c r="W95" i="9"/>
  <c r="AC95" i="9" s="1"/>
  <c r="V95" i="9"/>
  <c r="U95" i="9"/>
  <c r="AB95" i="9" s="1"/>
  <c r="T95" i="9"/>
  <c r="S95" i="9"/>
  <c r="AA95" i="9" s="1"/>
  <c r="R95" i="9"/>
  <c r="P95" i="9"/>
  <c r="D95" i="9"/>
  <c r="E95" i="9" s="1"/>
  <c r="AG94" i="9"/>
  <c r="AF94" i="9"/>
  <c r="Z94" i="9"/>
  <c r="Y94" i="9"/>
  <c r="X94" i="9"/>
  <c r="W94" i="9"/>
  <c r="AC94" i="9" s="1"/>
  <c r="V94" i="9"/>
  <c r="U94" i="9"/>
  <c r="AB94" i="9" s="1"/>
  <c r="T94" i="9"/>
  <c r="S94" i="9"/>
  <c r="R94" i="9"/>
  <c r="P94" i="9"/>
  <c r="D94" i="9"/>
  <c r="E94" i="9" s="1"/>
  <c r="AG93" i="9"/>
  <c r="AF93" i="9"/>
  <c r="Z93" i="9"/>
  <c r="Y93" i="9"/>
  <c r="X93" i="9"/>
  <c r="W93" i="9"/>
  <c r="AC93" i="9" s="1"/>
  <c r="V93" i="9"/>
  <c r="U93" i="9"/>
  <c r="AB93" i="9" s="1"/>
  <c r="T93" i="9"/>
  <c r="S93" i="9"/>
  <c r="R93" i="9"/>
  <c r="P93" i="9"/>
  <c r="D93" i="9"/>
  <c r="E93" i="9" s="1"/>
  <c r="AG92" i="9"/>
  <c r="AF92" i="9"/>
  <c r="Z92" i="9"/>
  <c r="Y92" i="9"/>
  <c r="AD92" i="9" s="1"/>
  <c r="X92" i="9"/>
  <c r="W92" i="9"/>
  <c r="V92" i="9"/>
  <c r="U92" i="9"/>
  <c r="AB92" i="9" s="1"/>
  <c r="T92" i="9"/>
  <c r="S92" i="9"/>
  <c r="R92" i="9"/>
  <c r="P92" i="9"/>
  <c r="D92" i="9"/>
  <c r="E92" i="9" s="1"/>
  <c r="AG91" i="9"/>
  <c r="AF91" i="9"/>
  <c r="Z91" i="9"/>
  <c r="Y91" i="9"/>
  <c r="AD91" i="9" s="1"/>
  <c r="X91" i="9"/>
  <c r="W91" i="9"/>
  <c r="AC91" i="9" s="1"/>
  <c r="V91" i="9"/>
  <c r="U91" i="9"/>
  <c r="AB91" i="9" s="1"/>
  <c r="T91" i="9"/>
  <c r="S91" i="9"/>
  <c r="R91" i="9"/>
  <c r="P91" i="9"/>
  <c r="D91" i="9"/>
  <c r="E91" i="9" s="1"/>
  <c r="AG90" i="9"/>
  <c r="AF90" i="9"/>
  <c r="Z90" i="9"/>
  <c r="Y90" i="9"/>
  <c r="X90" i="9"/>
  <c r="W90" i="9"/>
  <c r="AC90" i="9" s="1"/>
  <c r="V90" i="9"/>
  <c r="U90" i="9"/>
  <c r="AB90" i="9" s="1"/>
  <c r="T90" i="9"/>
  <c r="S90" i="9"/>
  <c r="R90" i="9"/>
  <c r="P90" i="9"/>
  <c r="D90" i="9"/>
  <c r="E90" i="9" s="1"/>
  <c r="AG89" i="9"/>
  <c r="AF89" i="9"/>
  <c r="Z89" i="9"/>
  <c r="Y89" i="9"/>
  <c r="AD89" i="9" s="1"/>
  <c r="X89" i="9"/>
  <c r="W89" i="9"/>
  <c r="AC89" i="9" s="1"/>
  <c r="V89" i="9"/>
  <c r="U89" i="9"/>
  <c r="AB89" i="9" s="1"/>
  <c r="T89" i="9"/>
  <c r="S89" i="9"/>
  <c r="R89" i="9"/>
  <c r="P89" i="9"/>
  <c r="D89" i="9"/>
  <c r="E89" i="9" s="1"/>
  <c r="AG88" i="9"/>
  <c r="AF88" i="9"/>
  <c r="Z88" i="9"/>
  <c r="Y88" i="9"/>
  <c r="AD88" i="9" s="1"/>
  <c r="X88" i="9"/>
  <c r="W88" i="9"/>
  <c r="AC88" i="9" s="1"/>
  <c r="V88" i="9"/>
  <c r="U88" i="9"/>
  <c r="AB88" i="9" s="1"/>
  <c r="T88" i="9"/>
  <c r="S88" i="9"/>
  <c r="R88" i="9"/>
  <c r="P88" i="9"/>
  <c r="D88" i="9"/>
  <c r="E88" i="9" s="1"/>
  <c r="AG87" i="9"/>
  <c r="AF87" i="9"/>
  <c r="Z87" i="9"/>
  <c r="Y87" i="9"/>
  <c r="X87" i="9"/>
  <c r="W87" i="9"/>
  <c r="V87" i="9"/>
  <c r="U87" i="9"/>
  <c r="AB87" i="9" s="1"/>
  <c r="T87" i="9"/>
  <c r="S87" i="9"/>
  <c r="AA87" i="9" s="1"/>
  <c r="R87" i="9"/>
  <c r="P87" i="9"/>
  <c r="D87" i="9"/>
  <c r="E87" i="9" s="1"/>
  <c r="AG86" i="9"/>
  <c r="AF86" i="9"/>
  <c r="Z86" i="9"/>
  <c r="Y86" i="9"/>
  <c r="AD86" i="9" s="1"/>
  <c r="X86" i="9"/>
  <c r="W86" i="9"/>
  <c r="V86" i="9"/>
  <c r="U86" i="9"/>
  <c r="AB86" i="9" s="1"/>
  <c r="T86" i="9"/>
  <c r="S86" i="9"/>
  <c r="R86" i="9"/>
  <c r="P86" i="9"/>
  <c r="D86" i="9"/>
  <c r="E86" i="9" s="1"/>
  <c r="AG85" i="9"/>
  <c r="AF85" i="9"/>
  <c r="Z85" i="9"/>
  <c r="Y85" i="9"/>
  <c r="AD85" i="9" s="1"/>
  <c r="X85" i="9"/>
  <c r="W85" i="9"/>
  <c r="V85" i="9"/>
  <c r="U85" i="9"/>
  <c r="AB85" i="9" s="1"/>
  <c r="T85" i="9"/>
  <c r="S85" i="9"/>
  <c r="AA85" i="9" s="1"/>
  <c r="R85" i="9"/>
  <c r="P85" i="9"/>
  <c r="D85" i="9"/>
  <c r="E85" i="9" s="1"/>
  <c r="AG84" i="9"/>
  <c r="AF84" i="9"/>
  <c r="Z84" i="9"/>
  <c r="Y84" i="9"/>
  <c r="X84" i="9"/>
  <c r="W84" i="9"/>
  <c r="AC84" i="9" s="1"/>
  <c r="V84" i="9"/>
  <c r="U84" i="9"/>
  <c r="AB84" i="9" s="1"/>
  <c r="T84" i="9"/>
  <c r="S84" i="9"/>
  <c r="R84" i="9"/>
  <c r="P84" i="9"/>
  <c r="D84" i="9"/>
  <c r="E84" i="9" s="1"/>
  <c r="AG83" i="9"/>
  <c r="AF83" i="9"/>
  <c r="Z83" i="9"/>
  <c r="Y83" i="9"/>
  <c r="AD83" i="9" s="1"/>
  <c r="X83" i="9"/>
  <c r="W83" i="9"/>
  <c r="V83" i="9"/>
  <c r="U83" i="9"/>
  <c r="AB83" i="9" s="1"/>
  <c r="T83" i="9"/>
  <c r="S83" i="9"/>
  <c r="R83" i="9"/>
  <c r="P83" i="9"/>
  <c r="D83" i="9"/>
  <c r="E83" i="9" s="1"/>
  <c r="AG82" i="9"/>
  <c r="AF82" i="9"/>
  <c r="Z82" i="9"/>
  <c r="Y82" i="9"/>
  <c r="AD82" i="9" s="1"/>
  <c r="X82" i="9"/>
  <c r="W82" i="9"/>
  <c r="V82" i="9"/>
  <c r="U82" i="9"/>
  <c r="AB82" i="9" s="1"/>
  <c r="T82" i="9"/>
  <c r="S82" i="9"/>
  <c r="R82" i="9"/>
  <c r="P82" i="9"/>
  <c r="D82" i="9"/>
  <c r="E82" i="9" s="1"/>
  <c r="AG81" i="9"/>
  <c r="AF81" i="9"/>
  <c r="Z81" i="9"/>
  <c r="Y81" i="9"/>
  <c r="AD81" i="9" s="1"/>
  <c r="X81" i="9"/>
  <c r="W81" i="9"/>
  <c r="V81" i="9"/>
  <c r="U81" i="9"/>
  <c r="AB81" i="9" s="1"/>
  <c r="T81" i="9"/>
  <c r="S81" i="9"/>
  <c r="R81" i="9"/>
  <c r="P81" i="9"/>
  <c r="D81" i="9"/>
  <c r="E81" i="9" s="1"/>
  <c r="AG80" i="9"/>
  <c r="AF80" i="9"/>
  <c r="Z80" i="9"/>
  <c r="Y80" i="9"/>
  <c r="AD80" i="9" s="1"/>
  <c r="X80" i="9"/>
  <c r="W80" i="9"/>
  <c r="V80" i="9"/>
  <c r="U80" i="9"/>
  <c r="AB80" i="9" s="1"/>
  <c r="T80" i="9"/>
  <c r="S80" i="9"/>
  <c r="R80" i="9"/>
  <c r="P80" i="9"/>
  <c r="D80" i="9"/>
  <c r="E80" i="9" s="1"/>
  <c r="AG79" i="9"/>
  <c r="AF79" i="9"/>
  <c r="Z79" i="9"/>
  <c r="Y79" i="9"/>
  <c r="X79" i="9"/>
  <c r="W79" i="9"/>
  <c r="AC79" i="9" s="1"/>
  <c r="V79" i="9"/>
  <c r="U79" i="9"/>
  <c r="AB79" i="9" s="1"/>
  <c r="T79" i="9"/>
  <c r="S79" i="9"/>
  <c r="R79" i="9"/>
  <c r="P79" i="9"/>
  <c r="D79" i="9"/>
  <c r="E79" i="9" s="1"/>
  <c r="AG78" i="9"/>
  <c r="AF78" i="9"/>
  <c r="Z78" i="9"/>
  <c r="Y78" i="9"/>
  <c r="AD78" i="9" s="1"/>
  <c r="X78" i="9"/>
  <c r="W78" i="9"/>
  <c r="V78" i="9"/>
  <c r="U78" i="9"/>
  <c r="AB78" i="9" s="1"/>
  <c r="T78" i="9"/>
  <c r="S78" i="9"/>
  <c r="R78" i="9"/>
  <c r="P78" i="9"/>
  <c r="D78" i="9"/>
  <c r="E78" i="9" s="1"/>
  <c r="AG77" i="9"/>
  <c r="AF77" i="9"/>
  <c r="Z77" i="9"/>
  <c r="Y77" i="9"/>
  <c r="AD77" i="9" s="1"/>
  <c r="X77" i="9"/>
  <c r="W77" i="9"/>
  <c r="V77" i="9"/>
  <c r="U77" i="9"/>
  <c r="AB77" i="9" s="1"/>
  <c r="T77" i="9"/>
  <c r="S77" i="9"/>
  <c r="R77" i="9"/>
  <c r="P77" i="9"/>
  <c r="D77" i="9"/>
  <c r="E77" i="9" s="1"/>
  <c r="AG76" i="9"/>
  <c r="AF76" i="9"/>
  <c r="Z76" i="9"/>
  <c r="Y76" i="9"/>
  <c r="AD76" i="9" s="1"/>
  <c r="X76" i="9"/>
  <c r="W76" i="9"/>
  <c r="AC76" i="9" s="1"/>
  <c r="V76" i="9"/>
  <c r="U76" i="9"/>
  <c r="AB76" i="9" s="1"/>
  <c r="T76" i="9"/>
  <c r="S76" i="9"/>
  <c r="R76" i="9"/>
  <c r="P76" i="9"/>
  <c r="D76" i="9"/>
  <c r="E76" i="9" s="1"/>
  <c r="AG75" i="9"/>
  <c r="AF75" i="9"/>
  <c r="Z75" i="9"/>
  <c r="Y75" i="9"/>
  <c r="AD75" i="9" s="1"/>
  <c r="X75" i="9"/>
  <c r="W75" i="9"/>
  <c r="AC75" i="9" s="1"/>
  <c r="V75" i="9"/>
  <c r="U75" i="9"/>
  <c r="AB75" i="9" s="1"/>
  <c r="T75" i="9"/>
  <c r="S75" i="9"/>
  <c r="R75" i="9"/>
  <c r="P75" i="9"/>
  <c r="D75" i="9"/>
  <c r="E75" i="9" s="1"/>
  <c r="AG74" i="9"/>
  <c r="AF74" i="9"/>
  <c r="Z74" i="9"/>
  <c r="Y74" i="9"/>
  <c r="X74" i="9"/>
  <c r="W74" i="9"/>
  <c r="AC74" i="9" s="1"/>
  <c r="V74" i="9"/>
  <c r="U74" i="9"/>
  <c r="AB74" i="9" s="1"/>
  <c r="T74" i="9"/>
  <c r="S74" i="9"/>
  <c r="R74" i="9"/>
  <c r="P74" i="9"/>
  <c r="D74" i="9"/>
  <c r="E74" i="9" s="1"/>
  <c r="AG73" i="9"/>
  <c r="AF73" i="9"/>
  <c r="Z73" i="9"/>
  <c r="Y73" i="9"/>
  <c r="X73" i="9"/>
  <c r="W73" i="9"/>
  <c r="V73" i="9"/>
  <c r="U73" i="9"/>
  <c r="AB73" i="9" s="1"/>
  <c r="T73" i="9"/>
  <c r="S73" i="9"/>
  <c r="R73" i="9"/>
  <c r="P73" i="9"/>
  <c r="D73" i="9"/>
  <c r="E73" i="9" s="1"/>
  <c r="AG72" i="9"/>
  <c r="AF72" i="9"/>
  <c r="Z72" i="9"/>
  <c r="Y72" i="9"/>
  <c r="X72" i="9"/>
  <c r="W72" i="9"/>
  <c r="V72" i="9"/>
  <c r="U72" i="9"/>
  <c r="AB72" i="9" s="1"/>
  <c r="T72" i="9"/>
  <c r="S72" i="9"/>
  <c r="R72" i="9"/>
  <c r="P72" i="9"/>
  <c r="D72" i="9"/>
  <c r="E72" i="9" s="1"/>
  <c r="AG71" i="9"/>
  <c r="AF71" i="9"/>
  <c r="Z71" i="9"/>
  <c r="Y71" i="9"/>
  <c r="X71" i="9"/>
  <c r="W71" i="9"/>
  <c r="AC71" i="9" s="1"/>
  <c r="V71" i="9"/>
  <c r="U71" i="9"/>
  <c r="AB71" i="9" s="1"/>
  <c r="T71" i="9"/>
  <c r="S71" i="9"/>
  <c r="R71" i="9"/>
  <c r="P71" i="9"/>
  <c r="D71" i="9"/>
  <c r="E71" i="9" s="1"/>
  <c r="AG70" i="9"/>
  <c r="AF70" i="9"/>
  <c r="Z70" i="9"/>
  <c r="Y70" i="9"/>
  <c r="AD70" i="9" s="1"/>
  <c r="X70" i="9"/>
  <c r="W70" i="9"/>
  <c r="V70" i="9"/>
  <c r="U70" i="9"/>
  <c r="AB70" i="9" s="1"/>
  <c r="T70" i="9"/>
  <c r="S70" i="9"/>
  <c r="AA70" i="9" s="1"/>
  <c r="R70" i="9"/>
  <c r="P70" i="9"/>
  <c r="D70" i="9"/>
  <c r="E70" i="9" s="1"/>
  <c r="AG69" i="9"/>
  <c r="AF69" i="9"/>
  <c r="Z69" i="9"/>
  <c r="Y69" i="9"/>
  <c r="AD69" i="9" s="1"/>
  <c r="X69" i="9"/>
  <c r="W69" i="9"/>
  <c r="V69" i="9"/>
  <c r="U69" i="9"/>
  <c r="AB69" i="9" s="1"/>
  <c r="T69" i="9"/>
  <c r="S69" i="9"/>
  <c r="R69" i="9"/>
  <c r="P69" i="9"/>
  <c r="D69" i="9"/>
  <c r="E69" i="9" s="1"/>
  <c r="AG68" i="9"/>
  <c r="AF68" i="9"/>
  <c r="Z68" i="9"/>
  <c r="Y68" i="9"/>
  <c r="AD68" i="9" s="1"/>
  <c r="X68" i="9"/>
  <c r="W68" i="9"/>
  <c r="V68" i="9"/>
  <c r="U68" i="9"/>
  <c r="T68" i="9"/>
  <c r="S68" i="9"/>
  <c r="R68" i="9"/>
  <c r="P68" i="9"/>
  <c r="D68" i="9"/>
  <c r="E68" i="9" s="1"/>
  <c r="AG67" i="9"/>
  <c r="AF67" i="9"/>
  <c r="Z67" i="9"/>
  <c r="Y67" i="9"/>
  <c r="X67" i="9"/>
  <c r="W67" i="9"/>
  <c r="AC67" i="9" s="1"/>
  <c r="V67" i="9"/>
  <c r="U67" i="9"/>
  <c r="AB67" i="9" s="1"/>
  <c r="T67" i="9"/>
  <c r="S67" i="9"/>
  <c r="R67" i="9"/>
  <c r="P67" i="9"/>
  <c r="D67" i="9"/>
  <c r="E67" i="9" s="1"/>
  <c r="AG66" i="9"/>
  <c r="AF66" i="9"/>
  <c r="Z66" i="9"/>
  <c r="Y66" i="9"/>
  <c r="X66" i="9"/>
  <c r="W66" i="9"/>
  <c r="V66" i="9"/>
  <c r="U66" i="9"/>
  <c r="AB66" i="9" s="1"/>
  <c r="T66" i="9"/>
  <c r="S66" i="9"/>
  <c r="AA66" i="9" s="1"/>
  <c r="R66" i="9"/>
  <c r="P66" i="9"/>
  <c r="D66" i="9"/>
  <c r="E66" i="9" s="1"/>
  <c r="AG65" i="9"/>
  <c r="AF65" i="9"/>
  <c r="Z65" i="9"/>
  <c r="Y65" i="9"/>
  <c r="X65" i="9"/>
  <c r="W65" i="9"/>
  <c r="AC65" i="9" s="1"/>
  <c r="V65" i="9"/>
  <c r="U65" i="9"/>
  <c r="T65" i="9"/>
  <c r="S65" i="9"/>
  <c r="AA65" i="9" s="1"/>
  <c r="R65" i="9"/>
  <c r="P65" i="9"/>
  <c r="D65" i="9"/>
  <c r="E65" i="9" s="1"/>
  <c r="AG64" i="9"/>
  <c r="AF64" i="9"/>
  <c r="Z64" i="9"/>
  <c r="Y64" i="9"/>
  <c r="X64" i="9"/>
  <c r="W64" i="9"/>
  <c r="V64" i="9"/>
  <c r="U64" i="9"/>
  <c r="AB64" i="9" s="1"/>
  <c r="T64" i="9"/>
  <c r="S64" i="9"/>
  <c r="R64" i="9"/>
  <c r="P64" i="9"/>
  <c r="D64" i="9"/>
  <c r="E64" i="9" s="1"/>
  <c r="AG63" i="9"/>
  <c r="AF63" i="9"/>
  <c r="Z63" i="9"/>
  <c r="Y63" i="9"/>
  <c r="AD63" i="9" s="1"/>
  <c r="X63" i="9"/>
  <c r="W63" i="9"/>
  <c r="V63" i="9"/>
  <c r="U63" i="9"/>
  <c r="AB63" i="9" s="1"/>
  <c r="T63" i="9"/>
  <c r="S63" i="9"/>
  <c r="R63" i="9"/>
  <c r="P63" i="9"/>
  <c r="D63" i="9"/>
  <c r="E63" i="9" s="1"/>
  <c r="AG62" i="9"/>
  <c r="AF62" i="9"/>
  <c r="Z62" i="9"/>
  <c r="Y62" i="9"/>
  <c r="AD62" i="9" s="1"/>
  <c r="X62" i="9"/>
  <c r="W62" i="9"/>
  <c r="V62" i="9"/>
  <c r="U62" i="9"/>
  <c r="AB62" i="9" s="1"/>
  <c r="T62" i="9"/>
  <c r="S62" i="9"/>
  <c r="R62" i="9"/>
  <c r="P62" i="9"/>
  <c r="D62" i="9"/>
  <c r="E62" i="9" s="1"/>
  <c r="AG61" i="9"/>
  <c r="AF61" i="9"/>
  <c r="Z61" i="9"/>
  <c r="Y61" i="9"/>
  <c r="AD61" i="9" s="1"/>
  <c r="X61" i="9"/>
  <c r="W61" i="9"/>
  <c r="V61" i="9"/>
  <c r="U61" i="9"/>
  <c r="T61" i="9"/>
  <c r="S61" i="9"/>
  <c r="R61" i="9"/>
  <c r="P61" i="9"/>
  <c r="D61" i="9"/>
  <c r="E61" i="9" s="1"/>
  <c r="AG60" i="9"/>
  <c r="AF60" i="9"/>
  <c r="Z60" i="9"/>
  <c r="Y60" i="9"/>
  <c r="X60" i="9"/>
  <c r="W60" i="9"/>
  <c r="AC60" i="9" s="1"/>
  <c r="V60" i="9"/>
  <c r="U60" i="9"/>
  <c r="AB60" i="9" s="1"/>
  <c r="T60" i="9"/>
  <c r="S60" i="9"/>
  <c r="AA60" i="9" s="1"/>
  <c r="R60" i="9"/>
  <c r="P60" i="9"/>
  <c r="D60" i="9"/>
  <c r="E60" i="9" s="1"/>
  <c r="AG59" i="9"/>
  <c r="AF59" i="9"/>
  <c r="Z59" i="9"/>
  <c r="Y59" i="9"/>
  <c r="AD59" i="9" s="1"/>
  <c r="X59" i="9"/>
  <c r="W59" i="9"/>
  <c r="AC59" i="9" s="1"/>
  <c r="V59" i="9"/>
  <c r="U59" i="9"/>
  <c r="AB59" i="9" s="1"/>
  <c r="T59" i="9"/>
  <c r="S59" i="9"/>
  <c r="R59" i="9"/>
  <c r="P59" i="9"/>
  <c r="D59" i="9"/>
  <c r="E59" i="9" s="1"/>
  <c r="AG58" i="9"/>
  <c r="AF58" i="9"/>
  <c r="Z58" i="9"/>
  <c r="Y58" i="9"/>
  <c r="AD58" i="9" s="1"/>
  <c r="X58" i="9"/>
  <c r="W58" i="9"/>
  <c r="AC58" i="9" s="1"/>
  <c r="V58" i="9"/>
  <c r="U58" i="9"/>
  <c r="AB58" i="9" s="1"/>
  <c r="T58" i="9"/>
  <c r="S58" i="9"/>
  <c r="R58" i="9"/>
  <c r="P58" i="9"/>
  <c r="D58" i="9"/>
  <c r="E58" i="9" s="1"/>
  <c r="AG57" i="9"/>
  <c r="AF57" i="9"/>
  <c r="Z57" i="9"/>
  <c r="Y57" i="9"/>
  <c r="AD57" i="9" s="1"/>
  <c r="X57" i="9"/>
  <c r="W57" i="9"/>
  <c r="AC57" i="9" s="1"/>
  <c r="V57" i="9"/>
  <c r="U57" i="9"/>
  <c r="AB57" i="9" s="1"/>
  <c r="T57" i="9"/>
  <c r="S57" i="9"/>
  <c r="AA57" i="9" s="1"/>
  <c r="R57" i="9"/>
  <c r="P57" i="9"/>
  <c r="D57" i="9"/>
  <c r="E57" i="9" s="1"/>
  <c r="AG56" i="9"/>
  <c r="AF56" i="9"/>
  <c r="Z56" i="9"/>
  <c r="Y56" i="9"/>
  <c r="AD56" i="9" s="1"/>
  <c r="X56" i="9"/>
  <c r="W56" i="9"/>
  <c r="V56" i="9"/>
  <c r="U56" i="9"/>
  <c r="AB56" i="9" s="1"/>
  <c r="T56" i="9"/>
  <c r="S56" i="9"/>
  <c r="AA56" i="9" s="1"/>
  <c r="R56" i="9"/>
  <c r="P56" i="9"/>
  <c r="D56" i="9"/>
  <c r="E56" i="9" s="1"/>
  <c r="AG55" i="9"/>
  <c r="AF55" i="9"/>
  <c r="Z55" i="9"/>
  <c r="Y55" i="9"/>
  <c r="AD55" i="9" s="1"/>
  <c r="X55" i="9"/>
  <c r="W55" i="9"/>
  <c r="AC55" i="9" s="1"/>
  <c r="V55" i="9"/>
  <c r="U55" i="9"/>
  <c r="AB55" i="9" s="1"/>
  <c r="T55" i="9"/>
  <c r="S55" i="9"/>
  <c r="R55" i="9"/>
  <c r="P55" i="9"/>
  <c r="D55" i="9"/>
  <c r="E55" i="9" s="1"/>
  <c r="AG54" i="9"/>
  <c r="AF54" i="9"/>
  <c r="Z54" i="9"/>
  <c r="Y54" i="9"/>
  <c r="AD54" i="9" s="1"/>
  <c r="X54" i="9"/>
  <c r="W54" i="9"/>
  <c r="AC54" i="9" s="1"/>
  <c r="V54" i="9"/>
  <c r="U54" i="9"/>
  <c r="AB54" i="9" s="1"/>
  <c r="T54" i="9"/>
  <c r="S54" i="9"/>
  <c r="AA54" i="9" s="1"/>
  <c r="R54" i="9"/>
  <c r="P54" i="9"/>
  <c r="D54" i="9"/>
  <c r="E54" i="9" s="1"/>
  <c r="AG53" i="9"/>
  <c r="AF53" i="9"/>
  <c r="Z53" i="9"/>
  <c r="Y53" i="9"/>
  <c r="AD53" i="9" s="1"/>
  <c r="X53" i="9"/>
  <c r="W53" i="9"/>
  <c r="AC53" i="9" s="1"/>
  <c r="V53" i="9"/>
  <c r="U53" i="9"/>
  <c r="T53" i="9"/>
  <c r="S53" i="9"/>
  <c r="AA53" i="9" s="1"/>
  <c r="R53" i="9"/>
  <c r="P53" i="9"/>
  <c r="D53" i="9"/>
  <c r="E53" i="9" s="1"/>
  <c r="AG52" i="9"/>
  <c r="AF52" i="9"/>
  <c r="Z52" i="9"/>
  <c r="Y52" i="9"/>
  <c r="AD52" i="9" s="1"/>
  <c r="X52" i="9"/>
  <c r="W52" i="9"/>
  <c r="AC52" i="9" s="1"/>
  <c r="V52" i="9"/>
  <c r="U52" i="9"/>
  <c r="AB52" i="9" s="1"/>
  <c r="T52" i="9"/>
  <c r="S52" i="9"/>
  <c r="AA52" i="9" s="1"/>
  <c r="R52" i="9"/>
  <c r="P52" i="9"/>
  <c r="D52" i="9"/>
  <c r="E52" i="9" s="1"/>
  <c r="AG51" i="9"/>
  <c r="AF51" i="9"/>
  <c r="Z51" i="9"/>
  <c r="Y51" i="9"/>
  <c r="AD51" i="9" s="1"/>
  <c r="X51" i="9"/>
  <c r="W51" i="9"/>
  <c r="AC51" i="9" s="1"/>
  <c r="V51" i="9"/>
  <c r="U51" i="9"/>
  <c r="AB51" i="9" s="1"/>
  <c r="T51" i="9"/>
  <c r="S51" i="9"/>
  <c r="AA51" i="9" s="1"/>
  <c r="R51" i="9"/>
  <c r="P51" i="9"/>
  <c r="D51" i="9"/>
  <c r="E51" i="9" s="1"/>
  <c r="AG50" i="9"/>
  <c r="AF50" i="9"/>
  <c r="Z50" i="9"/>
  <c r="Y50" i="9"/>
  <c r="X50" i="9"/>
  <c r="W50" i="9"/>
  <c r="AC50" i="9" s="1"/>
  <c r="V50" i="9"/>
  <c r="U50" i="9"/>
  <c r="AB50" i="9" s="1"/>
  <c r="T50" i="9"/>
  <c r="S50" i="9"/>
  <c r="R50" i="9"/>
  <c r="P50" i="9"/>
  <c r="D50" i="9"/>
  <c r="E50" i="9" s="1"/>
  <c r="AG49" i="9"/>
  <c r="AF49" i="9"/>
  <c r="Z49" i="9"/>
  <c r="Y49" i="9"/>
  <c r="X49" i="9"/>
  <c r="W49" i="9"/>
  <c r="V49" i="9"/>
  <c r="U49" i="9"/>
  <c r="AB49" i="9" s="1"/>
  <c r="T49" i="9"/>
  <c r="S49" i="9"/>
  <c r="AA49" i="9" s="1"/>
  <c r="R49" i="9"/>
  <c r="P49" i="9"/>
  <c r="D49" i="9"/>
  <c r="E49" i="9" s="1"/>
  <c r="AG48" i="9"/>
  <c r="AF48" i="9"/>
  <c r="Z48" i="9"/>
  <c r="Y48" i="9"/>
  <c r="AD48" i="9" s="1"/>
  <c r="X48" i="9"/>
  <c r="W48" i="9"/>
  <c r="V48" i="9"/>
  <c r="U48" i="9"/>
  <c r="AB48" i="9" s="1"/>
  <c r="T48" i="9"/>
  <c r="S48" i="9"/>
  <c r="AA48" i="9" s="1"/>
  <c r="R48" i="9"/>
  <c r="P48" i="9"/>
  <c r="D48" i="9"/>
  <c r="E48" i="9" s="1"/>
  <c r="AG47" i="9"/>
  <c r="AF47" i="9"/>
  <c r="Z47" i="9"/>
  <c r="Y47" i="9"/>
  <c r="X47" i="9"/>
  <c r="W47" i="9"/>
  <c r="V47" i="9"/>
  <c r="U47" i="9"/>
  <c r="AB47" i="9" s="1"/>
  <c r="T47" i="9"/>
  <c r="S47" i="9"/>
  <c r="AA47" i="9" s="1"/>
  <c r="R47" i="9"/>
  <c r="P47" i="9"/>
  <c r="D47" i="9"/>
  <c r="E47" i="9" s="1"/>
  <c r="AG46" i="9"/>
  <c r="AF46" i="9"/>
  <c r="Z46" i="9"/>
  <c r="Y46" i="9"/>
  <c r="AD46" i="9" s="1"/>
  <c r="X46" i="9"/>
  <c r="W46" i="9"/>
  <c r="V46" i="9"/>
  <c r="U46" i="9"/>
  <c r="AB46" i="9" s="1"/>
  <c r="T46" i="9"/>
  <c r="S46" i="9"/>
  <c r="R46" i="9"/>
  <c r="P46" i="9"/>
  <c r="D46" i="9"/>
  <c r="E46" i="9" s="1"/>
  <c r="AG45" i="9"/>
  <c r="AF45" i="9"/>
  <c r="Z45" i="9"/>
  <c r="Y45" i="9"/>
  <c r="AD45" i="9" s="1"/>
  <c r="X45" i="9"/>
  <c r="W45" i="9"/>
  <c r="V45" i="9"/>
  <c r="U45" i="9"/>
  <c r="T45" i="9"/>
  <c r="S45" i="9"/>
  <c r="AA45" i="9" s="1"/>
  <c r="R45" i="9"/>
  <c r="P45" i="9"/>
  <c r="D45" i="9"/>
  <c r="E45" i="9" s="1"/>
  <c r="AG44" i="9"/>
  <c r="AF44" i="9"/>
  <c r="Z44" i="9"/>
  <c r="Y44" i="9"/>
  <c r="X44" i="9"/>
  <c r="W44" i="9"/>
  <c r="AC44" i="9" s="1"/>
  <c r="V44" i="9"/>
  <c r="U44" i="9"/>
  <c r="AB44" i="9" s="1"/>
  <c r="T44" i="9"/>
  <c r="S44" i="9"/>
  <c r="AA44" i="9" s="1"/>
  <c r="R44" i="9"/>
  <c r="P44" i="9"/>
  <c r="D44" i="9"/>
  <c r="E44" i="9" s="1"/>
  <c r="AG43" i="9"/>
  <c r="AF43" i="9"/>
  <c r="Z43" i="9"/>
  <c r="Y43" i="9"/>
  <c r="AD43" i="9" s="1"/>
  <c r="X43" i="9"/>
  <c r="W43" i="9"/>
  <c r="AC43" i="9" s="1"/>
  <c r="V43" i="9"/>
  <c r="U43" i="9"/>
  <c r="AB43" i="9" s="1"/>
  <c r="T43" i="9"/>
  <c r="S43" i="9"/>
  <c r="R43" i="9"/>
  <c r="P43" i="9"/>
  <c r="D43" i="9"/>
  <c r="E43" i="9" s="1"/>
  <c r="AG42" i="9"/>
  <c r="AF42" i="9"/>
  <c r="Z42" i="9"/>
  <c r="Y42" i="9"/>
  <c r="AD42" i="9" s="1"/>
  <c r="X42" i="9"/>
  <c r="W42" i="9"/>
  <c r="AC42" i="9" s="1"/>
  <c r="V42" i="9"/>
  <c r="U42" i="9"/>
  <c r="AB42" i="9" s="1"/>
  <c r="T42" i="9"/>
  <c r="S42" i="9"/>
  <c r="R42" i="9"/>
  <c r="P42" i="9"/>
  <c r="D42" i="9"/>
  <c r="E42" i="9" s="1"/>
  <c r="AG41" i="9"/>
  <c r="AF41" i="9"/>
  <c r="Z41" i="9"/>
  <c r="Y41" i="9"/>
  <c r="AD41" i="9" s="1"/>
  <c r="X41" i="9"/>
  <c r="W41" i="9"/>
  <c r="AC41" i="9" s="1"/>
  <c r="V41" i="9"/>
  <c r="U41" i="9"/>
  <c r="T41" i="9"/>
  <c r="S41" i="9"/>
  <c r="R41" i="9"/>
  <c r="P41" i="9"/>
  <c r="D41" i="9"/>
  <c r="E41" i="9" s="1"/>
  <c r="AG40" i="9"/>
  <c r="AF40" i="9"/>
  <c r="Z40" i="9"/>
  <c r="Y40" i="9"/>
  <c r="X40" i="9"/>
  <c r="W40" i="9"/>
  <c r="V40" i="9"/>
  <c r="U40" i="9"/>
  <c r="AB40" i="9" s="1"/>
  <c r="T40" i="9"/>
  <c r="S40" i="9"/>
  <c r="AA40" i="9" s="1"/>
  <c r="R40" i="9"/>
  <c r="P40" i="9"/>
  <c r="D40" i="9"/>
  <c r="E40" i="9" s="1"/>
  <c r="AG39" i="9"/>
  <c r="AF39" i="9"/>
  <c r="Z39" i="9"/>
  <c r="Y39" i="9"/>
  <c r="X39" i="9"/>
  <c r="W39" i="9"/>
  <c r="AC39" i="9" s="1"/>
  <c r="V39" i="9"/>
  <c r="U39" i="9"/>
  <c r="AB39" i="9" s="1"/>
  <c r="T39" i="9"/>
  <c r="S39" i="9"/>
  <c r="AA39" i="9" s="1"/>
  <c r="R39" i="9"/>
  <c r="P39" i="9"/>
  <c r="D39" i="9"/>
  <c r="E39" i="9" s="1"/>
  <c r="AG38" i="9"/>
  <c r="AF38" i="9"/>
  <c r="Z38" i="9"/>
  <c r="Y38" i="9"/>
  <c r="X38" i="9"/>
  <c r="W38" i="9"/>
  <c r="AC38" i="9" s="1"/>
  <c r="V38" i="9"/>
  <c r="U38" i="9"/>
  <c r="AB38" i="9" s="1"/>
  <c r="T38" i="9"/>
  <c r="S38" i="9"/>
  <c r="AA38" i="9" s="1"/>
  <c r="R38" i="9"/>
  <c r="P38" i="9"/>
  <c r="D38" i="9"/>
  <c r="E38" i="9" s="1"/>
  <c r="AG37" i="9"/>
  <c r="AF37" i="9"/>
  <c r="Z37" i="9"/>
  <c r="Y37" i="9"/>
  <c r="X37" i="9"/>
  <c r="W37" i="9"/>
  <c r="AC37" i="9" s="1"/>
  <c r="V37" i="9"/>
  <c r="U37" i="9"/>
  <c r="AB37" i="9" s="1"/>
  <c r="T37" i="9"/>
  <c r="S37" i="9"/>
  <c r="R37" i="9"/>
  <c r="P37" i="9"/>
  <c r="D37" i="9"/>
  <c r="E37" i="9" s="1"/>
  <c r="AG36" i="9"/>
  <c r="AF36" i="9"/>
  <c r="Z36" i="9"/>
  <c r="Y36" i="9"/>
  <c r="X36" i="9"/>
  <c r="W36" i="9"/>
  <c r="AC36" i="9" s="1"/>
  <c r="V36" i="9"/>
  <c r="U36" i="9"/>
  <c r="AB36" i="9" s="1"/>
  <c r="T36" i="9"/>
  <c r="S36" i="9"/>
  <c r="R36" i="9"/>
  <c r="P36" i="9"/>
  <c r="D36" i="9"/>
  <c r="E36" i="9" s="1"/>
  <c r="AG35" i="9"/>
  <c r="AF35" i="9"/>
  <c r="Z35" i="9"/>
  <c r="Y35" i="9"/>
  <c r="X35" i="9"/>
  <c r="W35" i="9"/>
  <c r="AC35" i="9" s="1"/>
  <c r="V35" i="9"/>
  <c r="U35" i="9"/>
  <c r="AB35" i="9" s="1"/>
  <c r="T35" i="9"/>
  <c r="S35" i="9"/>
  <c r="AA35" i="9" s="1"/>
  <c r="R35" i="9"/>
  <c r="P35" i="9"/>
  <c r="D35" i="9"/>
  <c r="E35" i="9" s="1"/>
  <c r="AG34" i="9"/>
  <c r="AF34" i="9"/>
  <c r="Z34" i="9"/>
  <c r="Y34" i="9"/>
  <c r="AD34" i="9" s="1"/>
  <c r="X34" i="9"/>
  <c r="W34" i="9"/>
  <c r="AC34" i="9" s="1"/>
  <c r="V34" i="9"/>
  <c r="U34" i="9"/>
  <c r="AB34" i="9" s="1"/>
  <c r="T34" i="9"/>
  <c r="S34" i="9"/>
  <c r="AA34" i="9" s="1"/>
  <c r="R34" i="9"/>
  <c r="P34" i="9"/>
  <c r="D34" i="9"/>
  <c r="E34" i="9" s="1"/>
  <c r="AG33" i="9"/>
  <c r="AF33" i="9"/>
  <c r="Z33" i="9"/>
  <c r="Y33" i="9"/>
  <c r="AD33" i="9" s="1"/>
  <c r="X33" i="9"/>
  <c r="W33" i="9"/>
  <c r="AC33" i="9" s="1"/>
  <c r="V33" i="9"/>
  <c r="U33" i="9"/>
  <c r="T33" i="9"/>
  <c r="S33" i="9"/>
  <c r="AA33" i="9" s="1"/>
  <c r="R33" i="9"/>
  <c r="P33" i="9"/>
  <c r="D33" i="9"/>
  <c r="E33" i="9" s="1"/>
  <c r="AG32" i="9"/>
  <c r="AF32" i="9"/>
  <c r="Z32" i="9"/>
  <c r="Y32" i="9"/>
  <c r="X32" i="9"/>
  <c r="W32" i="9"/>
  <c r="AC32" i="9" s="1"/>
  <c r="V32" i="9"/>
  <c r="U32" i="9"/>
  <c r="AB32" i="9" s="1"/>
  <c r="T32" i="9"/>
  <c r="S32" i="9"/>
  <c r="AA32" i="9" s="1"/>
  <c r="R32" i="9"/>
  <c r="P32" i="9"/>
  <c r="D32" i="9"/>
  <c r="E32" i="9" s="1"/>
  <c r="AG31" i="9"/>
  <c r="AF31" i="9"/>
  <c r="Z31" i="9"/>
  <c r="Y31" i="9"/>
  <c r="X31" i="9"/>
  <c r="W31" i="9"/>
  <c r="AC31" i="9" s="1"/>
  <c r="V31" i="9"/>
  <c r="U31" i="9"/>
  <c r="AB31" i="9" s="1"/>
  <c r="T31" i="9"/>
  <c r="S31" i="9"/>
  <c r="AA31" i="9" s="1"/>
  <c r="R31" i="9"/>
  <c r="P31" i="9"/>
  <c r="D31" i="9"/>
  <c r="E31" i="9" s="1"/>
  <c r="AG30" i="9"/>
  <c r="AF30" i="9"/>
  <c r="Z30" i="9"/>
  <c r="Y30" i="9"/>
  <c r="X30" i="9"/>
  <c r="W30" i="9"/>
  <c r="AC30" i="9" s="1"/>
  <c r="V30" i="9"/>
  <c r="U30" i="9"/>
  <c r="AB30" i="9" s="1"/>
  <c r="T30" i="9"/>
  <c r="S30" i="9"/>
  <c r="AA30" i="9" s="1"/>
  <c r="R30" i="9"/>
  <c r="P30" i="9"/>
  <c r="D30" i="9"/>
  <c r="E30" i="9" s="1"/>
  <c r="AG29" i="9"/>
  <c r="AF29" i="9"/>
  <c r="Z29" i="9"/>
  <c r="Y29" i="9"/>
  <c r="AD29" i="9" s="1"/>
  <c r="X29" i="9"/>
  <c r="W29" i="9"/>
  <c r="V29" i="9"/>
  <c r="U29" i="9"/>
  <c r="AB29" i="9" s="1"/>
  <c r="T29" i="9"/>
  <c r="S29" i="9"/>
  <c r="R29" i="9"/>
  <c r="P29" i="9"/>
  <c r="D29" i="9"/>
  <c r="E29" i="9" s="1"/>
  <c r="AG28" i="9"/>
  <c r="AF28" i="9"/>
  <c r="Z28" i="9"/>
  <c r="Y28" i="9"/>
  <c r="X28" i="9"/>
  <c r="W28" i="9"/>
  <c r="V28" i="9"/>
  <c r="U28" i="9"/>
  <c r="AB28" i="9" s="1"/>
  <c r="T28" i="9"/>
  <c r="S28" i="9"/>
  <c r="AA28" i="9" s="1"/>
  <c r="R28" i="9"/>
  <c r="P28" i="9"/>
  <c r="D28" i="9"/>
  <c r="E28" i="9" s="1"/>
  <c r="AG27" i="9"/>
  <c r="AF27" i="9"/>
  <c r="Z27" i="9"/>
  <c r="Y27" i="9"/>
  <c r="X27" i="9"/>
  <c r="W27" i="9"/>
  <c r="AC27" i="9" s="1"/>
  <c r="V27" i="9"/>
  <c r="U27" i="9"/>
  <c r="AB27" i="9" s="1"/>
  <c r="T27" i="9"/>
  <c r="S27" i="9"/>
  <c r="AA27" i="9" s="1"/>
  <c r="R27" i="9"/>
  <c r="P27" i="9"/>
  <c r="D27" i="9"/>
  <c r="E27" i="9" s="1"/>
  <c r="AG26" i="9"/>
  <c r="AF26" i="9"/>
  <c r="Z26" i="9"/>
  <c r="Y26" i="9"/>
  <c r="X26" i="9"/>
  <c r="W26" i="9"/>
  <c r="AC26" i="9" s="1"/>
  <c r="V26" i="9"/>
  <c r="U26" i="9"/>
  <c r="AB26" i="9" s="1"/>
  <c r="T26" i="9"/>
  <c r="S26" i="9"/>
  <c r="AA26" i="9" s="1"/>
  <c r="R26" i="9"/>
  <c r="P26" i="9"/>
  <c r="D26" i="9"/>
  <c r="AG25" i="9"/>
  <c r="AF25" i="9"/>
  <c r="Z25" i="9"/>
  <c r="Y25" i="9"/>
  <c r="X25" i="9"/>
  <c r="W25" i="9"/>
  <c r="V25" i="9"/>
  <c r="U25" i="9"/>
  <c r="AB25" i="9" s="1"/>
  <c r="T25" i="9"/>
  <c r="S25" i="9"/>
  <c r="R25" i="9"/>
  <c r="P25" i="9"/>
  <c r="D25" i="9"/>
  <c r="E25" i="9" s="1"/>
  <c r="AG24" i="9"/>
  <c r="AF24" i="9"/>
  <c r="Z24" i="9"/>
  <c r="Y24" i="9"/>
  <c r="AD24" i="9" s="1"/>
  <c r="X24" i="9"/>
  <c r="W24" i="9"/>
  <c r="V24" i="9"/>
  <c r="U24" i="9"/>
  <c r="AB24" i="9" s="1"/>
  <c r="T24" i="9"/>
  <c r="S24" i="9"/>
  <c r="AA24" i="9" s="1"/>
  <c r="R24" i="9"/>
  <c r="P24" i="9"/>
  <c r="D24" i="9"/>
  <c r="E24" i="9" s="1"/>
  <c r="AG23" i="9"/>
  <c r="AF23" i="9"/>
  <c r="Z23" i="9"/>
  <c r="Y23" i="9"/>
  <c r="AD23" i="9" s="1"/>
  <c r="X23" i="9"/>
  <c r="W23" i="9"/>
  <c r="V23" i="9"/>
  <c r="U23" i="9"/>
  <c r="AB23" i="9" s="1"/>
  <c r="T23" i="9"/>
  <c r="S23" i="9"/>
  <c r="AA23" i="9" s="1"/>
  <c r="R23" i="9"/>
  <c r="P23" i="9"/>
  <c r="D23" i="9"/>
  <c r="E23" i="9" s="1"/>
  <c r="AG22" i="9"/>
  <c r="AF22" i="9"/>
  <c r="Z22" i="9"/>
  <c r="Y22" i="9"/>
  <c r="AD22" i="9" s="1"/>
  <c r="X22" i="9"/>
  <c r="W22" i="9"/>
  <c r="AC22" i="9" s="1"/>
  <c r="V22" i="9"/>
  <c r="U22" i="9"/>
  <c r="AB22" i="9" s="1"/>
  <c r="T22" i="9"/>
  <c r="S22" i="9"/>
  <c r="AA22" i="9" s="1"/>
  <c r="R22" i="9"/>
  <c r="P22" i="9"/>
  <c r="D22" i="9"/>
  <c r="E22" i="9" s="1"/>
  <c r="AG21" i="9"/>
  <c r="AF21" i="9"/>
  <c r="Z21" i="9"/>
  <c r="Y21" i="9"/>
  <c r="X21" i="9"/>
  <c r="W21" i="9"/>
  <c r="V21" i="9"/>
  <c r="U21" i="9"/>
  <c r="AB21" i="9" s="1"/>
  <c r="T21" i="9"/>
  <c r="S21" i="9"/>
  <c r="R21" i="9"/>
  <c r="P21" i="9"/>
  <c r="D21" i="9"/>
  <c r="E21" i="9" s="1"/>
  <c r="AG20" i="9"/>
  <c r="AF20" i="9"/>
  <c r="Z20" i="9"/>
  <c r="Y20" i="9"/>
  <c r="X20" i="9"/>
  <c r="W20" i="9"/>
  <c r="AC20" i="9" s="1"/>
  <c r="V20" i="9"/>
  <c r="U20" i="9"/>
  <c r="AB20" i="9" s="1"/>
  <c r="T20" i="9"/>
  <c r="S20" i="9"/>
  <c r="R20" i="9"/>
  <c r="P20" i="9"/>
  <c r="D20" i="9"/>
  <c r="E20" i="9" s="1"/>
  <c r="AG19" i="9"/>
  <c r="AF19" i="9"/>
  <c r="Z19" i="9"/>
  <c r="Y19" i="9"/>
  <c r="AD19" i="9" s="1"/>
  <c r="X19" i="9"/>
  <c r="W19" i="9"/>
  <c r="V19" i="9"/>
  <c r="U19" i="9"/>
  <c r="AB19" i="9" s="1"/>
  <c r="T19" i="9"/>
  <c r="S19" i="9"/>
  <c r="R19" i="9"/>
  <c r="P19" i="9"/>
  <c r="D19" i="9"/>
  <c r="E19" i="9" s="1"/>
  <c r="AG18" i="9"/>
  <c r="AF18" i="9"/>
  <c r="Z18" i="9"/>
  <c r="Y18" i="9"/>
  <c r="AD18" i="9" s="1"/>
  <c r="X18" i="9"/>
  <c r="W18" i="9"/>
  <c r="V18" i="9"/>
  <c r="U18" i="9"/>
  <c r="AB18" i="9" s="1"/>
  <c r="T18" i="9"/>
  <c r="S18" i="9"/>
  <c r="R18" i="9"/>
  <c r="P18" i="9"/>
  <c r="D18" i="9"/>
  <c r="E18" i="9" s="1"/>
  <c r="AG17" i="9"/>
  <c r="AF17" i="9"/>
  <c r="Z17" i="9"/>
  <c r="Y17" i="9"/>
  <c r="AD17" i="9" s="1"/>
  <c r="X17" i="9"/>
  <c r="W17" i="9"/>
  <c r="V17" i="9"/>
  <c r="U17" i="9"/>
  <c r="AB17" i="9" s="1"/>
  <c r="T17" i="9"/>
  <c r="S17" i="9"/>
  <c r="R17" i="9"/>
  <c r="P17" i="9"/>
  <c r="D17" i="9"/>
  <c r="E17" i="9" s="1"/>
  <c r="AG16" i="9"/>
  <c r="AF16" i="9"/>
  <c r="Z16" i="9"/>
  <c r="Y16" i="9"/>
  <c r="AD16" i="9" s="1"/>
  <c r="X16" i="9"/>
  <c r="W16" i="9"/>
  <c r="V16" i="9"/>
  <c r="U16" i="9"/>
  <c r="AB16" i="9" s="1"/>
  <c r="T16" i="9"/>
  <c r="S16" i="9"/>
  <c r="AA16" i="9" s="1"/>
  <c r="R16" i="9"/>
  <c r="P16" i="9"/>
  <c r="D16" i="9"/>
  <c r="E16" i="9" s="1"/>
  <c r="AG15" i="9"/>
  <c r="AF15" i="9"/>
  <c r="Z15" i="9"/>
  <c r="Y15" i="9"/>
  <c r="AD15" i="9" s="1"/>
  <c r="X15" i="9"/>
  <c r="W15" i="9"/>
  <c r="V15" i="9"/>
  <c r="U15" i="9"/>
  <c r="AB15" i="9" s="1"/>
  <c r="T15" i="9"/>
  <c r="S15" i="9"/>
  <c r="R15" i="9"/>
  <c r="P15" i="9"/>
  <c r="D15" i="9"/>
  <c r="E15" i="9" s="1"/>
  <c r="AG14" i="9"/>
  <c r="AF14" i="9"/>
  <c r="Z14" i="9"/>
  <c r="Y14" i="9"/>
  <c r="X14" i="9"/>
  <c r="W14" i="9"/>
  <c r="V14" i="9"/>
  <c r="U14" i="9"/>
  <c r="T14" i="9"/>
  <c r="S14" i="9"/>
  <c r="R14" i="9"/>
  <c r="P14" i="9"/>
  <c r="D14" i="9"/>
  <c r="E14" i="9" s="1"/>
  <c r="AG13" i="9"/>
  <c r="AF13" i="9"/>
  <c r="Z13" i="9"/>
  <c r="Y13" i="9"/>
  <c r="AD13" i="9" s="1"/>
  <c r="X13" i="9"/>
  <c r="W13" i="9"/>
  <c r="V13" i="9"/>
  <c r="U13" i="9"/>
  <c r="AB13" i="9" s="1"/>
  <c r="T13" i="9"/>
  <c r="S13" i="9"/>
  <c r="AA13" i="9" s="1"/>
  <c r="R13" i="9"/>
  <c r="P13" i="9"/>
  <c r="D13" i="9"/>
  <c r="E13" i="9" s="1"/>
  <c r="AG12" i="9"/>
  <c r="AF12" i="9"/>
  <c r="Z12" i="9"/>
  <c r="Y12" i="9"/>
  <c r="AD12" i="9" s="1"/>
  <c r="X12" i="9"/>
  <c r="W12" i="9"/>
  <c r="V12" i="9"/>
  <c r="U12" i="9"/>
  <c r="AB12" i="9" s="1"/>
  <c r="T12" i="9"/>
  <c r="S12" i="9"/>
  <c r="AA12" i="9" s="1"/>
  <c r="R12" i="9"/>
  <c r="P12" i="9"/>
  <c r="D12" i="9"/>
  <c r="E12" i="9" s="1"/>
  <c r="AG11" i="9"/>
  <c r="AF11" i="9"/>
  <c r="Z11" i="9"/>
  <c r="Y11" i="9"/>
  <c r="AD11" i="9" s="1"/>
  <c r="X11" i="9"/>
  <c r="W11" i="9"/>
  <c r="V11" i="9"/>
  <c r="U11" i="9"/>
  <c r="AB11" i="9" s="1"/>
  <c r="T11" i="9"/>
  <c r="S11" i="9"/>
  <c r="R11" i="9"/>
  <c r="P11" i="9"/>
  <c r="D11" i="9"/>
  <c r="E11" i="9" s="1"/>
  <c r="AG10" i="9"/>
  <c r="AF10" i="9"/>
  <c r="Z10" i="9"/>
  <c r="Y10" i="9"/>
  <c r="AD10" i="9" s="1"/>
  <c r="X10" i="9"/>
  <c r="W10" i="9"/>
  <c r="V10" i="9"/>
  <c r="U10" i="9"/>
  <c r="AB10" i="9" s="1"/>
  <c r="T10" i="9"/>
  <c r="S10" i="9"/>
  <c r="R10" i="9"/>
  <c r="P10" i="9"/>
  <c r="D10" i="9"/>
  <c r="E10" i="9" s="1"/>
  <c r="AG9" i="9"/>
  <c r="AF9" i="9"/>
  <c r="Z9" i="9"/>
  <c r="Y9" i="9"/>
  <c r="X9" i="9"/>
  <c r="W9" i="9"/>
  <c r="V9" i="9"/>
  <c r="U9" i="9"/>
  <c r="T9" i="9"/>
  <c r="S9" i="9"/>
  <c r="R9" i="9"/>
  <c r="P9" i="9"/>
  <c r="D9" i="9"/>
  <c r="E9" i="9" s="1"/>
  <c r="AG8" i="9"/>
  <c r="AF8" i="9"/>
  <c r="Z8" i="9"/>
  <c r="Y8" i="9"/>
  <c r="AD8" i="9" s="1"/>
  <c r="X8" i="9"/>
  <c r="W8" i="9"/>
  <c r="V8" i="9"/>
  <c r="U8" i="9"/>
  <c r="AB8" i="9" s="1"/>
  <c r="T8" i="9"/>
  <c r="S8" i="9"/>
  <c r="R8" i="9"/>
  <c r="P8" i="9"/>
  <c r="D8" i="9"/>
  <c r="E8" i="9" s="1"/>
  <c r="AG7" i="9"/>
  <c r="AF7" i="9"/>
  <c r="Z7" i="9"/>
  <c r="Y7" i="9"/>
  <c r="X7" i="9"/>
  <c r="W7" i="9"/>
  <c r="V7" i="9"/>
  <c r="U7" i="9"/>
  <c r="T7" i="9"/>
  <c r="R7" i="9"/>
  <c r="P7" i="9"/>
  <c r="D7" i="9"/>
  <c r="E7" i="9" s="1"/>
  <c r="AG6" i="9"/>
  <c r="AF6" i="9"/>
  <c r="Z6" i="9"/>
  <c r="Y6" i="9"/>
  <c r="AD6" i="9" s="1"/>
  <c r="X6" i="9"/>
  <c r="W6" i="9"/>
  <c r="AC6" i="9" s="1"/>
  <c r="V6" i="9"/>
  <c r="U6" i="9"/>
  <c r="T6" i="9"/>
  <c r="S6" i="9"/>
  <c r="AA6" i="9" s="1"/>
  <c r="R6" i="9"/>
  <c r="P6" i="9"/>
  <c r="D6" i="9"/>
  <c r="E6" i="9" s="1"/>
  <c r="AG5" i="9"/>
  <c r="AF5" i="9"/>
  <c r="Z5" i="9"/>
  <c r="Y5" i="9"/>
  <c r="AD5" i="9" s="1"/>
  <c r="X5" i="9"/>
  <c r="W5" i="9"/>
  <c r="V5" i="9"/>
  <c r="U5" i="9"/>
  <c r="AB5" i="9" s="1"/>
  <c r="T5" i="9"/>
  <c r="S5" i="9"/>
  <c r="AA5" i="9" s="1"/>
  <c r="R5" i="9"/>
  <c r="P5" i="9"/>
  <c r="D5" i="9"/>
  <c r="E5" i="9" s="1"/>
  <c r="AG4" i="9"/>
  <c r="AF4" i="9"/>
  <c r="Z4" i="9"/>
  <c r="Y4" i="9"/>
  <c r="X4" i="9"/>
  <c r="W4" i="9"/>
  <c r="V4" i="9"/>
  <c r="U4" i="9"/>
  <c r="AB4" i="9" s="1"/>
  <c r="T4" i="9"/>
  <c r="S4" i="9"/>
  <c r="R4" i="9"/>
  <c r="P4" i="9"/>
  <c r="D4" i="9"/>
  <c r="E4" i="9" s="1"/>
  <c r="AG3" i="9"/>
  <c r="AF3" i="9"/>
  <c r="Z3" i="9"/>
  <c r="Y3" i="9"/>
  <c r="X3" i="9"/>
  <c r="W3" i="9"/>
  <c r="V3" i="9"/>
  <c r="U3" i="9"/>
  <c r="AB3" i="9" s="1"/>
  <c r="T3" i="9"/>
  <c r="S3" i="9"/>
  <c r="R3" i="9"/>
  <c r="P3" i="9"/>
  <c r="D3" i="9"/>
  <c r="E3" i="9" s="1"/>
  <c r="AG2" i="9"/>
  <c r="AF2" i="9"/>
  <c r="Z2" i="9"/>
  <c r="Y2" i="9"/>
  <c r="X2" i="9"/>
  <c r="W2" i="9"/>
  <c r="V2" i="9"/>
  <c r="U2" i="9"/>
  <c r="T2" i="9"/>
  <c r="R2" i="9"/>
  <c r="P2" i="9"/>
  <c r="AE2" i="9" s="1"/>
  <c r="D2" i="9"/>
  <c r="O1003" i="4"/>
  <c r="M1003" i="4"/>
  <c r="N1003" i="4" s="1"/>
  <c r="O1002" i="4"/>
  <c r="M1002" i="4"/>
  <c r="N1002" i="4" s="1"/>
  <c r="O1001" i="4"/>
  <c r="M1001" i="4"/>
  <c r="N1001" i="4" s="1"/>
  <c r="O1000" i="4"/>
  <c r="M1000" i="4"/>
  <c r="N1000" i="4" s="1"/>
  <c r="O999" i="4"/>
  <c r="M999" i="4"/>
  <c r="N999" i="4" s="1"/>
  <c r="O998" i="4"/>
  <c r="M998" i="4"/>
  <c r="N998" i="4" s="1"/>
  <c r="O997" i="4"/>
  <c r="M997" i="4"/>
  <c r="N997" i="4" s="1"/>
  <c r="O996" i="4"/>
  <c r="M996" i="4"/>
  <c r="N996" i="4" s="1"/>
  <c r="O995" i="4"/>
  <c r="M995" i="4"/>
  <c r="N995" i="4" s="1"/>
  <c r="O994" i="4"/>
  <c r="M994" i="4"/>
  <c r="N994" i="4" s="1"/>
  <c r="O993" i="4"/>
  <c r="M993" i="4"/>
  <c r="N993" i="4" s="1"/>
  <c r="O992" i="4"/>
  <c r="M992" i="4"/>
  <c r="N992" i="4" s="1"/>
  <c r="O991" i="4"/>
  <c r="M991" i="4"/>
  <c r="N991" i="4" s="1"/>
  <c r="O990" i="4"/>
  <c r="M990" i="4"/>
  <c r="N990" i="4" s="1"/>
  <c r="O989" i="4"/>
  <c r="M989" i="4"/>
  <c r="N989" i="4" s="1"/>
  <c r="O988" i="4"/>
  <c r="M988" i="4"/>
  <c r="N988" i="4" s="1"/>
  <c r="O987" i="4"/>
  <c r="M987" i="4"/>
  <c r="N987" i="4" s="1"/>
  <c r="O986" i="4"/>
  <c r="M986" i="4"/>
  <c r="N986" i="4" s="1"/>
  <c r="O985" i="4"/>
  <c r="M985" i="4"/>
  <c r="N985" i="4" s="1"/>
  <c r="O984" i="4"/>
  <c r="M984" i="4"/>
  <c r="N984" i="4" s="1"/>
  <c r="O983" i="4"/>
  <c r="M983" i="4"/>
  <c r="N983" i="4" s="1"/>
  <c r="O982" i="4"/>
  <c r="M982" i="4"/>
  <c r="N982" i="4" s="1"/>
  <c r="O981" i="4"/>
  <c r="M981" i="4"/>
  <c r="N981" i="4" s="1"/>
  <c r="O980" i="4"/>
  <c r="M980" i="4"/>
  <c r="N980" i="4" s="1"/>
  <c r="O979" i="4"/>
  <c r="M979" i="4"/>
  <c r="N979" i="4" s="1"/>
  <c r="O978" i="4"/>
  <c r="M978" i="4"/>
  <c r="N978" i="4" s="1"/>
  <c r="O977" i="4"/>
  <c r="M977" i="4"/>
  <c r="N977" i="4" s="1"/>
  <c r="O976" i="4"/>
  <c r="M976" i="4"/>
  <c r="N976" i="4" s="1"/>
  <c r="O975" i="4"/>
  <c r="M975" i="4"/>
  <c r="N975" i="4" s="1"/>
  <c r="O974" i="4"/>
  <c r="M974" i="4"/>
  <c r="N974" i="4" s="1"/>
  <c r="O973" i="4"/>
  <c r="M973" i="4"/>
  <c r="N973" i="4" s="1"/>
  <c r="O972" i="4"/>
  <c r="M972" i="4"/>
  <c r="N972" i="4" s="1"/>
  <c r="O971" i="4"/>
  <c r="M971" i="4"/>
  <c r="N971" i="4" s="1"/>
  <c r="O970" i="4"/>
  <c r="M970" i="4"/>
  <c r="N970" i="4" s="1"/>
  <c r="O969" i="4"/>
  <c r="M969" i="4"/>
  <c r="N969" i="4" s="1"/>
  <c r="O968" i="4"/>
  <c r="M968" i="4"/>
  <c r="N968" i="4" s="1"/>
  <c r="O967" i="4"/>
  <c r="M967" i="4"/>
  <c r="N967" i="4" s="1"/>
  <c r="O966" i="4"/>
  <c r="M966" i="4"/>
  <c r="N966" i="4" s="1"/>
  <c r="O965" i="4"/>
  <c r="M965" i="4"/>
  <c r="N965" i="4" s="1"/>
  <c r="O964" i="4"/>
  <c r="M964" i="4"/>
  <c r="N964" i="4" s="1"/>
  <c r="O963" i="4"/>
  <c r="M963" i="4"/>
  <c r="N963" i="4" s="1"/>
  <c r="O962" i="4"/>
  <c r="M962" i="4"/>
  <c r="N962" i="4" s="1"/>
  <c r="O961" i="4"/>
  <c r="M961" i="4"/>
  <c r="N961" i="4" s="1"/>
  <c r="O960" i="4"/>
  <c r="M960" i="4"/>
  <c r="N960" i="4" s="1"/>
  <c r="O959" i="4"/>
  <c r="M959" i="4"/>
  <c r="N959" i="4" s="1"/>
  <c r="O958" i="4"/>
  <c r="M958" i="4"/>
  <c r="N958" i="4" s="1"/>
  <c r="O957" i="4"/>
  <c r="M957" i="4"/>
  <c r="N957" i="4" s="1"/>
  <c r="O956" i="4"/>
  <c r="M956" i="4"/>
  <c r="N956" i="4" s="1"/>
  <c r="O955" i="4"/>
  <c r="M955" i="4"/>
  <c r="N955" i="4" s="1"/>
  <c r="O954" i="4"/>
  <c r="M954" i="4"/>
  <c r="N954" i="4" s="1"/>
  <c r="O953" i="4"/>
  <c r="M953" i="4"/>
  <c r="N953" i="4" s="1"/>
  <c r="O952" i="4"/>
  <c r="M952" i="4"/>
  <c r="N952" i="4" s="1"/>
  <c r="O951" i="4"/>
  <c r="M951" i="4"/>
  <c r="N951" i="4" s="1"/>
  <c r="O950" i="4"/>
  <c r="M950" i="4"/>
  <c r="N950" i="4" s="1"/>
  <c r="O949" i="4"/>
  <c r="M949" i="4"/>
  <c r="N949" i="4" s="1"/>
  <c r="O948" i="4"/>
  <c r="M948" i="4"/>
  <c r="N948" i="4" s="1"/>
  <c r="O947" i="4"/>
  <c r="M947" i="4"/>
  <c r="N947" i="4" s="1"/>
  <c r="O946" i="4"/>
  <c r="M946" i="4"/>
  <c r="N946" i="4" s="1"/>
  <c r="O945" i="4"/>
  <c r="M945" i="4"/>
  <c r="N945" i="4" s="1"/>
  <c r="O944" i="4"/>
  <c r="M944" i="4"/>
  <c r="N944" i="4" s="1"/>
  <c r="O943" i="4"/>
  <c r="M943" i="4"/>
  <c r="N943" i="4" s="1"/>
  <c r="O942" i="4"/>
  <c r="M942" i="4"/>
  <c r="N942" i="4" s="1"/>
  <c r="O941" i="4"/>
  <c r="M941" i="4"/>
  <c r="N941" i="4" s="1"/>
  <c r="O940" i="4"/>
  <c r="M940" i="4"/>
  <c r="N940" i="4" s="1"/>
  <c r="O939" i="4"/>
  <c r="M939" i="4"/>
  <c r="N939" i="4" s="1"/>
  <c r="O938" i="4"/>
  <c r="M938" i="4"/>
  <c r="N938" i="4" s="1"/>
  <c r="O937" i="4"/>
  <c r="M937" i="4"/>
  <c r="N937" i="4" s="1"/>
  <c r="O936" i="4"/>
  <c r="M936" i="4"/>
  <c r="N936" i="4" s="1"/>
  <c r="O935" i="4"/>
  <c r="M935" i="4"/>
  <c r="N935" i="4" s="1"/>
  <c r="O934" i="4"/>
  <c r="M934" i="4"/>
  <c r="N934" i="4" s="1"/>
  <c r="O933" i="4"/>
  <c r="M933" i="4"/>
  <c r="N933" i="4" s="1"/>
  <c r="O932" i="4"/>
  <c r="M932" i="4"/>
  <c r="N932" i="4" s="1"/>
  <c r="O931" i="4"/>
  <c r="M931" i="4"/>
  <c r="N931" i="4" s="1"/>
  <c r="O930" i="4"/>
  <c r="M930" i="4"/>
  <c r="N930" i="4" s="1"/>
  <c r="O929" i="4"/>
  <c r="M929" i="4"/>
  <c r="N929" i="4" s="1"/>
  <c r="O928" i="4"/>
  <c r="M928" i="4"/>
  <c r="N928" i="4" s="1"/>
  <c r="O927" i="4"/>
  <c r="M927" i="4"/>
  <c r="N927" i="4" s="1"/>
  <c r="O926" i="4"/>
  <c r="M926" i="4"/>
  <c r="N926" i="4" s="1"/>
  <c r="O925" i="4"/>
  <c r="M925" i="4"/>
  <c r="N925" i="4" s="1"/>
  <c r="O924" i="4"/>
  <c r="M924" i="4"/>
  <c r="N924" i="4" s="1"/>
  <c r="O923" i="4"/>
  <c r="M923" i="4"/>
  <c r="N923" i="4" s="1"/>
  <c r="O922" i="4"/>
  <c r="M922" i="4"/>
  <c r="N922" i="4" s="1"/>
  <c r="O921" i="4"/>
  <c r="M921" i="4"/>
  <c r="N921" i="4" s="1"/>
  <c r="O920" i="4"/>
  <c r="M920" i="4"/>
  <c r="N920" i="4" s="1"/>
  <c r="O919" i="4"/>
  <c r="M919" i="4"/>
  <c r="N919" i="4" s="1"/>
  <c r="O918" i="4"/>
  <c r="M918" i="4"/>
  <c r="N918" i="4" s="1"/>
  <c r="O917" i="4"/>
  <c r="M917" i="4"/>
  <c r="N917" i="4" s="1"/>
  <c r="O916" i="4"/>
  <c r="M916" i="4"/>
  <c r="N916" i="4" s="1"/>
  <c r="O915" i="4"/>
  <c r="M915" i="4"/>
  <c r="N915" i="4" s="1"/>
  <c r="O914" i="4"/>
  <c r="M914" i="4"/>
  <c r="N914" i="4" s="1"/>
  <c r="O913" i="4"/>
  <c r="M913" i="4"/>
  <c r="N913" i="4" s="1"/>
  <c r="O912" i="4"/>
  <c r="M912" i="4"/>
  <c r="N912" i="4" s="1"/>
  <c r="O911" i="4"/>
  <c r="M911" i="4"/>
  <c r="N911" i="4" s="1"/>
  <c r="O910" i="4"/>
  <c r="M910" i="4"/>
  <c r="N910" i="4" s="1"/>
  <c r="O909" i="4"/>
  <c r="M909" i="4"/>
  <c r="N909" i="4" s="1"/>
  <c r="O908" i="4"/>
  <c r="M908" i="4"/>
  <c r="N908" i="4" s="1"/>
  <c r="O907" i="4"/>
  <c r="M907" i="4"/>
  <c r="N907" i="4" s="1"/>
  <c r="O906" i="4"/>
  <c r="M906" i="4"/>
  <c r="N906" i="4" s="1"/>
  <c r="O905" i="4"/>
  <c r="M905" i="4"/>
  <c r="N905" i="4" s="1"/>
  <c r="O904" i="4"/>
  <c r="M904" i="4"/>
  <c r="N904" i="4" s="1"/>
  <c r="O903" i="4"/>
  <c r="M903" i="4"/>
  <c r="N903" i="4" s="1"/>
  <c r="O902" i="4"/>
  <c r="M902" i="4"/>
  <c r="N902" i="4" s="1"/>
  <c r="O901" i="4"/>
  <c r="M901" i="4"/>
  <c r="N901" i="4" s="1"/>
  <c r="O900" i="4"/>
  <c r="M900" i="4"/>
  <c r="N900" i="4" s="1"/>
  <c r="O899" i="4"/>
  <c r="M899" i="4"/>
  <c r="N899" i="4" s="1"/>
  <c r="O898" i="4"/>
  <c r="M898" i="4"/>
  <c r="N898" i="4" s="1"/>
  <c r="O897" i="4"/>
  <c r="M897" i="4"/>
  <c r="N897" i="4" s="1"/>
  <c r="O896" i="4"/>
  <c r="M896" i="4"/>
  <c r="N896" i="4" s="1"/>
  <c r="O895" i="4"/>
  <c r="M895" i="4"/>
  <c r="N895" i="4" s="1"/>
  <c r="O894" i="4"/>
  <c r="M894" i="4"/>
  <c r="N894" i="4" s="1"/>
  <c r="O893" i="4"/>
  <c r="M893" i="4"/>
  <c r="N893" i="4" s="1"/>
  <c r="O892" i="4"/>
  <c r="M892" i="4"/>
  <c r="N892" i="4" s="1"/>
  <c r="O891" i="4"/>
  <c r="M891" i="4"/>
  <c r="N891" i="4" s="1"/>
  <c r="O890" i="4"/>
  <c r="M890" i="4"/>
  <c r="N890" i="4" s="1"/>
  <c r="O889" i="4"/>
  <c r="M889" i="4"/>
  <c r="N889" i="4" s="1"/>
  <c r="O888" i="4"/>
  <c r="M888" i="4"/>
  <c r="N888" i="4" s="1"/>
  <c r="O887" i="4"/>
  <c r="M887" i="4"/>
  <c r="N887" i="4" s="1"/>
  <c r="O886" i="4"/>
  <c r="M886" i="4"/>
  <c r="N886" i="4" s="1"/>
  <c r="O885" i="4"/>
  <c r="M885" i="4"/>
  <c r="N885" i="4" s="1"/>
  <c r="O884" i="4"/>
  <c r="M884" i="4"/>
  <c r="N884" i="4" s="1"/>
  <c r="O883" i="4"/>
  <c r="M883" i="4"/>
  <c r="N883" i="4" s="1"/>
  <c r="O882" i="4"/>
  <c r="M882" i="4"/>
  <c r="N882" i="4" s="1"/>
  <c r="O881" i="4"/>
  <c r="M881" i="4"/>
  <c r="N881" i="4" s="1"/>
  <c r="O880" i="4"/>
  <c r="M880" i="4"/>
  <c r="N880" i="4" s="1"/>
  <c r="O879" i="4"/>
  <c r="M879" i="4"/>
  <c r="N879" i="4" s="1"/>
  <c r="O878" i="4"/>
  <c r="M878" i="4"/>
  <c r="N878" i="4" s="1"/>
  <c r="O877" i="4"/>
  <c r="M877" i="4"/>
  <c r="N877" i="4" s="1"/>
  <c r="O876" i="4"/>
  <c r="M876" i="4"/>
  <c r="N876" i="4" s="1"/>
  <c r="O875" i="4"/>
  <c r="M875" i="4"/>
  <c r="N875" i="4" s="1"/>
  <c r="O874" i="4"/>
  <c r="M874" i="4"/>
  <c r="N874" i="4" s="1"/>
  <c r="O873" i="4"/>
  <c r="M873" i="4"/>
  <c r="N873" i="4" s="1"/>
  <c r="O872" i="4"/>
  <c r="M872" i="4"/>
  <c r="N872" i="4" s="1"/>
  <c r="O871" i="4"/>
  <c r="M871" i="4"/>
  <c r="N871" i="4" s="1"/>
  <c r="O870" i="4"/>
  <c r="M870" i="4"/>
  <c r="N870" i="4" s="1"/>
  <c r="O869" i="4"/>
  <c r="M869" i="4"/>
  <c r="N869" i="4" s="1"/>
  <c r="O868" i="4"/>
  <c r="M868" i="4"/>
  <c r="N868" i="4" s="1"/>
  <c r="O867" i="4"/>
  <c r="M867" i="4"/>
  <c r="N867" i="4" s="1"/>
  <c r="O866" i="4"/>
  <c r="M866" i="4"/>
  <c r="N866" i="4" s="1"/>
  <c r="O865" i="4"/>
  <c r="M865" i="4"/>
  <c r="N865" i="4" s="1"/>
  <c r="O864" i="4"/>
  <c r="M864" i="4"/>
  <c r="N864" i="4" s="1"/>
  <c r="O863" i="4"/>
  <c r="M863" i="4"/>
  <c r="N863" i="4" s="1"/>
  <c r="O862" i="4"/>
  <c r="M862" i="4"/>
  <c r="N862" i="4" s="1"/>
  <c r="O861" i="4"/>
  <c r="M861" i="4"/>
  <c r="N861" i="4" s="1"/>
  <c r="O860" i="4"/>
  <c r="M860" i="4"/>
  <c r="N860" i="4" s="1"/>
  <c r="O859" i="4"/>
  <c r="M859" i="4"/>
  <c r="N859" i="4" s="1"/>
  <c r="O858" i="4"/>
  <c r="M858" i="4"/>
  <c r="N858" i="4" s="1"/>
  <c r="O857" i="4"/>
  <c r="M857" i="4"/>
  <c r="N857" i="4" s="1"/>
  <c r="O856" i="4"/>
  <c r="M856" i="4"/>
  <c r="N856" i="4" s="1"/>
  <c r="O855" i="4"/>
  <c r="M855" i="4"/>
  <c r="N855" i="4" s="1"/>
  <c r="O854" i="4"/>
  <c r="M854" i="4"/>
  <c r="N854" i="4" s="1"/>
  <c r="O853" i="4"/>
  <c r="M853" i="4"/>
  <c r="N853" i="4" s="1"/>
  <c r="O852" i="4"/>
  <c r="M852" i="4"/>
  <c r="N852" i="4" s="1"/>
  <c r="O851" i="4"/>
  <c r="M851" i="4"/>
  <c r="N851" i="4" s="1"/>
  <c r="O850" i="4"/>
  <c r="M850" i="4"/>
  <c r="N850" i="4" s="1"/>
  <c r="O849" i="4"/>
  <c r="M849" i="4"/>
  <c r="N849" i="4" s="1"/>
  <c r="O848" i="4"/>
  <c r="M848" i="4"/>
  <c r="N848" i="4" s="1"/>
  <c r="O847" i="4"/>
  <c r="M847" i="4"/>
  <c r="N847" i="4" s="1"/>
  <c r="O846" i="4"/>
  <c r="M846" i="4"/>
  <c r="N846" i="4" s="1"/>
  <c r="O845" i="4"/>
  <c r="M845" i="4"/>
  <c r="N845" i="4" s="1"/>
  <c r="O844" i="4"/>
  <c r="M844" i="4"/>
  <c r="N844" i="4" s="1"/>
  <c r="O843" i="4"/>
  <c r="M843" i="4"/>
  <c r="N843" i="4" s="1"/>
  <c r="O842" i="4"/>
  <c r="M842" i="4"/>
  <c r="N842" i="4" s="1"/>
  <c r="O841" i="4"/>
  <c r="M841" i="4"/>
  <c r="N841" i="4" s="1"/>
  <c r="O840" i="4"/>
  <c r="M840" i="4"/>
  <c r="N840" i="4" s="1"/>
  <c r="O839" i="4"/>
  <c r="M839" i="4"/>
  <c r="N839" i="4" s="1"/>
  <c r="O838" i="4"/>
  <c r="M838" i="4"/>
  <c r="N838" i="4" s="1"/>
  <c r="O837" i="4"/>
  <c r="M837" i="4"/>
  <c r="N837" i="4" s="1"/>
  <c r="O836" i="4"/>
  <c r="M836" i="4"/>
  <c r="N836" i="4" s="1"/>
  <c r="O835" i="4"/>
  <c r="M835" i="4"/>
  <c r="N835" i="4" s="1"/>
  <c r="O834" i="4"/>
  <c r="M834" i="4"/>
  <c r="N834" i="4" s="1"/>
  <c r="O833" i="4"/>
  <c r="M833" i="4"/>
  <c r="N833" i="4" s="1"/>
  <c r="O832" i="4"/>
  <c r="M832" i="4"/>
  <c r="N832" i="4" s="1"/>
  <c r="O831" i="4"/>
  <c r="M831" i="4"/>
  <c r="N831" i="4" s="1"/>
  <c r="O830" i="4"/>
  <c r="M830" i="4"/>
  <c r="N830" i="4" s="1"/>
  <c r="O829" i="4"/>
  <c r="M829" i="4"/>
  <c r="N829" i="4" s="1"/>
  <c r="O828" i="4"/>
  <c r="M828" i="4"/>
  <c r="N828" i="4" s="1"/>
  <c r="O827" i="4"/>
  <c r="M827" i="4"/>
  <c r="N827" i="4" s="1"/>
  <c r="O826" i="4"/>
  <c r="M826" i="4"/>
  <c r="N826" i="4" s="1"/>
  <c r="O825" i="4"/>
  <c r="M825" i="4"/>
  <c r="N825" i="4" s="1"/>
  <c r="O824" i="4"/>
  <c r="M824" i="4"/>
  <c r="N824" i="4" s="1"/>
  <c r="O823" i="4"/>
  <c r="M823" i="4"/>
  <c r="N823" i="4" s="1"/>
  <c r="O822" i="4"/>
  <c r="M822" i="4"/>
  <c r="N822" i="4" s="1"/>
  <c r="O821" i="4"/>
  <c r="M821" i="4"/>
  <c r="N821" i="4" s="1"/>
  <c r="O820" i="4"/>
  <c r="M820" i="4"/>
  <c r="N820" i="4" s="1"/>
  <c r="O819" i="4"/>
  <c r="M819" i="4"/>
  <c r="N819" i="4" s="1"/>
  <c r="O818" i="4"/>
  <c r="M818" i="4"/>
  <c r="N818" i="4" s="1"/>
  <c r="O817" i="4"/>
  <c r="M817" i="4"/>
  <c r="N817" i="4" s="1"/>
  <c r="O816" i="4"/>
  <c r="M816" i="4"/>
  <c r="N816" i="4" s="1"/>
  <c r="O815" i="4"/>
  <c r="M815" i="4"/>
  <c r="N815" i="4" s="1"/>
  <c r="O814" i="4"/>
  <c r="M814" i="4"/>
  <c r="N814" i="4" s="1"/>
  <c r="O813" i="4"/>
  <c r="M813" i="4"/>
  <c r="N813" i="4" s="1"/>
  <c r="O812" i="4"/>
  <c r="M812" i="4"/>
  <c r="N812" i="4" s="1"/>
  <c r="O811" i="4"/>
  <c r="M811" i="4"/>
  <c r="N811" i="4" s="1"/>
  <c r="O810" i="4"/>
  <c r="M810" i="4"/>
  <c r="N810" i="4" s="1"/>
  <c r="O809" i="4"/>
  <c r="M809" i="4"/>
  <c r="N809" i="4" s="1"/>
  <c r="O808" i="4"/>
  <c r="M808" i="4"/>
  <c r="N808" i="4" s="1"/>
  <c r="O807" i="4"/>
  <c r="M807" i="4"/>
  <c r="N807" i="4" s="1"/>
  <c r="O806" i="4"/>
  <c r="M806" i="4"/>
  <c r="N806" i="4" s="1"/>
  <c r="O805" i="4"/>
  <c r="M805" i="4"/>
  <c r="N805" i="4" s="1"/>
  <c r="O804" i="4"/>
  <c r="M804" i="4"/>
  <c r="N804" i="4" s="1"/>
  <c r="O803" i="4"/>
  <c r="M803" i="4"/>
  <c r="N803" i="4" s="1"/>
  <c r="O802" i="4"/>
  <c r="M802" i="4"/>
  <c r="N802" i="4" s="1"/>
  <c r="O801" i="4"/>
  <c r="M801" i="4"/>
  <c r="N801" i="4" s="1"/>
  <c r="O800" i="4"/>
  <c r="M800" i="4"/>
  <c r="N800" i="4" s="1"/>
  <c r="O799" i="4"/>
  <c r="M799" i="4"/>
  <c r="N799" i="4" s="1"/>
  <c r="O798" i="4"/>
  <c r="M798" i="4"/>
  <c r="N798" i="4" s="1"/>
  <c r="O797" i="4"/>
  <c r="M797" i="4"/>
  <c r="N797" i="4" s="1"/>
  <c r="O796" i="4"/>
  <c r="M796" i="4"/>
  <c r="N796" i="4" s="1"/>
  <c r="O795" i="4"/>
  <c r="M795" i="4"/>
  <c r="N795" i="4" s="1"/>
  <c r="O794" i="4"/>
  <c r="M794" i="4"/>
  <c r="N794" i="4" s="1"/>
  <c r="O793" i="4"/>
  <c r="M793" i="4"/>
  <c r="N793" i="4" s="1"/>
  <c r="O792" i="4"/>
  <c r="M792" i="4"/>
  <c r="N792" i="4" s="1"/>
  <c r="O791" i="4"/>
  <c r="M791" i="4"/>
  <c r="N791" i="4" s="1"/>
  <c r="O790" i="4"/>
  <c r="M790" i="4"/>
  <c r="N790" i="4" s="1"/>
  <c r="O789" i="4"/>
  <c r="M789" i="4"/>
  <c r="N789" i="4" s="1"/>
  <c r="O788" i="4"/>
  <c r="M788" i="4"/>
  <c r="N788" i="4" s="1"/>
  <c r="O787" i="4"/>
  <c r="M787" i="4"/>
  <c r="N787" i="4" s="1"/>
  <c r="O786" i="4"/>
  <c r="M786" i="4"/>
  <c r="N786" i="4" s="1"/>
  <c r="O785" i="4"/>
  <c r="M785" i="4"/>
  <c r="N785" i="4" s="1"/>
  <c r="O784" i="4"/>
  <c r="M784" i="4"/>
  <c r="N784" i="4" s="1"/>
  <c r="O783" i="4"/>
  <c r="M783" i="4"/>
  <c r="N783" i="4" s="1"/>
  <c r="O782" i="4"/>
  <c r="M782" i="4"/>
  <c r="N782" i="4" s="1"/>
  <c r="O781" i="4"/>
  <c r="M781" i="4"/>
  <c r="N781" i="4" s="1"/>
  <c r="O780" i="4"/>
  <c r="M780" i="4"/>
  <c r="N780" i="4" s="1"/>
  <c r="O779" i="4"/>
  <c r="M779" i="4"/>
  <c r="N779" i="4" s="1"/>
  <c r="O778" i="4"/>
  <c r="M778" i="4"/>
  <c r="N778" i="4" s="1"/>
  <c r="O777" i="4"/>
  <c r="M777" i="4"/>
  <c r="N777" i="4" s="1"/>
  <c r="O776" i="4"/>
  <c r="M776" i="4"/>
  <c r="N776" i="4" s="1"/>
  <c r="O775" i="4"/>
  <c r="M775" i="4"/>
  <c r="N775" i="4" s="1"/>
  <c r="O774" i="4"/>
  <c r="M774" i="4"/>
  <c r="N774" i="4" s="1"/>
  <c r="O773" i="4"/>
  <c r="M773" i="4"/>
  <c r="N773" i="4" s="1"/>
  <c r="O772" i="4"/>
  <c r="M772" i="4"/>
  <c r="N772" i="4" s="1"/>
  <c r="O771" i="4"/>
  <c r="M771" i="4"/>
  <c r="N771" i="4" s="1"/>
  <c r="O770" i="4"/>
  <c r="M770" i="4"/>
  <c r="N770" i="4" s="1"/>
  <c r="O769" i="4"/>
  <c r="M769" i="4"/>
  <c r="N769" i="4" s="1"/>
  <c r="O768" i="4"/>
  <c r="M768" i="4"/>
  <c r="N768" i="4" s="1"/>
  <c r="O767" i="4"/>
  <c r="M767" i="4"/>
  <c r="N767" i="4" s="1"/>
  <c r="O766" i="4"/>
  <c r="M766" i="4"/>
  <c r="N766" i="4" s="1"/>
  <c r="O765" i="4"/>
  <c r="M765" i="4"/>
  <c r="N765" i="4" s="1"/>
  <c r="O764" i="4"/>
  <c r="M764" i="4"/>
  <c r="N764" i="4" s="1"/>
  <c r="O763" i="4"/>
  <c r="M763" i="4"/>
  <c r="N763" i="4" s="1"/>
  <c r="O762" i="4"/>
  <c r="M762" i="4"/>
  <c r="N762" i="4" s="1"/>
  <c r="O761" i="4"/>
  <c r="M761" i="4"/>
  <c r="N761" i="4" s="1"/>
  <c r="O760" i="4"/>
  <c r="M760" i="4"/>
  <c r="N760" i="4" s="1"/>
  <c r="O759" i="4"/>
  <c r="M759" i="4"/>
  <c r="N759" i="4" s="1"/>
  <c r="O758" i="4"/>
  <c r="M758" i="4"/>
  <c r="N758" i="4" s="1"/>
  <c r="O757" i="4"/>
  <c r="M757" i="4"/>
  <c r="N757" i="4" s="1"/>
  <c r="O756" i="4"/>
  <c r="M756" i="4"/>
  <c r="N756" i="4" s="1"/>
  <c r="O755" i="4"/>
  <c r="M755" i="4"/>
  <c r="N755" i="4" s="1"/>
  <c r="O754" i="4"/>
  <c r="M754" i="4"/>
  <c r="N754" i="4" s="1"/>
  <c r="O753" i="4"/>
  <c r="M753" i="4"/>
  <c r="N753" i="4" s="1"/>
  <c r="O752" i="4"/>
  <c r="M752" i="4"/>
  <c r="N752" i="4" s="1"/>
  <c r="O751" i="4"/>
  <c r="M751" i="4"/>
  <c r="N751" i="4" s="1"/>
  <c r="O750" i="4"/>
  <c r="M750" i="4"/>
  <c r="N750" i="4" s="1"/>
  <c r="O749" i="4"/>
  <c r="M749" i="4"/>
  <c r="N749" i="4" s="1"/>
  <c r="O748" i="4"/>
  <c r="M748" i="4"/>
  <c r="N748" i="4" s="1"/>
  <c r="O747" i="4"/>
  <c r="M747" i="4"/>
  <c r="N747" i="4" s="1"/>
  <c r="O746" i="4"/>
  <c r="M746" i="4"/>
  <c r="N746" i="4" s="1"/>
  <c r="O745" i="4"/>
  <c r="M745" i="4"/>
  <c r="N745" i="4" s="1"/>
  <c r="O744" i="4"/>
  <c r="M744" i="4"/>
  <c r="N744" i="4" s="1"/>
  <c r="O743" i="4"/>
  <c r="M743" i="4"/>
  <c r="N743" i="4" s="1"/>
  <c r="O742" i="4"/>
  <c r="M742" i="4"/>
  <c r="N742" i="4" s="1"/>
  <c r="O741" i="4"/>
  <c r="M741" i="4"/>
  <c r="N741" i="4" s="1"/>
  <c r="O740" i="4"/>
  <c r="M740" i="4"/>
  <c r="N740" i="4" s="1"/>
  <c r="O739" i="4"/>
  <c r="M739" i="4"/>
  <c r="N739" i="4" s="1"/>
  <c r="O738" i="4"/>
  <c r="M738" i="4"/>
  <c r="N738" i="4" s="1"/>
  <c r="O737" i="4"/>
  <c r="M737" i="4"/>
  <c r="N737" i="4" s="1"/>
  <c r="O736" i="4"/>
  <c r="M736" i="4"/>
  <c r="N736" i="4" s="1"/>
  <c r="O735" i="4"/>
  <c r="M735" i="4"/>
  <c r="N735" i="4" s="1"/>
  <c r="O734" i="4"/>
  <c r="M734" i="4"/>
  <c r="N734" i="4" s="1"/>
  <c r="O733" i="4"/>
  <c r="M733" i="4"/>
  <c r="N733" i="4" s="1"/>
  <c r="O732" i="4"/>
  <c r="M732" i="4"/>
  <c r="N732" i="4" s="1"/>
  <c r="O731" i="4"/>
  <c r="M731" i="4"/>
  <c r="N731" i="4" s="1"/>
  <c r="O730" i="4"/>
  <c r="M730" i="4"/>
  <c r="N730" i="4" s="1"/>
  <c r="O729" i="4"/>
  <c r="M729" i="4"/>
  <c r="N729" i="4" s="1"/>
  <c r="O728" i="4"/>
  <c r="M728" i="4"/>
  <c r="N728" i="4" s="1"/>
  <c r="O727" i="4"/>
  <c r="M727" i="4"/>
  <c r="N727" i="4" s="1"/>
  <c r="O726" i="4"/>
  <c r="M726" i="4"/>
  <c r="N726" i="4" s="1"/>
  <c r="O725" i="4"/>
  <c r="M725" i="4"/>
  <c r="N725" i="4" s="1"/>
  <c r="O724" i="4"/>
  <c r="M724" i="4"/>
  <c r="N724" i="4" s="1"/>
  <c r="O723" i="4"/>
  <c r="M723" i="4"/>
  <c r="N723" i="4" s="1"/>
  <c r="O722" i="4"/>
  <c r="M722" i="4"/>
  <c r="N722" i="4" s="1"/>
  <c r="O721" i="4"/>
  <c r="M721" i="4"/>
  <c r="N721" i="4" s="1"/>
  <c r="O720" i="4"/>
  <c r="M720" i="4"/>
  <c r="N720" i="4" s="1"/>
  <c r="O719" i="4"/>
  <c r="M719" i="4"/>
  <c r="N719" i="4" s="1"/>
  <c r="O718" i="4"/>
  <c r="M718" i="4"/>
  <c r="N718" i="4" s="1"/>
  <c r="O717" i="4"/>
  <c r="M717" i="4"/>
  <c r="N717" i="4" s="1"/>
  <c r="O716" i="4"/>
  <c r="M716" i="4"/>
  <c r="N716" i="4" s="1"/>
  <c r="O715" i="4"/>
  <c r="M715" i="4"/>
  <c r="N715" i="4" s="1"/>
  <c r="O714" i="4"/>
  <c r="M714" i="4"/>
  <c r="N714" i="4" s="1"/>
  <c r="O713" i="4"/>
  <c r="M713" i="4"/>
  <c r="N713" i="4" s="1"/>
  <c r="O712" i="4"/>
  <c r="M712" i="4"/>
  <c r="N712" i="4" s="1"/>
  <c r="O711" i="4"/>
  <c r="M711" i="4"/>
  <c r="N711" i="4" s="1"/>
  <c r="O710" i="4"/>
  <c r="M710" i="4"/>
  <c r="N710" i="4" s="1"/>
  <c r="O709" i="4"/>
  <c r="M709" i="4"/>
  <c r="N709" i="4" s="1"/>
  <c r="O708" i="4"/>
  <c r="M708" i="4"/>
  <c r="N708" i="4" s="1"/>
  <c r="O707" i="4"/>
  <c r="M707" i="4"/>
  <c r="N707" i="4" s="1"/>
  <c r="O706" i="4"/>
  <c r="M706" i="4"/>
  <c r="N706" i="4" s="1"/>
  <c r="O705" i="4"/>
  <c r="M705" i="4"/>
  <c r="N705" i="4" s="1"/>
  <c r="O704" i="4"/>
  <c r="M704" i="4"/>
  <c r="N704" i="4" s="1"/>
  <c r="O703" i="4"/>
  <c r="M703" i="4"/>
  <c r="N703" i="4" s="1"/>
  <c r="O702" i="4"/>
  <c r="M702" i="4"/>
  <c r="N702" i="4" s="1"/>
  <c r="O701" i="4"/>
  <c r="M701" i="4"/>
  <c r="N701" i="4" s="1"/>
  <c r="O700" i="4"/>
  <c r="M700" i="4"/>
  <c r="N700" i="4" s="1"/>
  <c r="O699" i="4"/>
  <c r="M699" i="4"/>
  <c r="N699" i="4" s="1"/>
  <c r="O698" i="4"/>
  <c r="M698" i="4"/>
  <c r="N698" i="4" s="1"/>
  <c r="O697" i="4"/>
  <c r="M697" i="4"/>
  <c r="N697" i="4" s="1"/>
  <c r="O696" i="4"/>
  <c r="M696" i="4"/>
  <c r="N696" i="4" s="1"/>
  <c r="O695" i="4"/>
  <c r="M695" i="4"/>
  <c r="N695" i="4" s="1"/>
  <c r="O694" i="4"/>
  <c r="M694" i="4"/>
  <c r="N694" i="4" s="1"/>
  <c r="O693" i="4"/>
  <c r="M693" i="4"/>
  <c r="N693" i="4" s="1"/>
  <c r="O692" i="4"/>
  <c r="M692" i="4"/>
  <c r="N692" i="4" s="1"/>
  <c r="O691" i="4"/>
  <c r="M691" i="4"/>
  <c r="N691" i="4" s="1"/>
  <c r="O690" i="4"/>
  <c r="M690" i="4"/>
  <c r="N690" i="4" s="1"/>
  <c r="O689" i="4"/>
  <c r="M689" i="4"/>
  <c r="N689" i="4" s="1"/>
  <c r="O688" i="4"/>
  <c r="M688" i="4"/>
  <c r="N688" i="4" s="1"/>
  <c r="O687" i="4"/>
  <c r="M687" i="4"/>
  <c r="N687" i="4" s="1"/>
  <c r="O686" i="4"/>
  <c r="M686" i="4"/>
  <c r="N686" i="4" s="1"/>
  <c r="O685" i="4"/>
  <c r="M685" i="4"/>
  <c r="N685" i="4" s="1"/>
  <c r="O684" i="4"/>
  <c r="M684" i="4"/>
  <c r="N684" i="4" s="1"/>
  <c r="O683" i="4"/>
  <c r="M683" i="4"/>
  <c r="N683" i="4" s="1"/>
  <c r="O682" i="4"/>
  <c r="M682" i="4"/>
  <c r="N682" i="4" s="1"/>
  <c r="O681" i="4"/>
  <c r="M681" i="4"/>
  <c r="N681" i="4" s="1"/>
  <c r="O680" i="4"/>
  <c r="M680" i="4"/>
  <c r="N680" i="4" s="1"/>
  <c r="O679" i="4"/>
  <c r="M679" i="4"/>
  <c r="N679" i="4" s="1"/>
  <c r="O678" i="4"/>
  <c r="M678" i="4"/>
  <c r="N678" i="4" s="1"/>
  <c r="O677" i="4"/>
  <c r="M677" i="4"/>
  <c r="N677" i="4" s="1"/>
  <c r="O676" i="4"/>
  <c r="M676" i="4"/>
  <c r="N676" i="4" s="1"/>
  <c r="O675" i="4"/>
  <c r="M675" i="4"/>
  <c r="N675" i="4" s="1"/>
  <c r="O674" i="4"/>
  <c r="M674" i="4"/>
  <c r="N674" i="4" s="1"/>
  <c r="O673" i="4"/>
  <c r="M673" i="4"/>
  <c r="N673" i="4" s="1"/>
  <c r="O672" i="4"/>
  <c r="M672" i="4"/>
  <c r="N672" i="4" s="1"/>
  <c r="O671" i="4"/>
  <c r="M671" i="4"/>
  <c r="N671" i="4" s="1"/>
  <c r="O670" i="4"/>
  <c r="M670" i="4"/>
  <c r="N670" i="4" s="1"/>
  <c r="O669" i="4"/>
  <c r="M669" i="4"/>
  <c r="N669" i="4" s="1"/>
  <c r="O668" i="4"/>
  <c r="M668" i="4"/>
  <c r="N668" i="4" s="1"/>
  <c r="O667" i="4"/>
  <c r="M667" i="4"/>
  <c r="N667" i="4" s="1"/>
  <c r="O666" i="4"/>
  <c r="M666" i="4"/>
  <c r="N666" i="4" s="1"/>
  <c r="O665" i="4"/>
  <c r="M665" i="4"/>
  <c r="N665" i="4" s="1"/>
  <c r="O664" i="4"/>
  <c r="M664" i="4"/>
  <c r="N664" i="4" s="1"/>
  <c r="O663" i="4"/>
  <c r="M663" i="4"/>
  <c r="N663" i="4" s="1"/>
  <c r="O662" i="4"/>
  <c r="M662" i="4"/>
  <c r="N662" i="4" s="1"/>
  <c r="O661" i="4"/>
  <c r="M661" i="4"/>
  <c r="N661" i="4" s="1"/>
  <c r="O660" i="4"/>
  <c r="M660" i="4"/>
  <c r="N660" i="4" s="1"/>
  <c r="O659" i="4"/>
  <c r="M659" i="4"/>
  <c r="N659" i="4" s="1"/>
  <c r="O658" i="4"/>
  <c r="M658" i="4"/>
  <c r="N658" i="4" s="1"/>
  <c r="O657" i="4"/>
  <c r="M657" i="4"/>
  <c r="N657" i="4" s="1"/>
  <c r="O656" i="4"/>
  <c r="M656" i="4"/>
  <c r="N656" i="4" s="1"/>
  <c r="O655" i="4"/>
  <c r="M655" i="4"/>
  <c r="N655" i="4" s="1"/>
  <c r="O654" i="4"/>
  <c r="M654" i="4"/>
  <c r="N654" i="4" s="1"/>
  <c r="O653" i="4"/>
  <c r="M653" i="4"/>
  <c r="N653" i="4" s="1"/>
  <c r="O652" i="4"/>
  <c r="M652" i="4"/>
  <c r="N652" i="4" s="1"/>
  <c r="O651" i="4"/>
  <c r="M651" i="4"/>
  <c r="N651" i="4" s="1"/>
  <c r="O650" i="4"/>
  <c r="M650" i="4"/>
  <c r="N650" i="4" s="1"/>
  <c r="O649" i="4"/>
  <c r="M649" i="4"/>
  <c r="N649" i="4" s="1"/>
  <c r="O648" i="4"/>
  <c r="M648" i="4"/>
  <c r="N648" i="4" s="1"/>
  <c r="O647" i="4"/>
  <c r="M647" i="4"/>
  <c r="N647" i="4" s="1"/>
  <c r="O646" i="4"/>
  <c r="M646" i="4"/>
  <c r="N646" i="4" s="1"/>
  <c r="O645" i="4"/>
  <c r="M645" i="4"/>
  <c r="N645" i="4" s="1"/>
  <c r="O644" i="4"/>
  <c r="M644" i="4"/>
  <c r="N644" i="4" s="1"/>
  <c r="O643" i="4"/>
  <c r="M643" i="4"/>
  <c r="N643" i="4" s="1"/>
  <c r="O642" i="4"/>
  <c r="M642" i="4"/>
  <c r="N642" i="4" s="1"/>
  <c r="O641" i="4"/>
  <c r="M641" i="4"/>
  <c r="N641" i="4" s="1"/>
  <c r="O640" i="4"/>
  <c r="M640" i="4"/>
  <c r="N640" i="4" s="1"/>
  <c r="O639" i="4"/>
  <c r="M639" i="4"/>
  <c r="N639" i="4" s="1"/>
  <c r="O638" i="4"/>
  <c r="M638" i="4"/>
  <c r="N638" i="4" s="1"/>
  <c r="O637" i="4"/>
  <c r="M637" i="4"/>
  <c r="N637" i="4" s="1"/>
  <c r="O636" i="4"/>
  <c r="M636" i="4"/>
  <c r="N636" i="4" s="1"/>
  <c r="O635" i="4"/>
  <c r="M635" i="4"/>
  <c r="N635" i="4" s="1"/>
  <c r="O634" i="4"/>
  <c r="M634" i="4"/>
  <c r="N634" i="4" s="1"/>
  <c r="O633" i="4"/>
  <c r="M633" i="4"/>
  <c r="N633" i="4" s="1"/>
  <c r="O632" i="4"/>
  <c r="M632" i="4"/>
  <c r="N632" i="4" s="1"/>
  <c r="O631" i="4"/>
  <c r="M631" i="4"/>
  <c r="N631" i="4" s="1"/>
  <c r="O630" i="4"/>
  <c r="M630" i="4"/>
  <c r="N630" i="4" s="1"/>
  <c r="O629" i="4"/>
  <c r="M629" i="4"/>
  <c r="N629" i="4" s="1"/>
  <c r="O628" i="4"/>
  <c r="M628" i="4"/>
  <c r="N628" i="4" s="1"/>
  <c r="O627" i="4"/>
  <c r="M627" i="4"/>
  <c r="N627" i="4" s="1"/>
  <c r="O626" i="4"/>
  <c r="M626" i="4"/>
  <c r="N626" i="4" s="1"/>
  <c r="O625" i="4"/>
  <c r="M625" i="4"/>
  <c r="N625" i="4" s="1"/>
  <c r="O624" i="4"/>
  <c r="M624" i="4"/>
  <c r="N624" i="4" s="1"/>
  <c r="O623" i="4"/>
  <c r="M623" i="4"/>
  <c r="N623" i="4" s="1"/>
  <c r="O622" i="4"/>
  <c r="M622" i="4"/>
  <c r="N622" i="4" s="1"/>
  <c r="O621" i="4"/>
  <c r="M621" i="4"/>
  <c r="N621" i="4" s="1"/>
  <c r="O620" i="4"/>
  <c r="M620" i="4"/>
  <c r="N620" i="4" s="1"/>
  <c r="O619" i="4"/>
  <c r="M619" i="4"/>
  <c r="N619" i="4" s="1"/>
  <c r="O618" i="4"/>
  <c r="M618" i="4"/>
  <c r="N618" i="4" s="1"/>
  <c r="O617" i="4"/>
  <c r="M617" i="4"/>
  <c r="N617" i="4" s="1"/>
  <c r="O616" i="4"/>
  <c r="M616" i="4"/>
  <c r="N616" i="4" s="1"/>
  <c r="O615" i="4"/>
  <c r="M615" i="4"/>
  <c r="N615" i="4" s="1"/>
  <c r="O614" i="4"/>
  <c r="M614" i="4"/>
  <c r="N614" i="4" s="1"/>
  <c r="O613" i="4"/>
  <c r="M613" i="4"/>
  <c r="N613" i="4" s="1"/>
  <c r="O612" i="4"/>
  <c r="M612" i="4"/>
  <c r="N612" i="4" s="1"/>
  <c r="O611" i="4"/>
  <c r="M611" i="4"/>
  <c r="N611" i="4" s="1"/>
  <c r="O610" i="4"/>
  <c r="M610" i="4"/>
  <c r="N610" i="4" s="1"/>
  <c r="O609" i="4"/>
  <c r="M609" i="4"/>
  <c r="N609" i="4" s="1"/>
  <c r="O608" i="4"/>
  <c r="M608" i="4"/>
  <c r="N608" i="4" s="1"/>
  <c r="O607" i="4"/>
  <c r="M607" i="4"/>
  <c r="N607" i="4" s="1"/>
  <c r="O606" i="4"/>
  <c r="M606" i="4"/>
  <c r="N606" i="4" s="1"/>
  <c r="O605" i="4"/>
  <c r="M605" i="4"/>
  <c r="N605" i="4" s="1"/>
  <c r="O604" i="4"/>
  <c r="M604" i="4"/>
  <c r="N604" i="4" s="1"/>
  <c r="O603" i="4"/>
  <c r="M603" i="4"/>
  <c r="N603" i="4" s="1"/>
  <c r="O602" i="4"/>
  <c r="M602" i="4"/>
  <c r="N602" i="4" s="1"/>
  <c r="O601" i="4"/>
  <c r="M601" i="4"/>
  <c r="N601" i="4" s="1"/>
  <c r="O600" i="4"/>
  <c r="M600" i="4"/>
  <c r="N600" i="4" s="1"/>
  <c r="O599" i="4"/>
  <c r="M599" i="4"/>
  <c r="N599" i="4" s="1"/>
  <c r="O598" i="4"/>
  <c r="M598" i="4"/>
  <c r="N598" i="4" s="1"/>
  <c r="O597" i="4"/>
  <c r="M597" i="4"/>
  <c r="N597" i="4" s="1"/>
  <c r="O596" i="4"/>
  <c r="M596" i="4"/>
  <c r="N596" i="4" s="1"/>
  <c r="O595" i="4"/>
  <c r="M595" i="4"/>
  <c r="N595" i="4" s="1"/>
  <c r="O594" i="4"/>
  <c r="M594" i="4"/>
  <c r="N594" i="4" s="1"/>
  <c r="O593" i="4"/>
  <c r="M593" i="4"/>
  <c r="N593" i="4" s="1"/>
  <c r="O592" i="4"/>
  <c r="M592" i="4"/>
  <c r="N592" i="4" s="1"/>
  <c r="O591" i="4"/>
  <c r="M591" i="4"/>
  <c r="N591" i="4" s="1"/>
  <c r="O590" i="4"/>
  <c r="M590" i="4"/>
  <c r="N590" i="4" s="1"/>
  <c r="O589" i="4"/>
  <c r="M589" i="4"/>
  <c r="N589" i="4" s="1"/>
  <c r="O588" i="4"/>
  <c r="M588" i="4"/>
  <c r="N588" i="4" s="1"/>
  <c r="O587" i="4"/>
  <c r="M587" i="4"/>
  <c r="N587" i="4" s="1"/>
  <c r="O586" i="4"/>
  <c r="M586" i="4"/>
  <c r="N586" i="4" s="1"/>
  <c r="O585" i="4"/>
  <c r="M585" i="4"/>
  <c r="N585" i="4" s="1"/>
  <c r="O584" i="4"/>
  <c r="M584" i="4"/>
  <c r="N584" i="4" s="1"/>
  <c r="O583" i="4"/>
  <c r="M583" i="4"/>
  <c r="N583" i="4" s="1"/>
  <c r="O582" i="4"/>
  <c r="M582" i="4"/>
  <c r="N582" i="4" s="1"/>
  <c r="O581" i="4"/>
  <c r="M581" i="4"/>
  <c r="N581" i="4" s="1"/>
  <c r="O580" i="4"/>
  <c r="M580" i="4"/>
  <c r="N580" i="4" s="1"/>
  <c r="O579" i="4"/>
  <c r="M579" i="4"/>
  <c r="N579" i="4" s="1"/>
  <c r="O578" i="4"/>
  <c r="M578" i="4"/>
  <c r="N578" i="4" s="1"/>
  <c r="O577" i="4"/>
  <c r="M577" i="4"/>
  <c r="N577" i="4" s="1"/>
  <c r="O576" i="4"/>
  <c r="M576" i="4"/>
  <c r="N576" i="4" s="1"/>
  <c r="O575" i="4"/>
  <c r="M575" i="4"/>
  <c r="N575" i="4" s="1"/>
  <c r="O574" i="4"/>
  <c r="M574" i="4"/>
  <c r="N574" i="4" s="1"/>
  <c r="O573" i="4"/>
  <c r="M573" i="4"/>
  <c r="N573" i="4" s="1"/>
  <c r="O572" i="4"/>
  <c r="M572" i="4"/>
  <c r="N572" i="4" s="1"/>
  <c r="O571" i="4"/>
  <c r="M571" i="4"/>
  <c r="N571" i="4" s="1"/>
  <c r="O570" i="4"/>
  <c r="M570" i="4"/>
  <c r="N570" i="4" s="1"/>
  <c r="O569" i="4"/>
  <c r="M569" i="4"/>
  <c r="N569" i="4" s="1"/>
  <c r="O568" i="4"/>
  <c r="M568" i="4"/>
  <c r="N568" i="4" s="1"/>
  <c r="O567" i="4"/>
  <c r="M567" i="4"/>
  <c r="N567" i="4" s="1"/>
  <c r="O566" i="4"/>
  <c r="M566" i="4"/>
  <c r="N566" i="4" s="1"/>
  <c r="O565" i="4"/>
  <c r="M565" i="4"/>
  <c r="N565" i="4" s="1"/>
  <c r="O564" i="4"/>
  <c r="M564" i="4"/>
  <c r="N564" i="4" s="1"/>
  <c r="O563" i="4"/>
  <c r="M563" i="4"/>
  <c r="N563" i="4" s="1"/>
  <c r="O562" i="4"/>
  <c r="M562" i="4"/>
  <c r="N562" i="4" s="1"/>
  <c r="O561" i="4"/>
  <c r="M561" i="4"/>
  <c r="N561" i="4" s="1"/>
  <c r="O560" i="4"/>
  <c r="M560" i="4"/>
  <c r="N560" i="4" s="1"/>
  <c r="O559" i="4"/>
  <c r="M559" i="4"/>
  <c r="N559" i="4" s="1"/>
  <c r="O558" i="4"/>
  <c r="M558" i="4"/>
  <c r="N558" i="4" s="1"/>
  <c r="O557" i="4"/>
  <c r="M557" i="4"/>
  <c r="N557" i="4" s="1"/>
  <c r="O556" i="4"/>
  <c r="M556" i="4"/>
  <c r="N556" i="4" s="1"/>
  <c r="O555" i="4"/>
  <c r="M555" i="4"/>
  <c r="N555" i="4" s="1"/>
  <c r="O554" i="4"/>
  <c r="M554" i="4"/>
  <c r="N554" i="4" s="1"/>
  <c r="O553" i="4"/>
  <c r="M553" i="4"/>
  <c r="N553" i="4" s="1"/>
  <c r="O552" i="4"/>
  <c r="M552" i="4"/>
  <c r="N552" i="4" s="1"/>
  <c r="O551" i="4"/>
  <c r="M551" i="4"/>
  <c r="N551" i="4" s="1"/>
  <c r="O550" i="4"/>
  <c r="M550" i="4"/>
  <c r="N550" i="4" s="1"/>
  <c r="O549" i="4"/>
  <c r="M549" i="4"/>
  <c r="N549" i="4" s="1"/>
  <c r="O548" i="4"/>
  <c r="M548" i="4"/>
  <c r="N548" i="4" s="1"/>
  <c r="O547" i="4"/>
  <c r="M547" i="4"/>
  <c r="N547" i="4" s="1"/>
  <c r="O546" i="4"/>
  <c r="M546" i="4"/>
  <c r="N546" i="4" s="1"/>
  <c r="O545" i="4"/>
  <c r="M545" i="4"/>
  <c r="N545" i="4" s="1"/>
  <c r="O544" i="4"/>
  <c r="M544" i="4"/>
  <c r="N544" i="4" s="1"/>
  <c r="O543" i="4"/>
  <c r="M543" i="4"/>
  <c r="N543" i="4" s="1"/>
  <c r="O542" i="4"/>
  <c r="M542" i="4"/>
  <c r="N542" i="4" s="1"/>
  <c r="O541" i="4"/>
  <c r="M541" i="4"/>
  <c r="N541" i="4" s="1"/>
  <c r="O540" i="4"/>
  <c r="M540" i="4"/>
  <c r="N540" i="4" s="1"/>
  <c r="O539" i="4"/>
  <c r="M539" i="4"/>
  <c r="N539" i="4" s="1"/>
  <c r="O538" i="4"/>
  <c r="M538" i="4"/>
  <c r="N538" i="4" s="1"/>
  <c r="O537" i="4"/>
  <c r="M537" i="4"/>
  <c r="N537" i="4" s="1"/>
  <c r="O536" i="4"/>
  <c r="M536" i="4"/>
  <c r="N536" i="4" s="1"/>
  <c r="O535" i="4"/>
  <c r="M535" i="4"/>
  <c r="N535" i="4" s="1"/>
  <c r="O534" i="4"/>
  <c r="M534" i="4"/>
  <c r="N534" i="4" s="1"/>
  <c r="O533" i="4"/>
  <c r="M533" i="4"/>
  <c r="N533" i="4" s="1"/>
  <c r="O532" i="4"/>
  <c r="M532" i="4"/>
  <c r="N532" i="4" s="1"/>
  <c r="O531" i="4"/>
  <c r="M531" i="4"/>
  <c r="N531" i="4" s="1"/>
  <c r="O530" i="4"/>
  <c r="M530" i="4"/>
  <c r="N530" i="4" s="1"/>
  <c r="O529" i="4"/>
  <c r="M529" i="4"/>
  <c r="N529" i="4" s="1"/>
  <c r="O528" i="4"/>
  <c r="M528" i="4"/>
  <c r="N528" i="4" s="1"/>
  <c r="O527" i="4"/>
  <c r="M527" i="4"/>
  <c r="N527" i="4" s="1"/>
  <c r="O526" i="4"/>
  <c r="M526" i="4"/>
  <c r="N526" i="4" s="1"/>
  <c r="O525" i="4"/>
  <c r="M525" i="4"/>
  <c r="N525" i="4" s="1"/>
  <c r="O524" i="4"/>
  <c r="M524" i="4"/>
  <c r="N524" i="4" s="1"/>
  <c r="O523" i="4"/>
  <c r="M523" i="4"/>
  <c r="N523" i="4" s="1"/>
  <c r="O522" i="4"/>
  <c r="M522" i="4"/>
  <c r="N522" i="4" s="1"/>
  <c r="O521" i="4"/>
  <c r="M521" i="4"/>
  <c r="N521" i="4" s="1"/>
  <c r="O520" i="4"/>
  <c r="M520" i="4"/>
  <c r="N520" i="4" s="1"/>
  <c r="O519" i="4"/>
  <c r="M519" i="4"/>
  <c r="N519" i="4" s="1"/>
  <c r="O518" i="4"/>
  <c r="M518" i="4"/>
  <c r="N518" i="4" s="1"/>
  <c r="O517" i="4"/>
  <c r="M517" i="4"/>
  <c r="N517" i="4" s="1"/>
  <c r="O516" i="4"/>
  <c r="M516" i="4"/>
  <c r="N516" i="4" s="1"/>
  <c r="O515" i="4"/>
  <c r="M515" i="4"/>
  <c r="N515" i="4" s="1"/>
  <c r="O514" i="4"/>
  <c r="M514" i="4"/>
  <c r="N514" i="4" s="1"/>
  <c r="O513" i="4"/>
  <c r="M513" i="4"/>
  <c r="N513" i="4" s="1"/>
  <c r="O512" i="4"/>
  <c r="M512" i="4"/>
  <c r="N512" i="4" s="1"/>
  <c r="O511" i="4"/>
  <c r="M511" i="4"/>
  <c r="N511" i="4" s="1"/>
  <c r="O510" i="4"/>
  <c r="M510" i="4"/>
  <c r="N510" i="4" s="1"/>
  <c r="O509" i="4"/>
  <c r="M509" i="4"/>
  <c r="N509" i="4" s="1"/>
  <c r="O508" i="4"/>
  <c r="M508" i="4"/>
  <c r="N508" i="4" s="1"/>
  <c r="O507" i="4"/>
  <c r="M507" i="4"/>
  <c r="N507" i="4" s="1"/>
  <c r="O506" i="4"/>
  <c r="M506" i="4"/>
  <c r="N506" i="4" s="1"/>
  <c r="O505" i="4"/>
  <c r="M505" i="4"/>
  <c r="N505" i="4" s="1"/>
  <c r="O504" i="4"/>
  <c r="M504" i="4"/>
  <c r="N504" i="4" s="1"/>
  <c r="O503" i="4"/>
  <c r="M503" i="4"/>
  <c r="N503" i="4" s="1"/>
  <c r="O502" i="4"/>
  <c r="M502" i="4"/>
  <c r="N502" i="4" s="1"/>
  <c r="O501" i="4"/>
  <c r="M501" i="4"/>
  <c r="N501" i="4" s="1"/>
  <c r="O500" i="4"/>
  <c r="M500" i="4"/>
  <c r="N500" i="4" s="1"/>
  <c r="O499" i="4"/>
  <c r="M499" i="4"/>
  <c r="N499" i="4" s="1"/>
  <c r="O498" i="4"/>
  <c r="M498" i="4"/>
  <c r="N498" i="4" s="1"/>
  <c r="O497" i="4"/>
  <c r="M497" i="4"/>
  <c r="N497" i="4" s="1"/>
  <c r="O496" i="4"/>
  <c r="M496" i="4"/>
  <c r="N496" i="4" s="1"/>
  <c r="O495" i="4"/>
  <c r="M495" i="4"/>
  <c r="N495" i="4" s="1"/>
  <c r="O494" i="4"/>
  <c r="M494" i="4"/>
  <c r="N494" i="4" s="1"/>
  <c r="O493" i="4"/>
  <c r="M493" i="4"/>
  <c r="N493" i="4" s="1"/>
  <c r="O492" i="4"/>
  <c r="M492" i="4"/>
  <c r="N492" i="4" s="1"/>
  <c r="O491" i="4"/>
  <c r="M491" i="4"/>
  <c r="N491" i="4" s="1"/>
  <c r="O490" i="4"/>
  <c r="M490" i="4"/>
  <c r="N490" i="4" s="1"/>
  <c r="O489" i="4"/>
  <c r="M489" i="4"/>
  <c r="N489" i="4" s="1"/>
  <c r="O488" i="4"/>
  <c r="M488" i="4"/>
  <c r="N488" i="4" s="1"/>
  <c r="O487" i="4"/>
  <c r="M487" i="4"/>
  <c r="N487" i="4" s="1"/>
  <c r="O486" i="4"/>
  <c r="M486" i="4"/>
  <c r="N486" i="4" s="1"/>
  <c r="O485" i="4"/>
  <c r="M485" i="4"/>
  <c r="N485" i="4" s="1"/>
  <c r="O484" i="4"/>
  <c r="M484" i="4"/>
  <c r="N484" i="4" s="1"/>
  <c r="O483" i="4"/>
  <c r="M483" i="4"/>
  <c r="N483" i="4" s="1"/>
  <c r="O482" i="4"/>
  <c r="M482" i="4"/>
  <c r="N482" i="4" s="1"/>
  <c r="O481" i="4"/>
  <c r="M481" i="4"/>
  <c r="N481" i="4" s="1"/>
  <c r="O480" i="4"/>
  <c r="M480" i="4"/>
  <c r="N480" i="4" s="1"/>
  <c r="O479" i="4"/>
  <c r="M479" i="4"/>
  <c r="N479" i="4" s="1"/>
  <c r="O478" i="4"/>
  <c r="M478" i="4"/>
  <c r="N478" i="4" s="1"/>
  <c r="O477" i="4"/>
  <c r="M477" i="4"/>
  <c r="N477" i="4" s="1"/>
  <c r="O476" i="4"/>
  <c r="M476" i="4"/>
  <c r="N476" i="4" s="1"/>
  <c r="O475" i="4"/>
  <c r="M475" i="4"/>
  <c r="N475" i="4" s="1"/>
  <c r="O474" i="4"/>
  <c r="M474" i="4"/>
  <c r="N474" i="4" s="1"/>
  <c r="O473" i="4"/>
  <c r="M473" i="4"/>
  <c r="N473" i="4" s="1"/>
  <c r="O472" i="4"/>
  <c r="M472" i="4"/>
  <c r="N472" i="4" s="1"/>
  <c r="O471" i="4"/>
  <c r="M471" i="4"/>
  <c r="N471" i="4" s="1"/>
  <c r="O470" i="4"/>
  <c r="M470" i="4"/>
  <c r="N470" i="4" s="1"/>
  <c r="O469" i="4"/>
  <c r="M469" i="4"/>
  <c r="N469" i="4" s="1"/>
  <c r="O468" i="4"/>
  <c r="M468" i="4"/>
  <c r="N468" i="4" s="1"/>
  <c r="O467" i="4"/>
  <c r="M467" i="4"/>
  <c r="N467" i="4" s="1"/>
  <c r="O466" i="4"/>
  <c r="M466" i="4"/>
  <c r="N466" i="4" s="1"/>
  <c r="O465" i="4"/>
  <c r="M465" i="4"/>
  <c r="N465" i="4" s="1"/>
  <c r="O464" i="4"/>
  <c r="M464" i="4"/>
  <c r="N464" i="4" s="1"/>
  <c r="O463" i="4"/>
  <c r="M463" i="4"/>
  <c r="N463" i="4" s="1"/>
  <c r="O462" i="4"/>
  <c r="M462" i="4"/>
  <c r="N462" i="4" s="1"/>
  <c r="O461" i="4"/>
  <c r="M461" i="4"/>
  <c r="N461" i="4" s="1"/>
  <c r="O460" i="4"/>
  <c r="M460" i="4"/>
  <c r="N460" i="4" s="1"/>
  <c r="O459" i="4"/>
  <c r="M459" i="4"/>
  <c r="N459" i="4" s="1"/>
  <c r="O458" i="4"/>
  <c r="M458" i="4"/>
  <c r="N458" i="4" s="1"/>
  <c r="O457" i="4"/>
  <c r="M457" i="4"/>
  <c r="N457" i="4" s="1"/>
  <c r="O456" i="4"/>
  <c r="M456" i="4"/>
  <c r="N456" i="4" s="1"/>
  <c r="O455" i="4"/>
  <c r="M455" i="4"/>
  <c r="N455" i="4" s="1"/>
  <c r="O454" i="4"/>
  <c r="M454" i="4"/>
  <c r="N454" i="4" s="1"/>
  <c r="O453" i="4"/>
  <c r="M453" i="4"/>
  <c r="N453" i="4" s="1"/>
  <c r="O452" i="4"/>
  <c r="M452" i="4"/>
  <c r="N452" i="4" s="1"/>
  <c r="O451" i="4"/>
  <c r="M451" i="4"/>
  <c r="N451" i="4" s="1"/>
  <c r="O450" i="4"/>
  <c r="M450" i="4"/>
  <c r="N450" i="4" s="1"/>
  <c r="O449" i="4"/>
  <c r="M449" i="4"/>
  <c r="N449" i="4" s="1"/>
  <c r="O448" i="4"/>
  <c r="M448" i="4"/>
  <c r="N448" i="4" s="1"/>
  <c r="O447" i="4"/>
  <c r="M447" i="4"/>
  <c r="N447" i="4" s="1"/>
  <c r="O446" i="4"/>
  <c r="M446" i="4"/>
  <c r="N446" i="4" s="1"/>
  <c r="O445" i="4"/>
  <c r="M445" i="4"/>
  <c r="N445" i="4" s="1"/>
  <c r="O444" i="4"/>
  <c r="M444" i="4"/>
  <c r="N444" i="4" s="1"/>
  <c r="O443" i="4"/>
  <c r="M443" i="4"/>
  <c r="N443" i="4" s="1"/>
  <c r="O442" i="4"/>
  <c r="M442" i="4"/>
  <c r="N442" i="4" s="1"/>
  <c r="O441" i="4"/>
  <c r="M441" i="4"/>
  <c r="N441" i="4" s="1"/>
  <c r="O440" i="4"/>
  <c r="M440" i="4"/>
  <c r="N440" i="4" s="1"/>
  <c r="O439" i="4"/>
  <c r="M439" i="4"/>
  <c r="N439" i="4" s="1"/>
  <c r="O438" i="4"/>
  <c r="M438" i="4"/>
  <c r="N438" i="4" s="1"/>
  <c r="O437" i="4"/>
  <c r="M437" i="4"/>
  <c r="N437" i="4" s="1"/>
  <c r="O436" i="4"/>
  <c r="M436" i="4"/>
  <c r="N436" i="4" s="1"/>
  <c r="O435" i="4"/>
  <c r="M435" i="4"/>
  <c r="N435" i="4" s="1"/>
  <c r="O434" i="4"/>
  <c r="M434" i="4"/>
  <c r="N434" i="4" s="1"/>
  <c r="O433" i="4"/>
  <c r="M433" i="4"/>
  <c r="N433" i="4" s="1"/>
  <c r="O432" i="4"/>
  <c r="M432" i="4"/>
  <c r="N432" i="4" s="1"/>
  <c r="O431" i="4"/>
  <c r="M431" i="4"/>
  <c r="N431" i="4" s="1"/>
  <c r="O430" i="4"/>
  <c r="M430" i="4"/>
  <c r="N430" i="4" s="1"/>
  <c r="O429" i="4"/>
  <c r="M429" i="4"/>
  <c r="N429" i="4" s="1"/>
  <c r="O428" i="4"/>
  <c r="M428" i="4"/>
  <c r="N428" i="4" s="1"/>
  <c r="O427" i="4"/>
  <c r="M427" i="4"/>
  <c r="N427" i="4" s="1"/>
  <c r="O426" i="4"/>
  <c r="M426" i="4"/>
  <c r="N426" i="4" s="1"/>
  <c r="O425" i="4"/>
  <c r="M425" i="4"/>
  <c r="N425" i="4" s="1"/>
  <c r="O424" i="4"/>
  <c r="M424" i="4"/>
  <c r="N424" i="4" s="1"/>
  <c r="O423" i="4"/>
  <c r="M423" i="4"/>
  <c r="N423" i="4" s="1"/>
  <c r="O422" i="4"/>
  <c r="M422" i="4"/>
  <c r="N422" i="4" s="1"/>
  <c r="O421" i="4"/>
  <c r="M421" i="4"/>
  <c r="N421" i="4" s="1"/>
  <c r="O420" i="4"/>
  <c r="M420" i="4"/>
  <c r="N420" i="4" s="1"/>
  <c r="O419" i="4"/>
  <c r="M419" i="4"/>
  <c r="N419" i="4" s="1"/>
  <c r="O418" i="4"/>
  <c r="M418" i="4"/>
  <c r="N418" i="4" s="1"/>
  <c r="O417" i="4"/>
  <c r="M417" i="4"/>
  <c r="N417" i="4" s="1"/>
  <c r="O416" i="4"/>
  <c r="M416" i="4"/>
  <c r="N416" i="4" s="1"/>
  <c r="O415" i="4"/>
  <c r="M415" i="4"/>
  <c r="N415" i="4" s="1"/>
  <c r="O414" i="4"/>
  <c r="M414" i="4"/>
  <c r="N414" i="4" s="1"/>
  <c r="O413" i="4"/>
  <c r="M413" i="4"/>
  <c r="N413" i="4" s="1"/>
  <c r="O412" i="4"/>
  <c r="M412" i="4"/>
  <c r="N412" i="4" s="1"/>
  <c r="O411" i="4"/>
  <c r="M411" i="4"/>
  <c r="N411" i="4" s="1"/>
  <c r="O410" i="4"/>
  <c r="M410" i="4"/>
  <c r="N410" i="4" s="1"/>
  <c r="O409" i="4"/>
  <c r="M409" i="4"/>
  <c r="N409" i="4" s="1"/>
  <c r="O408" i="4"/>
  <c r="M408" i="4"/>
  <c r="N408" i="4" s="1"/>
  <c r="O407" i="4"/>
  <c r="M407" i="4"/>
  <c r="N407" i="4" s="1"/>
  <c r="O406" i="4"/>
  <c r="M406" i="4"/>
  <c r="N406" i="4" s="1"/>
  <c r="O405" i="4"/>
  <c r="M405" i="4"/>
  <c r="N405" i="4" s="1"/>
  <c r="O404" i="4"/>
  <c r="M404" i="4"/>
  <c r="N404" i="4" s="1"/>
  <c r="O403" i="4"/>
  <c r="M403" i="4"/>
  <c r="N403" i="4" s="1"/>
  <c r="O402" i="4"/>
  <c r="M402" i="4"/>
  <c r="N402" i="4" s="1"/>
  <c r="O401" i="4"/>
  <c r="M401" i="4"/>
  <c r="N401" i="4" s="1"/>
  <c r="O400" i="4"/>
  <c r="M400" i="4"/>
  <c r="N400" i="4" s="1"/>
  <c r="O399" i="4"/>
  <c r="M399" i="4"/>
  <c r="N399" i="4" s="1"/>
  <c r="O398" i="4"/>
  <c r="M398" i="4"/>
  <c r="N398" i="4" s="1"/>
  <c r="O397" i="4"/>
  <c r="M397" i="4"/>
  <c r="N397" i="4" s="1"/>
  <c r="O396" i="4"/>
  <c r="M396" i="4"/>
  <c r="N396" i="4" s="1"/>
  <c r="O395" i="4"/>
  <c r="M395" i="4"/>
  <c r="N395" i="4" s="1"/>
  <c r="O394" i="4"/>
  <c r="M394" i="4"/>
  <c r="N394" i="4" s="1"/>
  <c r="O393" i="4"/>
  <c r="M393" i="4"/>
  <c r="N393" i="4" s="1"/>
  <c r="O392" i="4"/>
  <c r="M392" i="4"/>
  <c r="N392" i="4" s="1"/>
  <c r="O391" i="4"/>
  <c r="M391" i="4"/>
  <c r="N391" i="4" s="1"/>
  <c r="O390" i="4"/>
  <c r="M390" i="4"/>
  <c r="N390" i="4" s="1"/>
  <c r="O389" i="4"/>
  <c r="M389" i="4"/>
  <c r="N389" i="4" s="1"/>
  <c r="O388" i="4"/>
  <c r="M388" i="4"/>
  <c r="N388" i="4" s="1"/>
  <c r="O387" i="4"/>
  <c r="M387" i="4"/>
  <c r="N387" i="4" s="1"/>
  <c r="O386" i="4"/>
  <c r="M386" i="4"/>
  <c r="N386" i="4" s="1"/>
  <c r="O385" i="4"/>
  <c r="M385" i="4"/>
  <c r="N385" i="4" s="1"/>
  <c r="O384" i="4"/>
  <c r="M384" i="4"/>
  <c r="N384" i="4" s="1"/>
  <c r="O383" i="4"/>
  <c r="M383" i="4"/>
  <c r="N383" i="4" s="1"/>
  <c r="O382" i="4"/>
  <c r="M382" i="4"/>
  <c r="N382" i="4" s="1"/>
  <c r="O381" i="4"/>
  <c r="M381" i="4"/>
  <c r="N381" i="4" s="1"/>
  <c r="O380" i="4"/>
  <c r="M380" i="4"/>
  <c r="N380" i="4" s="1"/>
  <c r="O379" i="4"/>
  <c r="M379" i="4"/>
  <c r="N379" i="4" s="1"/>
  <c r="O378" i="4"/>
  <c r="M378" i="4"/>
  <c r="N378" i="4" s="1"/>
  <c r="O377" i="4"/>
  <c r="M377" i="4"/>
  <c r="N377" i="4" s="1"/>
  <c r="O376" i="4"/>
  <c r="M376" i="4"/>
  <c r="N376" i="4" s="1"/>
  <c r="O375" i="4"/>
  <c r="M375" i="4"/>
  <c r="N375" i="4" s="1"/>
  <c r="O374" i="4"/>
  <c r="M374" i="4"/>
  <c r="N374" i="4" s="1"/>
  <c r="O373" i="4"/>
  <c r="M373" i="4"/>
  <c r="N373" i="4" s="1"/>
  <c r="O372" i="4"/>
  <c r="M372" i="4"/>
  <c r="N372" i="4" s="1"/>
  <c r="O371" i="4"/>
  <c r="M371" i="4"/>
  <c r="N371" i="4" s="1"/>
  <c r="O370" i="4"/>
  <c r="M370" i="4"/>
  <c r="N370" i="4" s="1"/>
  <c r="O369" i="4"/>
  <c r="M369" i="4"/>
  <c r="N369" i="4" s="1"/>
  <c r="O368" i="4"/>
  <c r="M368" i="4"/>
  <c r="N368" i="4" s="1"/>
  <c r="O367" i="4"/>
  <c r="M367" i="4"/>
  <c r="N367" i="4" s="1"/>
  <c r="O366" i="4"/>
  <c r="M366" i="4"/>
  <c r="N366" i="4" s="1"/>
  <c r="O365" i="4"/>
  <c r="M365" i="4"/>
  <c r="N365" i="4" s="1"/>
  <c r="O364" i="4"/>
  <c r="M364" i="4"/>
  <c r="N364" i="4" s="1"/>
  <c r="O363" i="4"/>
  <c r="M363" i="4"/>
  <c r="N363" i="4" s="1"/>
  <c r="O362" i="4"/>
  <c r="M362" i="4"/>
  <c r="N362" i="4" s="1"/>
  <c r="O361" i="4"/>
  <c r="M361" i="4"/>
  <c r="N361" i="4" s="1"/>
  <c r="O360" i="4"/>
  <c r="M360" i="4"/>
  <c r="N360" i="4" s="1"/>
  <c r="O359" i="4"/>
  <c r="M359" i="4"/>
  <c r="N359" i="4" s="1"/>
  <c r="O358" i="4"/>
  <c r="M358" i="4"/>
  <c r="N358" i="4" s="1"/>
  <c r="O357" i="4"/>
  <c r="M357" i="4"/>
  <c r="N357" i="4" s="1"/>
  <c r="O356" i="4"/>
  <c r="M356" i="4"/>
  <c r="N356" i="4" s="1"/>
  <c r="O355" i="4"/>
  <c r="M355" i="4"/>
  <c r="N355" i="4" s="1"/>
  <c r="O354" i="4"/>
  <c r="M354" i="4"/>
  <c r="N354" i="4" s="1"/>
  <c r="O353" i="4"/>
  <c r="M353" i="4"/>
  <c r="N353" i="4" s="1"/>
  <c r="O352" i="4"/>
  <c r="M352" i="4"/>
  <c r="N352" i="4" s="1"/>
  <c r="O351" i="4"/>
  <c r="M351" i="4"/>
  <c r="N351" i="4" s="1"/>
  <c r="O350" i="4"/>
  <c r="M350" i="4"/>
  <c r="N350" i="4" s="1"/>
  <c r="O349" i="4"/>
  <c r="M349" i="4"/>
  <c r="N349" i="4" s="1"/>
  <c r="O348" i="4"/>
  <c r="M348" i="4"/>
  <c r="N348" i="4" s="1"/>
  <c r="O347" i="4"/>
  <c r="M347" i="4"/>
  <c r="N347" i="4" s="1"/>
  <c r="O346" i="4"/>
  <c r="M346" i="4"/>
  <c r="N346" i="4" s="1"/>
  <c r="O345" i="4"/>
  <c r="M345" i="4"/>
  <c r="N345" i="4" s="1"/>
  <c r="O344" i="4"/>
  <c r="M344" i="4"/>
  <c r="N344" i="4" s="1"/>
  <c r="O343" i="4"/>
  <c r="M343" i="4"/>
  <c r="N343" i="4" s="1"/>
  <c r="O342" i="4"/>
  <c r="M342" i="4"/>
  <c r="N342" i="4" s="1"/>
  <c r="O341" i="4"/>
  <c r="M341" i="4"/>
  <c r="N341" i="4" s="1"/>
  <c r="O340" i="4"/>
  <c r="M340" i="4"/>
  <c r="N340" i="4" s="1"/>
  <c r="O339" i="4"/>
  <c r="M339" i="4"/>
  <c r="N339" i="4" s="1"/>
  <c r="O338" i="4"/>
  <c r="M338" i="4"/>
  <c r="N338" i="4" s="1"/>
  <c r="O337" i="4"/>
  <c r="M337" i="4"/>
  <c r="N337" i="4" s="1"/>
  <c r="O336" i="4"/>
  <c r="M336" i="4"/>
  <c r="N336" i="4" s="1"/>
  <c r="O335" i="4"/>
  <c r="M335" i="4"/>
  <c r="N335" i="4" s="1"/>
  <c r="O334" i="4"/>
  <c r="M334" i="4"/>
  <c r="N334" i="4" s="1"/>
  <c r="O333" i="4"/>
  <c r="M333" i="4"/>
  <c r="N333" i="4" s="1"/>
  <c r="O332" i="4"/>
  <c r="M332" i="4"/>
  <c r="N332" i="4" s="1"/>
  <c r="O331" i="4"/>
  <c r="M331" i="4"/>
  <c r="N331" i="4" s="1"/>
  <c r="O330" i="4"/>
  <c r="M330" i="4"/>
  <c r="N330" i="4" s="1"/>
  <c r="O329" i="4"/>
  <c r="M329" i="4"/>
  <c r="N329" i="4" s="1"/>
  <c r="O328" i="4"/>
  <c r="M328" i="4"/>
  <c r="N328" i="4" s="1"/>
  <c r="O327" i="4"/>
  <c r="M327" i="4"/>
  <c r="N327" i="4" s="1"/>
  <c r="O326" i="4"/>
  <c r="M326" i="4"/>
  <c r="N326" i="4" s="1"/>
  <c r="O325" i="4"/>
  <c r="M325" i="4"/>
  <c r="N325" i="4" s="1"/>
  <c r="O324" i="4"/>
  <c r="M324" i="4"/>
  <c r="N324" i="4" s="1"/>
  <c r="O323" i="4"/>
  <c r="M323" i="4"/>
  <c r="N323" i="4" s="1"/>
  <c r="O322" i="4"/>
  <c r="M322" i="4"/>
  <c r="N322" i="4" s="1"/>
  <c r="O321" i="4"/>
  <c r="M321" i="4"/>
  <c r="N321" i="4" s="1"/>
  <c r="O320" i="4"/>
  <c r="M320" i="4"/>
  <c r="N320" i="4" s="1"/>
  <c r="O319" i="4"/>
  <c r="M319" i="4"/>
  <c r="N319" i="4" s="1"/>
  <c r="O318" i="4"/>
  <c r="M318" i="4"/>
  <c r="N318" i="4" s="1"/>
  <c r="O317" i="4"/>
  <c r="M317" i="4"/>
  <c r="N317" i="4" s="1"/>
  <c r="O316" i="4"/>
  <c r="M316" i="4"/>
  <c r="N316" i="4" s="1"/>
  <c r="O315" i="4"/>
  <c r="M315" i="4"/>
  <c r="N315" i="4" s="1"/>
  <c r="O314" i="4"/>
  <c r="M314" i="4"/>
  <c r="N314" i="4" s="1"/>
  <c r="O313" i="4"/>
  <c r="M313" i="4"/>
  <c r="N313" i="4" s="1"/>
  <c r="O312" i="4"/>
  <c r="M312" i="4"/>
  <c r="N312" i="4" s="1"/>
  <c r="O311" i="4"/>
  <c r="M311" i="4"/>
  <c r="N311" i="4" s="1"/>
  <c r="O310" i="4"/>
  <c r="M310" i="4"/>
  <c r="N310" i="4" s="1"/>
  <c r="O309" i="4"/>
  <c r="M309" i="4"/>
  <c r="N309" i="4" s="1"/>
  <c r="O308" i="4"/>
  <c r="M308" i="4"/>
  <c r="N308" i="4" s="1"/>
  <c r="O307" i="4"/>
  <c r="M307" i="4"/>
  <c r="N307" i="4" s="1"/>
  <c r="O306" i="4"/>
  <c r="M306" i="4"/>
  <c r="N306" i="4" s="1"/>
  <c r="O305" i="4"/>
  <c r="M305" i="4"/>
  <c r="N305" i="4" s="1"/>
  <c r="O304" i="4"/>
  <c r="M304" i="4"/>
  <c r="N304" i="4" s="1"/>
  <c r="O303" i="4"/>
  <c r="M303" i="4"/>
  <c r="N303" i="4" s="1"/>
  <c r="O302" i="4"/>
  <c r="M302" i="4"/>
  <c r="N302" i="4" s="1"/>
  <c r="O301" i="4"/>
  <c r="M301" i="4"/>
  <c r="N301" i="4" s="1"/>
  <c r="O300" i="4"/>
  <c r="M300" i="4"/>
  <c r="N300" i="4" s="1"/>
  <c r="O299" i="4"/>
  <c r="M299" i="4"/>
  <c r="N299" i="4" s="1"/>
  <c r="O298" i="4"/>
  <c r="M298" i="4"/>
  <c r="N298" i="4" s="1"/>
  <c r="O297" i="4"/>
  <c r="M297" i="4"/>
  <c r="N297" i="4" s="1"/>
  <c r="O296" i="4"/>
  <c r="M296" i="4"/>
  <c r="N296" i="4" s="1"/>
  <c r="O295" i="4"/>
  <c r="M295" i="4"/>
  <c r="N295" i="4" s="1"/>
  <c r="O294" i="4"/>
  <c r="M294" i="4"/>
  <c r="N294" i="4" s="1"/>
  <c r="O293" i="4"/>
  <c r="M293" i="4"/>
  <c r="N293" i="4" s="1"/>
  <c r="O292" i="4"/>
  <c r="M292" i="4"/>
  <c r="N292" i="4" s="1"/>
  <c r="O291" i="4"/>
  <c r="M291" i="4"/>
  <c r="N291" i="4" s="1"/>
  <c r="O290" i="4"/>
  <c r="M290" i="4"/>
  <c r="N290" i="4" s="1"/>
  <c r="O289" i="4"/>
  <c r="M289" i="4"/>
  <c r="N289" i="4" s="1"/>
  <c r="O288" i="4"/>
  <c r="M288" i="4"/>
  <c r="N288" i="4" s="1"/>
  <c r="O287" i="4"/>
  <c r="M287" i="4"/>
  <c r="N287" i="4" s="1"/>
  <c r="O286" i="4"/>
  <c r="M286" i="4"/>
  <c r="N286" i="4" s="1"/>
  <c r="O285" i="4"/>
  <c r="M285" i="4"/>
  <c r="N285" i="4" s="1"/>
  <c r="O284" i="4"/>
  <c r="M284" i="4"/>
  <c r="N284" i="4" s="1"/>
  <c r="O283" i="4"/>
  <c r="M283" i="4"/>
  <c r="N283" i="4" s="1"/>
  <c r="O282" i="4"/>
  <c r="M282" i="4"/>
  <c r="N282" i="4" s="1"/>
  <c r="O281" i="4"/>
  <c r="M281" i="4"/>
  <c r="N281" i="4" s="1"/>
  <c r="O280" i="4"/>
  <c r="M280" i="4"/>
  <c r="N280" i="4" s="1"/>
  <c r="O279" i="4"/>
  <c r="M279" i="4"/>
  <c r="N279" i="4" s="1"/>
  <c r="O278" i="4"/>
  <c r="M278" i="4"/>
  <c r="N278" i="4" s="1"/>
  <c r="O277" i="4"/>
  <c r="M277" i="4"/>
  <c r="N277" i="4" s="1"/>
  <c r="O276" i="4"/>
  <c r="M276" i="4"/>
  <c r="N276" i="4" s="1"/>
  <c r="O275" i="4"/>
  <c r="M275" i="4"/>
  <c r="N275" i="4" s="1"/>
  <c r="O274" i="4"/>
  <c r="M274" i="4"/>
  <c r="N274" i="4" s="1"/>
  <c r="O273" i="4"/>
  <c r="M273" i="4"/>
  <c r="N273" i="4" s="1"/>
  <c r="O272" i="4"/>
  <c r="M272" i="4"/>
  <c r="N272" i="4" s="1"/>
  <c r="O271" i="4"/>
  <c r="M271" i="4"/>
  <c r="N271" i="4" s="1"/>
  <c r="O270" i="4"/>
  <c r="M270" i="4"/>
  <c r="N270" i="4" s="1"/>
  <c r="O269" i="4"/>
  <c r="M269" i="4"/>
  <c r="N269" i="4" s="1"/>
  <c r="O268" i="4"/>
  <c r="M268" i="4"/>
  <c r="N268" i="4" s="1"/>
  <c r="O267" i="4"/>
  <c r="M267" i="4"/>
  <c r="N267" i="4" s="1"/>
  <c r="O266" i="4"/>
  <c r="M266" i="4"/>
  <c r="N266" i="4" s="1"/>
  <c r="O265" i="4"/>
  <c r="M265" i="4"/>
  <c r="N265" i="4" s="1"/>
  <c r="O264" i="4"/>
  <c r="M264" i="4"/>
  <c r="N264" i="4" s="1"/>
  <c r="O263" i="4"/>
  <c r="M263" i="4"/>
  <c r="N263" i="4" s="1"/>
  <c r="O262" i="4"/>
  <c r="M262" i="4"/>
  <c r="N262" i="4" s="1"/>
  <c r="O261" i="4"/>
  <c r="M261" i="4"/>
  <c r="N261" i="4" s="1"/>
  <c r="O260" i="4"/>
  <c r="M260" i="4"/>
  <c r="N260" i="4" s="1"/>
  <c r="O259" i="4"/>
  <c r="M259" i="4"/>
  <c r="N259" i="4" s="1"/>
  <c r="O258" i="4"/>
  <c r="M258" i="4"/>
  <c r="N258" i="4" s="1"/>
  <c r="O257" i="4"/>
  <c r="M257" i="4"/>
  <c r="N257" i="4" s="1"/>
  <c r="O256" i="4"/>
  <c r="M256" i="4"/>
  <c r="N256" i="4" s="1"/>
  <c r="O255" i="4"/>
  <c r="M255" i="4"/>
  <c r="N255" i="4" s="1"/>
  <c r="O254" i="4"/>
  <c r="M254" i="4"/>
  <c r="N254" i="4" s="1"/>
  <c r="O253" i="4"/>
  <c r="M253" i="4"/>
  <c r="N253" i="4" s="1"/>
  <c r="O252" i="4"/>
  <c r="M252" i="4"/>
  <c r="N252" i="4" s="1"/>
  <c r="O251" i="4"/>
  <c r="M251" i="4"/>
  <c r="N251" i="4" s="1"/>
  <c r="O250" i="4"/>
  <c r="M250" i="4"/>
  <c r="N250" i="4" s="1"/>
  <c r="O249" i="4"/>
  <c r="M249" i="4"/>
  <c r="N249" i="4" s="1"/>
  <c r="O248" i="4"/>
  <c r="M248" i="4"/>
  <c r="N248" i="4" s="1"/>
  <c r="O247" i="4"/>
  <c r="M247" i="4"/>
  <c r="N247" i="4" s="1"/>
  <c r="O246" i="4"/>
  <c r="M246" i="4"/>
  <c r="N246" i="4" s="1"/>
  <c r="O245" i="4"/>
  <c r="M245" i="4"/>
  <c r="N245" i="4" s="1"/>
  <c r="O244" i="4"/>
  <c r="M244" i="4"/>
  <c r="N244" i="4" s="1"/>
  <c r="O243" i="4"/>
  <c r="M243" i="4"/>
  <c r="N243" i="4" s="1"/>
  <c r="O242" i="4"/>
  <c r="M242" i="4"/>
  <c r="N242" i="4" s="1"/>
  <c r="O241" i="4"/>
  <c r="M241" i="4"/>
  <c r="N241" i="4" s="1"/>
  <c r="O240" i="4"/>
  <c r="M240" i="4"/>
  <c r="N240" i="4" s="1"/>
  <c r="O239" i="4"/>
  <c r="M239" i="4"/>
  <c r="N239" i="4" s="1"/>
  <c r="O238" i="4"/>
  <c r="M238" i="4"/>
  <c r="N238" i="4" s="1"/>
  <c r="O237" i="4"/>
  <c r="M237" i="4"/>
  <c r="N237" i="4" s="1"/>
  <c r="O236" i="4"/>
  <c r="M236" i="4"/>
  <c r="N236" i="4" s="1"/>
  <c r="O235" i="4"/>
  <c r="M235" i="4"/>
  <c r="N235" i="4" s="1"/>
  <c r="O234" i="4"/>
  <c r="M234" i="4"/>
  <c r="N234" i="4" s="1"/>
  <c r="O233" i="4"/>
  <c r="M233" i="4"/>
  <c r="N233" i="4" s="1"/>
  <c r="O232" i="4"/>
  <c r="M232" i="4"/>
  <c r="N232" i="4" s="1"/>
  <c r="O231" i="4"/>
  <c r="M231" i="4"/>
  <c r="N231" i="4" s="1"/>
  <c r="O230" i="4"/>
  <c r="M230" i="4"/>
  <c r="N230" i="4" s="1"/>
  <c r="O229" i="4"/>
  <c r="M229" i="4"/>
  <c r="N229" i="4" s="1"/>
  <c r="O228" i="4"/>
  <c r="M228" i="4"/>
  <c r="N228" i="4" s="1"/>
  <c r="O227" i="4"/>
  <c r="M227" i="4"/>
  <c r="N227" i="4" s="1"/>
  <c r="O226" i="4"/>
  <c r="M226" i="4"/>
  <c r="N226" i="4" s="1"/>
  <c r="O225" i="4"/>
  <c r="M225" i="4"/>
  <c r="N225" i="4" s="1"/>
  <c r="O224" i="4"/>
  <c r="M224" i="4"/>
  <c r="N224" i="4" s="1"/>
  <c r="O223" i="4"/>
  <c r="M223" i="4"/>
  <c r="N223" i="4" s="1"/>
  <c r="O222" i="4"/>
  <c r="M222" i="4"/>
  <c r="N222" i="4" s="1"/>
  <c r="O221" i="4"/>
  <c r="M221" i="4"/>
  <c r="N221" i="4" s="1"/>
  <c r="O220" i="4"/>
  <c r="M220" i="4"/>
  <c r="N220" i="4" s="1"/>
  <c r="O219" i="4"/>
  <c r="M219" i="4"/>
  <c r="N219" i="4" s="1"/>
  <c r="O218" i="4"/>
  <c r="M218" i="4"/>
  <c r="N218" i="4" s="1"/>
  <c r="O217" i="4"/>
  <c r="M217" i="4"/>
  <c r="N217" i="4" s="1"/>
  <c r="O216" i="4"/>
  <c r="M216" i="4"/>
  <c r="N216" i="4" s="1"/>
  <c r="O215" i="4"/>
  <c r="M215" i="4"/>
  <c r="N215" i="4" s="1"/>
  <c r="O214" i="4"/>
  <c r="M214" i="4"/>
  <c r="N214" i="4" s="1"/>
  <c r="O213" i="4"/>
  <c r="M213" i="4"/>
  <c r="N213" i="4" s="1"/>
  <c r="O212" i="4"/>
  <c r="M212" i="4"/>
  <c r="N212" i="4" s="1"/>
  <c r="O211" i="4"/>
  <c r="M211" i="4"/>
  <c r="N211" i="4" s="1"/>
  <c r="O210" i="4"/>
  <c r="M210" i="4"/>
  <c r="N210" i="4" s="1"/>
  <c r="O209" i="4"/>
  <c r="M209" i="4"/>
  <c r="N209" i="4" s="1"/>
  <c r="O208" i="4"/>
  <c r="M208" i="4"/>
  <c r="N208" i="4" s="1"/>
  <c r="O207" i="4"/>
  <c r="M207" i="4"/>
  <c r="N207" i="4" s="1"/>
  <c r="O206" i="4"/>
  <c r="M206" i="4"/>
  <c r="N206" i="4" s="1"/>
  <c r="O205" i="4"/>
  <c r="M205" i="4"/>
  <c r="N205" i="4" s="1"/>
  <c r="O204" i="4"/>
  <c r="M204" i="4"/>
  <c r="N204" i="4" s="1"/>
  <c r="O203" i="4"/>
  <c r="M203" i="4"/>
  <c r="N203" i="4" s="1"/>
  <c r="O202" i="4"/>
  <c r="M202" i="4"/>
  <c r="N202" i="4" s="1"/>
  <c r="O201" i="4"/>
  <c r="M201" i="4"/>
  <c r="N201" i="4" s="1"/>
  <c r="O200" i="4"/>
  <c r="M200" i="4"/>
  <c r="N200" i="4" s="1"/>
  <c r="O199" i="4"/>
  <c r="M199" i="4"/>
  <c r="N199" i="4" s="1"/>
  <c r="O198" i="4"/>
  <c r="M198" i="4"/>
  <c r="N198" i="4" s="1"/>
  <c r="O197" i="4"/>
  <c r="M197" i="4"/>
  <c r="N197" i="4" s="1"/>
  <c r="O196" i="4"/>
  <c r="M196" i="4"/>
  <c r="N196" i="4" s="1"/>
  <c r="O195" i="4"/>
  <c r="M195" i="4"/>
  <c r="N195" i="4" s="1"/>
  <c r="O194" i="4"/>
  <c r="M194" i="4"/>
  <c r="N194" i="4" s="1"/>
  <c r="O193" i="4"/>
  <c r="M193" i="4"/>
  <c r="N193" i="4" s="1"/>
  <c r="O192" i="4"/>
  <c r="M192" i="4"/>
  <c r="N192" i="4" s="1"/>
  <c r="O191" i="4"/>
  <c r="M191" i="4"/>
  <c r="N191" i="4" s="1"/>
  <c r="O190" i="4"/>
  <c r="M190" i="4"/>
  <c r="N190" i="4" s="1"/>
  <c r="O189" i="4"/>
  <c r="M189" i="4"/>
  <c r="N189" i="4" s="1"/>
  <c r="O188" i="4"/>
  <c r="M188" i="4"/>
  <c r="N188" i="4" s="1"/>
  <c r="O187" i="4"/>
  <c r="M187" i="4"/>
  <c r="N187" i="4" s="1"/>
  <c r="O186" i="4"/>
  <c r="M186" i="4"/>
  <c r="N186" i="4" s="1"/>
  <c r="O185" i="4"/>
  <c r="M185" i="4"/>
  <c r="N185" i="4" s="1"/>
  <c r="O184" i="4"/>
  <c r="M184" i="4"/>
  <c r="N184" i="4" s="1"/>
  <c r="O183" i="4"/>
  <c r="M183" i="4"/>
  <c r="N183" i="4" s="1"/>
  <c r="O182" i="4"/>
  <c r="M182" i="4"/>
  <c r="N182" i="4" s="1"/>
  <c r="O181" i="4"/>
  <c r="M181" i="4"/>
  <c r="N181" i="4" s="1"/>
  <c r="O180" i="4"/>
  <c r="M180" i="4"/>
  <c r="N180" i="4" s="1"/>
  <c r="O179" i="4"/>
  <c r="M179" i="4"/>
  <c r="N179" i="4" s="1"/>
  <c r="O178" i="4"/>
  <c r="M178" i="4"/>
  <c r="N178" i="4" s="1"/>
  <c r="O177" i="4"/>
  <c r="M177" i="4"/>
  <c r="N177" i="4" s="1"/>
  <c r="O176" i="4"/>
  <c r="M176" i="4"/>
  <c r="N176" i="4" s="1"/>
  <c r="O175" i="4"/>
  <c r="M175" i="4"/>
  <c r="N175" i="4" s="1"/>
  <c r="O174" i="4"/>
  <c r="M174" i="4"/>
  <c r="N174" i="4" s="1"/>
  <c r="O173" i="4"/>
  <c r="M173" i="4"/>
  <c r="N173" i="4" s="1"/>
  <c r="O172" i="4"/>
  <c r="M172" i="4"/>
  <c r="N172" i="4" s="1"/>
  <c r="O171" i="4"/>
  <c r="M171" i="4"/>
  <c r="N171" i="4" s="1"/>
  <c r="O170" i="4"/>
  <c r="M170" i="4"/>
  <c r="N170" i="4" s="1"/>
  <c r="O169" i="4"/>
  <c r="M169" i="4"/>
  <c r="N169" i="4" s="1"/>
  <c r="O168" i="4"/>
  <c r="M168" i="4"/>
  <c r="N168" i="4" s="1"/>
  <c r="O167" i="4"/>
  <c r="M167" i="4"/>
  <c r="N167" i="4" s="1"/>
  <c r="O166" i="4"/>
  <c r="M166" i="4"/>
  <c r="N166" i="4" s="1"/>
  <c r="O165" i="4"/>
  <c r="M165" i="4"/>
  <c r="N165" i="4" s="1"/>
  <c r="O164" i="4"/>
  <c r="M164" i="4"/>
  <c r="N164" i="4" s="1"/>
  <c r="O163" i="4"/>
  <c r="M163" i="4"/>
  <c r="N163" i="4" s="1"/>
  <c r="O162" i="4"/>
  <c r="M162" i="4"/>
  <c r="N162" i="4" s="1"/>
  <c r="O161" i="4"/>
  <c r="M161" i="4"/>
  <c r="N161" i="4" s="1"/>
  <c r="O160" i="4"/>
  <c r="M160" i="4"/>
  <c r="N160" i="4" s="1"/>
  <c r="O159" i="4"/>
  <c r="M159" i="4"/>
  <c r="N159" i="4" s="1"/>
  <c r="O158" i="4"/>
  <c r="M158" i="4"/>
  <c r="N158" i="4" s="1"/>
  <c r="O157" i="4"/>
  <c r="M157" i="4"/>
  <c r="N157" i="4" s="1"/>
  <c r="O156" i="4"/>
  <c r="M156" i="4"/>
  <c r="N156" i="4" s="1"/>
  <c r="O155" i="4"/>
  <c r="M155" i="4"/>
  <c r="N155" i="4" s="1"/>
  <c r="O154" i="4"/>
  <c r="M154" i="4"/>
  <c r="N154" i="4" s="1"/>
  <c r="O153" i="4"/>
  <c r="M153" i="4"/>
  <c r="N153" i="4" s="1"/>
  <c r="O152" i="4"/>
  <c r="M152" i="4"/>
  <c r="N152" i="4" s="1"/>
  <c r="O151" i="4"/>
  <c r="M151" i="4"/>
  <c r="N151" i="4" s="1"/>
  <c r="O150" i="4"/>
  <c r="M150" i="4"/>
  <c r="N150" i="4" s="1"/>
  <c r="O149" i="4"/>
  <c r="M149" i="4"/>
  <c r="N149" i="4" s="1"/>
  <c r="O148" i="4"/>
  <c r="M148" i="4"/>
  <c r="N148" i="4" s="1"/>
  <c r="O147" i="4"/>
  <c r="M147" i="4"/>
  <c r="N147" i="4" s="1"/>
  <c r="O146" i="4"/>
  <c r="M146" i="4"/>
  <c r="N146" i="4" s="1"/>
  <c r="O145" i="4"/>
  <c r="M145" i="4"/>
  <c r="N145" i="4" s="1"/>
  <c r="O144" i="4"/>
  <c r="M144" i="4"/>
  <c r="N144" i="4" s="1"/>
  <c r="O143" i="4"/>
  <c r="M143" i="4"/>
  <c r="N143" i="4" s="1"/>
  <c r="O142" i="4"/>
  <c r="M142" i="4"/>
  <c r="N142" i="4" s="1"/>
  <c r="O141" i="4"/>
  <c r="M141" i="4"/>
  <c r="N141" i="4" s="1"/>
  <c r="O140" i="4"/>
  <c r="M140" i="4"/>
  <c r="N140" i="4" s="1"/>
  <c r="O139" i="4"/>
  <c r="M139" i="4"/>
  <c r="N139" i="4" s="1"/>
  <c r="O138" i="4"/>
  <c r="M138" i="4"/>
  <c r="N138" i="4" s="1"/>
  <c r="O137" i="4"/>
  <c r="M137" i="4"/>
  <c r="N137" i="4" s="1"/>
  <c r="O136" i="4"/>
  <c r="M136" i="4"/>
  <c r="N136" i="4" s="1"/>
  <c r="O135" i="4"/>
  <c r="M135" i="4"/>
  <c r="N135" i="4" s="1"/>
  <c r="O134" i="4"/>
  <c r="M134" i="4"/>
  <c r="N134" i="4" s="1"/>
  <c r="O133" i="4"/>
  <c r="M133" i="4"/>
  <c r="N133" i="4" s="1"/>
  <c r="O132" i="4"/>
  <c r="M132" i="4"/>
  <c r="N132" i="4" s="1"/>
  <c r="O131" i="4"/>
  <c r="M131" i="4"/>
  <c r="N131" i="4" s="1"/>
  <c r="O130" i="4"/>
  <c r="M130" i="4"/>
  <c r="N130" i="4" s="1"/>
  <c r="O129" i="4"/>
  <c r="M129" i="4"/>
  <c r="N129" i="4" s="1"/>
  <c r="O128" i="4"/>
  <c r="M128" i="4"/>
  <c r="N128" i="4" s="1"/>
  <c r="O127" i="4"/>
  <c r="M127" i="4"/>
  <c r="N127" i="4" s="1"/>
  <c r="O126" i="4"/>
  <c r="M126" i="4"/>
  <c r="N126" i="4" s="1"/>
  <c r="O125" i="4"/>
  <c r="M125" i="4"/>
  <c r="N125" i="4" s="1"/>
  <c r="O124" i="4"/>
  <c r="M124" i="4"/>
  <c r="N124" i="4" s="1"/>
  <c r="O123" i="4"/>
  <c r="M123" i="4"/>
  <c r="N123" i="4" s="1"/>
  <c r="O122" i="4"/>
  <c r="M122" i="4"/>
  <c r="N122" i="4" s="1"/>
  <c r="O121" i="4"/>
  <c r="M121" i="4"/>
  <c r="N121" i="4" s="1"/>
  <c r="O120" i="4"/>
  <c r="M120" i="4"/>
  <c r="N120" i="4" s="1"/>
  <c r="O119" i="4"/>
  <c r="M119" i="4"/>
  <c r="N119" i="4" s="1"/>
  <c r="O118" i="4"/>
  <c r="M118" i="4"/>
  <c r="N118" i="4" s="1"/>
  <c r="O117" i="4"/>
  <c r="M117" i="4"/>
  <c r="N117" i="4" s="1"/>
  <c r="O116" i="4"/>
  <c r="M116" i="4"/>
  <c r="N116" i="4" s="1"/>
  <c r="O115" i="4"/>
  <c r="M115" i="4"/>
  <c r="N115" i="4" s="1"/>
  <c r="O114" i="4"/>
  <c r="M114" i="4"/>
  <c r="N114" i="4" s="1"/>
  <c r="O113" i="4"/>
  <c r="M113" i="4"/>
  <c r="N113" i="4" s="1"/>
  <c r="O112" i="4"/>
  <c r="M112" i="4"/>
  <c r="N112" i="4" s="1"/>
  <c r="O111" i="4"/>
  <c r="M111" i="4"/>
  <c r="N111" i="4" s="1"/>
  <c r="O110" i="4"/>
  <c r="M110" i="4"/>
  <c r="N110" i="4" s="1"/>
  <c r="O109" i="4"/>
  <c r="M109" i="4"/>
  <c r="N109" i="4" s="1"/>
  <c r="O108" i="4"/>
  <c r="M108" i="4"/>
  <c r="N108" i="4" s="1"/>
  <c r="O107" i="4"/>
  <c r="M107" i="4"/>
  <c r="N107" i="4" s="1"/>
  <c r="O106" i="4"/>
  <c r="M106" i="4"/>
  <c r="N106" i="4" s="1"/>
  <c r="O105" i="4"/>
  <c r="M105" i="4"/>
  <c r="N105" i="4" s="1"/>
  <c r="O104" i="4"/>
  <c r="M104" i="4"/>
  <c r="N104" i="4" s="1"/>
  <c r="O103" i="4"/>
  <c r="M103" i="4"/>
  <c r="N103" i="4" s="1"/>
  <c r="O102" i="4"/>
  <c r="M102" i="4"/>
  <c r="N102" i="4" s="1"/>
  <c r="O101" i="4"/>
  <c r="M101" i="4"/>
  <c r="N101" i="4" s="1"/>
  <c r="O100" i="4"/>
  <c r="M100" i="4"/>
  <c r="N100" i="4" s="1"/>
  <c r="O99" i="4"/>
  <c r="M99" i="4"/>
  <c r="N99" i="4" s="1"/>
  <c r="O98" i="4"/>
  <c r="M98" i="4"/>
  <c r="N98" i="4" s="1"/>
  <c r="O97" i="4"/>
  <c r="M97" i="4"/>
  <c r="N97" i="4" s="1"/>
  <c r="O96" i="4"/>
  <c r="M96" i="4"/>
  <c r="N96" i="4" s="1"/>
  <c r="O95" i="4"/>
  <c r="M95" i="4"/>
  <c r="N95" i="4" s="1"/>
  <c r="O94" i="4"/>
  <c r="M94" i="4"/>
  <c r="N94" i="4" s="1"/>
  <c r="O93" i="4"/>
  <c r="M93" i="4"/>
  <c r="N93" i="4" s="1"/>
  <c r="O92" i="4"/>
  <c r="M92" i="4"/>
  <c r="N92" i="4" s="1"/>
  <c r="O91" i="4"/>
  <c r="M91" i="4"/>
  <c r="N91" i="4" s="1"/>
  <c r="O90" i="4"/>
  <c r="M90" i="4"/>
  <c r="N90" i="4" s="1"/>
  <c r="O89" i="4"/>
  <c r="M89" i="4"/>
  <c r="N89" i="4" s="1"/>
  <c r="O88" i="4"/>
  <c r="M88" i="4"/>
  <c r="N88" i="4" s="1"/>
  <c r="O87" i="4"/>
  <c r="M87" i="4"/>
  <c r="N87" i="4" s="1"/>
  <c r="O86" i="4"/>
  <c r="M86" i="4"/>
  <c r="N86" i="4" s="1"/>
  <c r="O85" i="4"/>
  <c r="M85" i="4"/>
  <c r="N85" i="4" s="1"/>
  <c r="O84" i="4"/>
  <c r="M84" i="4"/>
  <c r="N84" i="4" s="1"/>
  <c r="O83" i="4"/>
  <c r="M83" i="4"/>
  <c r="N83" i="4" s="1"/>
  <c r="O82" i="4"/>
  <c r="M82" i="4"/>
  <c r="N82" i="4" s="1"/>
  <c r="O81" i="4"/>
  <c r="M81" i="4"/>
  <c r="N81" i="4" s="1"/>
  <c r="O80" i="4"/>
  <c r="M80" i="4"/>
  <c r="N80" i="4" s="1"/>
  <c r="O79" i="4"/>
  <c r="M79" i="4"/>
  <c r="N79" i="4" s="1"/>
  <c r="O78" i="4"/>
  <c r="M78" i="4"/>
  <c r="N78" i="4" s="1"/>
  <c r="O77" i="4"/>
  <c r="M77" i="4"/>
  <c r="N77" i="4" s="1"/>
  <c r="O76" i="4"/>
  <c r="M76" i="4"/>
  <c r="N76" i="4" s="1"/>
  <c r="O75" i="4"/>
  <c r="M75" i="4"/>
  <c r="N75" i="4" s="1"/>
  <c r="O74" i="4"/>
  <c r="M74" i="4"/>
  <c r="N74" i="4" s="1"/>
  <c r="O73" i="4"/>
  <c r="M73" i="4"/>
  <c r="N73" i="4" s="1"/>
  <c r="O72" i="4"/>
  <c r="M72" i="4"/>
  <c r="N72" i="4" s="1"/>
  <c r="O71" i="4"/>
  <c r="M71" i="4"/>
  <c r="N71" i="4" s="1"/>
  <c r="O70" i="4"/>
  <c r="M70" i="4"/>
  <c r="N70" i="4" s="1"/>
  <c r="O69" i="4"/>
  <c r="M69" i="4"/>
  <c r="N69" i="4" s="1"/>
  <c r="O68" i="4"/>
  <c r="M68" i="4"/>
  <c r="N68" i="4" s="1"/>
  <c r="O67" i="4"/>
  <c r="M67" i="4"/>
  <c r="N67" i="4" s="1"/>
  <c r="O66" i="4"/>
  <c r="M66" i="4"/>
  <c r="N66" i="4" s="1"/>
  <c r="O65" i="4"/>
  <c r="M65" i="4"/>
  <c r="N65" i="4" s="1"/>
  <c r="O64" i="4"/>
  <c r="M64" i="4"/>
  <c r="N64" i="4" s="1"/>
  <c r="O63" i="4"/>
  <c r="M63" i="4"/>
  <c r="N63" i="4" s="1"/>
  <c r="O62" i="4"/>
  <c r="M62" i="4"/>
  <c r="N62" i="4" s="1"/>
  <c r="O61" i="4"/>
  <c r="M61" i="4"/>
  <c r="N61" i="4" s="1"/>
  <c r="O60" i="4"/>
  <c r="M60" i="4"/>
  <c r="N60" i="4" s="1"/>
  <c r="O59" i="4"/>
  <c r="M59" i="4"/>
  <c r="N59" i="4" s="1"/>
  <c r="O58" i="4"/>
  <c r="M58" i="4"/>
  <c r="N58" i="4" s="1"/>
  <c r="O57" i="4"/>
  <c r="M57" i="4"/>
  <c r="N57" i="4" s="1"/>
  <c r="O56" i="4"/>
  <c r="M56" i="4"/>
  <c r="N56" i="4" s="1"/>
  <c r="O55" i="4"/>
  <c r="M55" i="4"/>
  <c r="N55" i="4" s="1"/>
  <c r="O54" i="4"/>
  <c r="M54" i="4"/>
  <c r="N54" i="4" s="1"/>
  <c r="O53" i="4"/>
  <c r="M53" i="4"/>
  <c r="N53" i="4" s="1"/>
  <c r="O52" i="4"/>
  <c r="M52" i="4"/>
  <c r="N52" i="4" s="1"/>
  <c r="O51" i="4"/>
  <c r="M51" i="4"/>
  <c r="N51" i="4" s="1"/>
  <c r="O50" i="4"/>
  <c r="M50" i="4"/>
  <c r="N50" i="4" s="1"/>
  <c r="O49" i="4"/>
  <c r="M49" i="4"/>
  <c r="N49" i="4" s="1"/>
  <c r="O48" i="4"/>
  <c r="M48" i="4"/>
  <c r="N48" i="4" s="1"/>
  <c r="O47" i="4"/>
  <c r="M47" i="4"/>
  <c r="N47" i="4" s="1"/>
  <c r="O46" i="4"/>
  <c r="M46" i="4"/>
  <c r="N46" i="4" s="1"/>
  <c r="O45" i="4"/>
  <c r="M45" i="4"/>
  <c r="N45" i="4" s="1"/>
  <c r="O44" i="4"/>
  <c r="M44" i="4"/>
  <c r="N44" i="4" s="1"/>
  <c r="O43" i="4"/>
  <c r="M43" i="4"/>
  <c r="N43" i="4" s="1"/>
  <c r="O42" i="4"/>
  <c r="M42" i="4"/>
  <c r="N42" i="4" s="1"/>
  <c r="O41" i="4"/>
  <c r="M41" i="4"/>
  <c r="N41" i="4" s="1"/>
  <c r="O40" i="4"/>
  <c r="M40" i="4"/>
  <c r="N40" i="4" s="1"/>
  <c r="O39" i="4"/>
  <c r="M39" i="4"/>
  <c r="N39" i="4" s="1"/>
  <c r="O38" i="4"/>
  <c r="M38" i="4"/>
  <c r="N38" i="4" s="1"/>
  <c r="O37" i="4"/>
  <c r="M37" i="4"/>
  <c r="N37" i="4" s="1"/>
  <c r="O36" i="4"/>
  <c r="M36" i="4"/>
  <c r="N36" i="4" s="1"/>
  <c r="O35" i="4"/>
  <c r="M35" i="4"/>
  <c r="N35" i="4" s="1"/>
  <c r="O34" i="4"/>
  <c r="M34" i="4"/>
  <c r="N34" i="4" s="1"/>
  <c r="O33" i="4"/>
  <c r="M33" i="4"/>
  <c r="N33" i="4" s="1"/>
  <c r="O32" i="4"/>
  <c r="M32" i="4"/>
  <c r="N32" i="4" s="1"/>
  <c r="O31" i="4"/>
  <c r="M31" i="4"/>
  <c r="N31" i="4" s="1"/>
  <c r="O30" i="4"/>
  <c r="M30" i="4"/>
  <c r="N30" i="4" s="1"/>
  <c r="O29" i="4"/>
  <c r="M29" i="4"/>
  <c r="N29" i="4" s="1"/>
  <c r="O28" i="4"/>
  <c r="M28" i="4"/>
  <c r="N28" i="4" s="1"/>
  <c r="O27" i="4"/>
  <c r="M27" i="4"/>
  <c r="N27" i="4" s="1"/>
  <c r="O26" i="4"/>
  <c r="M26" i="4"/>
  <c r="N26" i="4" s="1"/>
  <c r="O25" i="4"/>
  <c r="M25" i="4"/>
  <c r="N25" i="4" s="1"/>
  <c r="O24" i="4"/>
  <c r="M24" i="4"/>
  <c r="N24" i="4" s="1"/>
  <c r="O23" i="4"/>
  <c r="M23" i="4"/>
  <c r="N23" i="4" s="1"/>
  <c r="O22" i="4"/>
  <c r="M22" i="4"/>
  <c r="N22" i="4" s="1"/>
  <c r="O21" i="4"/>
  <c r="M21" i="4"/>
  <c r="N21" i="4" s="1"/>
  <c r="O20" i="4"/>
  <c r="M20" i="4"/>
  <c r="N20" i="4" s="1"/>
  <c r="O19" i="4"/>
  <c r="M19" i="4"/>
  <c r="N19" i="4" s="1"/>
  <c r="O18" i="4"/>
  <c r="M18" i="4"/>
  <c r="N18" i="4" s="1"/>
  <c r="O17" i="4"/>
  <c r="M17" i="4"/>
  <c r="N17" i="4" s="1"/>
  <c r="O16" i="4"/>
  <c r="M16" i="4"/>
  <c r="N16" i="4" s="1"/>
  <c r="O15" i="4"/>
  <c r="M15" i="4"/>
  <c r="N15" i="4" s="1"/>
  <c r="O14" i="4"/>
  <c r="M14" i="4"/>
  <c r="N14" i="4" s="1"/>
  <c r="O13" i="4"/>
  <c r="M13" i="4"/>
  <c r="N13" i="4" s="1"/>
  <c r="O12" i="4"/>
  <c r="M12" i="4"/>
  <c r="N12" i="4" s="1"/>
  <c r="O11" i="4"/>
  <c r="M11" i="4"/>
  <c r="N11" i="4" s="1"/>
  <c r="O10" i="4"/>
  <c r="M10" i="4"/>
  <c r="N10" i="4" s="1"/>
  <c r="O9" i="4"/>
  <c r="M9" i="4"/>
  <c r="N9" i="4" s="1"/>
  <c r="O8" i="4"/>
  <c r="M8" i="4"/>
  <c r="N8" i="4" s="1"/>
  <c r="O7" i="4"/>
  <c r="M7" i="4"/>
  <c r="N7" i="4" s="1"/>
  <c r="O6" i="4"/>
  <c r="M6" i="4"/>
  <c r="N6" i="4" s="1"/>
  <c r="O5" i="4"/>
  <c r="M5" i="4"/>
  <c r="N5" i="4" s="1"/>
  <c r="O4" i="4"/>
  <c r="M4" i="4"/>
  <c r="N4" i="4" s="1"/>
  <c r="O3" i="4"/>
  <c r="M3" i="4"/>
  <c r="N3" i="4" s="1"/>
  <c r="O2" i="4"/>
  <c r="M2" i="4"/>
  <c r="N2" i="4" s="1"/>
  <c r="N1051" i="3"/>
  <c r="M1051" i="3"/>
  <c r="N1050" i="3"/>
  <c r="M1050" i="3"/>
  <c r="N1049" i="3"/>
  <c r="M1049" i="3"/>
  <c r="N1048" i="3"/>
  <c r="M1048" i="3"/>
  <c r="N1047" i="3"/>
  <c r="M1047" i="3"/>
  <c r="N1046" i="3"/>
  <c r="M1046" i="3"/>
  <c r="N1045" i="3"/>
  <c r="M1045" i="3"/>
  <c r="N1044" i="3"/>
  <c r="M1044" i="3"/>
  <c r="N1043" i="3"/>
  <c r="M1043" i="3"/>
  <c r="N1042" i="3"/>
  <c r="M1042" i="3"/>
  <c r="N1041" i="3"/>
  <c r="M1041" i="3"/>
  <c r="N1040" i="3"/>
  <c r="M1040" i="3"/>
  <c r="N1039" i="3"/>
  <c r="M1039" i="3"/>
  <c r="N1038" i="3"/>
  <c r="M1038" i="3"/>
  <c r="N1037" i="3"/>
  <c r="M1037" i="3"/>
  <c r="N1036" i="3"/>
  <c r="M1036" i="3"/>
  <c r="N1035" i="3"/>
  <c r="M1035" i="3"/>
  <c r="N1034" i="3"/>
  <c r="M1034" i="3"/>
  <c r="N1033" i="3"/>
  <c r="M1033" i="3"/>
  <c r="N1032" i="3"/>
  <c r="M1032" i="3"/>
  <c r="N1031" i="3"/>
  <c r="M1031" i="3"/>
  <c r="N1030" i="3"/>
  <c r="M1030" i="3"/>
  <c r="N1029" i="3"/>
  <c r="M1029" i="3"/>
  <c r="N1028" i="3"/>
  <c r="M1028" i="3"/>
  <c r="N1027" i="3"/>
  <c r="M1027" i="3"/>
  <c r="N1026" i="3"/>
  <c r="M1026" i="3"/>
  <c r="N1025" i="3"/>
  <c r="M1025" i="3"/>
  <c r="N1024" i="3"/>
  <c r="M1024" i="3"/>
  <c r="N1023" i="3"/>
  <c r="M1023" i="3"/>
  <c r="N1022" i="3"/>
  <c r="M1022" i="3"/>
  <c r="N1021" i="3"/>
  <c r="M1021" i="3"/>
  <c r="N1020" i="3"/>
  <c r="M1020" i="3"/>
  <c r="N1019" i="3"/>
  <c r="M1019" i="3"/>
  <c r="N1018" i="3"/>
  <c r="M1018" i="3"/>
  <c r="N1017" i="3"/>
  <c r="M1017" i="3"/>
  <c r="N1016" i="3"/>
  <c r="M1016" i="3"/>
  <c r="N1015" i="3"/>
  <c r="M1015" i="3"/>
  <c r="N1014" i="3"/>
  <c r="M1014" i="3"/>
  <c r="N1013" i="3"/>
  <c r="M1013" i="3"/>
  <c r="N1012" i="3"/>
  <c r="M1012" i="3"/>
  <c r="N1011" i="3"/>
  <c r="M1011" i="3"/>
  <c r="N1010" i="3"/>
  <c r="M1010" i="3"/>
  <c r="N1009" i="3"/>
  <c r="M1009" i="3"/>
  <c r="N1008" i="3"/>
  <c r="M1008" i="3"/>
  <c r="N1007" i="3"/>
  <c r="M1007" i="3"/>
  <c r="N1006" i="3"/>
  <c r="M1006" i="3"/>
  <c r="N1005" i="3"/>
  <c r="M1005" i="3"/>
  <c r="N1004" i="3"/>
  <c r="M1004" i="3"/>
  <c r="N1003" i="3"/>
  <c r="M1003" i="3"/>
  <c r="N1002" i="3"/>
  <c r="M1002" i="3"/>
  <c r="N1001" i="3"/>
  <c r="M1001" i="3"/>
  <c r="N1000" i="3"/>
  <c r="M1000" i="3"/>
  <c r="N999" i="3"/>
  <c r="M999" i="3"/>
  <c r="N998" i="3"/>
  <c r="M998" i="3"/>
  <c r="N997" i="3"/>
  <c r="M997" i="3"/>
  <c r="N996" i="3"/>
  <c r="M996" i="3"/>
  <c r="N995" i="3"/>
  <c r="M995" i="3"/>
  <c r="N994" i="3"/>
  <c r="M994" i="3"/>
  <c r="N993" i="3"/>
  <c r="M993" i="3"/>
  <c r="N992" i="3"/>
  <c r="M992" i="3"/>
  <c r="N991" i="3"/>
  <c r="M991" i="3"/>
  <c r="N990" i="3"/>
  <c r="M990" i="3"/>
  <c r="N989" i="3"/>
  <c r="M989" i="3"/>
  <c r="N988" i="3"/>
  <c r="M988" i="3"/>
  <c r="N987" i="3"/>
  <c r="M987" i="3"/>
  <c r="N986" i="3"/>
  <c r="M986" i="3"/>
  <c r="N985" i="3"/>
  <c r="M985" i="3"/>
  <c r="N984" i="3"/>
  <c r="M984" i="3"/>
  <c r="N983" i="3"/>
  <c r="M983" i="3"/>
  <c r="N982" i="3"/>
  <c r="M982" i="3"/>
  <c r="N981" i="3"/>
  <c r="M981" i="3"/>
  <c r="N980" i="3"/>
  <c r="M980" i="3"/>
  <c r="N979" i="3"/>
  <c r="M979" i="3"/>
  <c r="N978" i="3"/>
  <c r="M978" i="3"/>
  <c r="N977" i="3"/>
  <c r="M977" i="3"/>
  <c r="N976" i="3"/>
  <c r="M976" i="3"/>
  <c r="N975" i="3"/>
  <c r="M975" i="3"/>
  <c r="N974" i="3"/>
  <c r="M974" i="3"/>
  <c r="N973" i="3"/>
  <c r="M973" i="3"/>
  <c r="N972" i="3"/>
  <c r="M972" i="3"/>
  <c r="N971" i="3"/>
  <c r="M971" i="3"/>
  <c r="N970" i="3"/>
  <c r="M970" i="3"/>
  <c r="N969" i="3"/>
  <c r="M969" i="3"/>
  <c r="N968" i="3"/>
  <c r="M968" i="3"/>
  <c r="N967" i="3"/>
  <c r="M967" i="3"/>
  <c r="N966" i="3"/>
  <c r="M966" i="3"/>
  <c r="N965" i="3"/>
  <c r="M965" i="3"/>
  <c r="N964" i="3"/>
  <c r="M964" i="3"/>
  <c r="N963" i="3"/>
  <c r="M963" i="3"/>
  <c r="N962" i="3"/>
  <c r="M962" i="3"/>
  <c r="N961" i="3"/>
  <c r="M961" i="3"/>
  <c r="N960" i="3"/>
  <c r="M960" i="3"/>
  <c r="N959" i="3"/>
  <c r="M959" i="3"/>
  <c r="N958" i="3"/>
  <c r="M958" i="3"/>
  <c r="N957" i="3"/>
  <c r="M957" i="3"/>
  <c r="N956" i="3"/>
  <c r="M956" i="3"/>
  <c r="N955" i="3"/>
  <c r="M955" i="3"/>
  <c r="N954" i="3"/>
  <c r="M954" i="3"/>
  <c r="N953" i="3"/>
  <c r="M953" i="3"/>
  <c r="N952" i="3"/>
  <c r="M952" i="3"/>
  <c r="N951" i="3"/>
  <c r="M951" i="3"/>
  <c r="N950" i="3"/>
  <c r="M950" i="3"/>
  <c r="N949" i="3"/>
  <c r="M949" i="3"/>
  <c r="N948" i="3"/>
  <c r="M948" i="3"/>
  <c r="N947" i="3"/>
  <c r="M947" i="3"/>
  <c r="N946" i="3"/>
  <c r="M946" i="3"/>
  <c r="N945" i="3"/>
  <c r="M945" i="3"/>
  <c r="N944" i="3"/>
  <c r="M944" i="3"/>
  <c r="N943" i="3"/>
  <c r="M943" i="3"/>
  <c r="N942" i="3"/>
  <c r="M942" i="3"/>
  <c r="N941" i="3"/>
  <c r="M941" i="3"/>
  <c r="N940" i="3"/>
  <c r="M940" i="3"/>
  <c r="N939" i="3"/>
  <c r="M939" i="3"/>
  <c r="N938" i="3"/>
  <c r="M938" i="3"/>
  <c r="N937" i="3"/>
  <c r="M937" i="3"/>
  <c r="N936" i="3"/>
  <c r="M936" i="3"/>
  <c r="N935" i="3"/>
  <c r="M935" i="3"/>
  <c r="N934" i="3"/>
  <c r="M934" i="3"/>
  <c r="N933" i="3"/>
  <c r="M933" i="3"/>
  <c r="N932" i="3"/>
  <c r="M932" i="3"/>
  <c r="N931" i="3"/>
  <c r="M931" i="3"/>
  <c r="N930" i="3"/>
  <c r="M930" i="3"/>
  <c r="N929" i="3"/>
  <c r="M929" i="3"/>
  <c r="N928" i="3"/>
  <c r="M928" i="3"/>
  <c r="N927" i="3"/>
  <c r="M927" i="3"/>
  <c r="N926" i="3"/>
  <c r="M926" i="3"/>
  <c r="N925" i="3"/>
  <c r="M925" i="3"/>
  <c r="N924" i="3"/>
  <c r="M924" i="3"/>
  <c r="N923" i="3"/>
  <c r="M923" i="3"/>
  <c r="N922" i="3"/>
  <c r="M922" i="3"/>
  <c r="N921" i="3"/>
  <c r="M921" i="3"/>
  <c r="N920" i="3"/>
  <c r="M920" i="3"/>
  <c r="N919" i="3"/>
  <c r="M919" i="3"/>
  <c r="N918" i="3"/>
  <c r="M918" i="3"/>
  <c r="N917" i="3"/>
  <c r="M917" i="3"/>
  <c r="N916" i="3"/>
  <c r="M916" i="3"/>
  <c r="N915" i="3"/>
  <c r="M915" i="3"/>
  <c r="N914" i="3"/>
  <c r="M914" i="3"/>
  <c r="N913" i="3"/>
  <c r="M913" i="3"/>
  <c r="N912" i="3"/>
  <c r="M912" i="3"/>
  <c r="N911" i="3"/>
  <c r="M911" i="3"/>
  <c r="N910" i="3"/>
  <c r="M910" i="3"/>
  <c r="N909" i="3"/>
  <c r="M909" i="3"/>
  <c r="N908" i="3"/>
  <c r="M908" i="3"/>
  <c r="N907" i="3"/>
  <c r="M907" i="3"/>
  <c r="N906" i="3"/>
  <c r="M906" i="3"/>
  <c r="N905" i="3"/>
  <c r="M905" i="3"/>
  <c r="N904" i="3"/>
  <c r="M904" i="3"/>
  <c r="N903" i="3"/>
  <c r="M903" i="3"/>
  <c r="N902" i="3"/>
  <c r="M902" i="3"/>
  <c r="N901" i="3"/>
  <c r="M901" i="3"/>
  <c r="N900" i="3"/>
  <c r="M900" i="3"/>
  <c r="N899" i="3"/>
  <c r="M899" i="3"/>
  <c r="N898" i="3"/>
  <c r="M898" i="3"/>
  <c r="N897" i="3"/>
  <c r="M897" i="3"/>
  <c r="N896" i="3"/>
  <c r="M896" i="3"/>
  <c r="N895" i="3"/>
  <c r="M895" i="3"/>
  <c r="N894" i="3"/>
  <c r="M894" i="3"/>
  <c r="N893" i="3"/>
  <c r="M893" i="3"/>
  <c r="N892" i="3"/>
  <c r="M892" i="3"/>
  <c r="N891" i="3"/>
  <c r="M891" i="3"/>
  <c r="N890" i="3"/>
  <c r="M890" i="3"/>
  <c r="N889" i="3"/>
  <c r="M889" i="3"/>
  <c r="N888" i="3"/>
  <c r="M888" i="3"/>
  <c r="N887" i="3"/>
  <c r="M887" i="3"/>
  <c r="N886" i="3"/>
  <c r="M886" i="3"/>
  <c r="N885" i="3"/>
  <c r="M885" i="3"/>
  <c r="N884" i="3"/>
  <c r="M884" i="3"/>
  <c r="N883" i="3"/>
  <c r="M883" i="3"/>
  <c r="N882" i="3"/>
  <c r="M882" i="3"/>
  <c r="N881" i="3"/>
  <c r="M881" i="3"/>
  <c r="N880" i="3"/>
  <c r="M880" i="3"/>
  <c r="N879" i="3"/>
  <c r="M879" i="3"/>
  <c r="N878" i="3"/>
  <c r="M878" i="3"/>
  <c r="N877" i="3"/>
  <c r="M877" i="3"/>
  <c r="N876" i="3"/>
  <c r="M876" i="3"/>
  <c r="N875" i="3"/>
  <c r="M875" i="3"/>
  <c r="N874" i="3"/>
  <c r="M874" i="3"/>
  <c r="N873" i="3"/>
  <c r="M873" i="3"/>
  <c r="N872" i="3"/>
  <c r="M872" i="3"/>
  <c r="N871" i="3"/>
  <c r="M871" i="3"/>
  <c r="N870" i="3"/>
  <c r="M870" i="3"/>
  <c r="N869" i="3"/>
  <c r="M869" i="3"/>
  <c r="N868" i="3"/>
  <c r="M868" i="3"/>
  <c r="N867" i="3"/>
  <c r="M867" i="3"/>
  <c r="N866" i="3"/>
  <c r="M866" i="3"/>
  <c r="N865" i="3"/>
  <c r="M865" i="3"/>
  <c r="N864" i="3"/>
  <c r="M864" i="3"/>
  <c r="N863" i="3"/>
  <c r="M863" i="3"/>
  <c r="N862" i="3"/>
  <c r="M862" i="3"/>
  <c r="N861" i="3"/>
  <c r="M861" i="3"/>
  <c r="N860" i="3"/>
  <c r="M860" i="3"/>
  <c r="N859" i="3"/>
  <c r="M859" i="3"/>
  <c r="N858" i="3"/>
  <c r="M858" i="3"/>
  <c r="N857" i="3"/>
  <c r="M857" i="3"/>
  <c r="N856" i="3"/>
  <c r="M856" i="3"/>
  <c r="N855" i="3"/>
  <c r="M855" i="3"/>
  <c r="N854" i="3"/>
  <c r="M854" i="3"/>
  <c r="N853" i="3"/>
  <c r="M853" i="3"/>
  <c r="N852" i="3"/>
  <c r="M852" i="3"/>
  <c r="N851" i="3"/>
  <c r="M851" i="3"/>
  <c r="N850" i="3"/>
  <c r="M850" i="3"/>
  <c r="N849" i="3"/>
  <c r="M849" i="3"/>
  <c r="N848" i="3"/>
  <c r="M848" i="3"/>
  <c r="N847" i="3"/>
  <c r="M847" i="3"/>
  <c r="N846" i="3"/>
  <c r="M846" i="3"/>
  <c r="N845" i="3"/>
  <c r="M845" i="3"/>
  <c r="N844" i="3"/>
  <c r="M844" i="3"/>
  <c r="N843" i="3"/>
  <c r="M843" i="3"/>
  <c r="N842" i="3"/>
  <c r="M842" i="3"/>
  <c r="N841" i="3"/>
  <c r="M841" i="3"/>
  <c r="N840" i="3"/>
  <c r="M840" i="3"/>
  <c r="N839" i="3"/>
  <c r="M839" i="3"/>
  <c r="N838" i="3"/>
  <c r="M838" i="3"/>
  <c r="N837" i="3"/>
  <c r="M837" i="3"/>
  <c r="N836" i="3"/>
  <c r="M836" i="3"/>
  <c r="N835" i="3"/>
  <c r="M835" i="3"/>
  <c r="N834" i="3"/>
  <c r="M834" i="3"/>
  <c r="N833" i="3"/>
  <c r="M833" i="3"/>
  <c r="N832" i="3"/>
  <c r="M832" i="3"/>
  <c r="N831" i="3"/>
  <c r="M831" i="3"/>
  <c r="N830" i="3"/>
  <c r="M830" i="3"/>
  <c r="N829" i="3"/>
  <c r="M829" i="3"/>
  <c r="N828" i="3"/>
  <c r="M828" i="3"/>
  <c r="N827" i="3"/>
  <c r="M827" i="3"/>
  <c r="N826" i="3"/>
  <c r="M826" i="3"/>
  <c r="N825" i="3"/>
  <c r="M825" i="3"/>
  <c r="N824" i="3"/>
  <c r="M824" i="3"/>
  <c r="N823" i="3"/>
  <c r="M823" i="3"/>
  <c r="N822" i="3"/>
  <c r="M822" i="3"/>
  <c r="N821" i="3"/>
  <c r="M821" i="3"/>
  <c r="N820" i="3"/>
  <c r="M820" i="3"/>
  <c r="N819" i="3"/>
  <c r="M819" i="3"/>
  <c r="N818" i="3"/>
  <c r="M818" i="3"/>
  <c r="N817" i="3"/>
  <c r="M817" i="3"/>
  <c r="N816" i="3"/>
  <c r="M816" i="3"/>
  <c r="N815" i="3"/>
  <c r="M815" i="3"/>
  <c r="N814" i="3"/>
  <c r="M814" i="3"/>
  <c r="N813" i="3"/>
  <c r="M813" i="3"/>
  <c r="N812" i="3"/>
  <c r="M812" i="3"/>
  <c r="N811" i="3"/>
  <c r="M811" i="3"/>
  <c r="N810" i="3"/>
  <c r="M810" i="3"/>
  <c r="N809" i="3"/>
  <c r="M809" i="3"/>
  <c r="N808" i="3"/>
  <c r="M808" i="3"/>
  <c r="N807" i="3"/>
  <c r="M807" i="3"/>
  <c r="N806" i="3"/>
  <c r="M806" i="3"/>
  <c r="N805" i="3"/>
  <c r="M805" i="3"/>
  <c r="N804" i="3"/>
  <c r="M804" i="3"/>
  <c r="N803" i="3"/>
  <c r="M803" i="3"/>
  <c r="N802" i="3"/>
  <c r="M802" i="3"/>
  <c r="N801" i="3"/>
  <c r="M801" i="3"/>
  <c r="N800" i="3"/>
  <c r="M800" i="3"/>
  <c r="N799" i="3"/>
  <c r="M799" i="3"/>
  <c r="N798" i="3"/>
  <c r="M798" i="3"/>
  <c r="N797" i="3"/>
  <c r="M797" i="3"/>
  <c r="N796" i="3"/>
  <c r="M796" i="3"/>
  <c r="N795" i="3"/>
  <c r="M795" i="3"/>
  <c r="N794" i="3"/>
  <c r="M794" i="3"/>
  <c r="N793" i="3"/>
  <c r="M793" i="3"/>
  <c r="N792" i="3"/>
  <c r="M792" i="3"/>
  <c r="N791" i="3"/>
  <c r="M791" i="3"/>
  <c r="N790" i="3"/>
  <c r="M790" i="3"/>
  <c r="N789" i="3"/>
  <c r="M789" i="3"/>
  <c r="N788" i="3"/>
  <c r="M788" i="3"/>
  <c r="N787" i="3"/>
  <c r="M787" i="3"/>
  <c r="N786" i="3"/>
  <c r="M786" i="3"/>
  <c r="N785" i="3"/>
  <c r="M785" i="3"/>
  <c r="N784" i="3"/>
  <c r="M784" i="3"/>
  <c r="N783" i="3"/>
  <c r="M783" i="3"/>
  <c r="N782" i="3"/>
  <c r="M782" i="3"/>
  <c r="N781" i="3"/>
  <c r="M781" i="3"/>
  <c r="N780" i="3"/>
  <c r="M780" i="3"/>
  <c r="N779" i="3"/>
  <c r="M779" i="3"/>
  <c r="N778" i="3"/>
  <c r="M778" i="3"/>
  <c r="N777" i="3"/>
  <c r="M777" i="3"/>
  <c r="N776" i="3"/>
  <c r="M776" i="3"/>
  <c r="N775" i="3"/>
  <c r="M775" i="3"/>
  <c r="N774" i="3"/>
  <c r="M774" i="3"/>
  <c r="N773" i="3"/>
  <c r="M773" i="3"/>
  <c r="N772" i="3"/>
  <c r="M772" i="3"/>
  <c r="N771" i="3"/>
  <c r="M771" i="3"/>
  <c r="N770" i="3"/>
  <c r="M770" i="3"/>
  <c r="N769" i="3"/>
  <c r="M769" i="3"/>
  <c r="N768" i="3"/>
  <c r="M768" i="3"/>
  <c r="N767" i="3"/>
  <c r="M767" i="3"/>
  <c r="N766" i="3"/>
  <c r="M766" i="3"/>
  <c r="N765" i="3"/>
  <c r="M765" i="3"/>
  <c r="N764" i="3"/>
  <c r="M764" i="3"/>
  <c r="N763" i="3"/>
  <c r="M763" i="3"/>
  <c r="N762" i="3"/>
  <c r="M762" i="3"/>
  <c r="N761" i="3"/>
  <c r="M761" i="3"/>
  <c r="N760" i="3"/>
  <c r="M760" i="3"/>
  <c r="N759" i="3"/>
  <c r="M759" i="3"/>
  <c r="N758" i="3"/>
  <c r="M758" i="3"/>
  <c r="N757" i="3"/>
  <c r="M757" i="3"/>
  <c r="N756" i="3"/>
  <c r="M756" i="3"/>
  <c r="N755" i="3"/>
  <c r="M755" i="3"/>
  <c r="N754" i="3"/>
  <c r="M754" i="3"/>
  <c r="N753" i="3"/>
  <c r="M753" i="3"/>
  <c r="N752" i="3"/>
  <c r="M752" i="3"/>
  <c r="N751" i="3"/>
  <c r="M751" i="3"/>
  <c r="N750" i="3"/>
  <c r="M750" i="3"/>
  <c r="N749" i="3"/>
  <c r="M749" i="3"/>
  <c r="N748" i="3"/>
  <c r="M748" i="3"/>
  <c r="N747" i="3"/>
  <c r="M747" i="3"/>
  <c r="N746" i="3"/>
  <c r="M746" i="3"/>
  <c r="N745" i="3"/>
  <c r="M745" i="3"/>
  <c r="N744" i="3"/>
  <c r="M744" i="3"/>
  <c r="N743" i="3"/>
  <c r="M743" i="3"/>
  <c r="N742" i="3"/>
  <c r="M742" i="3"/>
  <c r="N741" i="3"/>
  <c r="M741" i="3"/>
  <c r="N740" i="3"/>
  <c r="M740" i="3"/>
  <c r="N739" i="3"/>
  <c r="M739" i="3"/>
  <c r="N738" i="3"/>
  <c r="M738" i="3"/>
  <c r="N737" i="3"/>
  <c r="M737" i="3"/>
  <c r="N736" i="3"/>
  <c r="M736" i="3"/>
  <c r="N735" i="3"/>
  <c r="M735" i="3"/>
  <c r="N734" i="3"/>
  <c r="M734" i="3"/>
  <c r="N733" i="3"/>
  <c r="M733" i="3"/>
  <c r="N732" i="3"/>
  <c r="M732" i="3"/>
  <c r="N731" i="3"/>
  <c r="M731" i="3"/>
  <c r="N730" i="3"/>
  <c r="M730" i="3"/>
  <c r="N729" i="3"/>
  <c r="M729" i="3"/>
  <c r="N728" i="3"/>
  <c r="M728" i="3"/>
  <c r="N727" i="3"/>
  <c r="M727" i="3"/>
  <c r="N726" i="3"/>
  <c r="M726" i="3"/>
  <c r="N725" i="3"/>
  <c r="M725" i="3"/>
  <c r="N724" i="3"/>
  <c r="M724" i="3"/>
  <c r="N723" i="3"/>
  <c r="M723" i="3"/>
  <c r="N722" i="3"/>
  <c r="M722" i="3"/>
  <c r="N721" i="3"/>
  <c r="M721" i="3"/>
  <c r="N720" i="3"/>
  <c r="M720" i="3"/>
  <c r="N719" i="3"/>
  <c r="M719" i="3"/>
  <c r="N718" i="3"/>
  <c r="M718" i="3"/>
  <c r="N717" i="3"/>
  <c r="M717" i="3"/>
  <c r="N716" i="3"/>
  <c r="M716" i="3"/>
  <c r="N715" i="3"/>
  <c r="M715" i="3"/>
  <c r="N714" i="3"/>
  <c r="M714" i="3"/>
  <c r="N713" i="3"/>
  <c r="M713" i="3"/>
  <c r="N712" i="3"/>
  <c r="M712" i="3"/>
  <c r="N711" i="3"/>
  <c r="M711" i="3"/>
  <c r="N710" i="3"/>
  <c r="M710" i="3"/>
  <c r="N709" i="3"/>
  <c r="M709" i="3"/>
  <c r="N708" i="3"/>
  <c r="M708" i="3"/>
  <c r="N707" i="3"/>
  <c r="M707" i="3"/>
  <c r="N706" i="3"/>
  <c r="M706" i="3"/>
  <c r="N705" i="3"/>
  <c r="M705" i="3"/>
  <c r="N704" i="3"/>
  <c r="M704" i="3"/>
  <c r="N703" i="3"/>
  <c r="M703" i="3"/>
  <c r="N702" i="3"/>
  <c r="M702" i="3"/>
  <c r="N701" i="3"/>
  <c r="M701" i="3"/>
  <c r="N700" i="3"/>
  <c r="M700" i="3"/>
  <c r="N699" i="3"/>
  <c r="M699" i="3"/>
  <c r="N698" i="3"/>
  <c r="M698" i="3"/>
  <c r="N697" i="3"/>
  <c r="M697" i="3"/>
  <c r="N696" i="3"/>
  <c r="M696" i="3"/>
  <c r="N695" i="3"/>
  <c r="M695" i="3"/>
  <c r="N694" i="3"/>
  <c r="M694" i="3"/>
  <c r="N693" i="3"/>
  <c r="M693" i="3"/>
  <c r="N692" i="3"/>
  <c r="M692" i="3"/>
  <c r="N691" i="3"/>
  <c r="M691" i="3"/>
  <c r="N690" i="3"/>
  <c r="M690" i="3"/>
  <c r="N689" i="3"/>
  <c r="M689" i="3"/>
  <c r="N688" i="3"/>
  <c r="M688" i="3"/>
  <c r="N687" i="3"/>
  <c r="M687" i="3"/>
  <c r="N686" i="3"/>
  <c r="M686" i="3"/>
  <c r="N685" i="3"/>
  <c r="M685" i="3"/>
  <c r="N684" i="3"/>
  <c r="M684" i="3"/>
  <c r="N683" i="3"/>
  <c r="M683" i="3"/>
  <c r="N682" i="3"/>
  <c r="M682" i="3"/>
  <c r="N681" i="3"/>
  <c r="M681" i="3"/>
  <c r="N680" i="3"/>
  <c r="M680" i="3"/>
  <c r="N679" i="3"/>
  <c r="M679" i="3"/>
  <c r="N678" i="3"/>
  <c r="M678" i="3"/>
  <c r="N677" i="3"/>
  <c r="M677" i="3"/>
  <c r="N676" i="3"/>
  <c r="M676" i="3"/>
  <c r="N675" i="3"/>
  <c r="M675" i="3"/>
  <c r="N674" i="3"/>
  <c r="M674" i="3"/>
  <c r="N673" i="3"/>
  <c r="M673" i="3"/>
  <c r="N672" i="3"/>
  <c r="M672" i="3"/>
  <c r="N671" i="3"/>
  <c r="M671" i="3"/>
  <c r="N670" i="3"/>
  <c r="M670" i="3"/>
  <c r="N669" i="3"/>
  <c r="M669" i="3"/>
  <c r="N668" i="3"/>
  <c r="M668" i="3"/>
  <c r="N667" i="3"/>
  <c r="M667" i="3"/>
  <c r="N666" i="3"/>
  <c r="M666" i="3"/>
  <c r="N665" i="3"/>
  <c r="M665" i="3"/>
  <c r="N664" i="3"/>
  <c r="M664" i="3"/>
  <c r="N663" i="3"/>
  <c r="M663" i="3"/>
  <c r="N662" i="3"/>
  <c r="M662" i="3"/>
  <c r="N661" i="3"/>
  <c r="M661" i="3"/>
  <c r="N660" i="3"/>
  <c r="M660" i="3"/>
  <c r="N659" i="3"/>
  <c r="M659" i="3"/>
  <c r="N658" i="3"/>
  <c r="M658" i="3"/>
  <c r="N657" i="3"/>
  <c r="M657" i="3"/>
  <c r="N656" i="3"/>
  <c r="M656" i="3"/>
  <c r="N655" i="3"/>
  <c r="M655" i="3"/>
  <c r="N654" i="3"/>
  <c r="M654" i="3"/>
  <c r="N653" i="3"/>
  <c r="M653" i="3"/>
  <c r="N652" i="3"/>
  <c r="M652" i="3"/>
  <c r="N651" i="3"/>
  <c r="M651" i="3"/>
  <c r="N650" i="3"/>
  <c r="M650" i="3"/>
  <c r="N649" i="3"/>
  <c r="M649" i="3"/>
  <c r="N648" i="3"/>
  <c r="M648" i="3"/>
  <c r="N647" i="3"/>
  <c r="M647" i="3"/>
  <c r="N646" i="3"/>
  <c r="M646" i="3"/>
  <c r="N645" i="3"/>
  <c r="M645" i="3"/>
  <c r="N644" i="3"/>
  <c r="M644" i="3"/>
  <c r="N643" i="3"/>
  <c r="M643" i="3"/>
  <c r="N642" i="3"/>
  <c r="M642" i="3"/>
  <c r="N641" i="3"/>
  <c r="M641" i="3"/>
  <c r="N640" i="3"/>
  <c r="M640" i="3"/>
  <c r="N639" i="3"/>
  <c r="M639" i="3"/>
  <c r="N638" i="3"/>
  <c r="M638" i="3"/>
  <c r="N637" i="3"/>
  <c r="M637" i="3"/>
  <c r="N636" i="3"/>
  <c r="M636" i="3"/>
  <c r="N635" i="3"/>
  <c r="M635" i="3"/>
  <c r="N634" i="3"/>
  <c r="M634" i="3"/>
  <c r="N633" i="3"/>
  <c r="M633" i="3"/>
  <c r="N632" i="3"/>
  <c r="M632" i="3"/>
  <c r="N631" i="3"/>
  <c r="M631" i="3"/>
  <c r="N630" i="3"/>
  <c r="M630" i="3"/>
  <c r="N629" i="3"/>
  <c r="M629" i="3"/>
  <c r="N628" i="3"/>
  <c r="M628" i="3"/>
  <c r="N627" i="3"/>
  <c r="M627" i="3"/>
  <c r="N626" i="3"/>
  <c r="M626" i="3"/>
  <c r="N625" i="3"/>
  <c r="M625" i="3"/>
  <c r="N624" i="3"/>
  <c r="M624" i="3"/>
  <c r="N623" i="3"/>
  <c r="M623" i="3"/>
  <c r="N622" i="3"/>
  <c r="M622" i="3"/>
  <c r="N621" i="3"/>
  <c r="M621" i="3"/>
  <c r="N620" i="3"/>
  <c r="M620" i="3"/>
  <c r="N619" i="3"/>
  <c r="M619" i="3"/>
  <c r="N618" i="3"/>
  <c r="M618" i="3"/>
  <c r="N617" i="3"/>
  <c r="M617" i="3"/>
  <c r="N616" i="3"/>
  <c r="M616" i="3"/>
  <c r="N615" i="3"/>
  <c r="M615" i="3"/>
  <c r="N614" i="3"/>
  <c r="M614" i="3"/>
  <c r="N613" i="3"/>
  <c r="M613" i="3"/>
  <c r="N612" i="3"/>
  <c r="M612" i="3"/>
  <c r="N611" i="3"/>
  <c r="M611" i="3"/>
  <c r="N610" i="3"/>
  <c r="M610" i="3"/>
  <c r="N609" i="3"/>
  <c r="M609" i="3"/>
  <c r="N608" i="3"/>
  <c r="M608" i="3"/>
  <c r="N607" i="3"/>
  <c r="M607" i="3"/>
  <c r="N606" i="3"/>
  <c r="M606" i="3"/>
  <c r="N605" i="3"/>
  <c r="M605" i="3"/>
  <c r="N604" i="3"/>
  <c r="M604" i="3"/>
  <c r="N603" i="3"/>
  <c r="M603" i="3"/>
  <c r="N602" i="3"/>
  <c r="M602" i="3"/>
  <c r="N601" i="3"/>
  <c r="M601" i="3"/>
  <c r="N600" i="3"/>
  <c r="M600" i="3"/>
  <c r="N599" i="3"/>
  <c r="M599" i="3"/>
  <c r="N598" i="3"/>
  <c r="M598" i="3"/>
  <c r="N597" i="3"/>
  <c r="M597" i="3"/>
  <c r="N596" i="3"/>
  <c r="M596" i="3"/>
  <c r="N595" i="3"/>
  <c r="M595" i="3"/>
  <c r="N594" i="3"/>
  <c r="M594" i="3"/>
  <c r="N593" i="3"/>
  <c r="M593" i="3"/>
  <c r="N592" i="3"/>
  <c r="M592" i="3"/>
  <c r="N591" i="3"/>
  <c r="M591" i="3"/>
  <c r="N590" i="3"/>
  <c r="M590" i="3"/>
  <c r="N589" i="3"/>
  <c r="M589" i="3"/>
  <c r="N588" i="3"/>
  <c r="M588" i="3"/>
  <c r="N587" i="3"/>
  <c r="M587" i="3"/>
  <c r="N586" i="3"/>
  <c r="M586" i="3"/>
  <c r="N585" i="3"/>
  <c r="M585" i="3"/>
  <c r="N584" i="3"/>
  <c r="M584" i="3"/>
  <c r="N583" i="3"/>
  <c r="M583" i="3"/>
  <c r="N582" i="3"/>
  <c r="M582" i="3"/>
  <c r="N581" i="3"/>
  <c r="M581" i="3"/>
  <c r="N580" i="3"/>
  <c r="M580" i="3"/>
  <c r="N579" i="3"/>
  <c r="M579" i="3"/>
  <c r="N578" i="3"/>
  <c r="M578" i="3"/>
  <c r="N577" i="3"/>
  <c r="M577" i="3"/>
  <c r="N576" i="3"/>
  <c r="M576" i="3"/>
  <c r="N575" i="3"/>
  <c r="M575" i="3"/>
  <c r="N574" i="3"/>
  <c r="M574" i="3"/>
  <c r="N573" i="3"/>
  <c r="M573" i="3"/>
  <c r="N572" i="3"/>
  <c r="M572" i="3"/>
  <c r="N571" i="3"/>
  <c r="M571" i="3"/>
  <c r="N570" i="3"/>
  <c r="M570" i="3"/>
  <c r="N569" i="3"/>
  <c r="M569" i="3"/>
  <c r="N568" i="3"/>
  <c r="M568" i="3"/>
  <c r="N567" i="3"/>
  <c r="M567" i="3"/>
  <c r="N566" i="3"/>
  <c r="M566" i="3"/>
  <c r="N565" i="3"/>
  <c r="M565" i="3"/>
  <c r="N564" i="3"/>
  <c r="M564" i="3"/>
  <c r="N563" i="3"/>
  <c r="M563" i="3"/>
  <c r="N562" i="3"/>
  <c r="M562" i="3"/>
  <c r="N561" i="3"/>
  <c r="M561" i="3"/>
  <c r="N560" i="3"/>
  <c r="M560" i="3"/>
  <c r="N559" i="3"/>
  <c r="M559" i="3"/>
  <c r="N558" i="3"/>
  <c r="M558" i="3"/>
  <c r="N557" i="3"/>
  <c r="M557" i="3"/>
  <c r="N556" i="3"/>
  <c r="M556" i="3"/>
  <c r="N555" i="3"/>
  <c r="M555" i="3"/>
  <c r="N554" i="3"/>
  <c r="M554" i="3"/>
  <c r="N553" i="3"/>
  <c r="M553" i="3"/>
  <c r="N552" i="3"/>
  <c r="M552" i="3"/>
  <c r="N551" i="3"/>
  <c r="M551" i="3"/>
  <c r="N550" i="3"/>
  <c r="M550" i="3"/>
  <c r="N549" i="3"/>
  <c r="M549" i="3"/>
  <c r="N548" i="3"/>
  <c r="M548" i="3"/>
  <c r="N547" i="3"/>
  <c r="M547" i="3"/>
  <c r="N546" i="3"/>
  <c r="M546" i="3"/>
  <c r="N545" i="3"/>
  <c r="M545" i="3"/>
  <c r="N544" i="3"/>
  <c r="M544" i="3"/>
  <c r="N543" i="3"/>
  <c r="M543" i="3"/>
  <c r="N542" i="3"/>
  <c r="M542" i="3"/>
  <c r="N541" i="3"/>
  <c r="M541" i="3"/>
  <c r="N540" i="3"/>
  <c r="M540" i="3"/>
  <c r="N539" i="3"/>
  <c r="M539" i="3"/>
  <c r="N538" i="3"/>
  <c r="M538" i="3"/>
  <c r="N537" i="3"/>
  <c r="M537" i="3"/>
  <c r="N536" i="3"/>
  <c r="M536" i="3"/>
  <c r="N535" i="3"/>
  <c r="M535" i="3"/>
  <c r="N534" i="3"/>
  <c r="M534" i="3"/>
  <c r="N533" i="3"/>
  <c r="M533" i="3"/>
  <c r="N532" i="3"/>
  <c r="M532" i="3"/>
  <c r="N531" i="3"/>
  <c r="M531" i="3"/>
  <c r="N530" i="3"/>
  <c r="M530" i="3"/>
  <c r="N529" i="3"/>
  <c r="M529" i="3"/>
  <c r="N528" i="3"/>
  <c r="M528" i="3"/>
  <c r="N527" i="3"/>
  <c r="M527" i="3"/>
  <c r="N526" i="3"/>
  <c r="M526" i="3"/>
  <c r="N525" i="3"/>
  <c r="M525" i="3"/>
  <c r="N524" i="3"/>
  <c r="M524" i="3"/>
  <c r="N523" i="3"/>
  <c r="M523" i="3"/>
  <c r="N522" i="3"/>
  <c r="M522" i="3"/>
  <c r="N521" i="3"/>
  <c r="M521" i="3"/>
  <c r="N520" i="3"/>
  <c r="M520" i="3"/>
  <c r="N519" i="3"/>
  <c r="M519" i="3"/>
  <c r="N518" i="3"/>
  <c r="M518" i="3"/>
  <c r="N517" i="3"/>
  <c r="M517" i="3"/>
  <c r="N516" i="3"/>
  <c r="M516" i="3"/>
  <c r="N515" i="3"/>
  <c r="M515" i="3"/>
  <c r="N514" i="3"/>
  <c r="M514" i="3"/>
  <c r="N513" i="3"/>
  <c r="M513" i="3"/>
  <c r="N512" i="3"/>
  <c r="M512" i="3"/>
  <c r="N511" i="3"/>
  <c r="M511" i="3"/>
  <c r="N510" i="3"/>
  <c r="M510" i="3"/>
  <c r="N509" i="3"/>
  <c r="M509" i="3"/>
  <c r="N508" i="3"/>
  <c r="M508" i="3"/>
  <c r="N507" i="3"/>
  <c r="M507" i="3"/>
  <c r="N506" i="3"/>
  <c r="M506" i="3"/>
  <c r="N505" i="3"/>
  <c r="M505" i="3"/>
  <c r="N504" i="3"/>
  <c r="M504" i="3"/>
  <c r="N503" i="3"/>
  <c r="M503" i="3"/>
  <c r="N502" i="3"/>
  <c r="M502" i="3"/>
  <c r="N501" i="3"/>
  <c r="M501" i="3"/>
  <c r="N500" i="3"/>
  <c r="M500" i="3"/>
  <c r="N499" i="3"/>
  <c r="M499" i="3"/>
  <c r="N498" i="3"/>
  <c r="M498" i="3"/>
  <c r="N497" i="3"/>
  <c r="M497" i="3"/>
  <c r="N496" i="3"/>
  <c r="M496" i="3"/>
  <c r="N495" i="3"/>
  <c r="M495" i="3"/>
  <c r="N494" i="3"/>
  <c r="M494" i="3"/>
  <c r="N493" i="3"/>
  <c r="M493" i="3"/>
  <c r="N492" i="3"/>
  <c r="M492" i="3"/>
  <c r="N491" i="3"/>
  <c r="M491" i="3"/>
  <c r="N490" i="3"/>
  <c r="M490" i="3"/>
  <c r="N489" i="3"/>
  <c r="M489" i="3"/>
  <c r="N488" i="3"/>
  <c r="M488" i="3"/>
  <c r="N487" i="3"/>
  <c r="M487" i="3"/>
  <c r="N486" i="3"/>
  <c r="M486" i="3"/>
  <c r="N485" i="3"/>
  <c r="M485" i="3"/>
  <c r="N484" i="3"/>
  <c r="M484" i="3"/>
  <c r="N483" i="3"/>
  <c r="M483" i="3"/>
  <c r="N482" i="3"/>
  <c r="M482" i="3"/>
  <c r="N481" i="3"/>
  <c r="M481" i="3"/>
  <c r="N480" i="3"/>
  <c r="M480" i="3"/>
  <c r="N479" i="3"/>
  <c r="M479" i="3"/>
  <c r="N478" i="3"/>
  <c r="M478" i="3"/>
  <c r="N477" i="3"/>
  <c r="M477" i="3"/>
  <c r="N476" i="3"/>
  <c r="M476" i="3"/>
  <c r="N475" i="3"/>
  <c r="M475" i="3"/>
  <c r="N474" i="3"/>
  <c r="M474" i="3"/>
  <c r="N473" i="3"/>
  <c r="M473" i="3"/>
  <c r="N472" i="3"/>
  <c r="M472" i="3"/>
  <c r="N471" i="3"/>
  <c r="M471" i="3"/>
  <c r="N470" i="3"/>
  <c r="M470" i="3"/>
  <c r="N469" i="3"/>
  <c r="M469" i="3"/>
  <c r="N468" i="3"/>
  <c r="M468" i="3"/>
  <c r="N467" i="3"/>
  <c r="M467" i="3"/>
  <c r="N466" i="3"/>
  <c r="M466" i="3"/>
  <c r="N465" i="3"/>
  <c r="M465" i="3"/>
  <c r="N464" i="3"/>
  <c r="M464" i="3"/>
  <c r="N463" i="3"/>
  <c r="M463" i="3"/>
  <c r="N462" i="3"/>
  <c r="M462" i="3"/>
  <c r="N461" i="3"/>
  <c r="M461" i="3"/>
  <c r="N460" i="3"/>
  <c r="M460" i="3"/>
  <c r="N459" i="3"/>
  <c r="M459" i="3"/>
  <c r="N458" i="3"/>
  <c r="M458" i="3"/>
  <c r="N457" i="3"/>
  <c r="M457" i="3"/>
  <c r="N456" i="3"/>
  <c r="M456" i="3"/>
  <c r="N455" i="3"/>
  <c r="M455" i="3"/>
  <c r="N454" i="3"/>
  <c r="M454" i="3"/>
  <c r="N453" i="3"/>
  <c r="M453" i="3"/>
  <c r="N452" i="3"/>
  <c r="M452" i="3"/>
  <c r="N451" i="3"/>
  <c r="M451" i="3"/>
  <c r="N450" i="3"/>
  <c r="M450" i="3"/>
  <c r="N449" i="3"/>
  <c r="M449" i="3"/>
  <c r="N448" i="3"/>
  <c r="M448" i="3"/>
  <c r="N447" i="3"/>
  <c r="M447" i="3"/>
  <c r="N446" i="3"/>
  <c r="M446" i="3"/>
  <c r="N445" i="3"/>
  <c r="M445" i="3"/>
  <c r="N444" i="3"/>
  <c r="M444" i="3"/>
  <c r="N443" i="3"/>
  <c r="M443" i="3"/>
  <c r="N442" i="3"/>
  <c r="M442" i="3"/>
  <c r="N441" i="3"/>
  <c r="M441" i="3"/>
  <c r="N440" i="3"/>
  <c r="M440" i="3"/>
  <c r="N439" i="3"/>
  <c r="M439" i="3"/>
  <c r="N438" i="3"/>
  <c r="M438" i="3"/>
  <c r="N437" i="3"/>
  <c r="M437" i="3"/>
  <c r="N436" i="3"/>
  <c r="M436" i="3"/>
  <c r="N435" i="3"/>
  <c r="M435" i="3"/>
  <c r="N434" i="3"/>
  <c r="M434" i="3"/>
  <c r="N433" i="3"/>
  <c r="M433" i="3"/>
  <c r="N432" i="3"/>
  <c r="M432" i="3"/>
  <c r="N431" i="3"/>
  <c r="M431" i="3"/>
  <c r="N430" i="3"/>
  <c r="M430" i="3"/>
  <c r="N429" i="3"/>
  <c r="M429" i="3"/>
  <c r="N428" i="3"/>
  <c r="M428" i="3"/>
  <c r="N427" i="3"/>
  <c r="M427" i="3"/>
  <c r="N426" i="3"/>
  <c r="M426" i="3"/>
  <c r="N425" i="3"/>
  <c r="M425" i="3"/>
  <c r="N424" i="3"/>
  <c r="M424" i="3"/>
  <c r="N423" i="3"/>
  <c r="M423" i="3"/>
  <c r="N422" i="3"/>
  <c r="M422" i="3"/>
  <c r="N421" i="3"/>
  <c r="M421" i="3"/>
  <c r="N420" i="3"/>
  <c r="M420" i="3"/>
  <c r="N419" i="3"/>
  <c r="M419" i="3"/>
  <c r="N418" i="3"/>
  <c r="M418" i="3"/>
  <c r="N417" i="3"/>
  <c r="M417" i="3"/>
  <c r="N416" i="3"/>
  <c r="M416" i="3"/>
  <c r="N415" i="3"/>
  <c r="M415" i="3"/>
  <c r="N414" i="3"/>
  <c r="M414" i="3"/>
  <c r="N413" i="3"/>
  <c r="M413" i="3"/>
  <c r="N412" i="3"/>
  <c r="M412" i="3"/>
  <c r="N411" i="3"/>
  <c r="M411" i="3"/>
  <c r="N410" i="3"/>
  <c r="M410" i="3"/>
  <c r="N409" i="3"/>
  <c r="M409" i="3"/>
  <c r="N408" i="3"/>
  <c r="M408" i="3"/>
  <c r="N407" i="3"/>
  <c r="M407" i="3"/>
  <c r="N406" i="3"/>
  <c r="M406" i="3"/>
  <c r="N405" i="3"/>
  <c r="M405" i="3"/>
  <c r="N404" i="3"/>
  <c r="M404" i="3"/>
  <c r="N403" i="3"/>
  <c r="M403" i="3"/>
  <c r="N402" i="3"/>
  <c r="M402" i="3"/>
  <c r="N401" i="3"/>
  <c r="M401" i="3"/>
  <c r="N400" i="3"/>
  <c r="M400" i="3"/>
  <c r="N399" i="3"/>
  <c r="M399" i="3"/>
  <c r="N398" i="3"/>
  <c r="M398" i="3"/>
  <c r="N397" i="3"/>
  <c r="M397" i="3"/>
  <c r="N396" i="3"/>
  <c r="M396" i="3"/>
  <c r="N395" i="3"/>
  <c r="M395" i="3"/>
  <c r="N394" i="3"/>
  <c r="M394" i="3"/>
  <c r="N393" i="3"/>
  <c r="M393" i="3"/>
  <c r="N392" i="3"/>
  <c r="M392" i="3"/>
  <c r="N391" i="3"/>
  <c r="M391" i="3"/>
  <c r="N390" i="3"/>
  <c r="M390" i="3"/>
  <c r="N389" i="3"/>
  <c r="M389" i="3"/>
  <c r="N388" i="3"/>
  <c r="M388" i="3"/>
  <c r="N387" i="3"/>
  <c r="M387" i="3"/>
  <c r="N386" i="3"/>
  <c r="M386" i="3"/>
  <c r="N385" i="3"/>
  <c r="M385" i="3"/>
  <c r="N384" i="3"/>
  <c r="M384" i="3"/>
  <c r="N383" i="3"/>
  <c r="M383" i="3"/>
  <c r="N382" i="3"/>
  <c r="M382" i="3"/>
  <c r="N381" i="3"/>
  <c r="M381" i="3"/>
  <c r="N380" i="3"/>
  <c r="M380" i="3"/>
  <c r="N379" i="3"/>
  <c r="M379" i="3"/>
  <c r="N378" i="3"/>
  <c r="M378" i="3"/>
  <c r="N377" i="3"/>
  <c r="M377" i="3"/>
  <c r="N376" i="3"/>
  <c r="M376" i="3"/>
  <c r="N375" i="3"/>
  <c r="M375" i="3"/>
  <c r="N374" i="3"/>
  <c r="M374" i="3"/>
  <c r="N373" i="3"/>
  <c r="M373" i="3"/>
  <c r="N372" i="3"/>
  <c r="M372" i="3"/>
  <c r="N371" i="3"/>
  <c r="M371" i="3"/>
  <c r="N370" i="3"/>
  <c r="M370" i="3"/>
  <c r="N369" i="3"/>
  <c r="M369" i="3"/>
  <c r="N368" i="3"/>
  <c r="M368" i="3"/>
  <c r="N367" i="3"/>
  <c r="M367" i="3"/>
  <c r="N366" i="3"/>
  <c r="M366" i="3"/>
  <c r="N365" i="3"/>
  <c r="M365" i="3"/>
  <c r="N364" i="3"/>
  <c r="M364" i="3"/>
  <c r="N363" i="3"/>
  <c r="M363" i="3"/>
  <c r="N362" i="3"/>
  <c r="M362" i="3"/>
  <c r="N361" i="3"/>
  <c r="M361" i="3"/>
  <c r="N360" i="3"/>
  <c r="M360" i="3"/>
  <c r="N359" i="3"/>
  <c r="M359" i="3"/>
  <c r="N358" i="3"/>
  <c r="M358" i="3"/>
  <c r="N357" i="3"/>
  <c r="M357" i="3"/>
  <c r="N356" i="3"/>
  <c r="M356" i="3"/>
  <c r="N355" i="3"/>
  <c r="M355" i="3"/>
  <c r="N354" i="3"/>
  <c r="M354" i="3"/>
  <c r="N353" i="3"/>
  <c r="M353" i="3"/>
  <c r="N352" i="3"/>
  <c r="M352" i="3"/>
  <c r="N351" i="3"/>
  <c r="M351" i="3"/>
  <c r="N350" i="3"/>
  <c r="M350" i="3"/>
  <c r="N349" i="3"/>
  <c r="M349" i="3"/>
  <c r="N348" i="3"/>
  <c r="M348" i="3"/>
  <c r="N347" i="3"/>
  <c r="M347" i="3"/>
  <c r="N346" i="3"/>
  <c r="M346" i="3"/>
  <c r="N345" i="3"/>
  <c r="M345" i="3"/>
  <c r="N344" i="3"/>
  <c r="M344" i="3"/>
  <c r="N343" i="3"/>
  <c r="M343" i="3"/>
  <c r="N342" i="3"/>
  <c r="M342" i="3"/>
  <c r="N341" i="3"/>
  <c r="M341" i="3"/>
  <c r="N340" i="3"/>
  <c r="M340" i="3"/>
  <c r="N339" i="3"/>
  <c r="M339" i="3"/>
  <c r="N338" i="3"/>
  <c r="M338" i="3"/>
  <c r="N337" i="3"/>
  <c r="M337" i="3"/>
  <c r="N336" i="3"/>
  <c r="M336" i="3"/>
  <c r="N335" i="3"/>
  <c r="M335" i="3"/>
  <c r="N334" i="3"/>
  <c r="M334" i="3"/>
  <c r="N333" i="3"/>
  <c r="M333" i="3"/>
  <c r="N332" i="3"/>
  <c r="M332" i="3"/>
  <c r="N331" i="3"/>
  <c r="M331" i="3"/>
  <c r="N330" i="3"/>
  <c r="M330" i="3"/>
  <c r="N329" i="3"/>
  <c r="M329" i="3"/>
  <c r="N328" i="3"/>
  <c r="M328" i="3"/>
  <c r="N327" i="3"/>
  <c r="M327" i="3"/>
  <c r="N326" i="3"/>
  <c r="M326" i="3"/>
  <c r="N325" i="3"/>
  <c r="M325" i="3"/>
  <c r="N324" i="3"/>
  <c r="M324" i="3"/>
  <c r="N323" i="3"/>
  <c r="M323" i="3"/>
  <c r="N322" i="3"/>
  <c r="M322" i="3"/>
  <c r="N321" i="3"/>
  <c r="M321" i="3"/>
  <c r="N320" i="3"/>
  <c r="M320" i="3"/>
  <c r="N319" i="3"/>
  <c r="M319" i="3"/>
  <c r="N318" i="3"/>
  <c r="M318" i="3"/>
  <c r="N317" i="3"/>
  <c r="M317" i="3"/>
  <c r="N316" i="3"/>
  <c r="M316" i="3"/>
  <c r="N315" i="3"/>
  <c r="M315" i="3"/>
  <c r="N314" i="3"/>
  <c r="M314" i="3"/>
  <c r="N313" i="3"/>
  <c r="M313" i="3"/>
  <c r="N312" i="3"/>
  <c r="M312" i="3"/>
  <c r="N311" i="3"/>
  <c r="M311" i="3"/>
  <c r="N310" i="3"/>
  <c r="M310" i="3"/>
  <c r="N309" i="3"/>
  <c r="M309" i="3"/>
  <c r="N308" i="3"/>
  <c r="M308" i="3"/>
  <c r="N307" i="3"/>
  <c r="M307" i="3"/>
  <c r="N306" i="3"/>
  <c r="M306" i="3"/>
  <c r="N305" i="3"/>
  <c r="M305" i="3"/>
  <c r="N304" i="3"/>
  <c r="M304" i="3"/>
  <c r="N303" i="3"/>
  <c r="M303" i="3"/>
  <c r="N302" i="3"/>
  <c r="M302" i="3"/>
  <c r="N301" i="3"/>
  <c r="M301" i="3"/>
  <c r="N300" i="3"/>
  <c r="M300" i="3"/>
  <c r="N299" i="3"/>
  <c r="M299" i="3"/>
  <c r="N298" i="3"/>
  <c r="M298" i="3"/>
  <c r="N297" i="3"/>
  <c r="M297" i="3"/>
  <c r="N296" i="3"/>
  <c r="M296" i="3"/>
  <c r="N295" i="3"/>
  <c r="M295" i="3"/>
  <c r="N294" i="3"/>
  <c r="M294" i="3"/>
  <c r="N293" i="3"/>
  <c r="M293" i="3"/>
  <c r="N292" i="3"/>
  <c r="M292" i="3"/>
  <c r="N291" i="3"/>
  <c r="M291" i="3"/>
  <c r="N290" i="3"/>
  <c r="M290" i="3"/>
  <c r="N289" i="3"/>
  <c r="M289" i="3"/>
  <c r="N288" i="3"/>
  <c r="M288" i="3"/>
  <c r="N287" i="3"/>
  <c r="M287" i="3"/>
  <c r="N286" i="3"/>
  <c r="M286" i="3"/>
  <c r="N285" i="3"/>
  <c r="M285" i="3"/>
  <c r="N284" i="3"/>
  <c r="M284" i="3"/>
  <c r="N283" i="3"/>
  <c r="M283" i="3"/>
  <c r="N282" i="3"/>
  <c r="M282" i="3"/>
  <c r="N281" i="3"/>
  <c r="M281" i="3"/>
  <c r="N280" i="3"/>
  <c r="M280" i="3"/>
  <c r="N279" i="3"/>
  <c r="M279" i="3"/>
  <c r="N278" i="3"/>
  <c r="M278" i="3"/>
  <c r="N277" i="3"/>
  <c r="M277" i="3"/>
  <c r="N276" i="3"/>
  <c r="M276" i="3"/>
  <c r="N275" i="3"/>
  <c r="M275" i="3"/>
  <c r="N274" i="3"/>
  <c r="M274" i="3"/>
  <c r="N273" i="3"/>
  <c r="M273" i="3"/>
  <c r="N272" i="3"/>
  <c r="M272" i="3"/>
  <c r="N271" i="3"/>
  <c r="M271" i="3"/>
  <c r="N270" i="3"/>
  <c r="M270" i="3"/>
  <c r="N269" i="3"/>
  <c r="M269" i="3"/>
  <c r="N268" i="3"/>
  <c r="M268" i="3"/>
  <c r="N267" i="3"/>
  <c r="M267" i="3"/>
  <c r="N266" i="3"/>
  <c r="M266" i="3"/>
  <c r="N265" i="3"/>
  <c r="M265" i="3"/>
  <c r="N264" i="3"/>
  <c r="M264" i="3"/>
  <c r="N263" i="3"/>
  <c r="M263" i="3"/>
  <c r="N262" i="3"/>
  <c r="M262" i="3"/>
  <c r="N261" i="3"/>
  <c r="M261" i="3"/>
  <c r="N260" i="3"/>
  <c r="M260" i="3"/>
  <c r="N259" i="3"/>
  <c r="M259" i="3"/>
  <c r="N258" i="3"/>
  <c r="M258" i="3"/>
  <c r="N257" i="3"/>
  <c r="M257" i="3"/>
  <c r="N256" i="3"/>
  <c r="M256" i="3"/>
  <c r="N255" i="3"/>
  <c r="M255" i="3"/>
  <c r="N254" i="3"/>
  <c r="M254" i="3"/>
  <c r="N253" i="3"/>
  <c r="M253" i="3"/>
  <c r="N252" i="3"/>
  <c r="M252" i="3"/>
  <c r="N251" i="3"/>
  <c r="M251"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11" i="3"/>
  <c r="M211" i="3"/>
  <c r="N210" i="3"/>
  <c r="M210" i="3"/>
  <c r="N209" i="3"/>
  <c r="M209" i="3"/>
  <c r="N208" i="3"/>
  <c r="M208" i="3"/>
  <c r="N207" i="3"/>
  <c r="M207" i="3"/>
  <c r="N206" i="3"/>
  <c r="M206" i="3"/>
  <c r="N205" i="3"/>
  <c r="M205" i="3"/>
  <c r="N204" i="3"/>
  <c r="M204" i="3"/>
  <c r="N203" i="3"/>
  <c r="M203" i="3"/>
  <c r="N202" i="3"/>
  <c r="M202" i="3"/>
  <c r="N201" i="3"/>
  <c r="M201" i="3"/>
  <c r="N200" i="3"/>
  <c r="M200" i="3"/>
  <c r="N199" i="3"/>
  <c r="M199" i="3"/>
  <c r="N198" i="3"/>
  <c r="M198" i="3"/>
  <c r="N197" i="3"/>
  <c r="M197" i="3"/>
  <c r="N196" i="3"/>
  <c r="M196" i="3"/>
  <c r="N195" i="3"/>
  <c r="M195" i="3"/>
  <c r="N194" i="3"/>
  <c r="M194" i="3"/>
  <c r="N193" i="3"/>
  <c r="M193" i="3"/>
  <c r="N192" i="3"/>
  <c r="M192" i="3"/>
  <c r="N191" i="3"/>
  <c r="M191" i="3"/>
  <c r="N190" i="3"/>
  <c r="M190" i="3"/>
  <c r="N189" i="3"/>
  <c r="M189" i="3"/>
  <c r="N188" i="3"/>
  <c r="M188" i="3"/>
  <c r="N187" i="3"/>
  <c r="M187" i="3"/>
  <c r="N186" i="3"/>
  <c r="M186" i="3"/>
  <c r="N185" i="3"/>
  <c r="M185" i="3"/>
  <c r="N184" i="3"/>
  <c r="M184" i="3"/>
  <c r="N183" i="3"/>
  <c r="M183" i="3"/>
  <c r="N182" i="3"/>
  <c r="M182" i="3"/>
  <c r="N181" i="3"/>
  <c r="M181" i="3"/>
  <c r="N180" i="3"/>
  <c r="M180" i="3"/>
  <c r="N179" i="3"/>
  <c r="M179" i="3"/>
  <c r="N178" i="3"/>
  <c r="M178" i="3"/>
  <c r="N177" i="3"/>
  <c r="M177" i="3"/>
  <c r="N176" i="3"/>
  <c r="M176" i="3"/>
  <c r="N175" i="3"/>
  <c r="M175" i="3"/>
  <c r="N174" i="3"/>
  <c r="M174" i="3"/>
  <c r="N173" i="3"/>
  <c r="M173" i="3"/>
  <c r="N172" i="3"/>
  <c r="M172" i="3"/>
  <c r="N171" i="3"/>
  <c r="M171" i="3"/>
  <c r="N170" i="3"/>
  <c r="M170" i="3"/>
  <c r="N169" i="3"/>
  <c r="M169" i="3"/>
  <c r="N168" i="3"/>
  <c r="M168" i="3"/>
  <c r="N167" i="3"/>
  <c r="M167" i="3"/>
  <c r="N166" i="3"/>
  <c r="M166" i="3"/>
  <c r="N165" i="3"/>
  <c r="M165" i="3"/>
  <c r="N164" i="3"/>
  <c r="M164" i="3"/>
  <c r="N163" i="3"/>
  <c r="M163" i="3"/>
  <c r="N162" i="3"/>
  <c r="M162" i="3"/>
  <c r="N161" i="3"/>
  <c r="M161" i="3"/>
  <c r="N160" i="3"/>
  <c r="M160" i="3"/>
  <c r="N159" i="3"/>
  <c r="M159" i="3"/>
  <c r="N158" i="3"/>
  <c r="M158" i="3"/>
  <c r="N157" i="3"/>
  <c r="M157" i="3"/>
  <c r="N156" i="3"/>
  <c r="M156" i="3"/>
  <c r="N155" i="3"/>
  <c r="M155" i="3"/>
  <c r="N154" i="3"/>
  <c r="M154" i="3"/>
  <c r="N153" i="3"/>
  <c r="M153" i="3"/>
  <c r="N152" i="3"/>
  <c r="M152" i="3"/>
  <c r="N151" i="3"/>
  <c r="M151" i="3"/>
  <c r="N150" i="3"/>
  <c r="M150" i="3"/>
  <c r="N149" i="3"/>
  <c r="M149" i="3"/>
  <c r="N148" i="3"/>
  <c r="M148" i="3"/>
  <c r="N147" i="3"/>
  <c r="M147" i="3"/>
  <c r="N146" i="3"/>
  <c r="M146" i="3"/>
  <c r="N145" i="3"/>
  <c r="M145" i="3"/>
  <c r="N144" i="3"/>
  <c r="M144" i="3"/>
  <c r="N143" i="3"/>
  <c r="M143" i="3"/>
  <c r="N142" i="3"/>
  <c r="M142" i="3"/>
  <c r="N141" i="3"/>
  <c r="M141" i="3"/>
  <c r="N140" i="3"/>
  <c r="M140" i="3"/>
  <c r="N139" i="3"/>
  <c r="M139" i="3"/>
  <c r="N138" i="3"/>
  <c r="M138" i="3"/>
  <c r="N137" i="3"/>
  <c r="M137" i="3"/>
  <c r="N136" i="3"/>
  <c r="M136" i="3"/>
  <c r="N135" i="3"/>
  <c r="M135" i="3"/>
  <c r="N134" i="3"/>
  <c r="M134" i="3"/>
  <c r="N133" i="3"/>
  <c r="M133" i="3"/>
  <c r="N132" i="3"/>
  <c r="M132" i="3"/>
  <c r="N131" i="3"/>
  <c r="M131" i="3"/>
  <c r="N130" i="3"/>
  <c r="M130" i="3"/>
  <c r="N129" i="3"/>
  <c r="M129" i="3"/>
  <c r="N128" i="3"/>
  <c r="M128" i="3"/>
  <c r="N127" i="3"/>
  <c r="M127" i="3"/>
  <c r="N126" i="3"/>
  <c r="M126" i="3"/>
  <c r="N125" i="3"/>
  <c r="M125" i="3"/>
  <c r="N124" i="3"/>
  <c r="M124" i="3"/>
  <c r="N123" i="3"/>
  <c r="M123" i="3"/>
  <c r="N122" i="3"/>
  <c r="M122" i="3"/>
  <c r="N121" i="3"/>
  <c r="M121" i="3"/>
  <c r="N120" i="3"/>
  <c r="M120" i="3"/>
  <c r="N119" i="3"/>
  <c r="M119" i="3"/>
  <c r="N118" i="3"/>
  <c r="M118" i="3"/>
  <c r="N117" i="3"/>
  <c r="M117" i="3"/>
  <c r="N116" i="3"/>
  <c r="M116" i="3"/>
  <c r="N115" i="3"/>
  <c r="M115" i="3"/>
  <c r="N114" i="3"/>
  <c r="M114" i="3"/>
  <c r="N113" i="3"/>
  <c r="M113" i="3"/>
  <c r="N112" i="3"/>
  <c r="M112" i="3"/>
  <c r="N111" i="3"/>
  <c r="M111" i="3"/>
  <c r="N110" i="3"/>
  <c r="M110" i="3"/>
  <c r="N109" i="3"/>
  <c r="M109" i="3"/>
  <c r="N108" i="3"/>
  <c r="M108" i="3"/>
  <c r="N107" i="3"/>
  <c r="M107" i="3"/>
  <c r="N106" i="3"/>
  <c r="M106" i="3"/>
  <c r="N105" i="3"/>
  <c r="M105" i="3"/>
  <c r="N104" i="3"/>
  <c r="M104" i="3"/>
  <c r="N103" i="3"/>
  <c r="M103" i="3"/>
  <c r="N102" i="3"/>
  <c r="M102" i="3"/>
  <c r="N101" i="3"/>
  <c r="M101" i="3"/>
  <c r="N100" i="3"/>
  <c r="M100" i="3"/>
  <c r="N99" i="3"/>
  <c r="M99" i="3"/>
  <c r="N98" i="3"/>
  <c r="M98" i="3"/>
  <c r="N97" i="3"/>
  <c r="M97" i="3"/>
  <c r="N96" i="3"/>
  <c r="M96" i="3"/>
  <c r="N95" i="3"/>
  <c r="M95" i="3"/>
  <c r="N94" i="3"/>
  <c r="M94" i="3"/>
  <c r="N93" i="3"/>
  <c r="M93" i="3"/>
  <c r="N92" i="3"/>
  <c r="M92" i="3"/>
  <c r="N91" i="3"/>
  <c r="M91" i="3"/>
  <c r="N90" i="3"/>
  <c r="M90" i="3"/>
  <c r="N89" i="3"/>
  <c r="M89" i="3"/>
  <c r="N88" i="3"/>
  <c r="M88" i="3"/>
  <c r="N87" i="3"/>
  <c r="M87" i="3"/>
  <c r="N86" i="3"/>
  <c r="M86" i="3"/>
  <c r="N85" i="3"/>
  <c r="M85" i="3"/>
  <c r="N84" i="3"/>
  <c r="M84" i="3"/>
  <c r="N83" i="3"/>
  <c r="M83" i="3"/>
  <c r="N82" i="3"/>
  <c r="M82" i="3"/>
  <c r="N81" i="3"/>
  <c r="M81" i="3"/>
  <c r="N80" i="3"/>
  <c r="M80" i="3"/>
  <c r="N79" i="3"/>
  <c r="M79" i="3"/>
  <c r="N78" i="3"/>
  <c r="M78" i="3"/>
  <c r="N77" i="3"/>
  <c r="M77" i="3"/>
  <c r="N76" i="3"/>
  <c r="M76" i="3"/>
  <c r="N75" i="3"/>
  <c r="M75" i="3"/>
  <c r="N74" i="3"/>
  <c r="M74" i="3"/>
  <c r="N73" i="3"/>
  <c r="M73" i="3"/>
  <c r="N72" i="3"/>
  <c r="M72" i="3"/>
  <c r="N71" i="3"/>
  <c r="M71" i="3"/>
  <c r="N70" i="3"/>
  <c r="M70" i="3"/>
  <c r="N69" i="3"/>
  <c r="M69" i="3"/>
  <c r="N68" i="3"/>
  <c r="M68" i="3"/>
  <c r="N67" i="3"/>
  <c r="M67" i="3"/>
  <c r="N66" i="3"/>
  <c r="M66" i="3"/>
  <c r="N65" i="3"/>
  <c r="M65" i="3"/>
  <c r="N64" i="3"/>
  <c r="M64" i="3"/>
  <c r="N63" i="3"/>
  <c r="M63" i="3"/>
  <c r="N62" i="3"/>
  <c r="M62" i="3"/>
  <c r="N61" i="3"/>
  <c r="M61" i="3"/>
  <c r="N60" i="3"/>
  <c r="M60" i="3"/>
  <c r="N59" i="3"/>
  <c r="M59" i="3"/>
  <c r="N58" i="3"/>
  <c r="M58" i="3"/>
  <c r="N57" i="3"/>
  <c r="M57" i="3"/>
  <c r="N56" i="3"/>
  <c r="M56" i="3"/>
  <c r="N55" i="3"/>
  <c r="M55" i="3"/>
  <c r="N54" i="3"/>
  <c r="M54" i="3"/>
  <c r="N53" i="3"/>
  <c r="M53" i="3"/>
  <c r="N52" i="3"/>
  <c r="M52" i="3"/>
  <c r="N51" i="3"/>
  <c r="M51" i="3"/>
  <c r="N50" i="3"/>
  <c r="M50" i="3"/>
  <c r="N49" i="3"/>
  <c r="M49" i="3"/>
  <c r="N48" i="3"/>
  <c r="M48" i="3"/>
  <c r="N47" i="3"/>
  <c r="M47" i="3"/>
  <c r="N46" i="3"/>
  <c r="M46" i="3"/>
  <c r="N45" i="3"/>
  <c r="M45" i="3"/>
  <c r="N44" i="3"/>
  <c r="M44" i="3"/>
  <c r="N43" i="3"/>
  <c r="M43" i="3"/>
  <c r="N42" i="3"/>
  <c r="M42" i="3"/>
  <c r="N41" i="3"/>
  <c r="M41" i="3"/>
  <c r="N40" i="3"/>
  <c r="M40" i="3"/>
  <c r="N39" i="3"/>
  <c r="M39" i="3"/>
  <c r="N38" i="3"/>
  <c r="M38" i="3"/>
  <c r="N37" i="3"/>
  <c r="M37" i="3"/>
  <c r="N36" i="3"/>
  <c r="M36" i="3"/>
  <c r="N35" i="3"/>
  <c r="M35" i="3"/>
  <c r="N34" i="3"/>
  <c r="M34" i="3"/>
  <c r="N33" i="3"/>
  <c r="M33" i="3"/>
  <c r="N32" i="3"/>
  <c r="M32" i="3"/>
  <c r="N31" i="3"/>
  <c r="M31" i="3"/>
  <c r="N30" i="3"/>
  <c r="M30" i="3"/>
  <c r="N29" i="3"/>
  <c r="M29" i="3"/>
  <c r="N28" i="3"/>
  <c r="M28" i="3"/>
  <c r="N27" i="3"/>
  <c r="M27" i="3"/>
  <c r="N26" i="3"/>
  <c r="M26" i="3"/>
  <c r="N25" i="3"/>
  <c r="M25" i="3"/>
  <c r="N24" i="3"/>
  <c r="M24" i="3"/>
  <c r="N23" i="3"/>
  <c r="M23" i="3"/>
  <c r="N22" i="3"/>
  <c r="M22" i="3"/>
  <c r="N21" i="3"/>
  <c r="M21" i="3"/>
  <c r="N20" i="3"/>
  <c r="M20" i="3"/>
  <c r="N19" i="3"/>
  <c r="M19" i="3"/>
  <c r="N18" i="3"/>
  <c r="M18" i="3"/>
  <c r="N17" i="3"/>
  <c r="M17" i="3"/>
  <c r="N16" i="3"/>
  <c r="M16" i="3"/>
  <c r="N15" i="3"/>
  <c r="M15" i="3"/>
  <c r="N14" i="3"/>
  <c r="M14" i="3"/>
  <c r="N13" i="3"/>
  <c r="M13" i="3"/>
  <c r="N12" i="3"/>
  <c r="M12" i="3"/>
  <c r="N11" i="3"/>
  <c r="M11" i="3"/>
  <c r="N10" i="3"/>
  <c r="M10" i="3"/>
  <c r="N9" i="3"/>
  <c r="M9" i="3"/>
  <c r="N8" i="3"/>
  <c r="M8" i="3"/>
  <c r="N7" i="3"/>
  <c r="M7" i="3"/>
  <c r="N6" i="3"/>
  <c r="M6" i="3"/>
  <c r="N5" i="3"/>
  <c r="M5" i="3"/>
  <c r="N4" i="3"/>
  <c r="M4" i="3"/>
  <c r="N3" i="3"/>
  <c r="M3" i="3"/>
  <c r="N2" i="3"/>
  <c r="M2" i="3"/>
  <c r="A4" i="2"/>
  <c r="A39" i="1"/>
  <c r="A38" i="1"/>
  <c r="A37" i="1"/>
  <c r="A36" i="1"/>
  <c r="A33" i="1"/>
  <c r="A32" i="1"/>
  <c r="A31" i="1"/>
  <c r="A30" i="1"/>
  <c r="A29" i="1"/>
  <c r="A28" i="1"/>
  <c r="A27" i="1"/>
  <c r="A26" i="1"/>
  <c r="A25" i="1"/>
  <c r="A24" i="1"/>
  <c r="A23" i="1"/>
  <c r="A22" i="1"/>
  <c r="A21" i="1"/>
  <c r="A17" i="1"/>
  <c r="A16" i="1"/>
  <c r="A13" i="1"/>
  <c r="A12" i="1"/>
  <c r="A11" i="1"/>
  <c r="A10" i="1"/>
  <c r="AD1002" i="9" l="1"/>
  <c r="AD890" i="9"/>
  <c r="AC323" i="9"/>
  <c r="AB308" i="9"/>
  <c r="AA301" i="9"/>
  <c r="AB296" i="9"/>
  <c r="AB295" i="9"/>
  <c r="AB287" i="9"/>
  <c r="AC286" i="9"/>
  <c r="AC283" i="9"/>
  <c r="AD281" i="9"/>
  <c r="AC270" i="9"/>
  <c r="AD260" i="9"/>
  <c r="AD233" i="9"/>
  <c r="AD228" i="9"/>
  <c r="AD217" i="9"/>
  <c r="AC214" i="9"/>
  <c r="AC198" i="9"/>
  <c r="AC189" i="9"/>
  <c r="AC184" i="9"/>
  <c r="AC170" i="9"/>
  <c r="AC160" i="9"/>
  <c r="AC148" i="9"/>
  <c r="AB142" i="9"/>
  <c r="AC140" i="9"/>
  <c r="AD139" i="9"/>
  <c r="AB139" i="9"/>
  <c r="AC138" i="9"/>
  <c r="AD131" i="9"/>
  <c r="AC130" i="9"/>
  <c r="AA130" i="9"/>
  <c r="AD129" i="9"/>
  <c r="AD126" i="9"/>
  <c r="AC126" i="9"/>
  <c r="AB126" i="9"/>
  <c r="AA126" i="9"/>
  <c r="AD125" i="9"/>
  <c r="AC125" i="9"/>
  <c r="AA125" i="9"/>
  <c r="AA124" i="9"/>
  <c r="AC122" i="9"/>
  <c r="AB121" i="9"/>
  <c r="AA121" i="9"/>
  <c r="AD120" i="9"/>
  <c r="AC120" i="9"/>
  <c r="AD117" i="9"/>
  <c r="AC113" i="9"/>
  <c r="AA113" i="9"/>
  <c r="AA110" i="9"/>
  <c r="AC107" i="9"/>
  <c r="AB107" i="9"/>
  <c r="AC106" i="9"/>
  <c r="AD105" i="9"/>
  <c r="AD102" i="9"/>
  <c r="AC100" i="9"/>
  <c r="AD94" i="9"/>
  <c r="AA94" i="9"/>
  <c r="AC87" i="9"/>
  <c r="AD84" i="9"/>
  <c r="AA83" i="9"/>
  <c r="AC73" i="9"/>
  <c r="AD65" i="9"/>
  <c r="AD64" i="9"/>
  <c r="AB61" i="9"/>
  <c r="AB423" i="9"/>
  <c r="AC405" i="9"/>
  <c r="AD331" i="9"/>
  <c r="AB328" i="9"/>
  <c r="AD324" i="9"/>
  <c r="AA318" i="9"/>
  <c r="AB307" i="9"/>
  <c r="AB300" i="9"/>
  <c r="AB299" i="9"/>
  <c r="AB294" i="9"/>
  <c r="AB293" i="9"/>
  <c r="AB288" i="9"/>
  <c r="AC284" i="9"/>
  <c r="AC282" i="9"/>
  <c r="AD279" i="9"/>
  <c r="AC277" i="9"/>
  <c r="AC274" i="9"/>
  <c r="AC265" i="9"/>
  <c r="AC235" i="9"/>
  <c r="AD232" i="9"/>
  <c r="AD231" i="9"/>
  <c r="AC227" i="9"/>
  <c r="AC220" i="9"/>
  <c r="AC217" i="9"/>
  <c r="AC211" i="9"/>
  <c r="AB210" i="9"/>
  <c r="AC197" i="9"/>
  <c r="AC196" i="9"/>
  <c r="AC192" i="9"/>
  <c r="AD163" i="9"/>
  <c r="AC162" i="9"/>
  <c r="AB146" i="9"/>
  <c r="AD140" i="9"/>
  <c r="AD138" i="9"/>
  <c r="AC911" i="9"/>
  <c r="AB907" i="9"/>
  <c r="AD924" i="9"/>
  <c r="AB33" i="9"/>
  <c r="AD849" i="9"/>
  <c r="AB902" i="9"/>
  <c r="AC796" i="9"/>
  <c r="AA443" i="9"/>
  <c r="AC442" i="9"/>
  <c r="AD440" i="9"/>
  <c r="AB439" i="9"/>
  <c r="AB438" i="9"/>
  <c r="AD436" i="9"/>
  <c r="AD435" i="9"/>
  <c r="AC434" i="9"/>
  <c r="AD433" i="9"/>
  <c r="AD431" i="9"/>
  <c r="AB430" i="9"/>
  <c r="AD429" i="9"/>
  <c r="AA429" i="9"/>
  <c r="AC428" i="9"/>
  <c r="AD427" i="9"/>
  <c r="AB426" i="9"/>
  <c r="AD425" i="9"/>
  <c r="AC424" i="9"/>
  <c r="AD423" i="9"/>
  <c r="AB422" i="9"/>
  <c r="AB416" i="9"/>
  <c r="AD415" i="9"/>
  <c r="AA415" i="9"/>
  <c r="AD413" i="9"/>
  <c r="AC412" i="9"/>
  <c r="AD411" i="9"/>
  <c r="AB410" i="9"/>
  <c r="AD409" i="9"/>
  <c r="AA409" i="9"/>
  <c r="AC408" i="9"/>
  <c r="AD404" i="9"/>
  <c r="AA404" i="9"/>
  <c r="AD402" i="9"/>
  <c r="AB401" i="9"/>
  <c r="AD398" i="9"/>
  <c r="AB397" i="9"/>
  <c r="AD392" i="9"/>
  <c r="AA392" i="9"/>
  <c r="AD390" i="9"/>
  <c r="AA390" i="9"/>
  <c r="AD388" i="9"/>
  <c r="AD386" i="9"/>
  <c r="AB383" i="9"/>
  <c r="AD381" i="9"/>
  <c r="AC380" i="9"/>
  <c r="AD379" i="9"/>
  <c r="AB376" i="9"/>
  <c r="AD375" i="9"/>
  <c r="AA375" i="9"/>
  <c r="AD373" i="9"/>
  <c r="AA373" i="9"/>
  <c r="AC372" i="9"/>
  <c r="AA317" i="9"/>
  <c r="AD315" i="9"/>
  <c r="AA315" i="9"/>
  <c r="AD314" i="9"/>
  <c r="AD311" i="9"/>
  <c r="AB311" i="9"/>
  <c r="AA311" i="9"/>
  <c r="AD310" i="9"/>
  <c r="AC310" i="9"/>
  <c r="AB309" i="9"/>
  <c r="AD308" i="9"/>
  <c r="AC308" i="9"/>
  <c r="AD307" i="9"/>
  <c r="AC307" i="9"/>
  <c r="AC305" i="9"/>
  <c r="AD303" i="9"/>
  <c r="AA303" i="9"/>
  <c r="AD301" i="9"/>
  <c r="AD299" i="9"/>
  <c r="AD297" i="9"/>
  <c r="AB297" i="9"/>
  <c r="AC296" i="9"/>
  <c r="AB292" i="9"/>
  <c r="AD291" i="9"/>
  <c r="AA291" i="9"/>
  <c r="AD290" i="9"/>
  <c r="AD288" i="9"/>
  <c r="AC288" i="9"/>
  <c r="AA285" i="9"/>
  <c r="AD284" i="9"/>
  <c r="AA284" i="9"/>
  <c r="AD283" i="9"/>
  <c r="AB281" i="9"/>
  <c r="AD280" i="9"/>
  <c r="AC280" i="9"/>
  <c r="AA280" i="9"/>
  <c r="AC278" i="9"/>
  <c r="AC273" i="9"/>
  <c r="AB271" i="9"/>
  <c r="AA270" i="9"/>
  <c r="AD269" i="9"/>
  <c r="AB269" i="9"/>
  <c r="AA269" i="9"/>
  <c r="AD268" i="9"/>
  <c r="AC268" i="9"/>
  <c r="AB267" i="9"/>
  <c r="AC266" i="9"/>
  <c r="AA265" i="9"/>
  <c r="AC264" i="9"/>
  <c r="AB263" i="9"/>
  <c r="AC180" i="9"/>
  <c r="AD178" i="9"/>
  <c r="AB176" i="9"/>
  <c r="AD173" i="9"/>
  <c r="AA173" i="9"/>
  <c r="AB172" i="9"/>
  <c r="AD171" i="9"/>
  <c r="AC171" i="9"/>
  <c r="AD169" i="9"/>
  <c r="AC169" i="9"/>
  <c r="AB169" i="9"/>
  <c r="AA169" i="9"/>
  <c r="AA168" i="9"/>
  <c r="AC167" i="9"/>
  <c r="AB167" i="9"/>
  <c r="AD165" i="9"/>
  <c r="AC165" i="9"/>
  <c r="AC163" i="9"/>
  <c r="AB163" i="9"/>
  <c r="AA163" i="9"/>
  <c r="AA162" i="9"/>
  <c r="AA161" i="9"/>
  <c r="AC159" i="9"/>
  <c r="AB156" i="9"/>
  <c r="AC155" i="9"/>
  <c r="AB155" i="9"/>
  <c r="AA155" i="9"/>
  <c r="AD153" i="9"/>
  <c r="AB153" i="9"/>
  <c r="AD152" i="9"/>
  <c r="AD151" i="9"/>
  <c r="AD150" i="9"/>
  <c r="AC150" i="9"/>
  <c r="AB150" i="9"/>
  <c r="AA150" i="9"/>
  <c r="AC906" i="9"/>
  <c r="AB900" i="9"/>
  <c r="AA798" i="9"/>
  <c r="AC794" i="9"/>
  <c r="AD714" i="9"/>
  <c r="AB712" i="9"/>
  <c r="AC695" i="9"/>
  <c r="AA693" i="9"/>
  <c r="AD678" i="9"/>
  <c r="AB676" i="9"/>
  <c r="AC1003" i="9"/>
  <c r="AA900" i="9"/>
  <c r="AC809" i="9"/>
  <c r="AB781" i="9"/>
  <c r="AC779" i="9"/>
  <c r="AC754" i="9"/>
  <c r="AC740" i="9"/>
  <c r="AC655" i="9"/>
  <c r="AB372" i="9"/>
  <c r="AD161" i="9"/>
  <c r="AD149" i="9"/>
  <c r="AB943" i="9"/>
  <c r="AC894" i="9"/>
  <c r="AC885" i="9"/>
  <c r="AC876" i="9"/>
  <c r="AC728" i="9"/>
  <c r="AC711" i="9"/>
  <c r="AD21" i="9"/>
  <c r="AC903" i="9"/>
  <c r="AB820" i="9"/>
  <c r="AC720" i="9"/>
  <c r="AD716" i="9"/>
  <c r="AC650" i="9"/>
  <c r="AD512" i="9"/>
  <c r="AC474" i="9"/>
  <c r="AD463" i="9"/>
  <c r="AD39" i="9"/>
  <c r="AD635" i="9"/>
  <c r="AB508" i="9"/>
  <c r="AC429" i="9"/>
  <c r="AC303" i="9"/>
  <c r="AC153" i="9"/>
  <c r="AB585" i="9"/>
  <c r="AA36" i="9"/>
  <c r="AC999" i="9"/>
  <c r="AA902" i="9"/>
  <c r="AC865" i="9"/>
  <c r="AC632" i="9"/>
  <c r="AC560" i="9"/>
  <c r="AC555" i="9"/>
  <c r="AD471" i="9"/>
  <c r="AA354" i="9"/>
  <c r="AB302" i="9"/>
  <c r="AA164" i="9"/>
  <c r="AB1003" i="9"/>
  <c r="AD999" i="9"/>
  <c r="AA874" i="9"/>
  <c r="AD870" i="9"/>
  <c r="AD859" i="9"/>
  <c r="AC853" i="9"/>
  <c r="AD851" i="9"/>
  <c r="AA849" i="9"/>
  <c r="AC845" i="9"/>
  <c r="AC609" i="9"/>
  <c r="AD546" i="9"/>
  <c r="AA362" i="9"/>
  <c r="AC354" i="9"/>
  <c r="AB354" i="9"/>
  <c r="AD880" i="9"/>
  <c r="AA7" i="9"/>
  <c r="AD759" i="9"/>
  <c r="AB717" i="9"/>
  <c r="AD537" i="9"/>
  <c r="AB338" i="9"/>
  <c r="AB332" i="9"/>
  <c r="AC328" i="9"/>
  <c r="AB327" i="9"/>
  <c r="AD317" i="9"/>
  <c r="AC315" i="9"/>
  <c r="AB314" i="9"/>
  <c r="AC313" i="9"/>
  <c r="AC311" i="9"/>
  <c r="AD305" i="9"/>
  <c r="AC301" i="9"/>
  <c r="AD296" i="9"/>
  <c r="AD287" i="9"/>
  <c r="AC281" i="9"/>
  <c r="AC275" i="9"/>
  <c r="AC267" i="9"/>
  <c r="AD265" i="9"/>
  <c r="AA264" i="9"/>
  <c r="AC260" i="9"/>
  <c r="AC257" i="9"/>
  <c r="AC256" i="9"/>
  <c r="AC252" i="9"/>
  <c r="AA247" i="9"/>
  <c r="AD246" i="9"/>
  <c r="AC240" i="9"/>
  <c r="AD238" i="9"/>
  <c r="AC236" i="9"/>
  <c r="AC234" i="9"/>
  <c r="AC229" i="9"/>
  <c r="AC226" i="9"/>
  <c r="AD220" i="9"/>
  <c r="AD213" i="9"/>
  <c r="AD205" i="9"/>
  <c r="AA204" i="9"/>
  <c r="AD201" i="9"/>
  <c r="AD200" i="9"/>
  <c r="AD199" i="9"/>
  <c r="AD195" i="9"/>
  <c r="AD189" i="9"/>
  <c r="AA186" i="9"/>
  <c r="AD184" i="9"/>
  <c r="AD181" i="9"/>
  <c r="AD177" i="9"/>
  <c r="AD174" i="9"/>
  <c r="AB174" i="9"/>
  <c r="AD166" i="9"/>
  <c r="AD157" i="9"/>
  <c r="AD147" i="9"/>
  <c r="AB143" i="9"/>
  <c r="AB141" i="9"/>
  <c r="AC92" i="9"/>
  <c r="AD40" i="9"/>
  <c r="AB6" i="9"/>
  <c r="AC339" i="9"/>
  <c r="AC333" i="9"/>
  <c r="AC331" i="9"/>
  <c r="AB330" i="9"/>
  <c r="AC326" i="9"/>
  <c r="AD325" i="9"/>
  <c r="AB324" i="9"/>
  <c r="AD323" i="9"/>
  <c r="AD321" i="9"/>
  <c r="AC318" i="9"/>
  <c r="AD309" i="9"/>
  <c r="AA309" i="9"/>
  <c r="AD302" i="9"/>
  <c r="AC300" i="9"/>
  <c r="AC299" i="9"/>
  <c r="AC298" i="9"/>
  <c r="AC297" i="9"/>
  <c r="AC295" i="9"/>
  <c r="AD292" i="9"/>
  <c r="AC291" i="9"/>
  <c r="AC290" i="9"/>
  <c r="AD286" i="9"/>
  <c r="AC285" i="9"/>
  <c r="AD278" i="9"/>
  <c r="AA278" i="9"/>
  <c r="AD271" i="9"/>
  <c r="AC263" i="9"/>
  <c r="AC262" i="9"/>
  <c r="AC258" i="9"/>
  <c r="AA256" i="9"/>
  <c r="AD255" i="9"/>
  <c r="AC248" i="9"/>
  <c r="AC245" i="9"/>
  <c r="AC243" i="9"/>
  <c r="AA243" i="9"/>
  <c r="AD242" i="9"/>
  <c r="AD239" i="9"/>
  <c r="AB239" i="9"/>
  <c r="AA237" i="9"/>
  <c r="AA234" i="9"/>
  <c r="AC232" i="9"/>
  <c r="AA228" i="9"/>
  <c r="AD227" i="9"/>
  <c r="AD225" i="9"/>
  <c r="AD223" i="9"/>
  <c r="AA222" i="9"/>
  <c r="AD221" i="9"/>
  <c r="AC218" i="9"/>
  <c r="AD214" i="9"/>
  <c r="AD212" i="9"/>
  <c r="AD210" i="9"/>
  <c r="AD209" i="9"/>
  <c r="AD208" i="9"/>
  <c r="AD207" i="9"/>
  <c r="AC203" i="9"/>
  <c r="AD202" i="9"/>
  <c r="AD198" i="9"/>
  <c r="AD197" i="9"/>
  <c r="AD196" i="9"/>
  <c r="AD193" i="9"/>
  <c r="AD192" i="9"/>
  <c r="AD190" i="9"/>
  <c r="AD188" i="9"/>
  <c r="AD187" i="9"/>
  <c r="AD185" i="9"/>
  <c r="AD180" i="9"/>
  <c r="AD179" i="9"/>
  <c r="AA178" i="9"/>
  <c r="AD176" i="9"/>
  <c r="AD175" i="9"/>
  <c r="AD172" i="9"/>
  <c r="AD168" i="9"/>
  <c r="AD167" i="9"/>
  <c r="AD162" i="9"/>
  <c r="AB158" i="9"/>
  <c r="AD154" i="9"/>
  <c r="AB137" i="9"/>
  <c r="AD136" i="9"/>
  <c r="AB133" i="9"/>
  <c r="AD130" i="9"/>
  <c r="AD128" i="9"/>
  <c r="AB128" i="9"/>
  <c r="AD111" i="9"/>
  <c r="AD474" i="9"/>
  <c r="AB68" i="9"/>
  <c r="AA62" i="9"/>
  <c r="AD60" i="9"/>
  <c r="AB53" i="9"/>
  <c r="AD50" i="9"/>
  <c r="AD47" i="9"/>
  <c r="AC46" i="9"/>
  <c r="AB45" i="9"/>
  <c r="AD44" i="9"/>
  <c r="AB41" i="9"/>
  <c r="AD38" i="9"/>
  <c r="AD37" i="9"/>
  <c r="AD36" i="9"/>
  <c r="AD35" i="9"/>
  <c r="AD32" i="9"/>
  <c r="AD31" i="9"/>
  <c r="AD30" i="9"/>
  <c r="AC29" i="9"/>
  <c r="AD28" i="9"/>
  <c r="AD27" i="9"/>
  <c r="AD26" i="9"/>
  <c r="AD25" i="9"/>
  <c r="AC21" i="9"/>
  <c r="AD20" i="9"/>
  <c r="AC19" i="9"/>
  <c r="AC18" i="9"/>
  <c r="AC17" i="9"/>
  <c r="AA17" i="9"/>
  <c r="AC16" i="9"/>
  <c r="AC15" i="9"/>
  <c r="AD14" i="9"/>
  <c r="AB14" i="9"/>
  <c r="AC11" i="9"/>
  <c r="AA11" i="9"/>
  <c r="AC10" i="9"/>
  <c r="AD9" i="9"/>
  <c r="AC9" i="9"/>
  <c r="AB9" i="9"/>
  <c r="AC8" i="9"/>
  <c r="AA8" i="9"/>
  <c r="AD7" i="9"/>
  <c r="AC7" i="9"/>
  <c r="AB7" i="9"/>
  <c r="AC5" i="9"/>
  <c r="AD4" i="9"/>
  <c r="AD3" i="9"/>
  <c r="AC3" i="9"/>
  <c r="AD2" i="9"/>
  <c r="AC2" i="9"/>
  <c r="AB2" i="9"/>
  <c r="Q622" i="9"/>
  <c r="AE622" i="9"/>
  <c r="Q511" i="9"/>
  <c r="AE511" i="9"/>
  <c r="AD1001" i="9"/>
  <c r="AD996" i="9"/>
  <c r="AD951" i="9"/>
  <c r="AA713" i="9"/>
  <c r="AD298" i="9"/>
  <c r="AA181" i="9"/>
  <c r="AC114" i="9"/>
  <c r="AD110" i="9"/>
  <c r="AC104" i="9"/>
  <c r="AD97" i="9"/>
  <c r="AD49" i="9"/>
  <c r="AA794" i="9"/>
  <c r="AD742" i="9"/>
  <c r="AD731" i="9"/>
  <c r="AC182" i="9"/>
  <c r="AB115" i="9"/>
  <c r="AD112" i="9"/>
  <c r="AC105" i="9"/>
  <c r="AB100" i="9"/>
  <c r="AC98" i="9"/>
  <c r="AC83" i="9"/>
  <c r="AC78" i="9"/>
  <c r="AD74" i="9"/>
  <c r="AD73" i="9"/>
  <c r="AC70" i="9"/>
  <c r="AC68" i="9"/>
  <c r="AD510" i="9"/>
  <c r="AD400" i="9"/>
  <c r="AB180" i="9"/>
  <c r="AB179" i="9"/>
  <c r="AC178" i="9"/>
  <c r="AD108" i="9"/>
  <c r="AD99" i="9"/>
  <c r="AD93" i="9"/>
  <c r="AD90" i="9"/>
  <c r="AD87" i="9"/>
  <c r="AD79" i="9"/>
  <c r="AA74" i="9"/>
  <c r="AD72" i="9"/>
  <c r="AD71" i="9"/>
  <c r="AD67" i="9"/>
  <c r="AD66" i="9"/>
  <c r="AB65" i="9"/>
  <c r="AC61" i="9"/>
  <c r="AA55" i="9"/>
  <c r="AA50" i="9"/>
  <c r="AA37" i="9"/>
  <c r="AC998" i="9"/>
  <c r="AB989" i="9"/>
  <c r="Q1003" i="9"/>
  <c r="AE1003" i="9"/>
  <c r="Q1002" i="9"/>
  <c r="AE1002" i="9"/>
  <c r="Q1001" i="9"/>
  <c r="AE1001" i="9"/>
  <c r="Q1000" i="9"/>
  <c r="AE1000" i="9"/>
  <c r="Q999" i="9"/>
  <c r="AE999" i="9"/>
  <c r="Q998" i="9"/>
  <c r="AE998" i="9"/>
  <c r="Q997" i="9"/>
  <c r="AE997" i="9"/>
  <c r="Q996" i="9"/>
  <c r="AE996" i="9"/>
  <c r="Q995" i="9"/>
  <c r="AE995" i="9"/>
  <c r="Q994" i="9"/>
  <c r="AE994" i="9"/>
  <c r="Q993" i="9"/>
  <c r="AE993" i="9"/>
  <c r="Q992" i="9"/>
  <c r="AE992" i="9"/>
  <c r="Q991" i="9"/>
  <c r="AE991" i="9"/>
  <c r="Q990" i="9"/>
  <c r="AE990" i="9"/>
  <c r="Q989" i="9"/>
  <c r="AE989" i="9"/>
  <c r="Q988" i="9"/>
  <c r="AE988" i="9"/>
  <c r="Q987" i="9"/>
  <c r="AE987" i="9"/>
  <c r="Q986" i="9"/>
  <c r="AE986" i="9"/>
  <c r="Q985" i="9"/>
  <c r="AE985" i="9"/>
  <c r="Q984" i="9"/>
  <c r="AE984" i="9"/>
  <c r="Q983" i="9"/>
  <c r="AE983" i="9"/>
  <c r="Q982" i="9"/>
  <c r="AE982" i="9"/>
  <c r="Q981" i="9"/>
  <c r="AE981" i="9"/>
  <c r="Q980" i="9"/>
  <c r="AE980" i="9"/>
  <c r="Q979" i="9"/>
  <c r="AE979" i="9"/>
  <c r="Q978" i="9"/>
  <c r="AE978" i="9"/>
  <c r="Q977" i="9"/>
  <c r="AE977" i="9"/>
  <c r="Q976" i="9"/>
  <c r="AE976" i="9"/>
  <c r="Q975" i="9"/>
  <c r="AE975" i="9"/>
  <c r="Q974" i="9"/>
  <c r="AE974" i="9"/>
  <c r="Q973" i="9"/>
  <c r="AE973" i="9"/>
  <c r="Q972" i="9"/>
  <c r="AE972" i="9"/>
  <c r="Q971" i="9"/>
  <c r="AE971" i="9"/>
  <c r="Q970" i="9"/>
  <c r="AE970" i="9"/>
  <c r="Q969" i="9"/>
  <c r="AE969" i="9"/>
  <c r="Q968" i="9"/>
  <c r="AE968" i="9"/>
  <c r="Q967" i="9"/>
  <c r="AE967" i="9"/>
  <c r="Q966" i="9"/>
  <c r="AE966" i="9"/>
  <c r="Q965" i="9"/>
  <c r="AE965" i="9"/>
  <c r="Q964" i="9"/>
  <c r="AE964" i="9"/>
  <c r="Q963" i="9"/>
  <c r="AE963" i="9"/>
  <c r="Q962" i="9"/>
  <c r="AE962" i="9"/>
  <c r="Q961" i="9"/>
  <c r="AE961" i="9"/>
  <c r="Q960" i="9"/>
  <c r="AE960" i="9"/>
  <c r="Q959" i="9"/>
  <c r="AE959" i="9"/>
  <c r="Q958" i="9"/>
  <c r="AE958" i="9"/>
  <c r="Q957" i="9"/>
  <c r="AE957" i="9"/>
  <c r="Q956" i="9"/>
  <c r="AE956" i="9"/>
  <c r="Q955" i="9"/>
  <c r="AE955" i="9"/>
  <c r="Q954" i="9"/>
  <c r="AE954" i="9"/>
  <c r="Q953" i="9"/>
  <c r="AE953" i="9"/>
  <c r="Q952" i="9"/>
  <c r="AE952" i="9"/>
  <c r="Q951" i="9"/>
  <c r="AE951" i="9"/>
  <c r="Q950" i="9"/>
  <c r="AE950" i="9"/>
  <c r="Q949" i="9"/>
  <c r="AE949" i="9"/>
  <c r="Q948" i="9"/>
  <c r="AE948" i="9"/>
  <c r="Q947" i="9"/>
  <c r="AE947" i="9"/>
  <c r="Q946" i="9"/>
  <c r="AE946" i="9"/>
  <c r="Q945" i="9"/>
  <c r="AE945" i="9"/>
  <c r="Q944" i="9"/>
  <c r="AE944" i="9"/>
  <c r="Q943" i="9"/>
  <c r="AE943" i="9"/>
  <c r="Q942" i="9"/>
  <c r="AE942" i="9"/>
  <c r="Q941" i="9"/>
  <c r="AE941" i="9"/>
  <c r="Q940" i="9"/>
  <c r="AE940" i="9"/>
  <c r="Q939" i="9"/>
  <c r="AE939" i="9"/>
  <c r="Q938" i="9"/>
  <c r="AE938" i="9"/>
  <c r="Q937" i="9"/>
  <c r="AE937" i="9"/>
  <c r="Q936" i="9"/>
  <c r="AE936" i="9"/>
  <c r="Q935" i="9"/>
  <c r="AE935" i="9"/>
  <c r="Q934" i="9"/>
  <c r="AE934" i="9"/>
  <c r="Q933" i="9"/>
  <c r="AE933" i="9"/>
  <c r="Q932" i="9"/>
  <c r="AE932" i="9"/>
  <c r="Q931" i="9"/>
  <c r="AE931" i="9"/>
  <c r="Q930" i="9"/>
  <c r="AE930" i="9"/>
  <c r="Q929" i="9"/>
  <c r="AE929" i="9"/>
  <c r="Q928" i="9"/>
  <c r="AE928" i="9"/>
  <c r="Q927" i="9"/>
  <c r="AE927" i="9"/>
  <c r="Q926" i="9"/>
  <c r="AE926" i="9"/>
  <c r="Q925" i="9"/>
  <c r="AE925" i="9"/>
  <c r="Q924" i="9"/>
  <c r="AE924" i="9"/>
  <c r="Q923" i="9"/>
  <c r="AE923" i="9"/>
  <c r="Q922" i="9"/>
  <c r="AE922" i="9"/>
  <c r="Q921" i="9"/>
  <c r="AE921" i="9"/>
  <c r="Q920" i="9"/>
  <c r="AE920" i="9"/>
  <c r="Q919" i="9"/>
  <c r="AE919" i="9"/>
  <c r="Q918" i="9"/>
  <c r="AE918" i="9"/>
  <c r="Q917" i="9"/>
  <c r="AE917" i="9"/>
  <c r="Q916" i="9"/>
  <c r="AE916" i="9"/>
  <c r="Q915" i="9"/>
  <c r="AE915" i="9"/>
  <c r="Q914" i="9"/>
  <c r="AE914" i="9"/>
  <c r="Q913" i="9"/>
  <c r="AE913" i="9"/>
  <c r="Q912" i="9"/>
  <c r="AE912" i="9"/>
  <c r="Q911" i="9"/>
  <c r="AE911" i="9"/>
  <c r="Q910" i="9"/>
  <c r="AE910" i="9"/>
  <c r="Q909" i="9"/>
  <c r="AE909" i="9"/>
  <c r="Q908" i="9"/>
  <c r="AE908" i="9"/>
  <c r="Q907" i="9"/>
  <c r="AE907" i="9"/>
  <c r="Q906" i="9"/>
  <c r="AE906" i="9"/>
  <c r="Q905" i="9"/>
  <c r="AE905" i="9"/>
  <c r="Q904" i="9"/>
  <c r="AE904" i="9"/>
  <c r="Q903" i="9"/>
  <c r="AE903" i="9"/>
  <c r="Q902" i="9"/>
  <c r="AE902" i="9"/>
  <c r="Q901" i="9"/>
  <c r="AE901" i="9"/>
  <c r="Q900" i="9"/>
  <c r="AE900" i="9"/>
  <c r="Q899" i="9"/>
  <c r="AE899" i="9"/>
  <c r="Q898" i="9"/>
  <c r="AE898" i="9"/>
  <c r="Q897" i="9"/>
  <c r="AE897" i="9"/>
  <c r="Q896" i="9"/>
  <c r="AE896" i="9"/>
  <c r="Q895" i="9"/>
  <c r="AE895" i="9"/>
  <c r="Q894" i="9"/>
  <c r="AE894" i="9"/>
  <c r="Q893" i="9"/>
  <c r="AE893" i="9"/>
  <c r="Q892" i="9"/>
  <c r="AE892" i="9"/>
  <c r="Q891" i="9"/>
  <c r="AE891" i="9"/>
  <c r="Q890" i="9"/>
  <c r="AE890" i="9"/>
  <c r="Q889" i="9"/>
  <c r="AE889" i="9"/>
  <c r="Q888" i="9"/>
  <c r="AE888" i="9"/>
  <c r="Q887" i="9"/>
  <c r="AE887" i="9"/>
  <c r="Q886" i="9"/>
  <c r="AE886" i="9"/>
  <c r="Q885" i="9"/>
  <c r="AE885" i="9"/>
  <c r="Q884" i="9"/>
  <c r="AE884" i="9"/>
  <c r="Q883" i="9"/>
  <c r="AE883" i="9"/>
  <c r="Q882" i="9"/>
  <c r="AE882" i="9"/>
  <c r="Q881" i="9"/>
  <c r="AE881" i="9"/>
  <c r="Q880" i="9"/>
  <c r="AE880" i="9"/>
  <c r="Q879" i="9"/>
  <c r="AE879" i="9"/>
  <c r="Q878" i="9"/>
  <c r="AE878" i="9"/>
  <c r="Q877" i="9"/>
  <c r="AE877" i="9"/>
  <c r="Q876" i="9"/>
  <c r="AE876" i="9"/>
  <c r="Q875" i="9"/>
  <c r="AE875" i="9"/>
  <c r="Q874" i="9"/>
  <c r="AE874" i="9"/>
  <c r="Q873" i="9"/>
  <c r="AE873" i="9"/>
  <c r="Q872" i="9"/>
  <c r="AE872" i="9"/>
  <c r="Q871" i="9"/>
  <c r="AE871" i="9"/>
  <c r="Q870" i="9"/>
  <c r="AE870" i="9"/>
  <c r="Q869" i="9"/>
  <c r="AE869" i="9"/>
  <c r="Q868" i="9"/>
  <c r="AE868" i="9"/>
  <c r="Q867" i="9"/>
  <c r="AE867" i="9"/>
  <c r="Q866" i="9"/>
  <c r="AE866" i="9"/>
  <c r="Q865" i="9"/>
  <c r="AE865" i="9"/>
  <c r="Q864" i="9"/>
  <c r="AE864" i="9"/>
  <c r="Q863" i="9"/>
  <c r="AE863" i="9"/>
  <c r="Q862" i="9"/>
  <c r="AE862" i="9"/>
  <c r="Q861" i="9"/>
  <c r="AE861" i="9"/>
  <c r="Q860" i="9"/>
  <c r="AE860" i="9"/>
  <c r="Q859" i="9"/>
  <c r="AE859" i="9"/>
  <c r="Q858" i="9"/>
  <c r="AE858" i="9"/>
  <c r="Q857" i="9"/>
  <c r="AE857" i="9"/>
  <c r="Q856" i="9"/>
  <c r="AE856" i="9"/>
  <c r="Q855" i="9"/>
  <c r="AE855" i="9"/>
  <c r="Q854" i="9"/>
  <c r="AE854" i="9"/>
  <c r="Q853" i="9"/>
  <c r="AE853" i="9"/>
  <c r="Q852" i="9"/>
  <c r="AE852" i="9"/>
  <c r="Q851" i="9"/>
  <c r="AE851" i="9"/>
  <c r="Q850" i="9"/>
  <c r="AE850" i="9"/>
  <c r="Q849" i="9"/>
  <c r="AE849" i="9"/>
  <c r="Q848" i="9"/>
  <c r="AE848" i="9"/>
  <c r="Q847" i="9"/>
  <c r="AE847" i="9"/>
  <c r="Q846" i="9"/>
  <c r="AE846" i="9"/>
  <c r="Q845" i="9"/>
  <c r="AE845" i="9"/>
  <c r="Q844" i="9"/>
  <c r="AE844" i="9"/>
  <c r="Q843" i="9"/>
  <c r="AE843" i="9"/>
  <c r="Q842" i="9"/>
  <c r="AE842" i="9"/>
  <c r="Q841" i="9"/>
  <c r="AE841" i="9"/>
  <c r="Q840" i="9"/>
  <c r="AE840" i="9"/>
  <c r="Q839" i="9"/>
  <c r="AE839" i="9"/>
  <c r="Q838" i="9"/>
  <c r="AE838" i="9"/>
  <c r="Q837" i="9"/>
  <c r="AE837" i="9"/>
  <c r="Q836" i="9"/>
  <c r="AE836" i="9"/>
  <c r="Q835" i="9"/>
  <c r="AE835" i="9"/>
  <c r="Q834" i="9"/>
  <c r="AE834" i="9"/>
  <c r="Q833" i="9"/>
  <c r="AE833" i="9"/>
  <c r="Q832" i="9"/>
  <c r="AE832" i="9"/>
  <c r="Q831" i="9"/>
  <c r="AE831" i="9"/>
  <c r="Q830" i="9"/>
  <c r="AE830" i="9"/>
  <c r="Q829" i="9"/>
  <c r="AE829" i="9"/>
  <c r="Q828" i="9"/>
  <c r="AE828" i="9"/>
  <c r="Q827" i="9"/>
  <c r="AE827" i="9"/>
  <c r="Q826" i="9"/>
  <c r="AE826" i="9"/>
  <c r="Q825" i="9"/>
  <c r="AE825" i="9"/>
  <c r="Q824" i="9"/>
  <c r="AE824" i="9"/>
  <c r="Q823" i="9"/>
  <c r="AE823" i="9"/>
  <c r="Q822" i="9"/>
  <c r="AE822" i="9"/>
  <c r="Q821" i="9"/>
  <c r="AE821" i="9"/>
  <c r="Q820" i="9"/>
  <c r="AE820" i="9"/>
  <c r="Q819" i="9"/>
  <c r="AE819" i="9"/>
  <c r="Q818" i="9"/>
  <c r="AE818" i="9"/>
  <c r="Q817" i="9"/>
  <c r="AE817" i="9"/>
  <c r="Q816" i="9"/>
  <c r="AE816" i="9"/>
  <c r="Q815" i="9"/>
  <c r="AE815" i="9"/>
  <c r="Q814" i="9"/>
  <c r="AE814" i="9"/>
  <c r="Q813" i="9"/>
  <c r="AE813" i="9"/>
  <c r="Q812" i="9"/>
  <c r="AE812" i="9"/>
  <c r="Q811" i="9"/>
  <c r="AE811" i="9"/>
  <c r="Q810" i="9"/>
  <c r="AE810" i="9"/>
  <c r="Q809" i="9"/>
  <c r="AE809" i="9"/>
  <c r="Q808" i="9"/>
  <c r="AE808" i="9"/>
  <c r="Q807" i="9"/>
  <c r="AE807" i="9"/>
  <c r="Q806" i="9"/>
  <c r="AE806" i="9"/>
  <c r="Q805" i="9"/>
  <c r="AE805" i="9"/>
  <c r="Q804" i="9"/>
  <c r="AE804" i="9"/>
  <c r="Q803" i="9"/>
  <c r="AE803" i="9"/>
  <c r="Q802" i="9"/>
  <c r="AE802" i="9"/>
  <c r="Q801" i="9"/>
  <c r="AE801" i="9"/>
  <c r="Q800" i="9"/>
  <c r="AE800" i="9"/>
  <c r="Q799" i="9"/>
  <c r="AE799" i="9"/>
  <c r="Q798" i="9"/>
  <c r="AE798" i="9"/>
  <c r="Q797" i="9"/>
  <c r="AE797" i="9"/>
  <c r="Q796" i="9"/>
  <c r="AE796" i="9"/>
  <c r="Q795" i="9"/>
  <c r="AE795" i="9"/>
  <c r="Q794" i="9"/>
  <c r="AE794" i="9"/>
  <c r="Q793" i="9"/>
  <c r="AE793" i="9"/>
  <c r="Q792" i="9"/>
  <c r="AE792" i="9"/>
  <c r="Q791" i="9"/>
  <c r="AE791" i="9"/>
  <c r="Q790" i="9"/>
  <c r="AE790" i="9"/>
  <c r="Q789" i="9"/>
  <c r="AE789" i="9"/>
  <c r="Q788" i="9"/>
  <c r="AE788" i="9"/>
  <c r="Q787" i="9"/>
  <c r="AE787" i="9"/>
  <c r="Q786" i="9"/>
  <c r="AE786" i="9"/>
  <c r="Q785" i="9"/>
  <c r="AE785" i="9"/>
  <c r="Q784" i="9"/>
  <c r="AE784" i="9"/>
  <c r="Q783" i="9"/>
  <c r="AE783" i="9"/>
  <c r="Q782" i="9"/>
  <c r="AE782" i="9"/>
  <c r="Q781" i="9"/>
  <c r="AE781" i="9"/>
  <c r="Q780" i="9"/>
  <c r="AE780" i="9"/>
  <c r="Q779" i="9"/>
  <c r="AE779" i="9"/>
  <c r="Q778" i="9"/>
  <c r="AE778" i="9"/>
  <c r="Q777" i="9"/>
  <c r="AE777" i="9"/>
  <c r="Q776" i="9"/>
  <c r="AE776" i="9"/>
  <c r="Q775" i="9"/>
  <c r="AE775" i="9"/>
  <c r="Q774" i="9"/>
  <c r="AE774" i="9"/>
  <c r="Q773" i="9"/>
  <c r="AE773" i="9"/>
  <c r="Q772" i="9"/>
  <c r="AE772" i="9"/>
  <c r="Q771" i="9"/>
  <c r="AE771" i="9"/>
  <c r="Q770" i="9"/>
  <c r="AE770" i="9"/>
  <c r="Q769" i="9"/>
  <c r="AE769" i="9"/>
  <c r="Q768" i="9"/>
  <c r="AE768" i="9"/>
  <c r="Q767" i="9"/>
  <c r="AE767" i="9"/>
  <c r="Q766" i="9"/>
  <c r="AE766" i="9"/>
  <c r="Q765" i="9"/>
  <c r="AE765" i="9"/>
  <c r="Q764" i="9"/>
  <c r="AE764" i="9"/>
  <c r="Q763" i="9"/>
  <c r="AE763" i="9"/>
  <c r="Q762" i="9"/>
  <c r="AE762" i="9"/>
  <c r="Q761" i="9"/>
  <c r="AE761" i="9"/>
  <c r="Q760" i="9"/>
  <c r="AE760" i="9"/>
  <c r="Q759" i="9"/>
  <c r="AE759" i="9"/>
  <c r="Q758" i="9"/>
  <c r="AE758" i="9"/>
  <c r="Q757" i="9"/>
  <c r="AE757" i="9"/>
  <c r="Q756" i="9"/>
  <c r="AE756" i="9"/>
  <c r="Q755" i="9"/>
  <c r="AE755" i="9"/>
  <c r="Q754" i="9"/>
  <c r="AE754" i="9"/>
  <c r="Q753" i="9"/>
  <c r="AE753" i="9"/>
  <c r="Q752" i="9"/>
  <c r="AE752" i="9"/>
  <c r="Q751" i="9"/>
  <c r="AE751" i="9"/>
  <c r="Q750" i="9"/>
  <c r="AE750" i="9"/>
  <c r="Q749" i="9"/>
  <c r="AE749" i="9"/>
  <c r="Q748" i="9"/>
  <c r="AE748" i="9"/>
  <c r="Q747" i="9"/>
  <c r="AE747" i="9"/>
  <c r="Q746" i="9"/>
  <c r="AE746" i="9"/>
  <c r="Q745" i="9"/>
  <c r="AE745" i="9"/>
  <c r="Q744" i="9"/>
  <c r="AE744" i="9"/>
  <c r="Q743" i="9"/>
  <c r="AE743" i="9"/>
  <c r="Q742" i="9"/>
  <c r="AE742" i="9"/>
  <c r="Q741" i="9"/>
  <c r="AE741" i="9"/>
  <c r="Q740" i="9"/>
  <c r="AE740" i="9"/>
  <c r="Q739" i="9"/>
  <c r="AE739" i="9"/>
  <c r="Q738" i="9"/>
  <c r="AE738" i="9"/>
  <c r="Q737" i="9"/>
  <c r="AE737" i="9"/>
  <c r="Q736" i="9"/>
  <c r="AE736" i="9"/>
  <c r="Q735" i="9"/>
  <c r="AE735" i="9"/>
  <c r="Q734" i="9"/>
  <c r="AE734" i="9"/>
  <c r="Q733" i="9"/>
  <c r="AE733" i="9"/>
  <c r="Q732" i="9"/>
  <c r="AE732" i="9"/>
  <c r="Q731" i="9"/>
  <c r="AE731" i="9"/>
  <c r="Q730" i="9"/>
  <c r="AE730" i="9"/>
  <c r="Q729" i="9"/>
  <c r="AE729" i="9"/>
  <c r="Q728" i="9"/>
  <c r="AE728" i="9"/>
  <c r="Q727" i="9"/>
  <c r="AE727" i="9"/>
  <c r="Q726" i="9"/>
  <c r="AE726" i="9"/>
  <c r="Q725" i="9"/>
  <c r="AE725" i="9"/>
  <c r="Q724" i="9"/>
  <c r="AE724" i="9"/>
  <c r="Q723" i="9"/>
  <c r="AE723" i="9"/>
  <c r="Q722" i="9"/>
  <c r="AE722" i="9"/>
  <c r="Q721" i="9"/>
  <c r="AE721" i="9"/>
  <c r="Q720" i="9"/>
  <c r="AE720" i="9"/>
  <c r="Q719" i="9"/>
  <c r="AE719" i="9"/>
  <c r="Q718" i="9"/>
  <c r="AE718" i="9"/>
  <c r="Q717" i="9"/>
  <c r="AE717" i="9"/>
  <c r="Q716" i="9"/>
  <c r="AE716" i="9"/>
  <c r="Q715" i="9"/>
  <c r="AE715" i="9"/>
  <c r="Q714" i="9"/>
  <c r="AE714" i="9"/>
  <c r="Q713" i="9"/>
  <c r="AE713" i="9"/>
  <c r="Q712" i="9"/>
  <c r="AE712" i="9"/>
  <c r="Q711" i="9"/>
  <c r="AE711" i="9"/>
  <c r="Q710" i="9"/>
  <c r="AE710" i="9"/>
  <c r="Q709" i="9"/>
  <c r="AE709" i="9"/>
  <c r="Q708" i="9"/>
  <c r="AE708" i="9"/>
  <c r="Q707" i="9"/>
  <c r="AE707" i="9"/>
  <c r="Q706" i="9"/>
  <c r="AE706" i="9"/>
  <c r="Q705" i="9"/>
  <c r="AE705" i="9"/>
  <c r="Q704" i="9"/>
  <c r="AE704" i="9"/>
  <c r="Q703" i="9"/>
  <c r="AE703" i="9"/>
  <c r="Q702" i="9"/>
  <c r="AE702" i="9"/>
  <c r="Q701" i="9"/>
  <c r="AE701" i="9"/>
  <c r="Q700" i="9"/>
  <c r="AE700" i="9"/>
  <c r="Q699" i="9"/>
  <c r="AE699" i="9"/>
  <c r="Q698" i="9"/>
  <c r="AE698" i="9"/>
  <c r="Q697" i="9"/>
  <c r="AE697" i="9"/>
  <c r="Q696" i="9"/>
  <c r="AE696" i="9"/>
  <c r="Q695" i="9"/>
  <c r="AE695" i="9"/>
  <c r="Q694" i="9"/>
  <c r="AE694" i="9"/>
  <c r="Q693" i="9"/>
  <c r="AE693" i="9"/>
  <c r="Q692" i="9"/>
  <c r="AE692" i="9"/>
  <c r="Q691" i="9"/>
  <c r="AE691" i="9"/>
  <c r="Q690" i="9"/>
  <c r="AE690" i="9"/>
  <c r="Q689" i="9"/>
  <c r="AE689" i="9"/>
  <c r="Q688" i="9"/>
  <c r="AE688" i="9"/>
  <c r="Q687" i="9"/>
  <c r="AE687" i="9"/>
  <c r="Q686" i="9"/>
  <c r="AE686" i="9"/>
  <c r="Q685" i="9"/>
  <c r="AE685" i="9"/>
  <c r="Q684" i="9"/>
  <c r="AE684" i="9"/>
  <c r="Q683" i="9"/>
  <c r="AE683" i="9"/>
  <c r="Q682" i="9"/>
  <c r="AE682" i="9"/>
  <c r="Q681" i="9"/>
  <c r="AE681" i="9"/>
  <c r="Q680" i="9"/>
  <c r="AE680" i="9"/>
  <c r="Q679" i="9"/>
  <c r="AE679" i="9"/>
  <c r="Q678" i="9"/>
  <c r="AE678" i="9"/>
  <c r="Q677" i="9"/>
  <c r="AE677" i="9"/>
  <c r="Q676" i="9"/>
  <c r="AE676" i="9"/>
  <c r="Q675" i="9"/>
  <c r="AE675" i="9"/>
  <c r="Q674" i="9"/>
  <c r="AE674" i="9"/>
  <c r="Q673" i="9"/>
  <c r="AE673" i="9"/>
  <c r="Q672" i="9"/>
  <c r="AE672" i="9"/>
  <c r="Q671" i="9"/>
  <c r="AE671" i="9"/>
  <c r="Q670" i="9"/>
  <c r="AE670" i="9"/>
  <c r="Q669" i="9"/>
  <c r="AE669" i="9"/>
  <c r="Q668" i="9"/>
  <c r="AE668" i="9"/>
  <c r="Q667" i="9"/>
  <c r="AE667" i="9"/>
  <c r="Q666" i="9"/>
  <c r="AE666" i="9"/>
  <c r="Q665" i="9"/>
  <c r="AE665" i="9"/>
  <c r="Q664" i="9"/>
  <c r="AE664" i="9"/>
  <c r="Q663" i="9"/>
  <c r="AE663" i="9"/>
  <c r="Q662" i="9"/>
  <c r="AE662" i="9"/>
  <c r="Q661" i="9"/>
  <c r="AE661" i="9"/>
  <c r="Q660" i="9"/>
  <c r="AE660" i="9"/>
  <c r="Q659" i="9"/>
  <c r="AE659" i="9"/>
  <c r="Q658" i="9"/>
  <c r="AE658" i="9"/>
  <c r="Q657" i="9"/>
  <c r="AE657" i="9"/>
  <c r="Q656" i="9"/>
  <c r="AE656" i="9"/>
  <c r="Q655" i="9"/>
  <c r="AE655" i="9"/>
  <c r="Q654" i="9"/>
  <c r="AE654" i="9"/>
  <c r="Q653" i="9"/>
  <c r="AE653" i="9"/>
  <c r="Q652" i="9"/>
  <c r="AE652" i="9"/>
  <c r="Q651" i="9"/>
  <c r="AE651" i="9"/>
  <c r="Q650" i="9"/>
  <c r="AE650" i="9"/>
  <c r="Q649" i="9"/>
  <c r="AE649" i="9"/>
  <c r="Q648" i="9"/>
  <c r="AE648" i="9"/>
  <c r="Q647" i="9"/>
  <c r="AE647" i="9"/>
  <c r="Q646" i="9"/>
  <c r="AE646" i="9"/>
  <c r="Q645" i="9"/>
  <c r="AE645" i="9"/>
  <c r="Q644" i="9"/>
  <c r="AE644" i="9"/>
  <c r="Q643" i="9"/>
  <c r="AE643" i="9"/>
  <c r="Q642" i="9"/>
  <c r="AE642" i="9"/>
  <c r="Q641" i="9"/>
  <c r="AE641" i="9"/>
  <c r="Q640" i="9"/>
  <c r="AE640" i="9"/>
  <c r="Q639" i="9"/>
  <c r="AE639" i="9"/>
  <c r="Q638" i="9"/>
  <c r="AE638" i="9"/>
  <c r="Q637" i="9"/>
  <c r="AE637" i="9"/>
  <c r="Q636" i="9"/>
  <c r="AE636" i="9"/>
  <c r="Q635" i="9"/>
  <c r="AE635" i="9"/>
  <c r="Q634" i="9"/>
  <c r="AE634" i="9"/>
  <c r="Q633" i="9"/>
  <c r="AE633" i="9"/>
  <c r="Q632" i="9"/>
  <c r="AE632" i="9"/>
  <c r="Q631" i="9"/>
  <c r="AE631" i="9"/>
  <c r="Q630" i="9"/>
  <c r="AE630" i="9"/>
  <c r="Q629" i="9"/>
  <c r="AE629" i="9"/>
  <c r="Q628" i="9"/>
  <c r="AE628" i="9"/>
  <c r="Q627" i="9"/>
  <c r="AE627" i="9"/>
  <c r="Q626" i="9"/>
  <c r="AE626" i="9"/>
  <c r="Q625" i="9"/>
  <c r="AE625" i="9"/>
  <c r="Q624" i="9"/>
  <c r="AE624" i="9"/>
  <c r="Q623" i="9"/>
  <c r="AE623" i="9"/>
  <c r="Q621" i="9"/>
  <c r="AE621" i="9"/>
  <c r="Q620" i="9"/>
  <c r="AE620" i="9"/>
  <c r="Q619" i="9"/>
  <c r="AE619" i="9"/>
  <c r="Q618" i="9"/>
  <c r="AE618" i="9"/>
  <c r="Q617" i="9"/>
  <c r="AE617" i="9"/>
  <c r="Q616" i="9"/>
  <c r="AE616" i="9"/>
  <c r="Q615" i="9"/>
  <c r="AE615" i="9"/>
  <c r="Q614" i="9"/>
  <c r="AE614" i="9"/>
  <c r="Q613" i="9"/>
  <c r="AE613" i="9"/>
  <c r="Q612" i="9"/>
  <c r="AE612" i="9"/>
  <c r="Q611" i="9"/>
  <c r="AE611" i="9"/>
  <c r="Q610" i="9"/>
  <c r="AE610" i="9"/>
  <c r="Q609" i="9"/>
  <c r="AE609" i="9"/>
  <c r="Q608" i="9"/>
  <c r="AE608" i="9"/>
  <c r="Q607" i="9"/>
  <c r="AE607" i="9"/>
  <c r="Q606" i="9"/>
  <c r="AE606" i="9"/>
  <c r="Q605" i="9"/>
  <c r="AE605" i="9"/>
  <c r="Q604" i="9"/>
  <c r="AE604" i="9"/>
  <c r="Q603" i="9"/>
  <c r="AE603" i="9"/>
  <c r="Q602" i="9"/>
  <c r="AE602" i="9"/>
  <c r="Q601" i="9"/>
  <c r="AE601" i="9"/>
  <c r="Q600" i="9"/>
  <c r="AE600" i="9"/>
  <c r="Q599" i="9"/>
  <c r="AE599" i="9"/>
  <c r="Q598" i="9"/>
  <c r="AE598" i="9"/>
  <c r="Q597" i="9"/>
  <c r="AE597" i="9"/>
  <c r="Q596" i="9"/>
  <c r="AE596" i="9"/>
  <c r="Q595" i="9"/>
  <c r="AE595" i="9"/>
  <c r="Q594" i="9"/>
  <c r="AE594" i="9"/>
  <c r="Q593" i="9"/>
  <c r="AE593" i="9"/>
  <c r="Q592" i="9"/>
  <c r="AE592" i="9"/>
  <c r="Q591" i="9"/>
  <c r="AE591" i="9"/>
  <c r="Q590" i="9"/>
  <c r="AE590" i="9"/>
  <c r="Q589" i="9"/>
  <c r="AE589" i="9"/>
  <c r="Q588" i="9"/>
  <c r="AE588" i="9"/>
  <c r="Q587" i="9"/>
  <c r="AE587" i="9"/>
  <c r="Q586" i="9"/>
  <c r="AE586" i="9"/>
  <c r="Q585" i="9"/>
  <c r="AE585" i="9"/>
  <c r="Q584" i="9"/>
  <c r="AE584" i="9"/>
  <c r="Q583" i="9"/>
  <c r="AE583" i="9"/>
  <c r="Q582" i="9"/>
  <c r="AE582" i="9"/>
  <c r="Q581" i="9"/>
  <c r="AE581" i="9"/>
  <c r="Q580" i="9"/>
  <c r="AE580" i="9"/>
  <c r="Q579" i="9"/>
  <c r="AE579" i="9"/>
  <c r="Q578" i="9"/>
  <c r="AE578" i="9"/>
  <c r="Q577" i="9"/>
  <c r="AE577" i="9"/>
  <c r="Q576" i="9"/>
  <c r="AE576" i="9"/>
  <c r="Q575" i="9"/>
  <c r="AE575" i="9"/>
  <c r="Q574" i="9"/>
  <c r="AE574" i="9"/>
  <c r="Q573" i="9"/>
  <c r="AE573" i="9"/>
  <c r="Q572" i="9"/>
  <c r="AE572" i="9"/>
  <c r="Q570" i="9"/>
  <c r="AE570" i="9"/>
  <c r="Q569" i="9"/>
  <c r="AE569" i="9"/>
  <c r="Q568" i="9"/>
  <c r="AE568" i="9"/>
  <c r="Q567" i="9"/>
  <c r="AE567" i="9"/>
  <c r="Q566" i="9"/>
  <c r="AE566" i="9"/>
  <c r="Q565" i="9"/>
  <c r="AE565" i="9"/>
  <c r="Q564" i="9"/>
  <c r="AE564" i="9"/>
  <c r="Q563" i="9"/>
  <c r="AE563" i="9"/>
  <c r="Q562" i="9"/>
  <c r="AE562" i="9"/>
  <c r="Q561" i="9"/>
  <c r="AE561" i="9"/>
  <c r="Q560" i="9"/>
  <c r="AE560" i="9"/>
  <c r="Q559" i="9"/>
  <c r="AE559" i="9"/>
  <c r="Q558" i="9"/>
  <c r="AE558" i="9"/>
  <c r="Q557" i="9"/>
  <c r="AE557" i="9"/>
  <c r="Q556" i="9"/>
  <c r="AE556" i="9"/>
  <c r="Q555" i="9"/>
  <c r="AE555" i="9"/>
  <c r="Q554" i="9"/>
  <c r="AE554" i="9"/>
  <c r="Q553" i="9"/>
  <c r="AE553" i="9"/>
  <c r="Q552" i="9"/>
  <c r="AE552" i="9"/>
  <c r="Q551" i="9"/>
  <c r="AE551" i="9"/>
  <c r="Q550" i="9"/>
  <c r="AE550" i="9"/>
  <c r="Q549" i="9"/>
  <c r="AE549" i="9"/>
  <c r="Q548" i="9"/>
  <c r="AE548" i="9"/>
  <c r="Q547" i="9"/>
  <c r="AE547" i="9"/>
  <c r="Q546" i="9"/>
  <c r="AE546" i="9"/>
  <c r="Q545" i="9"/>
  <c r="AE545" i="9"/>
  <c r="Q544" i="9"/>
  <c r="AE544" i="9"/>
  <c r="Q543" i="9"/>
  <c r="AE543" i="9"/>
  <c r="Q542" i="9"/>
  <c r="AE542" i="9"/>
  <c r="Q541" i="9"/>
  <c r="AE541" i="9"/>
  <c r="Q540" i="9"/>
  <c r="AE540" i="9"/>
  <c r="Q539" i="9"/>
  <c r="AE539" i="9"/>
  <c r="Q538" i="9"/>
  <c r="AE538" i="9"/>
  <c r="Q537" i="9"/>
  <c r="AE537" i="9"/>
  <c r="Q536" i="9"/>
  <c r="AE536" i="9"/>
  <c r="Q535" i="9"/>
  <c r="AE535" i="9"/>
  <c r="Q534" i="9"/>
  <c r="AE534" i="9"/>
  <c r="Q533" i="9"/>
  <c r="AE533" i="9"/>
  <c r="Q532" i="9"/>
  <c r="AE532" i="9"/>
  <c r="Q531" i="9"/>
  <c r="AE531" i="9"/>
  <c r="Q530" i="9"/>
  <c r="AE530" i="9"/>
  <c r="Q529" i="9"/>
  <c r="AE529" i="9"/>
  <c r="Q528" i="9"/>
  <c r="AE528" i="9"/>
  <c r="Q527" i="9"/>
  <c r="AE527" i="9"/>
  <c r="Q526" i="9"/>
  <c r="AE526" i="9"/>
  <c r="Q525" i="9"/>
  <c r="AE525" i="9"/>
  <c r="Q524" i="9"/>
  <c r="AE524" i="9"/>
  <c r="Q523" i="9"/>
  <c r="AE523" i="9"/>
  <c r="Q522" i="9"/>
  <c r="AE522" i="9"/>
  <c r="Q521" i="9"/>
  <c r="AE521" i="9"/>
  <c r="Q520" i="9"/>
  <c r="AE520" i="9"/>
  <c r="Q519" i="9"/>
  <c r="AE519" i="9"/>
  <c r="Q518" i="9"/>
  <c r="AE518" i="9"/>
  <c r="Q517" i="9"/>
  <c r="AE517" i="9"/>
  <c r="Q516" i="9"/>
  <c r="AE516" i="9"/>
  <c r="Q515" i="9"/>
  <c r="AE515" i="9"/>
  <c r="Q514" i="9"/>
  <c r="AE514" i="9"/>
  <c r="Q513" i="9"/>
  <c r="AE513" i="9"/>
  <c r="Q512" i="9"/>
  <c r="AE512" i="9"/>
  <c r="Q510" i="9"/>
  <c r="AE510" i="9"/>
  <c r="Q509" i="9"/>
  <c r="AE509" i="9"/>
  <c r="Q508" i="9"/>
  <c r="AE508" i="9"/>
  <c r="Q507" i="9"/>
  <c r="AE507" i="9"/>
  <c r="Q506" i="9"/>
  <c r="AE506" i="9"/>
  <c r="Q505" i="9"/>
  <c r="AE505" i="9"/>
  <c r="Q504" i="9"/>
  <c r="AE504" i="9"/>
  <c r="Q503" i="9"/>
  <c r="AE503" i="9"/>
  <c r="Q502" i="9"/>
  <c r="AE502" i="9"/>
  <c r="Q501" i="9"/>
  <c r="AE501" i="9"/>
  <c r="Q500" i="9"/>
  <c r="AE500" i="9"/>
  <c r="Q499" i="9"/>
  <c r="AE499" i="9"/>
  <c r="Q498" i="9"/>
  <c r="AE498" i="9"/>
  <c r="Q497" i="9"/>
  <c r="AE497" i="9"/>
  <c r="Q496" i="9"/>
  <c r="AE496" i="9"/>
  <c r="Q495" i="9"/>
  <c r="AE495" i="9"/>
  <c r="Q494" i="9"/>
  <c r="AE494" i="9"/>
  <c r="Q493" i="9"/>
  <c r="AE493" i="9"/>
  <c r="Q492" i="9"/>
  <c r="AE492" i="9"/>
  <c r="Q491" i="9"/>
  <c r="AE491" i="9"/>
  <c r="Q490" i="9"/>
  <c r="AE490" i="9"/>
  <c r="Q489" i="9"/>
  <c r="AE489" i="9"/>
  <c r="Q488" i="9"/>
  <c r="AE488" i="9"/>
  <c r="Q487" i="9"/>
  <c r="AE487" i="9"/>
  <c r="Q486" i="9"/>
  <c r="AE486" i="9"/>
  <c r="Q485" i="9"/>
  <c r="AE485" i="9"/>
  <c r="Q484" i="9"/>
  <c r="AE484" i="9"/>
  <c r="Q483" i="9"/>
  <c r="AE483" i="9"/>
  <c r="Q482" i="9"/>
  <c r="AE482" i="9"/>
  <c r="Q481" i="9"/>
  <c r="AE481" i="9"/>
  <c r="Q480" i="9"/>
  <c r="AE480" i="9"/>
  <c r="Q479" i="9"/>
  <c r="AE479" i="9"/>
  <c r="Q478" i="9"/>
  <c r="AE478" i="9"/>
  <c r="Q477" i="9"/>
  <c r="AE477" i="9"/>
  <c r="Q476" i="9"/>
  <c r="AE476" i="9"/>
  <c r="Q475" i="9"/>
  <c r="AE475" i="9"/>
  <c r="Q474" i="9"/>
  <c r="AE474" i="9"/>
  <c r="Q473" i="9"/>
  <c r="AE473" i="9"/>
  <c r="Q472" i="9"/>
  <c r="AE472" i="9"/>
  <c r="Q471" i="9"/>
  <c r="AE471" i="9"/>
  <c r="Q470" i="9"/>
  <c r="AE470" i="9"/>
  <c r="Q469" i="9"/>
  <c r="AE469" i="9"/>
  <c r="Q468" i="9"/>
  <c r="AE468" i="9"/>
  <c r="Q467" i="9"/>
  <c r="AE467" i="9"/>
  <c r="Q466" i="9"/>
  <c r="AE466" i="9"/>
  <c r="Q465" i="9"/>
  <c r="AE465" i="9"/>
  <c r="Q464" i="9"/>
  <c r="AE464" i="9"/>
  <c r="Q463" i="9"/>
  <c r="AE463" i="9"/>
  <c r="Q462" i="9"/>
  <c r="AE462" i="9"/>
  <c r="Q461" i="9"/>
  <c r="AE461" i="9"/>
  <c r="Q460" i="9"/>
  <c r="AE460" i="9"/>
  <c r="Q459" i="9"/>
  <c r="AE459" i="9"/>
  <c r="Q458" i="9"/>
  <c r="AE458" i="9"/>
  <c r="Q457" i="9"/>
  <c r="AE457" i="9"/>
  <c r="Q456" i="9"/>
  <c r="AE456" i="9"/>
  <c r="Q455" i="9"/>
  <c r="AE455" i="9"/>
  <c r="Q454" i="9"/>
  <c r="AE454" i="9"/>
  <c r="Q453" i="9"/>
  <c r="AE453" i="9"/>
  <c r="Q452" i="9"/>
  <c r="AE452" i="9"/>
  <c r="Q451" i="9"/>
  <c r="AE451" i="9"/>
  <c r="Q450" i="9"/>
  <c r="AE450" i="9"/>
  <c r="Q449" i="9"/>
  <c r="AE449" i="9"/>
  <c r="Q448" i="9"/>
  <c r="AE448" i="9"/>
  <c r="Q447" i="9"/>
  <c r="AE447" i="9"/>
  <c r="Q446" i="9"/>
  <c r="AE446" i="9"/>
  <c r="Q445" i="9"/>
  <c r="AE445" i="9"/>
  <c r="Q444" i="9"/>
  <c r="AE444" i="9"/>
  <c r="Q443" i="9"/>
  <c r="AE443" i="9"/>
  <c r="Q442" i="9"/>
  <c r="AE442" i="9"/>
  <c r="Q441" i="9"/>
  <c r="AE441" i="9"/>
  <c r="Q440" i="9"/>
  <c r="AE440" i="9"/>
  <c r="Q439" i="9"/>
  <c r="AE439" i="9"/>
  <c r="Q438" i="9"/>
  <c r="AE438" i="9"/>
  <c r="Q437" i="9"/>
  <c r="AE437" i="9"/>
  <c r="Q436" i="9"/>
  <c r="AE436" i="9"/>
  <c r="Q435" i="9"/>
  <c r="AE435" i="9"/>
  <c r="Q434" i="9"/>
  <c r="AE434" i="9"/>
  <c r="Q433" i="9"/>
  <c r="AE433" i="9"/>
  <c r="Q432" i="9"/>
  <c r="AE432" i="9"/>
  <c r="Q431" i="9"/>
  <c r="AE431" i="9"/>
  <c r="Q430" i="9"/>
  <c r="AE430" i="9"/>
  <c r="Q429" i="9"/>
  <c r="AE429" i="9"/>
  <c r="Q428" i="9"/>
  <c r="AE428" i="9"/>
  <c r="Q427" i="9"/>
  <c r="AE427" i="9"/>
  <c r="Q426" i="9"/>
  <c r="AE426" i="9"/>
  <c r="Q425" i="9"/>
  <c r="AE425" i="9"/>
  <c r="Q424" i="9"/>
  <c r="AE424" i="9"/>
  <c r="Q423" i="9"/>
  <c r="AE423" i="9"/>
  <c r="Q422" i="9"/>
  <c r="AE422" i="9"/>
  <c r="Q421" i="9"/>
  <c r="AE421" i="9"/>
  <c r="Q420" i="9"/>
  <c r="AE420" i="9"/>
  <c r="Q419" i="9"/>
  <c r="AE419" i="9"/>
  <c r="Q418" i="9"/>
  <c r="AE418" i="9"/>
  <c r="Q417" i="9"/>
  <c r="AE417" i="9"/>
  <c r="Q416" i="9"/>
  <c r="AE416" i="9"/>
  <c r="Q415" i="9"/>
  <c r="AE415" i="9"/>
  <c r="Q414" i="9"/>
  <c r="AE414" i="9"/>
  <c r="Q413" i="9"/>
  <c r="AE413" i="9"/>
  <c r="Q412" i="9"/>
  <c r="AE412" i="9"/>
  <c r="Q411" i="9"/>
  <c r="AE411" i="9"/>
  <c r="Q410" i="9"/>
  <c r="AE410" i="9"/>
  <c r="Q409" i="9"/>
  <c r="AE409" i="9"/>
  <c r="Q408" i="9"/>
  <c r="AE408" i="9"/>
  <c r="Q407" i="9"/>
  <c r="AE407" i="9"/>
  <c r="Q406" i="9"/>
  <c r="AE406" i="9"/>
  <c r="Q405" i="9"/>
  <c r="AE405" i="9"/>
  <c r="Q404" i="9"/>
  <c r="AE404" i="9"/>
  <c r="Q403" i="9"/>
  <c r="AE403" i="9"/>
  <c r="Q402" i="9"/>
  <c r="AE402" i="9"/>
  <c r="Q401" i="9"/>
  <c r="AE401" i="9"/>
  <c r="Q400" i="9"/>
  <c r="AE400" i="9"/>
  <c r="Q399" i="9"/>
  <c r="AE399" i="9"/>
  <c r="Q398" i="9"/>
  <c r="AE398" i="9"/>
  <c r="Q397" i="9"/>
  <c r="AE397" i="9"/>
  <c r="Q396" i="9"/>
  <c r="AE396" i="9"/>
  <c r="Q395" i="9"/>
  <c r="AE395" i="9"/>
  <c r="Q394" i="9"/>
  <c r="AE394" i="9"/>
  <c r="Q393" i="9"/>
  <c r="AE393" i="9"/>
  <c r="Q392" i="9"/>
  <c r="AE392" i="9"/>
  <c r="Q391" i="9"/>
  <c r="AE391" i="9"/>
  <c r="Q390" i="9"/>
  <c r="AE390" i="9"/>
  <c r="Q389" i="9"/>
  <c r="AE389" i="9"/>
  <c r="Q388" i="9"/>
  <c r="AE388" i="9"/>
  <c r="Q387" i="9"/>
  <c r="AE387" i="9"/>
  <c r="Q386" i="9"/>
  <c r="AE386" i="9"/>
  <c r="Q385" i="9"/>
  <c r="AE385" i="9"/>
  <c r="Q384" i="9"/>
  <c r="AE384" i="9"/>
  <c r="Q383" i="9"/>
  <c r="AE383" i="9"/>
  <c r="Q382" i="9"/>
  <c r="AE382" i="9"/>
  <c r="Q381" i="9"/>
  <c r="AE381" i="9"/>
  <c r="Q380" i="9"/>
  <c r="AE380" i="9"/>
  <c r="Q379" i="9"/>
  <c r="AE379" i="9"/>
  <c r="Q378" i="9"/>
  <c r="AE378" i="9"/>
  <c r="Q377" i="9"/>
  <c r="AE377" i="9"/>
  <c r="Q376" i="9"/>
  <c r="AE376" i="9"/>
  <c r="Q375" i="9"/>
  <c r="AE375" i="9"/>
  <c r="Q374" i="9"/>
  <c r="AE374" i="9"/>
  <c r="Q373" i="9"/>
  <c r="AE373" i="9"/>
  <c r="Q372" i="9"/>
  <c r="AE372" i="9"/>
  <c r="Q371" i="9"/>
  <c r="AE371" i="9"/>
  <c r="Q370" i="9"/>
  <c r="AE370" i="9"/>
  <c r="Q369" i="9"/>
  <c r="AE369" i="9"/>
  <c r="Q368" i="9"/>
  <c r="AE368" i="9"/>
  <c r="Q367" i="9"/>
  <c r="AE367" i="9"/>
  <c r="Q366" i="9"/>
  <c r="AE366" i="9"/>
  <c r="Q365" i="9"/>
  <c r="AE365" i="9"/>
  <c r="Q364" i="9"/>
  <c r="AE364" i="9"/>
  <c r="Q363" i="9"/>
  <c r="AE363" i="9"/>
  <c r="Q362" i="9"/>
  <c r="AE362" i="9"/>
  <c r="Q361" i="9"/>
  <c r="AE361" i="9"/>
  <c r="Q360" i="9"/>
  <c r="AE360" i="9"/>
  <c r="Q359" i="9"/>
  <c r="AE359" i="9"/>
  <c r="Q358" i="9"/>
  <c r="AE358" i="9"/>
  <c r="Q357" i="9"/>
  <c r="AE357" i="9"/>
  <c r="Q356" i="9"/>
  <c r="AE356" i="9"/>
  <c r="Q355" i="9"/>
  <c r="AE355" i="9"/>
  <c r="Q354" i="9"/>
  <c r="AE354" i="9"/>
  <c r="Q353" i="9"/>
  <c r="AE353" i="9"/>
  <c r="Q352" i="9"/>
  <c r="AE352" i="9"/>
  <c r="Q351" i="9"/>
  <c r="AE351" i="9"/>
  <c r="Q350" i="9"/>
  <c r="AE350" i="9"/>
  <c r="Q349" i="9"/>
  <c r="AE349" i="9"/>
  <c r="Q348" i="9"/>
  <c r="AE348" i="9"/>
  <c r="Q347" i="9"/>
  <c r="AE347" i="9"/>
  <c r="Q346" i="9"/>
  <c r="AE346" i="9"/>
  <c r="Q345" i="9"/>
  <c r="AE345" i="9"/>
  <c r="Q344" i="9"/>
  <c r="AE344" i="9"/>
  <c r="Q343" i="9"/>
  <c r="AE343" i="9"/>
  <c r="Q342" i="9"/>
  <c r="AE342" i="9"/>
  <c r="Q341" i="9"/>
  <c r="AE341" i="9"/>
  <c r="Q340" i="9"/>
  <c r="AE340" i="9"/>
  <c r="Q339" i="9"/>
  <c r="AE339" i="9"/>
  <c r="Q338" i="9"/>
  <c r="AE338" i="9"/>
  <c r="Q337" i="9"/>
  <c r="AE337" i="9"/>
  <c r="Q336" i="9"/>
  <c r="AE336" i="9"/>
  <c r="Q335" i="9"/>
  <c r="AE335" i="9"/>
  <c r="Q334" i="9"/>
  <c r="AE334" i="9"/>
  <c r="Q333" i="9"/>
  <c r="AE333" i="9"/>
  <c r="Q332" i="9"/>
  <c r="AE332" i="9"/>
  <c r="Q331" i="9"/>
  <c r="AE331" i="9"/>
  <c r="Q330" i="9"/>
  <c r="AE330" i="9"/>
  <c r="Q329" i="9"/>
  <c r="AE329" i="9"/>
  <c r="Q328" i="9"/>
  <c r="AE328" i="9"/>
  <c r="Q327" i="9"/>
  <c r="AE327" i="9"/>
  <c r="Q326" i="9"/>
  <c r="AE326" i="9"/>
  <c r="Q325" i="9"/>
  <c r="AE325" i="9"/>
  <c r="Q324" i="9"/>
  <c r="AE324" i="9"/>
  <c r="Q323" i="9"/>
  <c r="AE323" i="9"/>
  <c r="Q322" i="9"/>
  <c r="AE322" i="9"/>
  <c r="Q321" i="9"/>
  <c r="AE321" i="9"/>
  <c r="Q320" i="9"/>
  <c r="AE320" i="9"/>
  <c r="Q319" i="9"/>
  <c r="AE319" i="9"/>
  <c r="Q318" i="9"/>
  <c r="AE318" i="9"/>
  <c r="Q317" i="9"/>
  <c r="AE317" i="9"/>
  <c r="Q316" i="9"/>
  <c r="AE316" i="9"/>
  <c r="Q315" i="9"/>
  <c r="AE315" i="9"/>
  <c r="Q314" i="9"/>
  <c r="AE314" i="9"/>
  <c r="Q313" i="9"/>
  <c r="AE313" i="9"/>
  <c r="Q312" i="9"/>
  <c r="AE312" i="9"/>
  <c r="Q311" i="9"/>
  <c r="AE311" i="9"/>
  <c r="Q310" i="9"/>
  <c r="AE310" i="9"/>
  <c r="Q309" i="9"/>
  <c r="AE309" i="9"/>
  <c r="Q308" i="9"/>
  <c r="AE308" i="9"/>
  <c r="Q307" i="9"/>
  <c r="AE307" i="9"/>
  <c r="Q306" i="9"/>
  <c r="AE306" i="9"/>
  <c r="Q305" i="9"/>
  <c r="AE305" i="9"/>
  <c r="Q304" i="9"/>
  <c r="AE304" i="9"/>
  <c r="Q303" i="9"/>
  <c r="AE303" i="9"/>
  <c r="Q302" i="9"/>
  <c r="AE302" i="9"/>
  <c r="Q301" i="9"/>
  <c r="AE301" i="9"/>
  <c r="Q300" i="9"/>
  <c r="AE300" i="9"/>
  <c r="Q299" i="9"/>
  <c r="AE299" i="9"/>
  <c r="Q298" i="9"/>
  <c r="AE298" i="9"/>
  <c r="Q297" i="9"/>
  <c r="AE297" i="9"/>
  <c r="Q296" i="9"/>
  <c r="AE296" i="9"/>
  <c r="Q295" i="9"/>
  <c r="AE295" i="9"/>
  <c r="Q294" i="9"/>
  <c r="AE294" i="9"/>
  <c r="Q293" i="9"/>
  <c r="AE293" i="9"/>
  <c r="Q292" i="9"/>
  <c r="AE292" i="9"/>
  <c r="Q291" i="9"/>
  <c r="AE291" i="9"/>
  <c r="Q290" i="9"/>
  <c r="AE290" i="9"/>
  <c r="Q289" i="9"/>
  <c r="AE289" i="9"/>
  <c r="Q288" i="9"/>
  <c r="AE288" i="9"/>
  <c r="Q287" i="9"/>
  <c r="AE287" i="9"/>
  <c r="Q286" i="9"/>
  <c r="AE286" i="9"/>
  <c r="Q285" i="9"/>
  <c r="AE285" i="9"/>
  <c r="Q284" i="9"/>
  <c r="AE284" i="9"/>
  <c r="Q283" i="9"/>
  <c r="AE283" i="9"/>
  <c r="Q282" i="9"/>
  <c r="AE282" i="9"/>
  <c r="Q281" i="9"/>
  <c r="AE281" i="9"/>
  <c r="Q280" i="9"/>
  <c r="AE280" i="9"/>
  <c r="Q279" i="9"/>
  <c r="AE279" i="9"/>
  <c r="Q278" i="9"/>
  <c r="AE278" i="9"/>
  <c r="Q277" i="9"/>
  <c r="AE277" i="9"/>
  <c r="Q276" i="9"/>
  <c r="AE276" i="9"/>
  <c r="Q275" i="9"/>
  <c r="AE275" i="9"/>
  <c r="Q274" i="9"/>
  <c r="AE274" i="9"/>
  <c r="Q273" i="9"/>
  <c r="AE273" i="9"/>
  <c r="Q272" i="9"/>
  <c r="AE272" i="9"/>
  <c r="Q271" i="9"/>
  <c r="AE271" i="9"/>
  <c r="Q270" i="9"/>
  <c r="AE270" i="9"/>
  <c r="Q269" i="9"/>
  <c r="AE269" i="9"/>
  <c r="Q268" i="9"/>
  <c r="AE268" i="9"/>
  <c r="Q267" i="9"/>
  <c r="AE267" i="9"/>
  <c r="Q266" i="9"/>
  <c r="AE266" i="9"/>
  <c r="Q265" i="9"/>
  <c r="AE265" i="9"/>
  <c r="Q264" i="9"/>
  <c r="AE264" i="9"/>
  <c r="Q263" i="9"/>
  <c r="AE263" i="9"/>
  <c r="Q262" i="9"/>
  <c r="AE262" i="9"/>
  <c r="Q261" i="9"/>
  <c r="AE261" i="9"/>
  <c r="Q260" i="9"/>
  <c r="AE260" i="9"/>
  <c r="Q259" i="9"/>
  <c r="AE259" i="9"/>
  <c r="Q258" i="9"/>
  <c r="AE258" i="9"/>
  <c r="Q257" i="9"/>
  <c r="AE257" i="9"/>
  <c r="Q256" i="9"/>
  <c r="AE256" i="9"/>
  <c r="Q255" i="9"/>
  <c r="AE255" i="9"/>
  <c r="Q254" i="9"/>
  <c r="AE254" i="9"/>
  <c r="Q253" i="9"/>
  <c r="AE253" i="9"/>
  <c r="Q252" i="9"/>
  <c r="AE252" i="9"/>
  <c r="Q251" i="9"/>
  <c r="AE251" i="9"/>
  <c r="Q250" i="9"/>
  <c r="AE250" i="9"/>
  <c r="Q249" i="9"/>
  <c r="AE249" i="9"/>
  <c r="Q248" i="9"/>
  <c r="AE248" i="9"/>
  <c r="Q247" i="9"/>
  <c r="AE247" i="9"/>
  <c r="Q246" i="9"/>
  <c r="AE246" i="9"/>
  <c r="Q245" i="9"/>
  <c r="AE245" i="9"/>
  <c r="Q244" i="9"/>
  <c r="AE244" i="9"/>
  <c r="Q243" i="9"/>
  <c r="AE243" i="9"/>
  <c r="Q242" i="9"/>
  <c r="AE242" i="9"/>
  <c r="Q241" i="9"/>
  <c r="AE241" i="9"/>
  <c r="Q240" i="9"/>
  <c r="AE240" i="9"/>
  <c r="Q239" i="9"/>
  <c r="AE239" i="9"/>
  <c r="Q238" i="9"/>
  <c r="AE238" i="9"/>
  <c r="Q237" i="9"/>
  <c r="AE237" i="9"/>
  <c r="Q236" i="9"/>
  <c r="AE236" i="9"/>
  <c r="Q235" i="9"/>
  <c r="AE235" i="9"/>
  <c r="Q234" i="9"/>
  <c r="AE234" i="9"/>
  <c r="Q233" i="9"/>
  <c r="AE233" i="9"/>
  <c r="Q232" i="9"/>
  <c r="AE232" i="9"/>
  <c r="Q231" i="9"/>
  <c r="AE231" i="9"/>
  <c r="Q230" i="9"/>
  <c r="AE230" i="9"/>
  <c r="Q229" i="9"/>
  <c r="AE229" i="9"/>
  <c r="Q228" i="9"/>
  <c r="AE228" i="9"/>
  <c r="Q227" i="9"/>
  <c r="AE227" i="9"/>
  <c r="Q226" i="9"/>
  <c r="AE226" i="9"/>
  <c r="Q225" i="9"/>
  <c r="AE225" i="9"/>
  <c r="Q224" i="9"/>
  <c r="AE224" i="9"/>
  <c r="Q223" i="9"/>
  <c r="AE223" i="9"/>
  <c r="Q222" i="9"/>
  <c r="AE222" i="9"/>
  <c r="Q221" i="9"/>
  <c r="AE221" i="9"/>
  <c r="Q220" i="9"/>
  <c r="AE220" i="9"/>
  <c r="Q219" i="9"/>
  <c r="AE219" i="9"/>
  <c r="Q218" i="9"/>
  <c r="AE218" i="9"/>
  <c r="Q217" i="9"/>
  <c r="AE217" i="9"/>
  <c r="Q216" i="9"/>
  <c r="AE216" i="9"/>
  <c r="Q215" i="9"/>
  <c r="AE215" i="9"/>
  <c r="Q214" i="9"/>
  <c r="AE214" i="9"/>
  <c r="Q213" i="9"/>
  <c r="AE213" i="9"/>
  <c r="Q212" i="9"/>
  <c r="AE212" i="9"/>
  <c r="Q211" i="9"/>
  <c r="AE211" i="9"/>
  <c r="Q210" i="9"/>
  <c r="AE210" i="9"/>
  <c r="Q209" i="9"/>
  <c r="AE209" i="9"/>
  <c r="Q208" i="9"/>
  <c r="AE208" i="9"/>
  <c r="Q207" i="9"/>
  <c r="AE207" i="9"/>
  <c r="Q206" i="9"/>
  <c r="AE206" i="9"/>
  <c r="Q205" i="9"/>
  <c r="AE205" i="9"/>
  <c r="Q204" i="9"/>
  <c r="AE204" i="9"/>
  <c r="Q203" i="9"/>
  <c r="AE203" i="9"/>
  <c r="Q202" i="9"/>
  <c r="AE202" i="9"/>
  <c r="Q201" i="9"/>
  <c r="AE201" i="9"/>
  <c r="Q200" i="9"/>
  <c r="AE200" i="9"/>
  <c r="Q199" i="9"/>
  <c r="AE199" i="9"/>
  <c r="Q198" i="9"/>
  <c r="AE198" i="9"/>
  <c r="Q197" i="9"/>
  <c r="AE197" i="9"/>
  <c r="Q196" i="9"/>
  <c r="AE196" i="9"/>
  <c r="Q195" i="9"/>
  <c r="AE195" i="9"/>
  <c r="Q194" i="9"/>
  <c r="AE194" i="9"/>
  <c r="Q193" i="9"/>
  <c r="AE193" i="9"/>
  <c r="Q192" i="9"/>
  <c r="AE192" i="9"/>
  <c r="Q191" i="9"/>
  <c r="AE191" i="9"/>
  <c r="Q190" i="9"/>
  <c r="AE190" i="9"/>
  <c r="Q189" i="9"/>
  <c r="AE189" i="9"/>
  <c r="Q188" i="9"/>
  <c r="AE188" i="9"/>
  <c r="Q187" i="9"/>
  <c r="AE187" i="9"/>
  <c r="Q186" i="9"/>
  <c r="AE186" i="9"/>
  <c r="Q185" i="9"/>
  <c r="AE185" i="9"/>
  <c r="Q184" i="9"/>
  <c r="AE184" i="9"/>
  <c r="Q183" i="9"/>
  <c r="AE183" i="9"/>
  <c r="Q182" i="9"/>
  <c r="AE182" i="9"/>
  <c r="Q181" i="9"/>
  <c r="AE181" i="9"/>
  <c r="Q180" i="9"/>
  <c r="AE180" i="9"/>
  <c r="Q179" i="9"/>
  <c r="AE179" i="9"/>
  <c r="Q178" i="9"/>
  <c r="AE178" i="9"/>
  <c r="Q177" i="9"/>
  <c r="AE177" i="9"/>
  <c r="Q176" i="9"/>
  <c r="AE176" i="9"/>
  <c r="Q175" i="9"/>
  <c r="AE175" i="9"/>
  <c r="Q174" i="9"/>
  <c r="AE174" i="9"/>
  <c r="Q173" i="9"/>
  <c r="AE173" i="9"/>
  <c r="Q172" i="9"/>
  <c r="AE172" i="9"/>
  <c r="Q171" i="9"/>
  <c r="AE171" i="9"/>
  <c r="Q170" i="9"/>
  <c r="AE170" i="9"/>
  <c r="Q169" i="9"/>
  <c r="AE169" i="9"/>
  <c r="Q168" i="9"/>
  <c r="AE168" i="9"/>
  <c r="Q167" i="9"/>
  <c r="AE167" i="9"/>
  <c r="Q166" i="9"/>
  <c r="AE166" i="9"/>
  <c r="Q165" i="9"/>
  <c r="AE165" i="9"/>
  <c r="Q164" i="9"/>
  <c r="AE164" i="9"/>
  <c r="Q163" i="9"/>
  <c r="AE163" i="9"/>
  <c r="Q162" i="9"/>
  <c r="AE162" i="9"/>
  <c r="Q161" i="9"/>
  <c r="AE161" i="9"/>
  <c r="Q160" i="9"/>
  <c r="AE160" i="9"/>
  <c r="Q159" i="9"/>
  <c r="AE159" i="9"/>
  <c r="Q158" i="9"/>
  <c r="AE158" i="9"/>
  <c r="Q157" i="9"/>
  <c r="AE157" i="9"/>
  <c r="Q156" i="9"/>
  <c r="AE156" i="9"/>
  <c r="Q155" i="9"/>
  <c r="AE155" i="9"/>
  <c r="Q154" i="9"/>
  <c r="AE154" i="9"/>
  <c r="Q153" i="9"/>
  <c r="AE153" i="9"/>
  <c r="Q152" i="9"/>
  <c r="AE152" i="9"/>
  <c r="Q151" i="9"/>
  <c r="AE151" i="9"/>
  <c r="Q150" i="9"/>
  <c r="AE150" i="9"/>
  <c r="Q149" i="9"/>
  <c r="AE149" i="9"/>
  <c r="Q148" i="9"/>
  <c r="AE148" i="9"/>
  <c r="Q147" i="9"/>
  <c r="AE147" i="9"/>
  <c r="Q146" i="9"/>
  <c r="AE146" i="9"/>
  <c r="Q145" i="9"/>
  <c r="AE145" i="9"/>
  <c r="Q144" i="9"/>
  <c r="AE144" i="9"/>
  <c r="Q143" i="9"/>
  <c r="AE143" i="9"/>
  <c r="Q142" i="9"/>
  <c r="AE142" i="9"/>
  <c r="Q141" i="9"/>
  <c r="AE141" i="9"/>
  <c r="Q140" i="9"/>
  <c r="AE140" i="9"/>
  <c r="Q139" i="9"/>
  <c r="AE139" i="9"/>
  <c r="Q138" i="9"/>
  <c r="AE138" i="9"/>
  <c r="Q137" i="9"/>
  <c r="AE137" i="9"/>
  <c r="Q136" i="9"/>
  <c r="AE136" i="9"/>
  <c r="Q135" i="9"/>
  <c r="AE135" i="9"/>
  <c r="Q134" i="9"/>
  <c r="AE134" i="9"/>
  <c r="Q133" i="9"/>
  <c r="AE133" i="9"/>
  <c r="Q132" i="9"/>
  <c r="AE132" i="9"/>
  <c r="Q131" i="9"/>
  <c r="AE131" i="9"/>
  <c r="Q130" i="9"/>
  <c r="AE130" i="9"/>
  <c r="Q129" i="9"/>
  <c r="AE129" i="9"/>
  <c r="Q128" i="9"/>
  <c r="AE128" i="9"/>
  <c r="Q127" i="9"/>
  <c r="AE127" i="9"/>
  <c r="Q126" i="9"/>
  <c r="AE126" i="9"/>
  <c r="Q125" i="9"/>
  <c r="AE125" i="9"/>
  <c r="Q124" i="9"/>
  <c r="AE124" i="9"/>
  <c r="Q123" i="9"/>
  <c r="AE123" i="9"/>
  <c r="Q122" i="9"/>
  <c r="AE122" i="9"/>
  <c r="Q121" i="9"/>
  <c r="AE121" i="9"/>
  <c r="Q120" i="9"/>
  <c r="AE120" i="9"/>
  <c r="Q119" i="9"/>
  <c r="AE119" i="9"/>
  <c r="Q118" i="9"/>
  <c r="AE118" i="9"/>
  <c r="Q117" i="9"/>
  <c r="AE117" i="9"/>
  <c r="Q116" i="9"/>
  <c r="AE116" i="9"/>
  <c r="Q115" i="9"/>
  <c r="AE115" i="9"/>
  <c r="Q114" i="9"/>
  <c r="AE114" i="9"/>
  <c r="Q113" i="9"/>
  <c r="AE113" i="9"/>
  <c r="Q112" i="9"/>
  <c r="AE112" i="9"/>
  <c r="Q111" i="9"/>
  <c r="AE111" i="9"/>
  <c r="Q110" i="9"/>
  <c r="AE110" i="9"/>
  <c r="Q109" i="9"/>
  <c r="AE109" i="9"/>
  <c r="Q108" i="9"/>
  <c r="AE108" i="9"/>
  <c r="Q107" i="9"/>
  <c r="AE107" i="9"/>
  <c r="Q106" i="9"/>
  <c r="AE106" i="9"/>
  <c r="Q105" i="9"/>
  <c r="AE105" i="9"/>
  <c r="Q104" i="9"/>
  <c r="AE104" i="9"/>
  <c r="Q103" i="9"/>
  <c r="AE103" i="9"/>
  <c r="Q102" i="9"/>
  <c r="AE102" i="9"/>
  <c r="Q101" i="9"/>
  <c r="AE101" i="9"/>
  <c r="Q100" i="9"/>
  <c r="AE100" i="9"/>
  <c r="Q99" i="9"/>
  <c r="AE99" i="9"/>
  <c r="Q98" i="9"/>
  <c r="AE98" i="9"/>
  <c r="Q97" i="9"/>
  <c r="AE97" i="9"/>
  <c r="Q96" i="9"/>
  <c r="AE96" i="9"/>
  <c r="Q95" i="9"/>
  <c r="AE95" i="9"/>
  <c r="Q94" i="9"/>
  <c r="AE94" i="9"/>
  <c r="Q93" i="9"/>
  <c r="AE93" i="9"/>
  <c r="Q92" i="9"/>
  <c r="AE92" i="9"/>
  <c r="Q91" i="9"/>
  <c r="AE91" i="9"/>
  <c r="Q90" i="9"/>
  <c r="AE90" i="9"/>
  <c r="Q89" i="9"/>
  <c r="AE89" i="9"/>
  <c r="Q88" i="9"/>
  <c r="AE88" i="9"/>
  <c r="Q87" i="9"/>
  <c r="AE87" i="9"/>
  <c r="Q86" i="9"/>
  <c r="AE86" i="9"/>
  <c r="Q85" i="9"/>
  <c r="AE85" i="9"/>
  <c r="Q84" i="9"/>
  <c r="AE84" i="9"/>
  <c r="Q83" i="9"/>
  <c r="AE83" i="9"/>
  <c r="Q82" i="9"/>
  <c r="AE82" i="9"/>
  <c r="Q81" i="9"/>
  <c r="AE81" i="9"/>
  <c r="Q80" i="9"/>
  <c r="AE80" i="9"/>
  <c r="Q79" i="9"/>
  <c r="AE79" i="9"/>
  <c r="Q78" i="9"/>
  <c r="AE78" i="9"/>
  <c r="Q77" i="9"/>
  <c r="AE77" i="9"/>
  <c r="Q76" i="9"/>
  <c r="AE76" i="9"/>
  <c r="Q75" i="9"/>
  <c r="AE75" i="9"/>
  <c r="Q74" i="9"/>
  <c r="AE74" i="9"/>
  <c r="Q73" i="9"/>
  <c r="AE73" i="9"/>
  <c r="Q72" i="9"/>
  <c r="AE72" i="9"/>
  <c r="Q71" i="9"/>
  <c r="AE71" i="9"/>
  <c r="Q70" i="9"/>
  <c r="AE70" i="9"/>
  <c r="Q69" i="9"/>
  <c r="AE69" i="9"/>
  <c r="Q68" i="9"/>
  <c r="AE68" i="9"/>
  <c r="Q67" i="9"/>
  <c r="AE67" i="9"/>
  <c r="Q66" i="9"/>
  <c r="AE66" i="9"/>
  <c r="Q65" i="9"/>
  <c r="AE65" i="9"/>
  <c r="Q64" i="9"/>
  <c r="AE64" i="9"/>
  <c r="Q63" i="9"/>
  <c r="AE63" i="9"/>
  <c r="Q62" i="9"/>
  <c r="AE62" i="9"/>
  <c r="Q61" i="9"/>
  <c r="AE61" i="9"/>
  <c r="Q60" i="9"/>
  <c r="AE60" i="9"/>
  <c r="Q59" i="9"/>
  <c r="AE59" i="9"/>
  <c r="Q58" i="9"/>
  <c r="AE58" i="9"/>
  <c r="Q57" i="9"/>
  <c r="AE57" i="9"/>
  <c r="Q56" i="9"/>
  <c r="AE56" i="9"/>
  <c r="Q55" i="9"/>
  <c r="AE55" i="9"/>
  <c r="Q54" i="9"/>
  <c r="AE54" i="9"/>
  <c r="Q53" i="9"/>
  <c r="AE53" i="9"/>
  <c r="Q52" i="9"/>
  <c r="AE52" i="9"/>
  <c r="Q51" i="9"/>
  <c r="AE51" i="9"/>
  <c r="Q50" i="9"/>
  <c r="AE50" i="9"/>
  <c r="Q49" i="9"/>
  <c r="AE49" i="9"/>
  <c r="Q48" i="9"/>
  <c r="AE48" i="9"/>
  <c r="Q47" i="9"/>
  <c r="AE47" i="9"/>
  <c r="Q46" i="9"/>
  <c r="AE46" i="9"/>
  <c r="Q45" i="9"/>
  <c r="AE45" i="9"/>
  <c r="Q44" i="9"/>
  <c r="AE44" i="9"/>
  <c r="Q43" i="9"/>
  <c r="AE43" i="9"/>
  <c r="Q42" i="9"/>
  <c r="AE42" i="9"/>
  <c r="Q41" i="9"/>
  <c r="AE41" i="9"/>
  <c r="Q40" i="9"/>
  <c r="AE40" i="9"/>
  <c r="Q39" i="9"/>
  <c r="AE39" i="9"/>
  <c r="Q38" i="9"/>
  <c r="AE38" i="9"/>
  <c r="Q37" i="9"/>
  <c r="AE37" i="9"/>
  <c r="Q36" i="9"/>
  <c r="AE36" i="9"/>
  <c r="Q35" i="9"/>
  <c r="AE35" i="9"/>
  <c r="Q34" i="9"/>
  <c r="AE34" i="9"/>
  <c r="Q33" i="9"/>
  <c r="AE33" i="9"/>
  <c r="Q32" i="9"/>
  <c r="AE32" i="9"/>
  <c r="Q31" i="9"/>
  <c r="AE31" i="9"/>
  <c r="Q30" i="9"/>
  <c r="AE30" i="9"/>
  <c r="Q29" i="9"/>
  <c r="AE29" i="9"/>
  <c r="Q28" i="9"/>
  <c r="AE28" i="9"/>
  <c r="Q27" i="9"/>
  <c r="AE27" i="9"/>
  <c r="Q26" i="9"/>
  <c r="AE26" i="9"/>
  <c r="Q25" i="9"/>
  <c r="AE25" i="9"/>
  <c r="Q24" i="9"/>
  <c r="AE24" i="9"/>
  <c r="Q23" i="9"/>
  <c r="AE23" i="9"/>
  <c r="Q22" i="9"/>
  <c r="AE22" i="9"/>
  <c r="Q21" i="9"/>
  <c r="AE21" i="9"/>
  <c r="Q20" i="9"/>
  <c r="AE20" i="9"/>
  <c r="Q19" i="9"/>
  <c r="AE19" i="9"/>
  <c r="Q18" i="9"/>
  <c r="AE18" i="9"/>
  <c r="Q17" i="9"/>
  <c r="AE17" i="9"/>
  <c r="Q16" i="9"/>
  <c r="AE16" i="9"/>
  <c r="Q15" i="9"/>
  <c r="AE15" i="9"/>
  <c r="Q14" i="9"/>
  <c r="AE14" i="9"/>
  <c r="Q13" i="9"/>
  <c r="AE13" i="9"/>
  <c r="Q12" i="9"/>
  <c r="AE12" i="9"/>
  <c r="Q11" i="9"/>
  <c r="AE11" i="9"/>
  <c r="Q10" i="9"/>
  <c r="AE10" i="9"/>
  <c r="Q9" i="9"/>
  <c r="AE9" i="9"/>
  <c r="Q8" i="9"/>
  <c r="AE8" i="9"/>
  <c r="Q7" i="9"/>
  <c r="AE7" i="9"/>
  <c r="Q6" i="9"/>
  <c r="AE6" i="9"/>
  <c r="Q5" i="9"/>
  <c r="AE5" i="9"/>
  <c r="Q4" i="9"/>
  <c r="AE4" i="9"/>
  <c r="Q3" i="9"/>
  <c r="AE3" i="9"/>
  <c r="B25" i="13"/>
  <c r="AA2" i="9"/>
  <c r="AA934" i="9"/>
  <c r="AC246" i="9"/>
  <c r="AC244" i="9"/>
  <c r="AC222" i="9"/>
  <c r="AA144" i="9"/>
  <c r="AC142" i="9"/>
  <c r="AC132" i="9"/>
  <c r="AA115" i="9"/>
  <c r="AA104" i="9"/>
  <c r="AC56" i="9"/>
  <c r="AC49" i="9"/>
  <c r="AC40" i="9"/>
  <c r="AA839" i="9"/>
  <c r="AB823" i="9"/>
  <c r="AA220" i="9"/>
  <c r="AC216" i="9"/>
  <c r="AC185" i="9"/>
  <c r="AA127" i="9"/>
  <c r="AC101" i="9"/>
  <c r="AC63" i="9"/>
  <c r="AA43" i="9"/>
  <c r="AA15" i="9"/>
  <c r="AA842" i="9"/>
  <c r="AC139" i="9"/>
  <c r="AC124" i="9"/>
  <c r="AA122" i="9"/>
  <c r="AA88" i="9"/>
  <c r="AC86" i="9"/>
  <c r="AC85" i="9"/>
  <c r="AA78" i="9"/>
  <c r="AC64" i="9"/>
  <c r="AC62" i="9"/>
  <c r="AC47" i="9"/>
  <c r="AA623" i="9"/>
  <c r="AA619" i="9"/>
  <c r="AA617" i="9"/>
  <c r="AA612" i="9"/>
  <c r="AA610" i="9"/>
  <c r="AA607" i="9"/>
  <c r="AA605" i="9"/>
  <c r="AA597" i="9"/>
  <c r="AA591" i="9"/>
  <c r="AA588" i="9"/>
  <c r="AA587" i="9"/>
  <c r="AA582" i="9"/>
  <c r="AA581" i="9"/>
  <c r="AA576" i="9"/>
  <c r="AA572" i="9"/>
  <c r="AA566" i="9"/>
  <c r="AA560" i="9"/>
  <c r="AA554" i="9"/>
  <c r="AA552" i="9"/>
  <c r="AA548" i="9"/>
  <c r="AA542" i="9"/>
  <c r="AA539" i="9"/>
  <c r="AA535" i="9"/>
  <c r="AA533" i="9"/>
  <c r="AA528" i="9"/>
  <c r="AA524" i="9"/>
  <c r="AA514" i="9"/>
  <c r="AA506" i="9"/>
  <c r="AA501" i="9"/>
  <c r="AA489" i="9"/>
  <c r="AA488" i="9"/>
  <c r="AA484" i="9"/>
  <c r="AA479" i="9"/>
  <c r="AA478" i="9"/>
  <c r="AA470" i="9"/>
  <c r="AA427" i="9"/>
  <c r="AA425" i="9"/>
  <c r="AA422" i="9"/>
  <c r="AA421" i="9"/>
  <c r="AA418" i="9"/>
  <c r="AA414" i="9"/>
  <c r="AA413" i="9"/>
  <c r="AA403" i="9"/>
  <c r="AA397" i="9"/>
  <c r="AA381" i="9"/>
  <c r="AA366" i="9"/>
  <c r="AA363" i="9"/>
  <c r="AA352" i="9"/>
  <c r="AA347" i="9"/>
  <c r="AA346" i="9"/>
  <c r="AA345" i="9"/>
  <c r="AA343" i="9"/>
  <c r="AA341" i="9"/>
  <c r="AA340" i="9"/>
  <c r="AA339" i="9"/>
  <c r="AA338" i="9"/>
  <c r="AA335" i="9"/>
  <c r="AA333" i="9"/>
  <c r="AC330" i="9"/>
  <c r="AC329" i="9"/>
  <c r="AA329" i="9"/>
  <c r="AA326" i="9"/>
  <c r="AA324" i="9"/>
  <c r="AA319" i="9"/>
  <c r="AC317" i="9"/>
  <c r="AA314" i="9"/>
  <c r="AA312" i="9"/>
  <c r="AA307" i="9"/>
  <c r="AA305" i="9"/>
  <c r="AC304" i="9"/>
  <c r="AA302" i="9"/>
  <c r="AA299" i="9"/>
  <c r="AA297" i="9"/>
  <c r="AA295" i="9"/>
  <c r="AC294" i="9"/>
  <c r="AA268" i="9"/>
  <c r="AA263" i="9"/>
  <c r="AA262" i="9"/>
  <c r="AA258" i="9"/>
  <c r="AA257" i="9"/>
  <c r="AA254" i="9"/>
  <c r="AC253" i="9"/>
  <c r="AA251" i="9"/>
  <c r="AC250" i="9"/>
  <c r="AC249" i="9"/>
  <c r="AC247" i="9"/>
  <c r="AA244" i="9"/>
  <c r="AC241" i="9"/>
  <c r="AA240" i="9"/>
  <c r="AA238" i="9"/>
  <c r="AC237" i="9"/>
  <c r="AC233" i="9"/>
  <c r="AC231" i="9"/>
  <c r="AC230" i="9"/>
  <c r="AA224" i="9"/>
  <c r="AA223" i="9"/>
  <c r="AC219" i="9"/>
  <c r="AA218" i="9"/>
  <c r="AC215" i="9"/>
  <c r="AA215" i="9"/>
  <c r="AC213" i="9"/>
  <c r="AA213" i="9"/>
  <c r="AA212" i="9"/>
  <c r="AA211" i="9"/>
  <c r="AC210" i="9"/>
  <c r="AC209" i="9"/>
  <c r="AA209" i="9"/>
  <c r="AA208" i="9"/>
  <c r="AA206" i="9"/>
  <c r="AC204" i="9"/>
  <c r="AC201" i="9"/>
  <c r="AA197" i="9"/>
  <c r="AA196" i="9"/>
  <c r="AA195" i="9"/>
  <c r="AA193" i="9"/>
  <c r="AC191" i="9"/>
  <c r="AA191" i="9"/>
  <c r="AA190" i="9"/>
  <c r="AA188" i="9"/>
  <c r="AC187" i="9"/>
  <c r="AA187" i="9"/>
  <c r="AC186" i="9"/>
  <c r="AA185" i="9"/>
  <c r="AA182" i="9"/>
  <c r="AC179" i="9"/>
  <c r="AC177" i="9"/>
  <c r="AA176" i="9"/>
  <c r="AA152" i="9"/>
  <c r="AC151" i="9"/>
  <c r="AA151" i="9"/>
  <c r="AA149" i="9"/>
  <c r="AA148" i="9"/>
  <c r="AC147" i="9"/>
  <c r="AA147" i="9"/>
  <c r="AC146" i="9"/>
  <c r="AA146" i="9"/>
  <c r="AA145" i="9"/>
  <c r="AA143" i="9"/>
  <c r="AA142" i="9"/>
  <c r="AA141" i="9"/>
  <c r="AA139" i="9"/>
  <c r="AC136" i="9"/>
  <c r="AC134" i="9"/>
  <c r="AA134" i="9"/>
  <c r="AA133" i="9"/>
  <c r="AC129" i="9"/>
  <c r="AA129" i="9"/>
  <c r="AC128" i="9"/>
  <c r="AA128" i="9"/>
  <c r="AC127" i="9"/>
  <c r="AA123" i="9"/>
  <c r="AA119" i="9"/>
  <c r="AC118" i="9"/>
  <c r="AC115" i="9"/>
  <c r="AA114" i="9"/>
  <c r="AC112" i="9"/>
  <c r="AA112" i="9"/>
  <c r="AC109" i="9"/>
  <c r="AC108" i="9"/>
  <c r="AA108" i="9"/>
  <c r="AC103" i="9"/>
  <c r="AA103" i="9"/>
  <c r="AC102" i="9"/>
  <c r="AA98" i="9"/>
  <c r="AA97" i="9"/>
  <c r="AC96" i="9"/>
  <c r="AA96" i="9"/>
  <c r="AA93" i="9"/>
  <c r="AA92" i="9"/>
  <c r="AA91" i="9"/>
  <c r="AA90" i="9"/>
  <c r="AA89" i="9"/>
  <c r="AA86" i="9"/>
  <c r="AA84" i="9"/>
  <c r="AC82" i="9"/>
  <c r="AA82" i="9"/>
  <c r="AC81" i="9"/>
  <c r="AA81" i="9"/>
  <c r="AC80" i="9"/>
  <c r="AA80" i="9"/>
  <c r="AA79" i="9"/>
  <c r="AC77" i="9"/>
  <c r="AA77" i="9"/>
  <c r="AA76" i="9"/>
  <c r="AA75" i="9"/>
  <c r="AA73" i="9"/>
  <c r="AC72" i="9"/>
  <c r="AA72" i="9"/>
  <c r="AA71" i="9"/>
  <c r="AC69" i="9"/>
  <c r="AA69" i="9"/>
  <c r="AA68" i="9"/>
  <c r="AA67" i="9"/>
  <c r="AC66" i="9"/>
  <c r="AA64" i="9"/>
  <c r="AA63" i="9"/>
  <c r="AA61" i="9"/>
  <c r="AA59" i="9"/>
  <c r="AA58" i="9"/>
  <c r="AC48" i="9"/>
  <c r="AA46" i="9"/>
  <c r="AC45" i="9"/>
  <c r="AA42" i="9"/>
  <c r="AA41" i="9"/>
  <c r="AA29" i="9"/>
  <c r="AC28" i="9"/>
  <c r="AC25" i="9"/>
  <c r="AA25" i="9"/>
  <c r="AC24" i="9"/>
  <c r="AA21" i="9"/>
  <c r="AA20" i="9"/>
  <c r="AA19" i="9"/>
  <c r="AA18" i="9"/>
  <c r="AC14" i="9"/>
  <c r="AA14" i="9"/>
  <c r="AC13" i="9"/>
  <c r="AC12" i="9"/>
  <c r="AA10" i="9"/>
  <c r="AA9" i="9"/>
  <c r="AC4" i="9"/>
  <c r="AA4" i="9"/>
  <c r="AC23" i="9"/>
  <c r="AA3" i="9"/>
  <c r="B33" i="13"/>
  <c r="B34" i="13"/>
  <c r="AH787" i="9"/>
  <c r="AI787" i="9"/>
  <c r="AH134" i="9"/>
  <c r="AI134" i="9"/>
  <c r="D37" i="12"/>
  <c r="B24" i="13"/>
  <c r="B23" i="13"/>
  <c r="D36" i="12"/>
  <c r="B28" i="13"/>
  <c r="D35" i="12"/>
  <c r="B22" i="13"/>
  <c r="B21" i="13"/>
  <c r="D34" i="12"/>
  <c r="B27" i="13"/>
  <c r="D33" i="12"/>
  <c r="B20" i="13"/>
  <c r="B26" i="13"/>
  <c r="B19" i="13"/>
  <c r="D32" i="12"/>
  <c r="B18" i="13"/>
  <c r="D31" i="12"/>
  <c r="B17" i="13"/>
  <c r="D30" i="12"/>
  <c r="B13" i="13"/>
  <c r="B10" i="13"/>
  <c r="B11" i="13"/>
  <c r="B7" i="13"/>
  <c r="J6" i="13" s="1"/>
  <c r="D26" i="12"/>
  <c r="Q2" i="9"/>
  <c r="B6" i="13"/>
  <c r="J7" i="13" s="1"/>
  <c r="B12" i="13"/>
  <c r="B9" i="13"/>
  <c r="B8" i="13"/>
  <c r="D17" i="12"/>
  <c r="D8" i="12"/>
  <c r="D7" i="12"/>
  <c r="D6" i="12"/>
  <c r="E2" i="9"/>
  <c r="AI1003" i="9"/>
  <c r="AH1003" i="9"/>
  <c r="AI1002" i="9"/>
  <c r="AH1002" i="9"/>
  <c r="AI1001" i="9"/>
  <c r="AH1001" i="9"/>
  <c r="AI1000" i="9"/>
  <c r="AH1000" i="9"/>
  <c r="AI999" i="9"/>
  <c r="AH999" i="9"/>
  <c r="AI998" i="9"/>
  <c r="AH998" i="9"/>
  <c r="AH997" i="9"/>
  <c r="AI997" i="9"/>
  <c r="AH996" i="9"/>
  <c r="AI996" i="9"/>
  <c r="AH995" i="9"/>
  <c r="AI995" i="9"/>
  <c r="AI994" i="9"/>
  <c r="AH994" i="9"/>
  <c r="AI993" i="9"/>
  <c r="AH993" i="9"/>
  <c r="AH992" i="9"/>
  <c r="AI992" i="9"/>
  <c r="AH991" i="9"/>
  <c r="AI991" i="9"/>
  <c r="AI990" i="9"/>
  <c r="AH990" i="9"/>
  <c r="AI989" i="9"/>
  <c r="AH989" i="9"/>
  <c r="AI988" i="9"/>
  <c r="AH988" i="9"/>
  <c r="AI987" i="9"/>
  <c r="AH987" i="9"/>
  <c r="AI986" i="9"/>
  <c r="AH986" i="9"/>
  <c r="AI985" i="9"/>
  <c r="AH985" i="9"/>
  <c r="AI984" i="9"/>
  <c r="AH984" i="9"/>
  <c r="AI983" i="9"/>
  <c r="AH983" i="9"/>
  <c r="AI982" i="9"/>
  <c r="AH982" i="9"/>
  <c r="AI981" i="9"/>
  <c r="AH981" i="9"/>
  <c r="AI980" i="9"/>
  <c r="AH980" i="9"/>
  <c r="AH979" i="9"/>
  <c r="AI979" i="9"/>
  <c r="AH978" i="9"/>
  <c r="AI978" i="9"/>
  <c r="AI977" i="9"/>
  <c r="AH977" i="9"/>
  <c r="AI976" i="9"/>
  <c r="AH976" i="9"/>
  <c r="AI975" i="9"/>
  <c r="AH975" i="9"/>
  <c r="AI974" i="9"/>
  <c r="AH974" i="9"/>
  <c r="AH973" i="9"/>
  <c r="AI973" i="9"/>
  <c r="AI972" i="9"/>
  <c r="AH972" i="9"/>
  <c r="AI971" i="9"/>
  <c r="AH971" i="9"/>
  <c r="AH970" i="9"/>
  <c r="AI970" i="9"/>
  <c r="AI969" i="9"/>
  <c r="AH969" i="9"/>
  <c r="AI968" i="9"/>
  <c r="AH968" i="9"/>
  <c r="AH967" i="9"/>
  <c r="AI967" i="9"/>
  <c r="AH966" i="9"/>
  <c r="AI966" i="9"/>
  <c r="AI965" i="9"/>
  <c r="AH965" i="9"/>
  <c r="AI964" i="9"/>
  <c r="AH964" i="9"/>
  <c r="AH963" i="9"/>
  <c r="AI963" i="9"/>
  <c r="AI962" i="9"/>
  <c r="AH962" i="9"/>
  <c r="AI961" i="9"/>
  <c r="AH961" i="9"/>
  <c r="AI960" i="9"/>
  <c r="AH960" i="9"/>
  <c r="AH959" i="9"/>
  <c r="AI959" i="9"/>
  <c r="AH958" i="9"/>
  <c r="AI958" i="9"/>
  <c r="AH957" i="9"/>
  <c r="AI957" i="9"/>
  <c r="AI956" i="9"/>
  <c r="AH956" i="9"/>
  <c r="AI955" i="9"/>
  <c r="AH955" i="9"/>
  <c r="AH954" i="9"/>
  <c r="AI954" i="9"/>
  <c r="AH953" i="9"/>
  <c r="AI953" i="9"/>
  <c r="AI952" i="9"/>
  <c r="AH952" i="9"/>
  <c r="AH951" i="9"/>
  <c r="AI951" i="9"/>
  <c r="AI950" i="9"/>
  <c r="AH950" i="9"/>
  <c r="AI949" i="9"/>
  <c r="AH949" i="9"/>
  <c r="AI948" i="9"/>
  <c r="AH948" i="9"/>
  <c r="AI947" i="9"/>
  <c r="AH947" i="9"/>
  <c r="AH946" i="9"/>
  <c r="AI946" i="9"/>
  <c r="AH945" i="9"/>
  <c r="AI945" i="9"/>
  <c r="AH944" i="9"/>
  <c r="AI944" i="9"/>
  <c r="AH943" i="9"/>
  <c r="AI943" i="9"/>
  <c r="AH942" i="9"/>
  <c r="AI942" i="9"/>
  <c r="AI941" i="9"/>
  <c r="AH941" i="9"/>
  <c r="AI940" i="9"/>
  <c r="AH940" i="9"/>
  <c r="AI939" i="9"/>
  <c r="AH939" i="9"/>
  <c r="AI938" i="9"/>
  <c r="AH938" i="9"/>
  <c r="AH937" i="9"/>
  <c r="AI937" i="9"/>
  <c r="AH936" i="9"/>
  <c r="AI936" i="9"/>
  <c r="AI935" i="9"/>
  <c r="AH935" i="9"/>
  <c r="AH934" i="9"/>
  <c r="AI934" i="9"/>
  <c r="AI933" i="9"/>
  <c r="AH933" i="9"/>
  <c r="AH932" i="9"/>
  <c r="AI932" i="9"/>
  <c r="AI931" i="9"/>
  <c r="AH931" i="9"/>
  <c r="AH930" i="9"/>
  <c r="AI930" i="9"/>
  <c r="AH929" i="9"/>
  <c r="AI929" i="9"/>
  <c r="AH928" i="9"/>
  <c r="AI928" i="9"/>
  <c r="AH927" i="9"/>
  <c r="AI927" i="9"/>
  <c r="AI926" i="9"/>
  <c r="AH926" i="9"/>
  <c r="AI925" i="9"/>
  <c r="AH925" i="9"/>
  <c r="AI924" i="9"/>
  <c r="AH924" i="9"/>
  <c r="AI923" i="9"/>
  <c r="AH923" i="9"/>
  <c r="AI922" i="9"/>
  <c r="AH922" i="9"/>
  <c r="AI921" i="9"/>
  <c r="AH921" i="9"/>
  <c r="AI920" i="9"/>
  <c r="AH920" i="9"/>
  <c r="AI919" i="9"/>
  <c r="AH919" i="9"/>
  <c r="AH918" i="9"/>
  <c r="AI918" i="9"/>
  <c r="AI917" i="9"/>
  <c r="AH917" i="9"/>
  <c r="AH916" i="9"/>
  <c r="AI916" i="9"/>
  <c r="AI915" i="9"/>
  <c r="AH915" i="9"/>
  <c r="AH914" i="9"/>
  <c r="AI914" i="9"/>
  <c r="AH913" i="9"/>
  <c r="AI913" i="9"/>
  <c r="AH912" i="9"/>
  <c r="AI912" i="9"/>
  <c r="AI911" i="9"/>
  <c r="AH911" i="9"/>
  <c r="AI910" i="9"/>
  <c r="AH910" i="9"/>
  <c r="AH909" i="9"/>
  <c r="AI909" i="9"/>
  <c r="AH908" i="9"/>
  <c r="AI908" i="9"/>
  <c r="AI907" i="9"/>
  <c r="AH907" i="9"/>
  <c r="AI906" i="9"/>
  <c r="AH906" i="9"/>
  <c r="AI905" i="9"/>
  <c r="AH905" i="9"/>
  <c r="AI904" i="9"/>
  <c r="AH904" i="9"/>
  <c r="AI903" i="9"/>
  <c r="AH903" i="9"/>
  <c r="AI902" i="9"/>
  <c r="AH902" i="9"/>
  <c r="AI901" i="9"/>
  <c r="AH901" i="9"/>
  <c r="AH900" i="9"/>
  <c r="AI900" i="9"/>
  <c r="AH899" i="9"/>
  <c r="AI899" i="9"/>
  <c r="AH898" i="9"/>
  <c r="AI898" i="9"/>
  <c r="AI897" i="9"/>
  <c r="AH897" i="9"/>
  <c r="AH896" i="9"/>
  <c r="AI896" i="9"/>
  <c r="AI895" i="9"/>
  <c r="AH895" i="9"/>
  <c r="AH894" i="9"/>
  <c r="AI894" i="9"/>
  <c r="AI893" i="9"/>
  <c r="AH893" i="9"/>
  <c r="AH892" i="9"/>
  <c r="AI892" i="9"/>
  <c r="AI891" i="9"/>
  <c r="AH891" i="9"/>
  <c r="AH890" i="9"/>
  <c r="AI890" i="9"/>
  <c r="AH889" i="9"/>
  <c r="AI889" i="9"/>
  <c r="AH888" i="9"/>
  <c r="AI888" i="9"/>
  <c r="AH887" i="9"/>
  <c r="AI887" i="9"/>
  <c r="AI886" i="9"/>
  <c r="AH886" i="9"/>
  <c r="AI885" i="9"/>
  <c r="AH885" i="9"/>
  <c r="AI884" i="9"/>
  <c r="AH884" i="9"/>
  <c r="AH883" i="9"/>
  <c r="AI883" i="9"/>
  <c r="AH882" i="9"/>
  <c r="AI882" i="9"/>
  <c r="AI881" i="9"/>
  <c r="AH881" i="9"/>
  <c r="AI880" i="9"/>
  <c r="AH880" i="9"/>
  <c r="AH879" i="9"/>
  <c r="AI879" i="9"/>
  <c r="AH878" i="9"/>
  <c r="AI878" i="9"/>
  <c r="AI877" i="9"/>
  <c r="AH877" i="9"/>
  <c r="AI876" i="9"/>
  <c r="AH876" i="9"/>
  <c r="AI875" i="9"/>
  <c r="AH875" i="9"/>
  <c r="AH874" i="9"/>
  <c r="AI874" i="9"/>
  <c r="AH873" i="9"/>
  <c r="AI873" i="9"/>
  <c r="AH872" i="9"/>
  <c r="AI872" i="9"/>
  <c r="AH871" i="9"/>
  <c r="AI871" i="9"/>
  <c r="AI870" i="9"/>
  <c r="AH870" i="9"/>
  <c r="AI869" i="9"/>
  <c r="AH869" i="9"/>
  <c r="AI868" i="9"/>
  <c r="AH868" i="9"/>
  <c r="AI867" i="9"/>
  <c r="AH867" i="9"/>
  <c r="AH866" i="9"/>
  <c r="AI866" i="9"/>
  <c r="AI865" i="9"/>
  <c r="AH865" i="9"/>
  <c r="AH864" i="9"/>
  <c r="AI864" i="9"/>
  <c r="AI863" i="9"/>
  <c r="AH863" i="9"/>
  <c r="AI862" i="9"/>
  <c r="AH862" i="9"/>
  <c r="AI861" i="9"/>
  <c r="AH861" i="9"/>
  <c r="AI860" i="9"/>
  <c r="AH860" i="9"/>
  <c r="AI859" i="9"/>
  <c r="AH859" i="9"/>
  <c r="AI858" i="9"/>
  <c r="AH858" i="9"/>
  <c r="AI857" i="9"/>
  <c r="AH857" i="9"/>
  <c r="AI856" i="9"/>
  <c r="AH856" i="9"/>
  <c r="AI855" i="9"/>
  <c r="AH855" i="9"/>
  <c r="AI854" i="9"/>
  <c r="AH854" i="9"/>
  <c r="AH853" i="9"/>
  <c r="AI853" i="9"/>
  <c r="AI852" i="9"/>
  <c r="AH852" i="9"/>
  <c r="AI851" i="9"/>
  <c r="AH851" i="9"/>
  <c r="AI850" i="9"/>
  <c r="AH850" i="9"/>
  <c r="AI849" i="9"/>
  <c r="AH849" i="9"/>
  <c r="AH848" i="9"/>
  <c r="AI848" i="9"/>
  <c r="AI847" i="9"/>
  <c r="AH847" i="9"/>
  <c r="AH846" i="9"/>
  <c r="AI846" i="9"/>
  <c r="AI845" i="9"/>
  <c r="AH845" i="9"/>
  <c r="AI844" i="9"/>
  <c r="AH844" i="9"/>
  <c r="AH843" i="9"/>
  <c r="AI843" i="9"/>
  <c r="AI842" i="9"/>
  <c r="AH842" i="9"/>
  <c r="AI841" i="9"/>
  <c r="AH841" i="9"/>
  <c r="AI840" i="9"/>
  <c r="AH840" i="9"/>
  <c r="AI839" i="9"/>
  <c r="AH839" i="9"/>
  <c r="AH838" i="9"/>
  <c r="AI838" i="9"/>
  <c r="AI837" i="9"/>
  <c r="AH837" i="9"/>
  <c r="AI836" i="9"/>
  <c r="AH836" i="9"/>
  <c r="AH835" i="9"/>
  <c r="AI835" i="9"/>
  <c r="AI834" i="9"/>
  <c r="AH834" i="9"/>
  <c r="AI833" i="9"/>
  <c r="AH833" i="9"/>
  <c r="AH832" i="9"/>
  <c r="AI832" i="9"/>
  <c r="AI831" i="9"/>
  <c r="AH831" i="9"/>
  <c r="AI830" i="9"/>
  <c r="AH830" i="9"/>
  <c r="AI829" i="9"/>
  <c r="AH829" i="9"/>
  <c r="AI828" i="9"/>
  <c r="AH828" i="9"/>
  <c r="AH827" i="9"/>
  <c r="AI827" i="9"/>
  <c r="AI826" i="9"/>
  <c r="AH826" i="9"/>
  <c r="AI825" i="9"/>
  <c r="AH825" i="9"/>
  <c r="AI824" i="9"/>
  <c r="AH824" i="9"/>
  <c r="AI823" i="9"/>
  <c r="AH823" i="9"/>
  <c r="AH822" i="9"/>
  <c r="AI822" i="9"/>
  <c r="AI821" i="9"/>
  <c r="AH821" i="9"/>
  <c r="AH820" i="9"/>
  <c r="AI820" i="9"/>
  <c r="AI819" i="9"/>
  <c r="AH819" i="9"/>
  <c r="AI818" i="9"/>
  <c r="AH818" i="9"/>
  <c r="AI817" i="9"/>
  <c r="AH817" i="9"/>
  <c r="AI816" i="9"/>
  <c r="AH816" i="9"/>
  <c r="AI815" i="9"/>
  <c r="AH815" i="9"/>
  <c r="AH814" i="9"/>
  <c r="AI814" i="9"/>
  <c r="AI813" i="9"/>
  <c r="AH813" i="9"/>
  <c r="AI812" i="9"/>
  <c r="AH812" i="9"/>
  <c r="AH811" i="9"/>
  <c r="AI811" i="9"/>
  <c r="AI810" i="9"/>
  <c r="AH810" i="9"/>
  <c r="AI809" i="9"/>
  <c r="AH809" i="9"/>
  <c r="AI808" i="9"/>
  <c r="AH808" i="9"/>
  <c r="AI807" i="9"/>
  <c r="AH807" i="9"/>
  <c r="AI806" i="9"/>
  <c r="AH806" i="9"/>
  <c r="AI805" i="9"/>
  <c r="AH805" i="9"/>
  <c r="AI804" i="9"/>
  <c r="AH804" i="9"/>
  <c r="AI803" i="9"/>
  <c r="AH803" i="9"/>
  <c r="AI802" i="9"/>
  <c r="AH802" i="9"/>
  <c r="AI801" i="9"/>
  <c r="AH801" i="9"/>
  <c r="AI800" i="9"/>
  <c r="AH800" i="9"/>
  <c r="AI799" i="9"/>
  <c r="AH799" i="9"/>
  <c r="AI798" i="9"/>
  <c r="AH798" i="9"/>
  <c r="AI797" i="9"/>
  <c r="AH797" i="9"/>
  <c r="AI796" i="9"/>
  <c r="AH796" i="9"/>
  <c r="AH795" i="9"/>
  <c r="AI795" i="9"/>
  <c r="AH794" i="9"/>
  <c r="AI794" i="9"/>
  <c r="AI793" i="9"/>
  <c r="AH793" i="9"/>
  <c r="AH792" i="9"/>
  <c r="AI792" i="9"/>
  <c r="AI791" i="9"/>
  <c r="AH791" i="9"/>
  <c r="AH790" i="9"/>
  <c r="AI790" i="9"/>
  <c r="AI789" i="9"/>
  <c r="AH789" i="9"/>
  <c r="AI788" i="9"/>
  <c r="AH788" i="9"/>
  <c r="AI786" i="9"/>
  <c r="AH786" i="9"/>
  <c r="AI785" i="9"/>
  <c r="AH785" i="9"/>
  <c r="AH784" i="9"/>
  <c r="AI784" i="9"/>
  <c r="AI783" i="9"/>
  <c r="AH783" i="9"/>
  <c r="AI782" i="9"/>
  <c r="AH782" i="9"/>
  <c r="AI781" i="9"/>
  <c r="AH781" i="9"/>
  <c r="AI780" i="9"/>
  <c r="AH780" i="9"/>
  <c r="AI779" i="9"/>
  <c r="AH779" i="9"/>
  <c r="AI778" i="9"/>
  <c r="AH778" i="9"/>
  <c r="AI777" i="9"/>
  <c r="AH777" i="9"/>
  <c r="AI776" i="9"/>
  <c r="AH776" i="9"/>
  <c r="AH775" i="9"/>
  <c r="AI775" i="9"/>
  <c r="AI774" i="9"/>
  <c r="AH774" i="9"/>
  <c r="AI773" i="9"/>
  <c r="AH773" i="9"/>
  <c r="AI772" i="9"/>
  <c r="AH772" i="9"/>
  <c r="AI771" i="9"/>
  <c r="AH771" i="9"/>
  <c r="AI770" i="9"/>
  <c r="AH770" i="9"/>
  <c r="AH769" i="9"/>
  <c r="AI769" i="9"/>
  <c r="AI768" i="9"/>
  <c r="AH768" i="9"/>
  <c r="AH767" i="9"/>
  <c r="AI767" i="9"/>
  <c r="AH766" i="9"/>
  <c r="AI766" i="9"/>
  <c r="AI765" i="9"/>
  <c r="AH765" i="9"/>
  <c r="AI764" i="9"/>
  <c r="AH764" i="9"/>
  <c r="AI763" i="9"/>
  <c r="AH763" i="9"/>
  <c r="AI762" i="9"/>
  <c r="AH762" i="9"/>
  <c r="AH761" i="9"/>
  <c r="AI761" i="9"/>
  <c r="AI760" i="9"/>
  <c r="AH760" i="9"/>
  <c r="AI759" i="9"/>
  <c r="AH759" i="9"/>
  <c r="AH758" i="9"/>
  <c r="AI758" i="9"/>
  <c r="AH757" i="9"/>
  <c r="AI757" i="9"/>
  <c r="AH756" i="9"/>
  <c r="AI756" i="9"/>
  <c r="AI755" i="9"/>
  <c r="AH755" i="9"/>
  <c r="AH754" i="9"/>
  <c r="AI754" i="9"/>
  <c r="AH753" i="9"/>
  <c r="AI753" i="9"/>
  <c r="AH752" i="9"/>
  <c r="AI752" i="9"/>
  <c r="AI751" i="9"/>
  <c r="AH751" i="9"/>
  <c r="AH750" i="9"/>
  <c r="AI750" i="9"/>
  <c r="AH749" i="9"/>
  <c r="AI749" i="9"/>
  <c r="AH748" i="9"/>
  <c r="AI748" i="9"/>
  <c r="AH747" i="9"/>
  <c r="AI747" i="9"/>
  <c r="AH746" i="9"/>
  <c r="AI746" i="9"/>
  <c r="AH745" i="9"/>
  <c r="AI745" i="9"/>
  <c r="AI744" i="9"/>
  <c r="AH744" i="9"/>
  <c r="AI743" i="9"/>
  <c r="AH743" i="9"/>
  <c r="AI742" i="9"/>
  <c r="AH742" i="9"/>
  <c r="AI741" i="9"/>
  <c r="AH741" i="9"/>
  <c r="AI740" i="9"/>
  <c r="AH740" i="9"/>
  <c r="AI739" i="9"/>
  <c r="AH739" i="9"/>
  <c r="AI738" i="9"/>
  <c r="AH738" i="9"/>
  <c r="AI737" i="9"/>
  <c r="AH737" i="9"/>
  <c r="AI736" i="9"/>
  <c r="AH736" i="9"/>
  <c r="AI735" i="9"/>
  <c r="AH735" i="9"/>
  <c r="AI734" i="9"/>
  <c r="AH734" i="9"/>
  <c r="AI733" i="9"/>
  <c r="AH733" i="9"/>
  <c r="AI732" i="9"/>
  <c r="AH732" i="9"/>
  <c r="AI731" i="9"/>
  <c r="AH731" i="9"/>
  <c r="AI730" i="9"/>
  <c r="AH730" i="9"/>
  <c r="AI729" i="9"/>
  <c r="AH729" i="9"/>
  <c r="AI728" i="9"/>
  <c r="AH728" i="9"/>
  <c r="AH727" i="9"/>
  <c r="AI727" i="9"/>
  <c r="AH726" i="9"/>
  <c r="AI726" i="9"/>
  <c r="AH725" i="9"/>
  <c r="AI725" i="9"/>
  <c r="AH724" i="9"/>
  <c r="AI724" i="9"/>
  <c r="AI723" i="9"/>
  <c r="AH723" i="9"/>
  <c r="AI722" i="9"/>
  <c r="AH722" i="9"/>
  <c r="AI721" i="9"/>
  <c r="AH721" i="9"/>
  <c r="AI720" i="9"/>
  <c r="AH720" i="9"/>
  <c r="AI719" i="9"/>
  <c r="AH719" i="9"/>
  <c r="AH718" i="9"/>
  <c r="AI718" i="9"/>
  <c r="AH717" i="9"/>
  <c r="AI717" i="9"/>
  <c r="AI716" i="9"/>
  <c r="AH716" i="9"/>
  <c r="AI715" i="9"/>
  <c r="AH715" i="9"/>
  <c r="AH714" i="9"/>
  <c r="AI714" i="9"/>
  <c r="AI713" i="9"/>
  <c r="AH713" i="9"/>
  <c r="AI712" i="9"/>
  <c r="AH712" i="9"/>
  <c r="AI711" i="9"/>
  <c r="AH711" i="9"/>
  <c r="AI710" i="9"/>
  <c r="AH710" i="9"/>
  <c r="AH709" i="9"/>
  <c r="AI709" i="9"/>
  <c r="AH708" i="9"/>
  <c r="AI708" i="9"/>
  <c r="AH707" i="9"/>
  <c r="AI707" i="9"/>
  <c r="AH706" i="9"/>
  <c r="AI706" i="9"/>
  <c r="AI705" i="9"/>
  <c r="AH705" i="9"/>
  <c r="AI704" i="9"/>
  <c r="AH704" i="9"/>
  <c r="AI703" i="9"/>
  <c r="AH703" i="9"/>
  <c r="AH702" i="9"/>
  <c r="AI702" i="9"/>
  <c r="AH701" i="9"/>
  <c r="AI701" i="9"/>
  <c r="AH700" i="9"/>
  <c r="AI700" i="9"/>
  <c r="AH699" i="9"/>
  <c r="AI699" i="9"/>
  <c r="AH698" i="9"/>
  <c r="AI698" i="9"/>
  <c r="AH697" i="9"/>
  <c r="AI697" i="9"/>
  <c r="AH696" i="9"/>
  <c r="AI696" i="9"/>
  <c r="AH695" i="9"/>
  <c r="AI695" i="9"/>
  <c r="AH694" i="9"/>
  <c r="AI694" i="9"/>
  <c r="AH693" i="9"/>
  <c r="AI693" i="9"/>
  <c r="AH692" i="9"/>
  <c r="AI692" i="9"/>
  <c r="AI691" i="9"/>
  <c r="AH691" i="9"/>
  <c r="AI690" i="9"/>
  <c r="AH690" i="9"/>
  <c r="AI689" i="9"/>
  <c r="AH689" i="9"/>
  <c r="AI688" i="9"/>
  <c r="AH688" i="9"/>
  <c r="AI687" i="9"/>
  <c r="AH687" i="9"/>
  <c r="AI686" i="9"/>
  <c r="AH686" i="9"/>
  <c r="AI685" i="9"/>
  <c r="AH685" i="9"/>
  <c r="AH684" i="9"/>
  <c r="AI684" i="9"/>
  <c r="AH683" i="9"/>
  <c r="AI683" i="9"/>
  <c r="AI682" i="9"/>
  <c r="AH682" i="9"/>
  <c r="AI681" i="9"/>
  <c r="AH681" i="9"/>
  <c r="AI680" i="9"/>
  <c r="AH680" i="9"/>
  <c r="AI679" i="9"/>
  <c r="AH679" i="9"/>
  <c r="AH678" i="9"/>
  <c r="AI678" i="9"/>
  <c r="AH677" i="9"/>
  <c r="AI677" i="9"/>
  <c r="AI676" i="9"/>
  <c r="AH676" i="9"/>
  <c r="AH675" i="9"/>
  <c r="AI675" i="9"/>
  <c r="AH674" i="9"/>
  <c r="AI674" i="9"/>
  <c r="AH673" i="9"/>
  <c r="AI673" i="9"/>
  <c r="AH672" i="9"/>
  <c r="AI672" i="9"/>
  <c r="AI671" i="9"/>
  <c r="AH671" i="9"/>
  <c r="AI670" i="9"/>
  <c r="AH670" i="9"/>
  <c r="AH669" i="9"/>
  <c r="AI669" i="9"/>
  <c r="AI668" i="9"/>
  <c r="AH668" i="9"/>
  <c r="AI667" i="9"/>
  <c r="AH667" i="9"/>
  <c r="AH666" i="9"/>
  <c r="AI666" i="9"/>
  <c r="AH665" i="9"/>
  <c r="AI665" i="9"/>
  <c r="AI664" i="9"/>
  <c r="AH664" i="9"/>
  <c r="AI663" i="9"/>
  <c r="AH663" i="9"/>
  <c r="AI662" i="9"/>
  <c r="AH662" i="9"/>
  <c r="AI661" i="9"/>
  <c r="AH661" i="9"/>
  <c r="AI660" i="9"/>
  <c r="AH660" i="9"/>
  <c r="AH659" i="9"/>
  <c r="AI659" i="9"/>
  <c r="AH658" i="9"/>
  <c r="AI658" i="9"/>
  <c r="AH657" i="9"/>
  <c r="AI657" i="9"/>
  <c r="AH656" i="9"/>
  <c r="AI656" i="9"/>
  <c r="AH655" i="9"/>
  <c r="AI655" i="9"/>
  <c r="AH654" i="9"/>
  <c r="AI654" i="9"/>
  <c r="AH653" i="9"/>
  <c r="AI653" i="9"/>
  <c r="AH652" i="9"/>
  <c r="AI652" i="9"/>
  <c r="AH651" i="9"/>
  <c r="AI651" i="9"/>
  <c r="AH650" i="9"/>
  <c r="AI650" i="9"/>
  <c r="AI649" i="9"/>
  <c r="AH649" i="9"/>
  <c r="AH648" i="9"/>
  <c r="AI648" i="9"/>
  <c r="AI647" i="9"/>
  <c r="AH647" i="9"/>
  <c r="AI646" i="9"/>
  <c r="AH646" i="9"/>
  <c r="AH645" i="9"/>
  <c r="AI645" i="9"/>
  <c r="AI644" i="9"/>
  <c r="AH644" i="9"/>
  <c r="AI643" i="9"/>
  <c r="AH643" i="9"/>
  <c r="AI642" i="9"/>
  <c r="AH642" i="9"/>
  <c r="AI641" i="9"/>
  <c r="AH641" i="9"/>
  <c r="AH640" i="9"/>
  <c r="AI640" i="9"/>
  <c r="AH639" i="9"/>
  <c r="AI639" i="9"/>
  <c r="AH638" i="9"/>
  <c r="AI638" i="9"/>
  <c r="AI637" i="9"/>
  <c r="AH637" i="9"/>
  <c r="AI636" i="9"/>
  <c r="AH636" i="9"/>
  <c r="AI635" i="9"/>
  <c r="AH635" i="9"/>
  <c r="AI634" i="9"/>
  <c r="AH634" i="9"/>
  <c r="AH633" i="9"/>
  <c r="AI633" i="9"/>
  <c r="AH632" i="9"/>
  <c r="AI632" i="9"/>
  <c r="AH631" i="9"/>
  <c r="AI631" i="9"/>
  <c r="AH630" i="9"/>
  <c r="AI630" i="9"/>
  <c r="AH629" i="9"/>
  <c r="AI629" i="9"/>
  <c r="AH628" i="9"/>
  <c r="AI628" i="9"/>
  <c r="AI627" i="9"/>
  <c r="AH627" i="9"/>
  <c r="AI626" i="9"/>
  <c r="AH626" i="9"/>
  <c r="AI625" i="9"/>
  <c r="AH625" i="9"/>
  <c r="AI624" i="9"/>
  <c r="AH624" i="9"/>
  <c r="AI623" i="9"/>
  <c r="AH623" i="9"/>
  <c r="AI622" i="9"/>
  <c r="AH622" i="9"/>
  <c r="AI621" i="9"/>
  <c r="AH621" i="9"/>
  <c r="AH620" i="9"/>
  <c r="AI620" i="9"/>
  <c r="AI619" i="9"/>
  <c r="AH619" i="9"/>
  <c r="AI618" i="9"/>
  <c r="AH618" i="9"/>
  <c r="AI617" i="9"/>
  <c r="AH617" i="9"/>
  <c r="AI616" i="9"/>
  <c r="AH616" i="9"/>
  <c r="AH615" i="9"/>
  <c r="AI615" i="9"/>
  <c r="AH614" i="9"/>
  <c r="AI614" i="9"/>
  <c r="AH613" i="9"/>
  <c r="AI613" i="9"/>
  <c r="AH612" i="9"/>
  <c r="AI612" i="9"/>
  <c r="AH611" i="9"/>
  <c r="AI611" i="9"/>
  <c r="AH610" i="9"/>
  <c r="AI610" i="9"/>
  <c r="AI609" i="9"/>
  <c r="AH609" i="9"/>
  <c r="AH608" i="9"/>
  <c r="AI608" i="9"/>
  <c r="AH607" i="9"/>
  <c r="AI607" i="9"/>
  <c r="AH606" i="9"/>
  <c r="AI606" i="9"/>
  <c r="AI605" i="9"/>
  <c r="AH605" i="9"/>
  <c r="AI604" i="9"/>
  <c r="AH604" i="9"/>
  <c r="AI603" i="9"/>
  <c r="AH603" i="9"/>
  <c r="AH602" i="9"/>
  <c r="AI602" i="9"/>
  <c r="AI601" i="9"/>
  <c r="AH601" i="9"/>
  <c r="AI600" i="9"/>
  <c r="AH600" i="9"/>
  <c r="AI599" i="9"/>
  <c r="AH599" i="9"/>
  <c r="AI598" i="9"/>
  <c r="AH598" i="9"/>
  <c r="AI597" i="9"/>
  <c r="AH597" i="9"/>
  <c r="AI596" i="9"/>
  <c r="AH596" i="9"/>
  <c r="AH595" i="9"/>
  <c r="AI595" i="9"/>
  <c r="AH594" i="9"/>
  <c r="AI594" i="9"/>
  <c r="AI593" i="9"/>
  <c r="AH593" i="9"/>
  <c r="AI592" i="9"/>
  <c r="AH592" i="9"/>
  <c r="AH591" i="9"/>
  <c r="AI591" i="9"/>
  <c r="AH590" i="9"/>
  <c r="AI590" i="9"/>
  <c r="AH589" i="9"/>
  <c r="AI589" i="9"/>
  <c r="AH588" i="9"/>
  <c r="AI588" i="9"/>
  <c r="AI587" i="9"/>
  <c r="AH587" i="9"/>
  <c r="AH586" i="9"/>
  <c r="AI586" i="9"/>
  <c r="AI585" i="9"/>
  <c r="AH585" i="9"/>
  <c r="AI584" i="9"/>
  <c r="AH584" i="9"/>
  <c r="AI583" i="9"/>
  <c r="AH583" i="9"/>
  <c r="AH582" i="9"/>
  <c r="AI582" i="9"/>
  <c r="AI581" i="9"/>
  <c r="AH581" i="9"/>
  <c r="AI580" i="9"/>
  <c r="AH580" i="9"/>
  <c r="AH579" i="9"/>
  <c r="AI579" i="9"/>
  <c r="AH578" i="9"/>
  <c r="AI578" i="9"/>
  <c r="AH577" i="9"/>
  <c r="AI577" i="9"/>
  <c r="AI576" i="9"/>
  <c r="AH576" i="9"/>
  <c r="AI575" i="9"/>
  <c r="AH575" i="9"/>
  <c r="AI574" i="9"/>
  <c r="AH574" i="9"/>
  <c r="AH573" i="9"/>
  <c r="AI573" i="9"/>
  <c r="AI572" i="9"/>
  <c r="AH572" i="9"/>
  <c r="AI571" i="9"/>
  <c r="AH571" i="9"/>
  <c r="Q571" i="9"/>
  <c r="AI570" i="9"/>
  <c r="AH570" i="9"/>
  <c r="AH569" i="9"/>
  <c r="AI569" i="9"/>
  <c r="AH568" i="9"/>
  <c r="AI568" i="9"/>
  <c r="AH567" i="9"/>
  <c r="AI567" i="9"/>
  <c r="AI566" i="9"/>
  <c r="AH566" i="9"/>
  <c r="AI565" i="9"/>
  <c r="AH565" i="9"/>
  <c r="AH564" i="9"/>
  <c r="AI564" i="9"/>
  <c r="AI563" i="9"/>
  <c r="AH563" i="9"/>
  <c r="AI562" i="9"/>
  <c r="AH562" i="9"/>
  <c r="AH561" i="9"/>
  <c r="AI561" i="9"/>
  <c r="AH560" i="9"/>
  <c r="AI560" i="9"/>
  <c r="AI559" i="9"/>
  <c r="AH559" i="9"/>
  <c r="AH558" i="9"/>
  <c r="AI558" i="9"/>
  <c r="AI557" i="9"/>
  <c r="AH557" i="9"/>
  <c r="AI556" i="9"/>
  <c r="AH556" i="9"/>
  <c r="AI555" i="9"/>
  <c r="AH555" i="9"/>
  <c r="AI554" i="9"/>
  <c r="AH554" i="9"/>
  <c r="AI553" i="9"/>
  <c r="AH553" i="9"/>
  <c r="AI552" i="9"/>
  <c r="AH552" i="9"/>
  <c r="AH551" i="9"/>
  <c r="AI551" i="9"/>
  <c r="AI550" i="9"/>
  <c r="AH550" i="9"/>
  <c r="AI549" i="9"/>
  <c r="AH549" i="9"/>
  <c r="AI548" i="9"/>
  <c r="AH548" i="9"/>
  <c r="AI547" i="9"/>
  <c r="AH547" i="9"/>
  <c r="AI546" i="9"/>
  <c r="AH546" i="9"/>
  <c r="AH545" i="9"/>
  <c r="AI545" i="9"/>
  <c r="AH544" i="9"/>
  <c r="AI544" i="9"/>
  <c r="AI543" i="9"/>
  <c r="AH543" i="9"/>
  <c r="AI542" i="9"/>
  <c r="AH542" i="9"/>
  <c r="AI541" i="9"/>
  <c r="AH541" i="9"/>
  <c r="AH540" i="9"/>
  <c r="AI540" i="9"/>
  <c r="AI539" i="9"/>
  <c r="AH539" i="9"/>
  <c r="AH538" i="9"/>
  <c r="AI538" i="9"/>
  <c r="AI537" i="9"/>
  <c r="AH537" i="9"/>
  <c r="AI536" i="9"/>
  <c r="AH536" i="9"/>
  <c r="AI535" i="9"/>
  <c r="AH535" i="9"/>
  <c r="AI534" i="9"/>
  <c r="AH534" i="9"/>
  <c r="AI533" i="9"/>
  <c r="AH533" i="9"/>
  <c r="AH532" i="9"/>
  <c r="AI532" i="9"/>
  <c r="AI531" i="9"/>
  <c r="AH531" i="9"/>
  <c r="AH530" i="9"/>
  <c r="AI530" i="9"/>
  <c r="AI529" i="9"/>
  <c r="AH529" i="9"/>
  <c r="AI528" i="9"/>
  <c r="AH528" i="9"/>
  <c r="AI527" i="9"/>
  <c r="AH527" i="9"/>
  <c r="AI526" i="9"/>
  <c r="AH526" i="9"/>
  <c r="AI525" i="9"/>
  <c r="AH525" i="9"/>
  <c r="AI524" i="9"/>
  <c r="AH524" i="9"/>
  <c r="AI523" i="9"/>
  <c r="AH523" i="9"/>
  <c r="AH522" i="9"/>
  <c r="AI522" i="9"/>
  <c r="AI521" i="9"/>
  <c r="AH521" i="9"/>
  <c r="AI520" i="9"/>
  <c r="AH520" i="9"/>
  <c r="AH519" i="9"/>
  <c r="AI519" i="9"/>
  <c r="AH518" i="9"/>
  <c r="AI518" i="9"/>
  <c r="AH517" i="9"/>
  <c r="AI517" i="9"/>
  <c r="AI516" i="9"/>
  <c r="AH516" i="9"/>
  <c r="AI515" i="9"/>
  <c r="AH515" i="9"/>
  <c r="AI514" i="9"/>
  <c r="AH514" i="9"/>
  <c r="AH513" i="9"/>
  <c r="AI513" i="9"/>
  <c r="AH512" i="9"/>
  <c r="AI512" i="9"/>
  <c r="AI511" i="9"/>
  <c r="AH511" i="9"/>
  <c r="AI510" i="9"/>
  <c r="AH510" i="9"/>
  <c r="AI509" i="9"/>
  <c r="AH509" i="9"/>
  <c r="AI508" i="9"/>
  <c r="AH508" i="9"/>
  <c r="AI507" i="9"/>
  <c r="AH507" i="9"/>
  <c r="AI506" i="9"/>
  <c r="AH506" i="9"/>
  <c r="AI505" i="9"/>
  <c r="AH505" i="9"/>
  <c r="AI504" i="9"/>
  <c r="AH504" i="9"/>
  <c r="AI503" i="9"/>
  <c r="AH503" i="9"/>
  <c r="AI502" i="9"/>
  <c r="AH502" i="9"/>
  <c r="AH501" i="9"/>
  <c r="AI501" i="9"/>
  <c r="AH500" i="9"/>
  <c r="AI500" i="9"/>
  <c r="AH499" i="9"/>
  <c r="AI499" i="9"/>
  <c r="AH498" i="9"/>
  <c r="AI498" i="9"/>
  <c r="AI497" i="9"/>
  <c r="AH497" i="9"/>
  <c r="AH496" i="9"/>
  <c r="AI496" i="9"/>
  <c r="AI495" i="9"/>
  <c r="AH495" i="9"/>
  <c r="AI494" i="9"/>
  <c r="AH494" i="9"/>
  <c r="AH493" i="9"/>
  <c r="AI493" i="9"/>
  <c r="AH492" i="9"/>
  <c r="AI492" i="9"/>
  <c r="AI491" i="9"/>
  <c r="AH491" i="9"/>
  <c r="AH490" i="9"/>
  <c r="AI490" i="9"/>
  <c r="AH489" i="9"/>
  <c r="AI489" i="9"/>
  <c r="AH488" i="9"/>
  <c r="AI488" i="9"/>
  <c r="AH487" i="9"/>
  <c r="AI487" i="9"/>
  <c r="AI486" i="9"/>
  <c r="AH486" i="9"/>
  <c r="AI485" i="9"/>
  <c r="AH485" i="9"/>
  <c r="AH484" i="9"/>
  <c r="AI484" i="9"/>
  <c r="AH483" i="9"/>
  <c r="AI483" i="9"/>
  <c r="AH482" i="9"/>
  <c r="AI482" i="9"/>
  <c r="AI481" i="9"/>
  <c r="AH481" i="9"/>
  <c r="AH480" i="9"/>
  <c r="AI480" i="9"/>
  <c r="AI479" i="9"/>
  <c r="AH479" i="9"/>
  <c r="AI478" i="9"/>
  <c r="AH478" i="9"/>
  <c r="AI477" i="9"/>
  <c r="AH477" i="9"/>
  <c r="AI476" i="9"/>
  <c r="AH476" i="9"/>
  <c r="AI475" i="9"/>
  <c r="AH475" i="9"/>
  <c r="AH474" i="9"/>
  <c r="AI474" i="9"/>
  <c r="AI473" i="9"/>
  <c r="AH473" i="9"/>
  <c r="AI472" i="9"/>
  <c r="AH472" i="9"/>
  <c r="AH471" i="9"/>
  <c r="AI471" i="9"/>
  <c r="AH470" i="9"/>
  <c r="AI470" i="9"/>
  <c r="AI469" i="9"/>
  <c r="AH469" i="9"/>
  <c r="AI468" i="9"/>
  <c r="AH468" i="9"/>
  <c r="AI467" i="9"/>
  <c r="AH467" i="9"/>
  <c r="AI466" i="9"/>
  <c r="AH466" i="9"/>
  <c r="AI465" i="9"/>
  <c r="AH465" i="9"/>
  <c r="AI464" i="9"/>
  <c r="AH464" i="9"/>
  <c r="AI463" i="9"/>
  <c r="AH463" i="9"/>
  <c r="AI462" i="9"/>
  <c r="AH462" i="9"/>
  <c r="AI461" i="9"/>
  <c r="AH461" i="9"/>
  <c r="AI460" i="9"/>
  <c r="AH460" i="9"/>
  <c r="AI459" i="9"/>
  <c r="AH459" i="9"/>
  <c r="AI458" i="9"/>
  <c r="AH458" i="9"/>
  <c r="AI457" i="9"/>
  <c r="AH457" i="9"/>
  <c r="AI456" i="9"/>
  <c r="AH456" i="9"/>
  <c r="AH455" i="9"/>
  <c r="AI455" i="9"/>
  <c r="AI454" i="9"/>
  <c r="AH454" i="9"/>
  <c r="AI453" i="9"/>
  <c r="AH453" i="9"/>
  <c r="AI452" i="9"/>
  <c r="AH452" i="9"/>
  <c r="AI451" i="9"/>
  <c r="AH451" i="9"/>
  <c r="AH450" i="9"/>
  <c r="AI450" i="9"/>
  <c r="AH449" i="9"/>
  <c r="AI449" i="9"/>
  <c r="AI448" i="9"/>
  <c r="AH448" i="9"/>
  <c r="AI447" i="9"/>
  <c r="AH447" i="9"/>
  <c r="AI446" i="9"/>
  <c r="AH446" i="9"/>
  <c r="AI445" i="9"/>
  <c r="AH445" i="9"/>
  <c r="AH444" i="9"/>
  <c r="AI444" i="9"/>
  <c r="AH443" i="9"/>
  <c r="AI443" i="9"/>
  <c r="AI442" i="9"/>
  <c r="AH442" i="9"/>
  <c r="AH441" i="9"/>
  <c r="AI441" i="9"/>
  <c r="AH440" i="9"/>
  <c r="AI440" i="9"/>
  <c r="AH439" i="9"/>
  <c r="AI439" i="9"/>
  <c r="AI438" i="9"/>
  <c r="AH438" i="9"/>
  <c r="AI437" i="9"/>
  <c r="AH437" i="9"/>
  <c r="AH436" i="9"/>
  <c r="AI436" i="9"/>
  <c r="AH435" i="9"/>
  <c r="AI435" i="9"/>
  <c r="AI434" i="9"/>
  <c r="AH434" i="9"/>
  <c r="AI433" i="9"/>
  <c r="AH433" i="9"/>
  <c r="AH432" i="9"/>
  <c r="AI432" i="9"/>
  <c r="AH431" i="9"/>
  <c r="AI431" i="9"/>
  <c r="AH430" i="9"/>
  <c r="AI430" i="9"/>
  <c r="AH429" i="9"/>
  <c r="AI429" i="9"/>
  <c r="AI428" i="9"/>
  <c r="AH428" i="9"/>
  <c r="AI427" i="9"/>
  <c r="AH427" i="9"/>
  <c r="AI426" i="9"/>
  <c r="AH426" i="9"/>
  <c r="AH425" i="9"/>
  <c r="AI425" i="9"/>
  <c r="AI424" i="9"/>
  <c r="AH424" i="9"/>
  <c r="AI423" i="9"/>
  <c r="AH423" i="9"/>
  <c r="AI422" i="9"/>
  <c r="AH422" i="9"/>
  <c r="AI421" i="9"/>
  <c r="AH421" i="9"/>
  <c r="AI420" i="9"/>
  <c r="AH420" i="9"/>
  <c r="AH419" i="9"/>
  <c r="AI419" i="9"/>
  <c r="AH418" i="9"/>
  <c r="AI418" i="9"/>
  <c r="AI417" i="9"/>
  <c r="AH417" i="9"/>
  <c r="AI416" i="9"/>
  <c r="AH416" i="9"/>
  <c r="AI415" i="9"/>
  <c r="AH415" i="9"/>
  <c r="AH414" i="9"/>
  <c r="AI414" i="9"/>
  <c r="AI413" i="9"/>
  <c r="AH413" i="9"/>
  <c r="AH412" i="9"/>
  <c r="AI412" i="9"/>
  <c r="AI411" i="9"/>
  <c r="AH411" i="9"/>
  <c r="AI410" i="9"/>
  <c r="AH410" i="9"/>
  <c r="AI409" i="9"/>
  <c r="AH409" i="9"/>
  <c r="AI408" i="9"/>
  <c r="AH408" i="9"/>
  <c r="AI407" i="9"/>
  <c r="AH407" i="9"/>
  <c r="AH406" i="9"/>
  <c r="AI406" i="9"/>
  <c r="AH405" i="9"/>
  <c r="AI405" i="9"/>
  <c r="AI404" i="9"/>
  <c r="AH404" i="9"/>
  <c r="AI403" i="9"/>
  <c r="AH403" i="9"/>
  <c r="AI402" i="9"/>
  <c r="AH402" i="9"/>
  <c r="AH401" i="9"/>
  <c r="AI401" i="9"/>
  <c r="AI400" i="9"/>
  <c r="AH400" i="9"/>
  <c r="AH399" i="9"/>
  <c r="AI399" i="9"/>
  <c r="AI398" i="9"/>
  <c r="AH398" i="9"/>
  <c r="AI397" i="9"/>
  <c r="AH397" i="9"/>
  <c r="AH396" i="9"/>
  <c r="AI396" i="9"/>
  <c r="AI395" i="9"/>
  <c r="AH395" i="9"/>
  <c r="AI394" i="9"/>
  <c r="AH394" i="9"/>
  <c r="AH393" i="9"/>
  <c r="AI393" i="9"/>
  <c r="AI392" i="9"/>
  <c r="AH392" i="9"/>
  <c r="AH391" i="9"/>
  <c r="AI391" i="9"/>
  <c r="AH390" i="9"/>
  <c r="AI390" i="9"/>
  <c r="AI389" i="9"/>
  <c r="AH389" i="9"/>
  <c r="AI388" i="9"/>
  <c r="AH388" i="9"/>
  <c r="AI387" i="9"/>
  <c r="AH387" i="9"/>
  <c r="AI386" i="9"/>
  <c r="AH386" i="9"/>
  <c r="AH385" i="9"/>
  <c r="AI385" i="9"/>
  <c r="AI384" i="9"/>
  <c r="AH384" i="9"/>
  <c r="AI383" i="9"/>
  <c r="AH383" i="9"/>
  <c r="AI382" i="9"/>
  <c r="AH382" i="9"/>
  <c r="AI381" i="9"/>
  <c r="AH381" i="9"/>
  <c r="AI380" i="9"/>
  <c r="AH380" i="9"/>
  <c r="AI379" i="9"/>
  <c r="AH379" i="9"/>
  <c r="AI378" i="9"/>
  <c r="AH378" i="9"/>
  <c r="AH377" i="9"/>
  <c r="AI377" i="9"/>
  <c r="AI376" i="9"/>
  <c r="AH376" i="9"/>
  <c r="AH375" i="9"/>
  <c r="AI375" i="9"/>
  <c r="AI374" i="9"/>
  <c r="AH374" i="9"/>
  <c r="AI373" i="9"/>
  <c r="AH373" i="9"/>
  <c r="AH372" i="9"/>
  <c r="AI372" i="9"/>
  <c r="AI371" i="9"/>
  <c r="AH371" i="9"/>
  <c r="AI370" i="9"/>
  <c r="AH370" i="9"/>
  <c r="AH369" i="9"/>
  <c r="AI369" i="9"/>
  <c r="AI368" i="9"/>
  <c r="AH368" i="9"/>
  <c r="AI367" i="9"/>
  <c r="AH367" i="9"/>
  <c r="AI366" i="9"/>
  <c r="AH366" i="9"/>
  <c r="AI365" i="9"/>
  <c r="AH365" i="9"/>
  <c r="AI364" i="9"/>
  <c r="AH364" i="9"/>
  <c r="AI363" i="9"/>
  <c r="AH363" i="9"/>
  <c r="AI362" i="9"/>
  <c r="AH362" i="9"/>
  <c r="AH361" i="9"/>
  <c r="AI361" i="9"/>
  <c r="AH360" i="9"/>
  <c r="AI360" i="9"/>
  <c r="AH359" i="9"/>
  <c r="AI359" i="9"/>
  <c r="AH358" i="9"/>
  <c r="AI358" i="9"/>
  <c r="AH357" i="9"/>
  <c r="AI357" i="9"/>
  <c r="AI356" i="9"/>
  <c r="AH356" i="9"/>
  <c r="AH355" i="9"/>
  <c r="AI355" i="9"/>
  <c r="AI354" i="9"/>
  <c r="AH354" i="9"/>
  <c r="AI353" i="9"/>
  <c r="AH353" i="9"/>
  <c r="AI352" i="9"/>
  <c r="AH352" i="9"/>
  <c r="AI351" i="9"/>
  <c r="AH351" i="9"/>
  <c r="AI350" i="9"/>
  <c r="AH350" i="9"/>
  <c r="AI349" i="9"/>
  <c r="AH349" i="9"/>
  <c r="AI348" i="9"/>
  <c r="AH348" i="9"/>
  <c r="AH347" i="9"/>
  <c r="AI347" i="9"/>
  <c r="AI346" i="9"/>
  <c r="AH346" i="9"/>
  <c r="AH345" i="9"/>
  <c r="AI345" i="9"/>
  <c r="AI344" i="9"/>
  <c r="AH344" i="9"/>
  <c r="AH343" i="9"/>
  <c r="AI343" i="9"/>
  <c r="AI342" i="9"/>
  <c r="AH342" i="9"/>
  <c r="AH341" i="9"/>
  <c r="AI341" i="9"/>
  <c r="AH340" i="9"/>
  <c r="AI340" i="9"/>
  <c r="AH339" i="9"/>
  <c r="AI339" i="9"/>
  <c r="AI338" i="9"/>
  <c r="AH338" i="9"/>
  <c r="AI337" i="9"/>
  <c r="AH337" i="9"/>
  <c r="AI336" i="9"/>
  <c r="AH336" i="9"/>
  <c r="AI335" i="9"/>
  <c r="AH335" i="9"/>
  <c r="AI334" i="9"/>
  <c r="AH334" i="9"/>
  <c r="AI333" i="9"/>
  <c r="AH333" i="9"/>
  <c r="AI332" i="9"/>
  <c r="AH332" i="9"/>
  <c r="AI331" i="9"/>
  <c r="AH331" i="9"/>
  <c r="AI330" i="9"/>
  <c r="AH330" i="9"/>
  <c r="AI329" i="9"/>
  <c r="AH329" i="9"/>
  <c r="AI328" i="9"/>
  <c r="AH328" i="9"/>
  <c r="AI327" i="9"/>
  <c r="AH327" i="9"/>
  <c r="AI326" i="9"/>
  <c r="AH326" i="9"/>
  <c r="AI325" i="9"/>
  <c r="AH325" i="9"/>
  <c r="AI324" i="9"/>
  <c r="AH324" i="9"/>
  <c r="AI323" i="9"/>
  <c r="AH323" i="9"/>
  <c r="AH322" i="9"/>
  <c r="AI322" i="9"/>
  <c r="AI321" i="9"/>
  <c r="AH321" i="9"/>
  <c r="AI320" i="9"/>
  <c r="AH320" i="9"/>
  <c r="AI319" i="9"/>
  <c r="AH319" i="9"/>
  <c r="AI318" i="9"/>
  <c r="AH318" i="9"/>
  <c r="AI317" i="9"/>
  <c r="AH317" i="9"/>
  <c r="AI316" i="9"/>
  <c r="AH316" i="9"/>
  <c r="AI315" i="9"/>
  <c r="AH315" i="9"/>
  <c r="AI314" i="9"/>
  <c r="AH314" i="9"/>
  <c r="AI313" i="9"/>
  <c r="AH313" i="9"/>
  <c r="AI312" i="9"/>
  <c r="AH312" i="9"/>
  <c r="AI311" i="9"/>
  <c r="AH311" i="9"/>
  <c r="AI310" i="9"/>
  <c r="AH310" i="9"/>
  <c r="AI309" i="9"/>
  <c r="AH309" i="9"/>
  <c r="AH308" i="9"/>
  <c r="AI308" i="9"/>
  <c r="AH307" i="9"/>
  <c r="AI307" i="9"/>
  <c r="AI306" i="9"/>
  <c r="AH306" i="9"/>
  <c r="AH305" i="9"/>
  <c r="AI305" i="9"/>
  <c r="AI304" i="9"/>
  <c r="AH304" i="9"/>
  <c r="AH303" i="9"/>
  <c r="AI303" i="9"/>
  <c r="AH302" i="9"/>
  <c r="AI302" i="9"/>
  <c r="AH301" i="9"/>
  <c r="AI301" i="9"/>
  <c r="AI300" i="9"/>
  <c r="AH300" i="9"/>
  <c r="AH299" i="9"/>
  <c r="AI299" i="9"/>
  <c r="AH298" i="9"/>
  <c r="AI298" i="9"/>
  <c r="AI297" i="9"/>
  <c r="AH297" i="9"/>
  <c r="AI296" i="9"/>
  <c r="AH296" i="9"/>
  <c r="AI295" i="9"/>
  <c r="AH295" i="9"/>
  <c r="AH294" i="9"/>
  <c r="AI294" i="9"/>
  <c r="AH293" i="9"/>
  <c r="AI293" i="9"/>
  <c r="AH292" i="9"/>
  <c r="AI292" i="9"/>
  <c r="AI291" i="9"/>
  <c r="AH291" i="9"/>
  <c r="AH290" i="9"/>
  <c r="AI290" i="9"/>
  <c r="AH289" i="9"/>
  <c r="AI289" i="9"/>
  <c r="AH288" i="9"/>
  <c r="AI288" i="9"/>
  <c r="AH287" i="9"/>
  <c r="AI287" i="9"/>
  <c r="AI286" i="9"/>
  <c r="AH286" i="9"/>
  <c r="AH285" i="9"/>
  <c r="AI285" i="9"/>
  <c r="AH284" i="9"/>
  <c r="AI284" i="9"/>
  <c r="AH283" i="9"/>
  <c r="AI283" i="9"/>
  <c r="AI282" i="9"/>
  <c r="AH282" i="9"/>
  <c r="AI281" i="9"/>
  <c r="AH281" i="9"/>
  <c r="AI280" i="9"/>
  <c r="AH280" i="9"/>
  <c r="AI279" i="9"/>
  <c r="AH279" i="9"/>
  <c r="AI278" i="9"/>
  <c r="AH278" i="9"/>
  <c r="AI277" i="9"/>
  <c r="AH277" i="9"/>
  <c r="AI276" i="9"/>
  <c r="AH276" i="9"/>
  <c r="AI275" i="9"/>
  <c r="AH275" i="9"/>
  <c r="AI274" i="9"/>
  <c r="AH274" i="9"/>
  <c r="AI273" i="9"/>
  <c r="AH273" i="9"/>
  <c r="AI272" i="9"/>
  <c r="AH272" i="9"/>
  <c r="AI271" i="9"/>
  <c r="AH271" i="9"/>
  <c r="AH270" i="9"/>
  <c r="AI270" i="9"/>
  <c r="AI269" i="9"/>
  <c r="AH269" i="9"/>
  <c r="AH268" i="9"/>
  <c r="AI268" i="9"/>
  <c r="AH267" i="9"/>
  <c r="AI267" i="9"/>
  <c r="AI266" i="9"/>
  <c r="AH266" i="9"/>
  <c r="AI265" i="9"/>
  <c r="AH265" i="9"/>
  <c r="AH264" i="9"/>
  <c r="AI264" i="9"/>
  <c r="AH263" i="9"/>
  <c r="AI263" i="9"/>
  <c r="AH262" i="9"/>
  <c r="AI262" i="9"/>
  <c r="AH261" i="9"/>
  <c r="AI261" i="9"/>
  <c r="AH260" i="9"/>
  <c r="AI260" i="9"/>
  <c r="AI259" i="9"/>
  <c r="AH259" i="9"/>
  <c r="AI258" i="9"/>
  <c r="AH258" i="9"/>
  <c r="AI257" i="9"/>
  <c r="AH257" i="9"/>
  <c r="AI256" i="9"/>
  <c r="AH256" i="9"/>
  <c r="AH255" i="9"/>
  <c r="AI255" i="9"/>
  <c r="AI254" i="9"/>
  <c r="AH254" i="9"/>
  <c r="AI253" i="9"/>
  <c r="AH253" i="9"/>
  <c r="AI252" i="9"/>
  <c r="AH252" i="9"/>
  <c r="AI251" i="9"/>
  <c r="AH251" i="9"/>
  <c r="AI250" i="9"/>
  <c r="AH250" i="9"/>
  <c r="AI249" i="9"/>
  <c r="AH249" i="9"/>
  <c r="AI248" i="9"/>
  <c r="AH248" i="9"/>
  <c r="AH247" i="9"/>
  <c r="AI247" i="9"/>
  <c r="AH246" i="9"/>
  <c r="AI246" i="9"/>
  <c r="AH245" i="9"/>
  <c r="AI245" i="9"/>
  <c r="AI244" i="9"/>
  <c r="AH244" i="9"/>
  <c r="AH243" i="9"/>
  <c r="AI243" i="9"/>
  <c r="AH242" i="9"/>
  <c r="AI242" i="9"/>
  <c r="AH241" i="9"/>
  <c r="AI241" i="9"/>
  <c r="AI240" i="9"/>
  <c r="AH240" i="9"/>
  <c r="AI239" i="9"/>
  <c r="AH239" i="9"/>
  <c r="AH238" i="9"/>
  <c r="AI238" i="9"/>
  <c r="AH237" i="9"/>
  <c r="AI237" i="9"/>
  <c r="AH236" i="9"/>
  <c r="AI236" i="9"/>
  <c r="AH235" i="9"/>
  <c r="AI235" i="9"/>
  <c r="AI234" i="9"/>
  <c r="AH234" i="9"/>
  <c r="AH233" i="9"/>
  <c r="AI233" i="9"/>
  <c r="AH232" i="9"/>
  <c r="AI232" i="9"/>
  <c r="AI231" i="9"/>
  <c r="AH231" i="9"/>
  <c r="AI230" i="9"/>
  <c r="AH230" i="9"/>
  <c r="AI229" i="9"/>
  <c r="AH229" i="9"/>
  <c r="AH228" i="9"/>
  <c r="AI228" i="9"/>
  <c r="AH227" i="9"/>
  <c r="AI227" i="9"/>
  <c r="AH226" i="9"/>
  <c r="AI226" i="9"/>
  <c r="AI225" i="9"/>
  <c r="AH225" i="9"/>
  <c r="AI224" i="9"/>
  <c r="AH224" i="9"/>
  <c r="AH223" i="9"/>
  <c r="AI223" i="9"/>
  <c r="AI222" i="9"/>
  <c r="AH222" i="9"/>
  <c r="AI221" i="9"/>
  <c r="AH221" i="9"/>
  <c r="AI220" i="9"/>
  <c r="AH220" i="9"/>
  <c r="AH219" i="9"/>
  <c r="AI219" i="9"/>
  <c r="AI218" i="9"/>
  <c r="AH218" i="9"/>
  <c r="AH217" i="9"/>
  <c r="AI217" i="9"/>
  <c r="AH216" i="9"/>
  <c r="AI216" i="9"/>
  <c r="AI215" i="9"/>
  <c r="AH215" i="9"/>
  <c r="AH214" i="9"/>
  <c r="AI214" i="9"/>
  <c r="AI213" i="9"/>
  <c r="AH213" i="9"/>
  <c r="AH212" i="9"/>
  <c r="AI212" i="9"/>
  <c r="AI211" i="9"/>
  <c r="AH211" i="9"/>
  <c r="AI210" i="9"/>
  <c r="AH210" i="9"/>
  <c r="AI209" i="9"/>
  <c r="AH209" i="9"/>
  <c r="AH208" i="9"/>
  <c r="AI208" i="9"/>
  <c r="AH207" i="9"/>
  <c r="AI207" i="9"/>
  <c r="AI206" i="9"/>
  <c r="AH206" i="9"/>
  <c r="AI205" i="9"/>
  <c r="AH205" i="9"/>
  <c r="AH204" i="9"/>
  <c r="AI204" i="9"/>
  <c r="AH203" i="9"/>
  <c r="AI203" i="9"/>
  <c r="AI202" i="9"/>
  <c r="AH202" i="9"/>
  <c r="AI201" i="9"/>
  <c r="AH201" i="9"/>
  <c r="AI200" i="9"/>
  <c r="AH200" i="9"/>
  <c r="AI199" i="9"/>
  <c r="AH199" i="9"/>
  <c r="AI198" i="9"/>
  <c r="AH198" i="9"/>
  <c r="AI197" i="9"/>
  <c r="AH197" i="9"/>
  <c r="AH196" i="9"/>
  <c r="AI196" i="9"/>
  <c r="AI195" i="9"/>
  <c r="AH195" i="9"/>
  <c r="AH194" i="9"/>
  <c r="AI194" i="9"/>
  <c r="AI193" i="9"/>
  <c r="AH193" i="9"/>
  <c r="AI192" i="9"/>
  <c r="AH192" i="9"/>
  <c r="AI191" i="9"/>
  <c r="AH191" i="9"/>
  <c r="AI190" i="9"/>
  <c r="AH190" i="9"/>
  <c r="AI189" i="9"/>
  <c r="AH189" i="9"/>
  <c r="AI188" i="9"/>
  <c r="AH188" i="9"/>
  <c r="AI187" i="9"/>
  <c r="AH187" i="9"/>
  <c r="AI186" i="9"/>
  <c r="AH186" i="9"/>
  <c r="AH185" i="9"/>
  <c r="AI185" i="9"/>
  <c r="AH184" i="9"/>
  <c r="AI184" i="9"/>
  <c r="AH183" i="9"/>
  <c r="AI183" i="9"/>
  <c r="AH182" i="9"/>
  <c r="AI182" i="9"/>
  <c r="AI181" i="9"/>
  <c r="AH181" i="9"/>
  <c r="AH180" i="9"/>
  <c r="AI180" i="9"/>
  <c r="AI179" i="9"/>
  <c r="AH179" i="9"/>
  <c r="AH178" i="9"/>
  <c r="AI178" i="9"/>
  <c r="AI177" i="9"/>
  <c r="AH177" i="9"/>
  <c r="AH176" i="9"/>
  <c r="AI176" i="9"/>
  <c r="AH175" i="9"/>
  <c r="AI175" i="9"/>
  <c r="AH174" i="9"/>
  <c r="AI174" i="9"/>
  <c r="AH173" i="9"/>
  <c r="AI173" i="9"/>
  <c r="AI172" i="9"/>
  <c r="AH172" i="9"/>
  <c r="AH171" i="9"/>
  <c r="AI171" i="9"/>
  <c r="AI170" i="9"/>
  <c r="AH170" i="9"/>
  <c r="AH169" i="9"/>
  <c r="AI169" i="9"/>
  <c r="AH168" i="9"/>
  <c r="AI168" i="9"/>
  <c r="AH167" i="9"/>
  <c r="AI167" i="9"/>
  <c r="AI166" i="9"/>
  <c r="AH166" i="9"/>
  <c r="AI165" i="9"/>
  <c r="AH165" i="9"/>
  <c r="AI164" i="9"/>
  <c r="AH164" i="9"/>
  <c r="AI163" i="9"/>
  <c r="AH163" i="9"/>
  <c r="AI162" i="9"/>
  <c r="AH162" i="9"/>
  <c r="AI161" i="9"/>
  <c r="AH161" i="9"/>
  <c r="AI160" i="9"/>
  <c r="AH160" i="9"/>
  <c r="AI159" i="9"/>
  <c r="AH159" i="9"/>
  <c r="AI158" i="9"/>
  <c r="AH158" i="9"/>
  <c r="AI157" i="9"/>
  <c r="AH157" i="9"/>
  <c r="AI156" i="9"/>
  <c r="AH156" i="9"/>
  <c r="AH155" i="9"/>
  <c r="AI155" i="9"/>
  <c r="AI154" i="9"/>
  <c r="AH154" i="9"/>
  <c r="AH153" i="9"/>
  <c r="AI153" i="9"/>
  <c r="AH152" i="9"/>
  <c r="AI152" i="9"/>
  <c r="AI151" i="9"/>
  <c r="AH151" i="9"/>
  <c r="AI150" i="9"/>
  <c r="AH150" i="9"/>
  <c r="AI149" i="9"/>
  <c r="AH149" i="9"/>
  <c r="AH148" i="9"/>
  <c r="AI148" i="9"/>
  <c r="AI147" i="9"/>
  <c r="AH147" i="9"/>
  <c r="AI146" i="9"/>
  <c r="AH146" i="9"/>
  <c r="AI145" i="9"/>
  <c r="AH145" i="9"/>
  <c r="AH144" i="9"/>
  <c r="AI144" i="9"/>
  <c r="AH143" i="9"/>
  <c r="AI143" i="9"/>
  <c r="AI142" i="9"/>
  <c r="AH142" i="9"/>
  <c r="AH141" i="9"/>
  <c r="AI141" i="9"/>
  <c r="AH140" i="9"/>
  <c r="AI140" i="9"/>
  <c r="AI139" i="9"/>
  <c r="AH139" i="9"/>
  <c r="AI138" i="9"/>
  <c r="AH138" i="9"/>
  <c r="AI137" i="9"/>
  <c r="AH137" i="9"/>
  <c r="AI136" i="9"/>
  <c r="AH136" i="9"/>
  <c r="AH135" i="9"/>
  <c r="AI135" i="9"/>
  <c r="AH133" i="9"/>
  <c r="AI133" i="9"/>
  <c r="AI132" i="9"/>
  <c r="AH132" i="9"/>
  <c r="AH131" i="9"/>
  <c r="AI131" i="9"/>
  <c r="AH130" i="9"/>
  <c r="AI130" i="9"/>
  <c r="AI129" i="9"/>
  <c r="AH129" i="9"/>
  <c r="AH128" i="9"/>
  <c r="AI128" i="9"/>
  <c r="AH127" i="9"/>
  <c r="AI127" i="9"/>
  <c r="AI126" i="9"/>
  <c r="AH126" i="9"/>
  <c r="AH125" i="9"/>
  <c r="AI125" i="9"/>
  <c r="AH124" i="9"/>
  <c r="AI124" i="9"/>
  <c r="AI123" i="9"/>
  <c r="AH123" i="9"/>
  <c r="AH122" i="9"/>
  <c r="AI122" i="9"/>
  <c r="AH121" i="9"/>
  <c r="AI121" i="9"/>
  <c r="AI120" i="9"/>
  <c r="AH120" i="9"/>
  <c r="AH119" i="9"/>
  <c r="AI119" i="9"/>
  <c r="AI118" i="9"/>
  <c r="AH118" i="9"/>
  <c r="AH117" i="9"/>
  <c r="AI117" i="9"/>
  <c r="AH116" i="9"/>
  <c r="AI116" i="9"/>
  <c r="AH115" i="9"/>
  <c r="AI115" i="9"/>
  <c r="AH114" i="9"/>
  <c r="AI114" i="9"/>
  <c r="AH113" i="9"/>
  <c r="AI113" i="9"/>
  <c r="AH112" i="9"/>
  <c r="AI112" i="9"/>
  <c r="AH111" i="9"/>
  <c r="AI111" i="9"/>
  <c r="AI110" i="9"/>
  <c r="AH110" i="9"/>
  <c r="AH109" i="9"/>
  <c r="AI109" i="9"/>
  <c r="AI108" i="9"/>
  <c r="AH108" i="9"/>
  <c r="AI107" i="9"/>
  <c r="AH107" i="9"/>
  <c r="AH106" i="9"/>
  <c r="AI106" i="9"/>
  <c r="AH105" i="9"/>
  <c r="AI105" i="9"/>
  <c r="AI104" i="9"/>
  <c r="AH104" i="9"/>
  <c r="AH103" i="9"/>
  <c r="AI103" i="9"/>
  <c r="AH102" i="9"/>
  <c r="AI102" i="9"/>
  <c r="AI101" i="9"/>
  <c r="AH101" i="9"/>
  <c r="AI100" i="9"/>
  <c r="AH100" i="9"/>
  <c r="AI99" i="9"/>
  <c r="AH99" i="9"/>
  <c r="AH98" i="9"/>
  <c r="AI98" i="9"/>
  <c r="AH97" i="9"/>
  <c r="AI97" i="9"/>
  <c r="AH96" i="9"/>
  <c r="AI96" i="9"/>
  <c r="AI95" i="9"/>
  <c r="AH95" i="9"/>
  <c r="AI94" i="9"/>
  <c r="AH94" i="9"/>
  <c r="AH93" i="9"/>
  <c r="AI93" i="9"/>
  <c r="AH92" i="9"/>
  <c r="AI92" i="9"/>
  <c r="AH91" i="9"/>
  <c r="AI91" i="9"/>
  <c r="AI90" i="9"/>
  <c r="AH90" i="9"/>
  <c r="AI89" i="9"/>
  <c r="AH89" i="9"/>
  <c r="AH88" i="9"/>
  <c r="AI88" i="9"/>
  <c r="AH87" i="9"/>
  <c r="AI87" i="9"/>
  <c r="AH86" i="9"/>
  <c r="AI86" i="9"/>
  <c r="AI85" i="9"/>
  <c r="AH85" i="9"/>
  <c r="AH84" i="9"/>
  <c r="AI84" i="9"/>
  <c r="AH83" i="9"/>
  <c r="AI83" i="9"/>
  <c r="AH82" i="9"/>
  <c r="AI82" i="9"/>
  <c r="AI81" i="9"/>
  <c r="AH81" i="9"/>
  <c r="AI80" i="9"/>
  <c r="AH80" i="9"/>
  <c r="AH79" i="9"/>
  <c r="AI79" i="9"/>
  <c r="AH78" i="9"/>
  <c r="AI78" i="9"/>
  <c r="AH77" i="9"/>
  <c r="AI77" i="9"/>
  <c r="AH76" i="9"/>
  <c r="AI76" i="9"/>
  <c r="AH75" i="9"/>
  <c r="AI75" i="9"/>
  <c r="AH74" i="9"/>
  <c r="AI74" i="9"/>
  <c r="AI73" i="9"/>
  <c r="AH73" i="9"/>
  <c r="AI72" i="9"/>
  <c r="AH72" i="9"/>
  <c r="AH71" i="9"/>
  <c r="AI71" i="9"/>
  <c r="AI70" i="9"/>
  <c r="AH70" i="9"/>
  <c r="AI69" i="9"/>
  <c r="AH69" i="9"/>
  <c r="AH68" i="9"/>
  <c r="AI68" i="9"/>
  <c r="AI67" i="9"/>
  <c r="AH67" i="9"/>
  <c r="AI66" i="9"/>
  <c r="AH66" i="9"/>
  <c r="AH65" i="9"/>
  <c r="AI65" i="9"/>
  <c r="AH64" i="9"/>
  <c r="AI64" i="9"/>
  <c r="AI63" i="9"/>
  <c r="AH63" i="9"/>
  <c r="AH62" i="9"/>
  <c r="AI62" i="9"/>
  <c r="AI61" i="9"/>
  <c r="AH61" i="9"/>
  <c r="AI60" i="9"/>
  <c r="AH60" i="9"/>
  <c r="AI59" i="9"/>
  <c r="AH59" i="9"/>
  <c r="AI58" i="9"/>
  <c r="AH58" i="9"/>
  <c r="AI57" i="9"/>
  <c r="AH57" i="9"/>
  <c r="AI56" i="9"/>
  <c r="AH56" i="9"/>
  <c r="AI55" i="9"/>
  <c r="AH55" i="9"/>
  <c r="AH54" i="9"/>
  <c r="AI54" i="9"/>
  <c r="AI53" i="9"/>
  <c r="AH53" i="9"/>
  <c r="AI52" i="9"/>
  <c r="AH52" i="9"/>
  <c r="AI51" i="9"/>
  <c r="AH51" i="9"/>
  <c r="AI50" i="9"/>
  <c r="AH50" i="9"/>
  <c r="AI49" i="9"/>
  <c r="AH49" i="9"/>
  <c r="AI48" i="9"/>
  <c r="AH48" i="9"/>
  <c r="AH47" i="9"/>
  <c r="AI47" i="9"/>
  <c r="AI46" i="9"/>
  <c r="AH46" i="9"/>
  <c r="AH45" i="9"/>
  <c r="AI45" i="9"/>
  <c r="AI44" i="9"/>
  <c r="AH44" i="9"/>
  <c r="AI43" i="9"/>
  <c r="AH43" i="9"/>
  <c r="AI42" i="9"/>
  <c r="AH42" i="9"/>
  <c r="AI41" i="9"/>
  <c r="AH41" i="9"/>
  <c r="AI40" i="9"/>
  <c r="AH40" i="9"/>
  <c r="AH39" i="9"/>
  <c r="AI39" i="9"/>
  <c r="AH38" i="9"/>
  <c r="AI38" i="9"/>
  <c r="AI37" i="9"/>
  <c r="AH37" i="9"/>
  <c r="AI36" i="9"/>
  <c r="AH36" i="9"/>
  <c r="AI35" i="9"/>
  <c r="AH35" i="9"/>
  <c r="AI34" i="9"/>
  <c r="AH34" i="9"/>
  <c r="AI33" i="9"/>
  <c r="AH33" i="9"/>
  <c r="AH32" i="9"/>
  <c r="AI32" i="9"/>
  <c r="AI31" i="9"/>
  <c r="AH31" i="9"/>
  <c r="AI30" i="9"/>
  <c r="AH30" i="9"/>
  <c r="AI29" i="9"/>
  <c r="AH29" i="9"/>
  <c r="AI28" i="9"/>
  <c r="AH28" i="9"/>
  <c r="AH27" i="9"/>
  <c r="AI27" i="9"/>
  <c r="AH26" i="9"/>
  <c r="AI26" i="9"/>
  <c r="E26" i="9"/>
  <c r="AI25" i="9"/>
  <c r="AH25" i="9"/>
  <c r="AI24" i="9"/>
  <c r="AH24" i="9"/>
  <c r="AI23" i="9"/>
  <c r="AH23" i="9"/>
  <c r="AI22" i="9"/>
  <c r="AH22" i="9"/>
  <c r="AI21" i="9"/>
  <c r="AH21" i="9"/>
  <c r="AI20" i="9"/>
  <c r="AH20" i="9"/>
  <c r="AI19" i="9"/>
  <c r="AH19" i="9"/>
  <c r="AI18" i="9"/>
  <c r="AH18" i="9"/>
  <c r="AI17" i="9"/>
  <c r="AH17" i="9"/>
  <c r="AI16" i="9"/>
  <c r="AH16" i="9"/>
  <c r="AI15" i="9"/>
  <c r="AH15" i="9"/>
  <c r="AI14" i="9"/>
  <c r="AH14" i="9"/>
  <c r="AI13" i="9"/>
  <c r="AH13" i="9"/>
  <c r="AI12" i="9"/>
  <c r="AH12" i="9"/>
  <c r="AH11" i="9"/>
  <c r="AI11" i="9"/>
  <c r="AH10" i="9"/>
  <c r="AI10" i="9"/>
  <c r="AI9" i="9"/>
  <c r="AH9" i="9"/>
  <c r="AI8" i="9"/>
  <c r="AH8" i="9"/>
  <c r="AI7" i="9"/>
  <c r="AH7" i="9"/>
  <c r="AI6" i="9"/>
  <c r="AH6" i="9"/>
  <c r="AH5" i="9"/>
  <c r="AI5" i="9"/>
  <c r="AH4" i="9"/>
  <c r="AI4" i="9"/>
  <c r="AH3" i="9"/>
  <c r="AI3" i="9"/>
  <c r="AH2" i="9"/>
  <c r="AI2" i="9"/>
  <c r="B29"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936B32C-0EC8-4E93-84D3-A07724E6307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06DAE84-2C66-4997-A42A-83854B8D483C}" name="WorksheetConnection_student_survey_dataset.xlsx!Table1" type="102" refreshedVersion="8" minRefreshableVersion="5">
    <extLst>
      <ext xmlns:x15="http://schemas.microsoft.com/office/spreadsheetml/2010/11/main" uri="{DE250136-89BD-433C-8126-D09CA5730AF9}">
        <x15:connection id="Table1">
          <x15:rangePr sourceName="_xlcn.WorksheetConnection_student_survey_dataset.xlsxTable1"/>
        </x15:connection>
      </ext>
    </extLst>
  </connection>
  <connection id="3" xr16:uid="{47BF7D01-2070-4419-8349-ACA94AE5B185}" name="WorksheetConnection_student_survey_dataset.xlsx!Table4" type="102" refreshedVersion="8" minRefreshableVersion="5">
    <extLst>
      <ext xmlns:x15="http://schemas.microsoft.com/office/spreadsheetml/2010/11/main" uri="{DE250136-89BD-433C-8126-D09CA5730AF9}">
        <x15:connection id="Table4">
          <x15:rangePr sourceName="_xlcn.WorksheetConnection_student_survey_dataset.xlsxTable4"/>
        </x15:connection>
      </ext>
    </extLst>
  </connection>
</connections>
</file>

<file path=xl/sharedStrings.xml><?xml version="1.0" encoding="utf-8"?>
<sst xmlns="http://schemas.openxmlformats.org/spreadsheetml/2006/main" count="10351" uniqueCount="3131">
  <si>
    <t>Student ID</t>
  </si>
  <si>
    <t>Student Name</t>
  </si>
  <si>
    <t>Lectures_effectiveness</t>
  </si>
  <si>
    <t>Case Studies_effectiveness</t>
  </si>
  <si>
    <t>Group Projects_effectiveness</t>
  </si>
  <si>
    <t>Experiments_effectiveness</t>
  </si>
  <si>
    <t>Online Tutorials_effectiveness</t>
  </si>
  <si>
    <t>Lectures_engagement</t>
  </si>
  <si>
    <t>Case Studies_engagement</t>
  </si>
  <si>
    <t>Group Projects_engagement</t>
  </si>
  <si>
    <t>Experiments_engagement</t>
  </si>
  <si>
    <t>Online Tutorials_engagement</t>
  </si>
  <si>
    <t>Overall Effectiveness</t>
  </si>
  <si>
    <t>Overall Engagement</t>
  </si>
  <si>
    <t>STU0001</t>
  </si>
  <si>
    <t xml:space="preserve">  Garima Sinha   </t>
  </si>
  <si>
    <t>STU0002</t>
  </si>
  <si>
    <t>Anamika Sinha</t>
  </si>
  <si>
    <t>STU0003</t>
  </si>
  <si>
    <t>Deveesh Iyer</t>
  </si>
  <si>
    <t>STU0004</t>
  </si>
  <si>
    <t>aditya chatterjee</t>
  </si>
  <si>
    <t>STU0005</t>
  </si>
  <si>
    <t>Jatin Nair</t>
  </si>
  <si>
    <t>STU0006</t>
  </si>
  <si>
    <t>alka rathi</t>
  </si>
  <si>
    <t>STU0007</t>
  </si>
  <si>
    <t>Vippul Anand</t>
  </si>
  <si>
    <t>STU0008</t>
  </si>
  <si>
    <t>Sanjay lall</t>
  </si>
  <si>
    <t>STU0009</t>
  </si>
  <si>
    <t>Shweta Iyengar</t>
  </si>
  <si>
    <t>STU0010</t>
  </si>
  <si>
    <t>DHRUV JAIN</t>
  </si>
  <si>
    <t>STU0011</t>
  </si>
  <si>
    <t>devika dasari</t>
  </si>
  <si>
    <t>STU0012</t>
  </si>
  <si>
    <t>ISHAN KATHURIA</t>
  </si>
  <si>
    <t>STU0013</t>
  </si>
  <si>
    <t>GAURAV PILLAI</t>
  </si>
  <si>
    <t>STU0014</t>
  </si>
  <si>
    <t>Ira GGrover</t>
  </si>
  <si>
    <t>STU0015</t>
  </si>
  <si>
    <t>Karan dhawan</t>
  </si>
  <si>
    <t>STU0016</t>
  </si>
  <si>
    <t>sudha rao</t>
  </si>
  <si>
    <t>STU0017</t>
  </si>
  <si>
    <t>ANIL MUKHERJEE</t>
  </si>
  <si>
    <t>STU0018</t>
  </si>
  <si>
    <t>RENU KUMARI</t>
  </si>
  <si>
    <t>STU0019</t>
  </si>
  <si>
    <t>Shailesh Quresshi</t>
  </si>
  <si>
    <t>STU0020</t>
  </si>
  <si>
    <t>Ishita malhotra</t>
  </si>
  <si>
    <t>STU0021</t>
  </si>
  <si>
    <t xml:space="preserve">  Pritam Bedi   </t>
  </si>
  <si>
    <t>STU0022</t>
  </si>
  <si>
    <t>Vipull Kathuria</t>
  </si>
  <si>
    <t>STU0023</t>
  </si>
  <si>
    <t xml:space="preserve">  Usha Balan   </t>
  </si>
  <si>
    <t>STU0024</t>
  </si>
  <si>
    <t>seema verma</t>
  </si>
  <si>
    <t>STU0025</t>
  </si>
  <si>
    <t>Neetuu Jain</t>
  </si>
  <si>
    <t>STU0026</t>
  </si>
  <si>
    <t>TANVI KHOSLA</t>
  </si>
  <si>
    <t>STU0027</t>
  </si>
  <si>
    <t>Saurabh kaur</t>
  </si>
  <si>
    <t>STU0028</t>
  </si>
  <si>
    <t>ramesh chadha</t>
  </si>
  <si>
    <t>STU0029</t>
  </si>
  <si>
    <t>krishna mukherjee</t>
  </si>
  <si>
    <t>STU0030</t>
  </si>
  <si>
    <t>Anupama Sahani</t>
  </si>
  <si>
    <t>STU0031</t>
  </si>
  <si>
    <t>Pooja tripathi</t>
  </si>
  <si>
    <t>STU0032</t>
  </si>
  <si>
    <t>YASH RANA</t>
  </si>
  <si>
    <t>STU0033</t>
  </si>
  <si>
    <t>Diya Narayan</t>
  </si>
  <si>
    <t>STU0034</t>
  </si>
  <si>
    <t>Saurabh Chopra</t>
  </si>
  <si>
    <t>STU0035</t>
  </si>
  <si>
    <t>Mukesh Kukreja</t>
  </si>
  <si>
    <t>STU0036</t>
  </si>
  <si>
    <t xml:space="preserve">  Kavya Bansal   </t>
  </si>
  <si>
    <t>3.56%</t>
  </si>
  <si>
    <t>STU0037</t>
  </si>
  <si>
    <t>Advik Tyagi</t>
  </si>
  <si>
    <t>STU0038</t>
  </si>
  <si>
    <t>sunita sethi</t>
  </si>
  <si>
    <t>STU0039</t>
  </si>
  <si>
    <t>CHARUL DASARI</t>
  </si>
  <si>
    <t>STU0040</t>
  </si>
  <si>
    <t>Ashok Kathuria</t>
  </si>
  <si>
    <t>STU0041</t>
  </si>
  <si>
    <t>abhishek ganguly</t>
  </si>
  <si>
    <t>STU0042</t>
  </si>
  <si>
    <t>Tanya Walia</t>
  </si>
  <si>
    <t>STU0043</t>
  </si>
  <si>
    <t>madhavi bhargava</t>
  </si>
  <si>
    <t>STU0044</t>
  </si>
  <si>
    <t>ISHAAN SINHA</t>
  </si>
  <si>
    <t>STU0045</t>
  </si>
  <si>
    <t>Rudra Tandon</t>
  </si>
  <si>
    <t>STU0046</t>
  </si>
  <si>
    <t>Sanjay dasgupta</t>
  </si>
  <si>
    <t>STU0047</t>
  </si>
  <si>
    <t>YASH NANDAKUMAR</t>
  </si>
  <si>
    <t>STU0048</t>
  </si>
  <si>
    <t>Sameer shukla</t>
  </si>
  <si>
    <t>STU0049</t>
  </si>
  <si>
    <t>Pankaj Kumari</t>
  </si>
  <si>
    <t>STU0050</t>
  </si>
  <si>
    <t xml:space="preserve">  Pranav Lall   </t>
  </si>
  <si>
    <t>STU0051</t>
  </si>
  <si>
    <t>Nareesh Singh</t>
  </si>
  <si>
    <t>STU0052</t>
  </si>
  <si>
    <t>sunita bhargav</t>
  </si>
  <si>
    <t>STU0053</t>
  </si>
  <si>
    <t xml:space="preserve">  Sameer Goswami   </t>
  </si>
  <si>
    <t>STU0054</t>
  </si>
  <si>
    <t>RAJEEV MALHOTRA</t>
  </si>
  <si>
    <t>STU0055</t>
  </si>
  <si>
    <t>TUSHAR TYAGI</t>
  </si>
  <si>
    <t>STU0056</t>
  </si>
  <si>
    <t>Girish Shukla</t>
  </si>
  <si>
    <t>STU0057</t>
  </si>
  <si>
    <t>SURESH AGRAWAL</t>
  </si>
  <si>
    <t>STU0058</t>
  </si>
  <si>
    <t>tanya puri</t>
  </si>
  <si>
    <t>STU0059</t>
  </si>
  <si>
    <t>Shailesh chatterjee</t>
  </si>
  <si>
    <t>STU0060</t>
  </si>
  <si>
    <t xml:space="preserve">  Zara Kumar   </t>
  </si>
  <si>
    <t>STU0061</t>
  </si>
  <si>
    <t>ADITI KUMAR</t>
  </si>
  <si>
    <t>STU0062</t>
  </si>
  <si>
    <t>Renu ahmed</t>
  </si>
  <si>
    <t>STU0063</t>
  </si>
  <si>
    <t>ANANYA SANYAL</t>
  </si>
  <si>
    <t>STU0064</t>
  </si>
  <si>
    <t>Naveen Khatri</t>
  </si>
  <si>
    <t>STU0065</t>
  </si>
  <si>
    <t>Harshita Malhotra</t>
  </si>
  <si>
    <t>STU0066</t>
  </si>
  <si>
    <t>Falgguni Bose</t>
  </si>
  <si>
    <t>STU0067</t>
  </si>
  <si>
    <t>BHAVANA RAMESH</t>
  </si>
  <si>
    <t>STU0068</t>
  </si>
  <si>
    <t xml:space="preserve">  Shraddha Ekbote   </t>
  </si>
  <si>
    <t>STU0069</t>
  </si>
  <si>
    <t xml:space="preserve">  Meera Gulati   </t>
  </si>
  <si>
    <t>STU0070</t>
  </si>
  <si>
    <t>preeti oswal</t>
  </si>
  <si>
    <t>STU0071</t>
  </si>
  <si>
    <t>Krishna Joshhi</t>
  </si>
  <si>
    <t>STU0072</t>
  </si>
  <si>
    <t xml:space="preserve">  Sarika Dhawan   </t>
  </si>
  <si>
    <t>STU0073</t>
  </si>
  <si>
    <t>Shailesh bhateja</t>
  </si>
  <si>
    <t>STU0074</t>
  </si>
  <si>
    <t>Renu Yadav</t>
  </si>
  <si>
    <t>STU0075</t>
  </si>
  <si>
    <t>Jyoti Taalwar</t>
  </si>
  <si>
    <t>STU0076</t>
  </si>
  <si>
    <t>sunil singh</t>
  </si>
  <si>
    <t>STU0077</t>
  </si>
  <si>
    <t>Meenakshi Ramesh</t>
  </si>
  <si>
    <t>STU0078</t>
  </si>
  <si>
    <t>Anil Oberooi</t>
  </si>
  <si>
    <t>STU0079</t>
  </si>
  <si>
    <t>Sidddharth Bose</t>
  </si>
  <si>
    <t>STU0080</t>
  </si>
  <si>
    <t>ROHAN RAO</t>
  </si>
  <si>
    <t>STU0081</t>
  </si>
  <si>
    <t>Tanvi Mannwani</t>
  </si>
  <si>
    <t>STU0082</t>
  </si>
  <si>
    <t>Yash Trrivedi</t>
  </si>
  <si>
    <t>STU0083</t>
  </si>
  <si>
    <t>Neha Khossla</t>
  </si>
  <si>
    <t>STU0084</t>
  </si>
  <si>
    <t>ramesh ahuja</t>
  </si>
  <si>
    <t>STU0085</t>
  </si>
  <si>
    <t xml:space="preserve">  Mahesh Tripathi   </t>
  </si>
  <si>
    <t>STU0086</t>
  </si>
  <si>
    <t xml:space="preserve">  Advik Nair   </t>
  </si>
  <si>
    <t>STU0087</t>
  </si>
  <si>
    <t xml:space="preserve">  Kiran Nathani   </t>
  </si>
  <si>
    <t>STU0088</t>
  </si>
  <si>
    <t>ANANYA MEHTA</t>
  </si>
  <si>
    <t>STU0089</t>
  </si>
  <si>
    <t>Alok Sharmma</t>
  </si>
  <si>
    <t>STU0090</t>
  </si>
  <si>
    <t>Poonam Kukrreja</t>
  </si>
  <si>
    <t>STU0091</t>
  </si>
  <si>
    <t>Madhavi Josshi</t>
  </si>
  <si>
    <t>STU0092</t>
  </si>
  <si>
    <t>myra kumar</t>
  </si>
  <si>
    <t>STU0093</t>
  </si>
  <si>
    <t>SANJEEV KOHIR</t>
  </si>
  <si>
    <t>STU0094</t>
  </si>
  <si>
    <t>ZARA ANAND</t>
  </si>
  <si>
    <t>STU0095</t>
  </si>
  <si>
    <t>MANISH DUGGAL</t>
  </si>
  <si>
    <t>STU0096</t>
  </si>
  <si>
    <t>swati saini</t>
  </si>
  <si>
    <t>STU0097</t>
  </si>
  <si>
    <t>Yogeshh Sahani</t>
  </si>
  <si>
    <t>STU0098</t>
  </si>
  <si>
    <t>RAMESH BHARGAVA</t>
  </si>
  <si>
    <t>N/A</t>
  </si>
  <si>
    <t>STU0099</t>
  </si>
  <si>
    <t>Seema kohli</t>
  </si>
  <si>
    <t>STU0100</t>
  </si>
  <si>
    <t>Siddharth chatterjee</t>
  </si>
  <si>
    <t>STU0101</t>
  </si>
  <si>
    <t xml:space="preserve">  Ashok Israni   </t>
  </si>
  <si>
    <t>4.31%</t>
  </si>
  <si>
    <t>STU0102</t>
  </si>
  <si>
    <t>PRIYA BOSE</t>
  </si>
  <si>
    <t>STU0103</t>
  </si>
  <si>
    <t>VVikram Rastogi</t>
  </si>
  <si>
    <t>STU0104</t>
  </si>
  <si>
    <t>Ekta Rasttogi</t>
  </si>
  <si>
    <t>STU0105</t>
  </si>
  <si>
    <t>Kavyya Deshmukh</t>
  </si>
  <si>
    <t>STU0106</t>
  </si>
  <si>
    <t>Hema menon</t>
  </si>
  <si>
    <t>STU0107</t>
  </si>
  <si>
    <t>Sandeep Kukreja</t>
  </si>
  <si>
    <t>STU0108</t>
  </si>
  <si>
    <t>RIYA YADAV</t>
  </si>
  <si>
    <t>STU0109</t>
  </si>
  <si>
    <t>Rohit puri</t>
  </si>
  <si>
    <t>STU0110</t>
  </si>
  <si>
    <t>DIVYA DASARI</t>
  </si>
  <si>
    <t xml:space="preserve"> 3.1 </t>
  </si>
  <si>
    <t>STU0111</t>
  </si>
  <si>
    <t>Simran Aggrawal</t>
  </si>
  <si>
    <t>STU0112</t>
  </si>
  <si>
    <t xml:space="preserve">  Kavya Chatterjee   </t>
  </si>
  <si>
    <t>STU0113</t>
  </si>
  <si>
    <t>ANIRUDH CHOPRA</t>
  </si>
  <si>
    <t>STU0114</t>
  </si>
  <si>
    <t>Chandan JJain</t>
  </si>
  <si>
    <t>STU0115</t>
  </si>
  <si>
    <t>SNEHA BHATEJA</t>
  </si>
  <si>
    <t>STU0116</t>
  </si>
  <si>
    <t>Anshul Oberooi</t>
  </si>
  <si>
    <t>STU0117</t>
  </si>
  <si>
    <t>Yogesh marathe</t>
  </si>
  <si>
    <t>STU0118</t>
  </si>
  <si>
    <t>Bhaskar Shukla</t>
  </si>
  <si>
    <t>STU0119</t>
  </si>
  <si>
    <t>RIYA KHATRI</t>
  </si>
  <si>
    <t>STU0120</t>
  </si>
  <si>
    <t>Kavya Kaur</t>
  </si>
  <si>
    <t>STU0121</t>
  </si>
  <si>
    <t>preeti jani</t>
  </si>
  <si>
    <t>STU0122</t>
  </si>
  <si>
    <t>Usha Raaj</t>
  </si>
  <si>
    <t>STU0123</t>
  </si>
  <si>
    <t>yuvraj narayan</t>
  </si>
  <si>
    <t>STU0124</t>
  </si>
  <si>
    <t>manju narayan</t>
  </si>
  <si>
    <t>STU0125</t>
  </si>
  <si>
    <t>Aadhya Waliia</t>
  </si>
  <si>
    <t>STU0126</t>
  </si>
  <si>
    <t>Rekha kalra</t>
  </si>
  <si>
    <t>STU0127</t>
  </si>
  <si>
    <t>Kiran lamba</t>
  </si>
  <si>
    <t>STU0128</t>
  </si>
  <si>
    <t>Atharv chatterjee</t>
  </si>
  <si>
    <t>STU0129</t>
  </si>
  <si>
    <t>MYRA KHATRI</t>
  </si>
  <si>
    <t>STU0130</t>
  </si>
  <si>
    <t>Rekha ramesh</t>
  </si>
  <si>
    <t>3,74</t>
  </si>
  <si>
    <t>STU0131</t>
  </si>
  <si>
    <t>Anamiika Iyer</t>
  </si>
  <si>
    <t>STU0132</t>
  </si>
  <si>
    <t>NANDINI BOSE</t>
  </si>
  <si>
    <t>STU0133</t>
  </si>
  <si>
    <t xml:space="preserve">  Akash Kumar   </t>
  </si>
  <si>
    <t>STU0134</t>
  </si>
  <si>
    <t>Devika Rameesh</t>
  </si>
  <si>
    <t>STU0135</t>
  </si>
  <si>
    <t>saurabh kher</t>
  </si>
  <si>
    <t>STU0136</t>
  </si>
  <si>
    <t>RAJENDRA KUMAR</t>
  </si>
  <si>
    <t>STU0137</t>
  </si>
  <si>
    <t xml:space="preserve">  Tanvi Kohir   </t>
  </si>
  <si>
    <t>STU0138</t>
  </si>
  <si>
    <t>prerna chatterjee</t>
  </si>
  <si>
    <t>STU0139</t>
  </si>
  <si>
    <t>Falguni Bhateja</t>
  </si>
  <si>
    <t>STU0140</t>
  </si>
  <si>
    <t>Pooja Bose</t>
  </si>
  <si>
    <t>STU0141</t>
  </si>
  <si>
    <t>Advikk Xalxo</t>
  </si>
  <si>
    <t>STU0142</t>
  </si>
  <si>
    <t xml:space="preserve">  Anil Bajaj   </t>
  </si>
  <si>
    <t>STU0143</t>
  </si>
  <si>
    <t xml:space="preserve">  Esha Malhotra   </t>
  </si>
  <si>
    <t>STU0144</t>
  </si>
  <si>
    <t>dinesh singhania</t>
  </si>
  <si>
    <t>STU0145</t>
  </si>
  <si>
    <t>ANSHUL BEDI</t>
  </si>
  <si>
    <t>STU0146</t>
  </si>
  <si>
    <t>Charul goel</t>
  </si>
  <si>
    <t>STU0147</t>
  </si>
  <si>
    <t>SNEHA DAS</t>
  </si>
  <si>
    <t>STU0148</t>
  </si>
  <si>
    <t>Devika bhateja</t>
  </si>
  <si>
    <t>STU0149</t>
  </si>
  <si>
    <t>Arjun Vaidya</t>
  </si>
  <si>
    <t>STU0150</t>
  </si>
  <si>
    <t>Taanya Kaur</t>
  </si>
  <si>
    <t>STU0151</t>
  </si>
  <si>
    <t>Charrul Uppal</t>
  </si>
  <si>
    <t>STU0152</t>
  </si>
  <si>
    <t>Alka Jaiin</t>
  </si>
  <si>
    <t>STU0153</t>
  </si>
  <si>
    <t>Devika Saini</t>
  </si>
  <si>
    <t>STU0154</t>
  </si>
  <si>
    <t>Kabir Sahhgal</t>
  </si>
  <si>
    <t>STU0155</t>
  </si>
  <si>
    <t>Usha Bhargava</t>
  </si>
  <si>
    <t>STU0156</t>
  </si>
  <si>
    <t>Krishna dhawan</t>
  </si>
  <si>
    <t>STU0157</t>
  </si>
  <si>
    <t>Sakshi saini</t>
  </si>
  <si>
    <t>STU0158</t>
  </si>
  <si>
    <t>Rajat yadav</t>
  </si>
  <si>
    <t>STU0159</t>
  </si>
  <si>
    <t>KAVYA GHOSH</t>
  </si>
  <si>
    <t>STU0160</t>
  </si>
  <si>
    <t xml:space="preserve">  Hema Dhanwade   </t>
  </si>
  <si>
    <t>STU0161</t>
  </si>
  <si>
    <t>reyansh rao</t>
  </si>
  <si>
    <t>STU0162</t>
  </si>
  <si>
    <t>Rahul Agarwal</t>
  </si>
  <si>
    <t>STU0163</t>
  </si>
  <si>
    <t>VIKAS MEHER</t>
  </si>
  <si>
    <t>STU0164</t>
  </si>
  <si>
    <t>Keshav mukherjee</t>
  </si>
  <si>
    <t>STU0165</t>
  </si>
  <si>
    <t>SAKSHI LALL</t>
  </si>
  <si>
    <t>STU0166</t>
  </si>
  <si>
    <t>Rekha Ganguly</t>
  </si>
  <si>
    <t>STU0167</t>
  </si>
  <si>
    <t>Avni pandey</t>
  </si>
  <si>
    <t>STU0168</t>
  </si>
  <si>
    <t>RUDRA DUGGAL</t>
  </si>
  <si>
    <t>STU0169</t>
  </si>
  <si>
    <t xml:space="preserve">  Rajat Lall   </t>
  </si>
  <si>
    <t>STU0170</t>
  </si>
  <si>
    <t>Anupama mukherjee</t>
  </si>
  <si>
    <t>STU0171</t>
  </si>
  <si>
    <t>Bhavana Marwah</t>
  </si>
  <si>
    <t>STU0172</t>
  </si>
  <si>
    <t>Varun das</t>
  </si>
  <si>
    <t>STU0173</t>
  </si>
  <si>
    <t>kavita dewan</t>
  </si>
  <si>
    <t>STU0174</t>
  </si>
  <si>
    <t>tanya israni</t>
  </si>
  <si>
    <t>STU0175</t>
  </si>
  <si>
    <t>VARUN DATTA</t>
  </si>
  <si>
    <t>4,6</t>
  </si>
  <si>
    <t>STU0176</t>
  </si>
  <si>
    <t xml:space="preserve">  Sudha Agrawal   </t>
  </si>
  <si>
    <t>STU0177</t>
  </si>
  <si>
    <t>KAVYA NAGAR</t>
  </si>
  <si>
    <t>STU0178</t>
  </si>
  <si>
    <t>bhavana kukreja</t>
  </si>
  <si>
    <t>STU0179</t>
  </si>
  <si>
    <t>Surbhi Maarwah</t>
  </si>
  <si>
    <t>STU0180</t>
  </si>
  <si>
    <t>Anirudh Jindal</t>
  </si>
  <si>
    <t>STU0181</t>
  </si>
  <si>
    <t>Ajay Singhania</t>
  </si>
  <si>
    <t>STU0182</t>
  </si>
  <si>
    <t>siddharth patel</t>
  </si>
  <si>
    <t>STU0183</t>
  </si>
  <si>
    <t xml:space="preserve">  Rakesh Yerramsetti   </t>
  </si>
  <si>
    <t>STU0184</t>
  </si>
  <si>
    <t>Rajat Saxxena</t>
  </si>
  <si>
    <t>STU0185</t>
  </si>
  <si>
    <t>Sameer Sahani</t>
  </si>
  <si>
    <t>STU0186</t>
  </si>
  <si>
    <t>AJAY BHATT</t>
  </si>
  <si>
    <t>STU0187</t>
  </si>
  <si>
    <t>Nareshh Vaidya</t>
  </si>
  <si>
    <t>STU0188</t>
  </si>
  <si>
    <t>aditi kalra</t>
  </si>
  <si>
    <t>STU0189</t>
  </si>
  <si>
    <t>Sunil chandra</t>
  </si>
  <si>
    <t>STU0190</t>
  </si>
  <si>
    <t>Pranav puri</t>
  </si>
  <si>
    <t>STU0191</t>
  </si>
  <si>
    <t>Divya sanyal</t>
  </si>
  <si>
    <t>STU0192</t>
  </si>
  <si>
    <t>TANVI DUBEY</t>
  </si>
  <si>
    <t>STU0193</t>
  </si>
  <si>
    <t>shraddha datta</t>
  </si>
  <si>
    <t>STU0194</t>
  </si>
  <si>
    <t>MAHESH KAUR</t>
  </si>
  <si>
    <t>STU0195</t>
  </si>
  <si>
    <t>Anil bhasin</t>
  </si>
  <si>
    <t>STU0196</t>
  </si>
  <si>
    <t>Akash Taalwar</t>
  </si>
  <si>
    <t>STU0197</t>
  </si>
  <si>
    <t>Sameer ahuja</t>
  </si>
  <si>
    <t>STU0198</t>
  </si>
  <si>
    <t>Aadhya Vohra</t>
  </si>
  <si>
    <t>STU0199</t>
  </si>
  <si>
    <t>Athharv Barua</t>
  </si>
  <si>
    <t>STU0200</t>
  </si>
  <si>
    <t>Usha bhatt</t>
  </si>
  <si>
    <t>STU0201</t>
  </si>
  <si>
    <t>Diya Saxena</t>
  </si>
  <si>
    <t>STU0202</t>
  </si>
  <si>
    <t>Ravi mahapatra</t>
  </si>
  <si>
    <t>STU0203</t>
  </si>
  <si>
    <t>Ashwin Hooda</t>
  </si>
  <si>
    <t>STU0204</t>
  </si>
  <si>
    <t>JYOTI RATHI</t>
  </si>
  <si>
    <t>STU0205</t>
  </si>
  <si>
    <t>Deepali Menon</t>
  </si>
  <si>
    <t>STU0206</t>
  </si>
  <si>
    <t>ANSHUL AHUJA</t>
  </si>
  <si>
    <t>STU0207</t>
  </si>
  <si>
    <t>Kiara Pradhan</t>
  </si>
  <si>
    <t>STU0208</t>
  </si>
  <si>
    <t>Nisha Chauhan</t>
  </si>
  <si>
    <t>STU0209</t>
  </si>
  <si>
    <t>Rohan dhanwade</t>
  </si>
  <si>
    <t>4,37</t>
  </si>
  <si>
    <t>STU0210</t>
  </si>
  <si>
    <t>GIRISH GANGULY</t>
  </si>
  <si>
    <t>STU0211</t>
  </si>
  <si>
    <t>sandeep ahmed</t>
  </si>
  <si>
    <t>STU0212</t>
  </si>
  <si>
    <t>AAtharv Shukla</t>
  </si>
  <si>
    <t>4.29%</t>
  </si>
  <si>
    <t>STU0213</t>
  </si>
  <si>
    <t>Pritaam Vohra</t>
  </si>
  <si>
    <t>STU0214</t>
  </si>
  <si>
    <t>Sanchit Kapadia</t>
  </si>
  <si>
    <t>STU0215</t>
  </si>
  <si>
    <t>Krishna Paul</t>
  </si>
  <si>
    <t>STU0216</t>
  </si>
  <si>
    <t>RAJENDRA SANYAL</t>
  </si>
  <si>
    <t>STU0217</t>
  </si>
  <si>
    <t>Ashok ahuja</t>
  </si>
  <si>
    <t>STU0218</t>
  </si>
  <si>
    <t>Sai balan</t>
  </si>
  <si>
    <t>STU0219</t>
  </si>
  <si>
    <t xml:space="preserve">  Kiara Raj   </t>
  </si>
  <si>
    <t>STU0220</t>
  </si>
  <si>
    <t>MONIKA BANSAL</t>
  </si>
  <si>
    <t>STU0221</t>
  </si>
  <si>
    <t>Manish Sharma</t>
  </si>
  <si>
    <t>STU0222</t>
  </si>
  <si>
    <t>Deepak kumar</t>
  </si>
  <si>
    <t>STU0223</t>
  </si>
  <si>
    <t>Aditi Narayan</t>
  </si>
  <si>
    <t>STU0224</t>
  </si>
  <si>
    <t>HARSHITA NAIR</t>
  </si>
  <si>
    <t>STU0225</t>
  </si>
  <si>
    <t>Bhavna Ghosh</t>
  </si>
  <si>
    <t>STU0226</t>
  </si>
  <si>
    <t>BHAVANA AHMED</t>
  </si>
  <si>
    <t>STU0227</t>
  </si>
  <si>
    <t>RUDRA CHOUBEY</t>
  </si>
  <si>
    <t>STU0228</t>
  </si>
  <si>
    <t>Kabirr Dasari</t>
  </si>
  <si>
    <t>STU0229</t>
  </si>
  <si>
    <t>Ashhwin Iyer</t>
  </si>
  <si>
    <t>STU0230</t>
  </si>
  <si>
    <t>harshita lamba</t>
  </si>
  <si>
    <t>STU0231</t>
  </si>
  <si>
    <t>Avni Hooda</t>
  </si>
  <si>
    <t>STU0232</t>
  </si>
  <si>
    <t>Sai bhargava</t>
  </si>
  <si>
    <t>STU0233</t>
  </si>
  <si>
    <t xml:space="preserve">  Chetan Tripathi   </t>
  </si>
  <si>
    <t>STU0234</t>
  </si>
  <si>
    <t>Saurabh Hegde</t>
  </si>
  <si>
    <t>STU0235</t>
  </si>
  <si>
    <t>sunita joshi</t>
  </si>
  <si>
    <t>STU0236</t>
  </si>
  <si>
    <t>Pratik Rathi</t>
  </si>
  <si>
    <t>STU0237</t>
  </si>
  <si>
    <t>Jatin manwani</t>
  </si>
  <si>
    <t>STU0238</t>
  </si>
  <si>
    <t>PRITAM HEGDE</t>
  </si>
  <si>
    <t>STU0239</t>
  </si>
  <si>
    <t>Divya RRao</t>
  </si>
  <si>
    <t>STU0240</t>
  </si>
  <si>
    <t xml:space="preserve">  Ishaan Ahuja   </t>
  </si>
  <si>
    <t>STU0241</t>
  </si>
  <si>
    <t xml:space="preserve">  Usha Rawat   </t>
  </si>
  <si>
    <t>STU0242</t>
  </si>
  <si>
    <t>esha kaur</t>
  </si>
  <si>
    <t>STU0243</t>
  </si>
  <si>
    <t>Gaaurav Mukherjee</t>
  </si>
  <si>
    <t>STU0244</t>
  </si>
  <si>
    <t>DIVYA AGARWAL</t>
  </si>
  <si>
    <t>STU0245</t>
  </si>
  <si>
    <t>Aadhya  Mehta</t>
  </si>
  <si>
    <t>STU0246</t>
  </si>
  <si>
    <t>Preeti malhotra</t>
  </si>
  <si>
    <t>STU0247</t>
  </si>
  <si>
    <t xml:space="preserve">  Vandana Mukherjee   </t>
  </si>
  <si>
    <t>STU0248</t>
  </si>
  <si>
    <t>aarav bhargava</t>
  </si>
  <si>
    <t>STU0249</t>
  </si>
  <si>
    <t>Shwetta Nair</t>
  </si>
  <si>
    <t>STU0250</t>
  </si>
  <si>
    <t>Sonali choudhary</t>
  </si>
  <si>
    <t>STU0251</t>
  </si>
  <si>
    <t>MAHESH MANWANI</t>
  </si>
  <si>
    <t>STU0252</t>
  </si>
  <si>
    <t xml:space="preserve">  Rajat Kukreja   </t>
  </si>
  <si>
    <t>STU0253</t>
  </si>
  <si>
    <t>poonam nair</t>
  </si>
  <si>
    <t>STU0254</t>
  </si>
  <si>
    <t>deepali rawat</t>
  </si>
  <si>
    <t>STU0255</t>
  </si>
  <si>
    <t>Naresh malhotra</t>
  </si>
  <si>
    <t>STU0256</t>
  </si>
  <si>
    <t>Surbhi pillai</t>
  </si>
  <si>
    <t>STU0257</t>
  </si>
  <si>
    <t>Anil Sharma</t>
  </si>
  <si>
    <t>STU0258</t>
  </si>
  <si>
    <t>Rajendra Sahani</t>
  </si>
  <si>
    <t>STU0259</t>
  </si>
  <si>
    <t>Gaurav Bansal</t>
  </si>
  <si>
    <t>STU0260</t>
  </si>
  <si>
    <t>Sudha Chadha</t>
  </si>
  <si>
    <t>STU0261</t>
  </si>
  <si>
    <t>Yuvraj Sharmma</t>
  </si>
  <si>
    <t>STU0262</t>
  </si>
  <si>
    <t>Ishann Kalra</t>
  </si>
  <si>
    <t>STU0263</t>
  </si>
  <si>
    <t>Shailesh sahani</t>
  </si>
  <si>
    <t>4,44</t>
  </si>
  <si>
    <t>STU0264</t>
  </si>
  <si>
    <t>Ishiita Chauhan</t>
  </si>
  <si>
    <t>STU0265</t>
  </si>
  <si>
    <t>Ravi Grover</t>
  </si>
  <si>
    <t>STU0266</t>
  </si>
  <si>
    <t>Saanvi dasgupta</t>
  </si>
  <si>
    <t>STU0267</t>
  </si>
  <si>
    <t xml:space="preserve">  Monika Hooda   </t>
  </si>
  <si>
    <t>STU0268</t>
  </si>
  <si>
    <t>Tushar  Saxena</t>
  </si>
  <si>
    <t>3.91%</t>
  </si>
  <si>
    <t>STU0269</t>
  </si>
  <si>
    <t>MONIKA BEDI</t>
  </si>
  <si>
    <t>STU0270</t>
  </si>
  <si>
    <t>ananya bhateja</t>
  </si>
  <si>
    <t>STU0271</t>
  </si>
  <si>
    <t>Omkkar Sanyal</t>
  </si>
  <si>
    <t>STU0272</t>
  </si>
  <si>
    <t>SHWETA PANDEY</t>
  </si>
  <si>
    <t>STU0273</t>
  </si>
  <si>
    <t>zara mehta</t>
  </si>
  <si>
    <t>STU0274</t>
  </si>
  <si>
    <t xml:space="preserve">  Rajat Vaidya   </t>
  </si>
  <si>
    <t>STU0275</t>
  </si>
  <si>
    <t>Chandan dewan</t>
  </si>
  <si>
    <t>STU0276</t>
  </si>
  <si>
    <t xml:space="preserve">  Simran Verma   </t>
  </si>
  <si>
    <t>STU0277</t>
  </si>
  <si>
    <t>pratik hooda</t>
  </si>
  <si>
    <t>STU0278</t>
  </si>
  <si>
    <t>Anil xalxo</t>
  </si>
  <si>
    <t>STU0279</t>
  </si>
  <si>
    <t>Varun Bedi</t>
  </si>
  <si>
    <t>STU0280</t>
  </si>
  <si>
    <t>Yogesh bhargav</t>
  </si>
  <si>
    <t>STU0281</t>
  </si>
  <si>
    <t>Vishnu kaushik</t>
  </si>
  <si>
    <t>STU0282</t>
  </si>
  <si>
    <t>shivam goswami</t>
  </si>
  <si>
    <t>STU0283</t>
  </si>
  <si>
    <t xml:space="preserve">  Naveen Tyagi   </t>
  </si>
  <si>
    <t>STU0284</t>
  </si>
  <si>
    <t>kiara kapoor</t>
  </si>
  <si>
    <t>STU0285</t>
  </si>
  <si>
    <t>ajay ramesh</t>
  </si>
  <si>
    <t>STU0286</t>
  </si>
  <si>
    <t>BHASKAR KUMARI</t>
  </si>
  <si>
    <t>STU0287</t>
  </si>
  <si>
    <t>ravi goswami</t>
  </si>
  <si>
    <t>STU0288</t>
  </si>
  <si>
    <t>Girish Rawat</t>
  </si>
  <si>
    <t>STU0289</t>
  </si>
  <si>
    <t xml:space="preserve">  Shreya Choubey   </t>
  </si>
  <si>
    <t>STU0290</t>
  </si>
  <si>
    <t>SIDDHARTH TRIPATHI</t>
  </si>
  <si>
    <t>STU0291</t>
  </si>
  <si>
    <t>Pranav Das</t>
  </si>
  <si>
    <t>STU0292</t>
  </si>
  <si>
    <t>sakshi rawat</t>
  </si>
  <si>
    <t>STU0293</t>
  </si>
  <si>
    <t>Yogesh Ahmed</t>
  </si>
  <si>
    <t>STU0294</t>
  </si>
  <si>
    <t>Tushar Pradhan</t>
  </si>
  <si>
    <t>STU0295</t>
  </si>
  <si>
    <t xml:space="preserve">  Ajay Dhawan   </t>
  </si>
  <si>
    <t>STU0296</t>
  </si>
  <si>
    <t>sudeep walia</t>
  </si>
  <si>
    <t>STU0297</t>
  </si>
  <si>
    <t>NARESH MARATHE</t>
  </si>
  <si>
    <t>STU0298</t>
  </si>
  <si>
    <t>Krishna Marathhe</t>
  </si>
  <si>
    <t>STU0299</t>
  </si>
  <si>
    <t>Shikha grover</t>
  </si>
  <si>
    <t>STU0300</t>
  </si>
  <si>
    <t>Charul agrawal</t>
  </si>
  <si>
    <t>STU0301</t>
  </si>
  <si>
    <t>Sanjeev sahani</t>
  </si>
  <si>
    <t>STU0302</t>
  </si>
  <si>
    <t>Vikram Shhukla</t>
  </si>
  <si>
    <t>STU0303</t>
  </si>
  <si>
    <t>zara jain</t>
  </si>
  <si>
    <t>STU0304</t>
  </si>
  <si>
    <t>Madhavi sharma</t>
  </si>
  <si>
    <t>STU0305</t>
  </si>
  <si>
    <t>Ayaan Saxena</t>
  </si>
  <si>
    <t>STU0306</t>
  </si>
  <si>
    <t>Poonam Bajpai</t>
  </si>
  <si>
    <t>STU0307</t>
  </si>
  <si>
    <t>RAKESH EKBOTE</t>
  </si>
  <si>
    <t>STU0308</t>
  </si>
  <si>
    <t>Rudra mukherjee</t>
  </si>
  <si>
    <t>STU0309</t>
  </si>
  <si>
    <t>Vipul Kohli</t>
  </si>
  <si>
    <t>STU0310</t>
  </si>
  <si>
    <t xml:space="preserve">  Omkar Tripathi   </t>
  </si>
  <si>
    <t>STU0311</t>
  </si>
  <si>
    <t>Neha Hooda</t>
  </si>
  <si>
    <t>STU0312</t>
  </si>
  <si>
    <t>navneet marwah</t>
  </si>
  <si>
    <t>STU0313</t>
  </si>
  <si>
    <t>Hemant Meehta</t>
  </si>
  <si>
    <t>STU0314</t>
  </si>
  <si>
    <t xml:space="preserve">  Myra Sahani   </t>
  </si>
  <si>
    <t>STU0315</t>
  </si>
  <si>
    <t>Anjali Dhanwaade</t>
  </si>
  <si>
    <t>STU0316</t>
  </si>
  <si>
    <t>mohit gupta</t>
  </si>
  <si>
    <t>STU0317</t>
  </si>
  <si>
    <t>SURBHI ISRANI</t>
  </si>
  <si>
    <t>STU0318</t>
  </si>
  <si>
    <t>Yuvraj Meher</t>
  </si>
  <si>
    <t>STU0319</t>
  </si>
  <si>
    <t>deepali rathi</t>
  </si>
  <si>
    <t>STU0320</t>
  </si>
  <si>
    <t>Bhaskar fernandes</t>
  </si>
  <si>
    <t>STU0321</t>
  </si>
  <si>
    <t>Priya pandey</t>
  </si>
  <si>
    <t>STU0322</t>
  </si>
  <si>
    <t>Suresh IIyer</t>
  </si>
  <si>
    <t>STU0323</t>
  </si>
  <si>
    <t>Riya bedi</t>
  </si>
  <si>
    <t>STU0324</t>
  </si>
  <si>
    <t>Ravi Saxena</t>
  </si>
  <si>
    <t>STU0325</t>
  </si>
  <si>
    <t>ISHAAN NATHANI</t>
  </si>
  <si>
    <t>STU0326</t>
  </si>
  <si>
    <t>aditi bajpai</t>
  </si>
  <si>
    <t>STU0327</t>
  </si>
  <si>
    <t>REKHA KAPOOR</t>
  </si>
  <si>
    <t>STU0328</t>
  </si>
  <si>
    <t>Aadhya kumar</t>
  </si>
  <si>
    <t>STU0329</t>
  </si>
  <si>
    <t>Rajeev BBajaj</t>
  </si>
  <si>
    <t>STU0330</t>
  </si>
  <si>
    <t xml:space="preserve">  Madhavi Lamba   </t>
  </si>
  <si>
    <t>STU0331</t>
  </si>
  <si>
    <t>Sunil ahluwalia</t>
  </si>
  <si>
    <t>STU0332</t>
  </si>
  <si>
    <t>MUKESH BEDI</t>
  </si>
  <si>
    <t>STU0333</t>
  </si>
  <si>
    <t>POONAM BASU</t>
  </si>
  <si>
    <t>STU0334</t>
  </si>
  <si>
    <t>Rohan oswal</t>
  </si>
  <si>
    <t>STU0335</t>
  </si>
  <si>
    <t xml:space="preserve">  Shailesh Kher   </t>
  </si>
  <si>
    <t>STU0336</t>
  </si>
  <si>
    <t>Kavita gulati</t>
  </si>
  <si>
    <t>STU0337</t>
  </si>
  <si>
    <t>Shivam grover</t>
  </si>
  <si>
    <t>STU0338</t>
  </si>
  <si>
    <t>devesh balan</t>
  </si>
  <si>
    <t>STU0339</t>
  </si>
  <si>
    <t>SARIKA NANDAKUMAR</t>
  </si>
  <si>
    <t>STU0340</t>
  </si>
  <si>
    <t>ramesh grover</t>
  </si>
  <si>
    <t>STU0341</t>
  </si>
  <si>
    <t>rakesh deshmukh</t>
  </si>
  <si>
    <t>STU0342</t>
  </si>
  <si>
    <t>nidhi narayan</t>
  </si>
  <si>
    <t>STU0343</t>
  </si>
  <si>
    <t xml:space="preserve">  Deepali Yadav   </t>
  </si>
  <si>
    <t>STU0344</t>
  </si>
  <si>
    <t>Diiya Hooda</t>
  </si>
  <si>
    <t>STU0345</t>
  </si>
  <si>
    <t>Rajendra Naiir</t>
  </si>
  <si>
    <t>STU0346</t>
  </si>
  <si>
    <t>Priya Hoooda</t>
  </si>
  <si>
    <t>STU0347</t>
  </si>
  <si>
    <t>ATHARV CHOUBEY</t>
  </si>
  <si>
    <t>STU0348</t>
  </si>
  <si>
    <t xml:space="preserve">  Rajendra Sahgal   </t>
  </si>
  <si>
    <t>STU0349</t>
  </si>
  <si>
    <t>SHIKHA AGRAWAL</t>
  </si>
  <si>
    <t>STU0350</t>
  </si>
  <si>
    <t>SNEHA RANA</t>
  </si>
  <si>
    <t>STU0351</t>
  </si>
  <si>
    <t>sunita saini</t>
  </si>
  <si>
    <t>STU0352</t>
  </si>
  <si>
    <t>monika anand</t>
  </si>
  <si>
    <t>STU0353</t>
  </si>
  <si>
    <t xml:space="preserve">  Sanchit Sahgal   </t>
  </si>
  <si>
    <t>STU0354</t>
  </si>
  <si>
    <t>NAVNEET JAIN</t>
  </si>
  <si>
    <t>STU0355</t>
  </si>
  <si>
    <t>Shikha Rastoogi</t>
  </si>
  <si>
    <t>STU0356</t>
  </si>
  <si>
    <t>Krishna Singhania</t>
  </si>
  <si>
    <t>3,94</t>
  </si>
  <si>
    <t>STU0357</t>
  </si>
  <si>
    <t>ritika kohli</t>
  </si>
  <si>
    <t>4,55</t>
  </si>
  <si>
    <t>STU0358</t>
  </si>
  <si>
    <t>Sakshhi Mukherjee</t>
  </si>
  <si>
    <t>STU0359</t>
  </si>
  <si>
    <t xml:space="preserve">  Rakesh Duggal   </t>
  </si>
  <si>
    <t>STU0360</t>
  </si>
  <si>
    <t>Rajendrra Chopra</t>
  </si>
  <si>
    <t>STU0361</t>
  </si>
  <si>
    <t>Kiara Malhotrra</t>
  </si>
  <si>
    <t>STU0362</t>
  </si>
  <si>
    <t>CHARUL JAIN</t>
  </si>
  <si>
    <t>STU0363</t>
  </si>
  <si>
    <t>ANUPAMA NAIR</t>
  </si>
  <si>
    <t>STU0364</t>
  </si>
  <si>
    <t>AKASH GROVER</t>
  </si>
  <si>
    <t>STU0365</t>
  </si>
  <si>
    <t>Manish Puri</t>
  </si>
  <si>
    <t>STU0366</t>
  </si>
  <si>
    <t xml:space="preserve">  Rajendra Lall   </t>
  </si>
  <si>
    <t>STU0367</t>
  </si>
  <si>
    <t xml:space="preserve">  Alok Pillai   </t>
  </si>
  <si>
    <t>STU0368</t>
  </si>
  <si>
    <t>dhruv kalra</t>
  </si>
  <si>
    <t>STU0369</t>
  </si>
  <si>
    <t>Tarun chatterjee</t>
  </si>
  <si>
    <t>STU0370</t>
  </si>
  <si>
    <t>Ekta Iyer</t>
  </si>
  <si>
    <t>STU0371</t>
  </si>
  <si>
    <t>manju ahuja</t>
  </si>
  <si>
    <t>STU0372</t>
  </si>
  <si>
    <t xml:space="preserve">  Sandeep Lamba   </t>
  </si>
  <si>
    <t>STU0373</t>
  </si>
  <si>
    <t>AMIT HOODA</t>
  </si>
  <si>
    <t>STU0374</t>
  </si>
  <si>
    <t>SHRADDHA SALUNKHE</t>
  </si>
  <si>
    <t>STU0375</t>
  </si>
  <si>
    <t xml:space="preserve">  Sunil Iyengar   </t>
  </si>
  <si>
    <t>STU0376</t>
  </si>
  <si>
    <t>Meera Kaushik</t>
  </si>
  <si>
    <t>STU0377</t>
  </si>
  <si>
    <t>Chetan ghosh</t>
  </si>
  <si>
    <t>STU0378</t>
  </si>
  <si>
    <t>Aadhya Malhotra</t>
  </si>
  <si>
    <t>STU0379</t>
  </si>
  <si>
    <t>Neha Bajpai</t>
  </si>
  <si>
    <t>STU0380</t>
  </si>
  <si>
    <t>Neettu Vaidya</t>
  </si>
  <si>
    <t>STU0381</t>
  </si>
  <si>
    <t>Yuvraj agrawal</t>
  </si>
  <si>
    <t>STU0382</t>
  </si>
  <si>
    <t xml:space="preserve">  Rohit Vaidya   </t>
  </si>
  <si>
    <t>STU0383</t>
  </si>
  <si>
    <t>manju iyer</t>
  </si>
  <si>
    <t>STU0384</t>
  </si>
  <si>
    <t xml:space="preserve">  Aditya Rawat   </t>
  </si>
  <si>
    <t>STU0385</t>
  </si>
  <si>
    <t>pari gulati</t>
  </si>
  <si>
    <t>STU0386</t>
  </si>
  <si>
    <t>SANJEEV SINGH</t>
  </si>
  <si>
    <t>STU0387</t>
  </si>
  <si>
    <t>Prakash iyer</t>
  </si>
  <si>
    <t>STU0388</t>
  </si>
  <si>
    <t>Ashokk Tyagi</t>
  </si>
  <si>
    <t>STU0389</t>
  </si>
  <si>
    <t>NEETU ZAVERI</t>
  </si>
  <si>
    <t>STU0390</t>
  </si>
  <si>
    <t>DEEPALI SANYAL</t>
  </si>
  <si>
    <t>STU0391</t>
  </si>
  <si>
    <t>sanjay choudhary</t>
  </si>
  <si>
    <t>STU0392</t>
  </si>
  <si>
    <t>Gaurav anand</t>
  </si>
  <si>
    <t>STU0393</t>
  </si>
  <si>
    <t>Diya Kukrejja</t>
  </si>
  <si>
    <t>STU0394</t>
  </si>
  <si>
    <t>Prerna raj</t>
  </si>
  <si>
    <t>STU0395</t>
  </si>
  <si>
    <t>SAURABH EKBOTE</t>
  </si>
  <si>
    <t>STU0396</t>
  </si>
  <si>
    <t>Jayant Anand</t>
  </si>
  <si>
    <t>STU0397</t>
  </si>
  <si>
    <t>devika yadav</t>
  </si>
  <si>
    <t>STU0398</t>
  </si>
  <si>
    <t>Anupamaa Verma</t>
  </si>
  <si>
    <t>STU0399</t>
  </si>
  <si>
    <t>Ishaan Oswal</t>
  </si>
  <si>
    <t>STU0400</t>
  </si>
  <si>
    <t>shailesh bhatt</t>
  </si>
  <si>
    <t>STU0401</t>
  </si>
  <si>
    <t>Sameer kumar</t>
  </si>
  <si>
    <t>STU0402</t>
  </si>
  <si>
    <t>ISHAN DESHMUKH</t>
  </si>
  <si>
    <t>STU0403</t>
  </si>
  <si>
    <t>Divya  Chauhan</t>
  </si>
  <si>
    <t>STU0404</t>
  </si>
  <si>
    <t>Anirudhh Vohra</t>
  </si>
  <si>
    <t>STU0405</t>
  </si>
  <si>
    <t>Vandana Joshi</t>
  </si>
  <si>
    <t>STU0406</t>
  </si>
  <si>
    <t>Yuvraj  Saxena</t>
  </si>
  <si>
    <t>STU0407</t>
  </si>
  <si>
    <t>nandini menon</t>
  </si>
  <si>
    <t>STU0408</t>
  </si>
  <si>
    <t>RITIKA SINGHANIA</t>
  </si>
  <si>
    <t>STU0409</t>
  </si>
  <si>
    <t>Vishnu Ahluwalia</t>
  </si>
  <si>
    <t>STU0410</t>
  </si>
  <si>
    <t>Yogesh Iyyer</t>
  </si>
  <si>
    <t>STU0411</t>
  </si>
  <si>
    <t>VANDANA BHASIN</t>
  </si>
  <si>
    <t>STU0412</t>
  </si>
  <si>
    <t>alok srivastava</t>
  </si>
  <si>
    <t>STU0413</t>
  </si>
  <si>
    <t>Anil khanna</t>
  </si>
  <si>
    <t>STU0414</t>
  </si>
  <si>
    <t>deepak bhasin</t>
  </si>
  <si>
    <t>STU0415</t>
  </si>
  <si>
    <t>Neha Bhargava</t>
  </si>
  <si>
    <t>STU0416</t>
  </si>
  <si>
    <t>kiara mukherjee</t>
  </si>
  <si>
    <t>STU0417</t>
  </si>
  <si>
    <t>sneha hooda</t>
  </si>
  <si>
    <t>STU0418</t>
  </si>
  <si>
    <t>Siddharth bhargav</t>
  </si>
  <si>
    <t>STU0419</t>
  </si>
  <si>
    <t>riya bansal</t>
  </si>
  <si>
    <t>STU0420</t>
  </si>
  <si>
    <t>Sakshi Qureshi</t>
  </si>
  <si>
    <t>STU0421</t>
  </si>
  <si>
    <t>Sudeep Ekbote</t>
  </si>
  <si>
    <t>STU0422</t>
  </si>
  <si>
    <t>SWATI HEGDE</t>
  </si>
  <si>
    <t>STU0423</t>
  </si>
  <si>
    <t xml:space="preserve">  Prakash Bose   </t>
  </si>
  <si>
    <t>STU0424</t>
  </si>
  <si>
    <t>Gaurav ahluwalia</t>
  </si>
  <si>
    <t>STU0425</t>
  </si>
  <si>
    <t xml:space="preserve">  Devika Dhawan   </t>
  </si>
  <si>
    <t>STU0426</t>
  </si>
  <si>
    <t>zara madhwani</t>
  </si>
  <si>
    <t>STU0427</t>
  </si>
  <si>
    <t>monika dhawan</t>
  </si>
  <si>
    <t>STU0428</t>
  </si>
  <si>
    <t>Hemant jhaveri</t>
  </si>
  <si>
    <t>STU0429</t>
  </si>
  <si>
    <t>Ramesh salunkhe</t>
  </si>
  <si>
    <t>STU0430</t>
  </si>
  <si>
    <t>KKavya Khatri</t>
  </si>
  <si>
    <t>STU0431</t>
  </si>
  <si>
    <t xml:space="preserve">  Kavya Jain   </t>
  </si>
  <si>
    <t>STU0432</t>
  </si>
  <si>
    <t>akash xalxo</t>
  </si>
  <si>
    <t>STU0433</t>
  </si>
  <si>
    <t>Vipul lall</t>
  </si>
  <si>
    <t>STU0434</t>
  </si>
  <si>
    <t>ALKA PILLAI</t>
  </si>
  <si>
    <t>STU0435</t>
  </si>
  <si>
    <t>pritam duggal</t>
  </si>
  <si>
    <t>STU0436</t>
  </si>
  <si>
    <t>RAKESH CHANDRA</t>
  </si>
  <si>
    <t>STU0437</t>
  </si>
  <si>
    <t xml:space="preserve">  Tanvi Marwah   </t>
  </si>
  <si>
    <t>STU0438</t>
  </si>
  <si>
    <t>deepika shukla</t>
  </si>
  <si>
    <t>STU0439</t>
  </si>
  <si>
    <t>Ira goel</t>
  </si>
  <si>
    <t xml:space="preserve"> 3.95 </t>
  </si>
  <si>
    <t>STU0440</t>
  </si>
  <si>
    <t>PRERNA RATHI</t>
  </si>
  <si>
    <t>STU0441</t>
  </si>
  <si>
    <t>IIshaan Choudhary</t>
  </si>
  <si>
    <t>STU0442</t>
  </si>
  <si>
    <t>sunil trivedi</t>
  </si>
  <si>
    <t>STU0443</t>
  </si>
  <si>
    <t>Aditi agarwal</t>
  </si>
  <si>
    <t>STU0444</t>
  </si>
  <si>
    <t>Aadhya deshmukh</t>
  </si>
  <si>
    <t>STU0445</t>
  </si>
  <si>
    <t>Aadhyaa Anand</t>
  </si>
  <si>
    <t>STU0446</t>
  </si>
  <si>
    <t>Naaresh Jain</t>
  </si>
  <si>
    <t>STU0447</t>
  </si>
  <si>
    <t>MYRA CHOUDHARY</t>
  </si>
  <si>
    <t>4,26</t>
  </si>
  <si>
    <t>STU0448</t>
  </si>
  <si>
    <t>rohan sharma</t>
  </si>
  <si>
    <t>STU0449</t>
  </si>
  <si>
    <t>Pratik Lamba</t>
  </si>
  <si>
    <t>STU0450</t>
  </si>
  <si>
    <t>swati sharma</t>
  </si>
  <si>
    <t>STU0451</t>
  </si>
  <si>
    <t>tanya lamba</t>
  </si>
  <si>
    <t>STU0452</t>
  </si>
  <si>
    <t>Akash Verrma</t>
  </si>
  <si>
    <t>STU0453</t>
  </si>
  <si>
    <t>Anamika  Iyengar</t>
  </si>
  <si>
    <t>STU0454</t>
  </si>
  <si>
    <t>RAVI SANYAL</t>
  </si>
  <si>
    <t>STU0455</t>
  </si>
  <si>
    <t>Vandana Ahluwalia</t>
  </si>
  <si>
    <t>STU0456</t>
  </si>
  <si>
    <t>Charu Agrawaal</t>
  </si>
  <si>
    <t>STU0457</t>
  </si>
  <si>
    <t>Jyoti yadav</t>
  </si>
  <si>
    <t>STU0458</t>
  </si>
  <si>
    <t>Falguni Sinha</t>
  </si>
  <si>
    <t>STU0459</t>
  </si>
  <si>
    <t>Sonali Mahapatra</t>
  </si>
  <si>
    <t>STU0460</t>
  </si>
  <si>
    <t>Nidhi iyer</t>
  </si>
  <si>
    <t>STU0461</t>
  </si>
  <si>
    <t>shailesh tripathi</t>
  </si>
  <si>
    <t>STU0462</t>
  </si>
  <si>
    <t>SEEMA LAMBA</t>
  </si>
  <si>
    <t>STU0463</t>
  </si>
  <si>
    <t>DIYA BHARGAVA</t>
  </si>
  <si>
    <t>STU0464</t>
  </si>
  <si>
    <t>SHIKHA KAUSHIK</t>
  </si>
  <si>
    <t>STU0465</t>
  </si>
  <si>
    <t>Karan Sinha</t>
  </si>
  <si>
    <t>STU0466</t>
  </si>
  <si>
    <t>ADITYA DHANWADE</t>
  </si>
  <si>
    <t>STU0467</t>
  </si>
  <si>
    <t>Omkar Sehgal</t>
  </si>
  <si>
    <t>STU0468</t>
  </si>
  <si>
    <t>Sakshi bakshi</t>
  </si>
  <si>
    <t>STU0469</t>
  </si>
  <si>
    <t>YOGESH TANDON</t>
  </si>
  <si>
    <t>STU0470</t>
  </si>
  <si>
    <t xml:space="preserve">  Amit Fernandes   </t>
  </si>
  <si>
    <t>STU0471</t>
  </si>
  <si>
    <t>rakesh bajpai</t>
  </si>
  <si>
    <t>STU0472</t>
  </si>
  <si>
    <t>Sunil rastogi</t>
  </si>
  <si>
    <t>STU0473</t>
  </si>
  <si>
    <t>Ashok Bhatt</t>
  </si>
  <si>
    <t>STU0474</t>
  </si>
  <si>
    <t>Prakash Kapadia</t>
  </si>
  <si>
    <t>STU0475</t>
  </si>
  <si>
    <t>Kavita rastogi</t>
  </si>
  <si>
    <t>STU0476</t>
  </si>
  <si>
    <t>EKTA JOSHI</t>
  </si>
  <si>
    <t>STU0477</t>
  </si>
  <si>
    <t>ANIL TRIPATHI</t>
  </si>
  <si>
    <t>STU0478</t>
  </si>
  <si>
    <t>Rajendraa Nathani</t>
  </si>
  <si>
    <t>STU0479</t>
  </si>
  <si>
    <t>saurabh pillai</t>
  </si>
  <si>
    <t>STU0480</t>
  </si>
  <si>
    <t>Rajat Dubey</t>
  </si>
  <si>
    <t>STU0481</t>
  </si>
  <si>
    <t xml:space="preserve">  Bhavana Pradhan   </t>
  </si>
  <si>
    <t>STU0482</t>
  </si>
  <si>
    <t>Vikas jani</t>
  </si>
  <si>
    <t>STU0483</t>
  </si>
  <si>
    <t>preeti vaidya</t>
  </si>
  <si>
    <t>STU0484</t>
  </si>
  <si>
    <t>Chetan Agrawal</t>
  </si>
  <si>
    <t>STU0485</t>
  </si>
  <si>
    <t>Esha Jindal</t>
  </si>
  <si>
    <t>STU0486</t>
  </si>
  <si>
    <t>Alok Kohhli</t>
  </si>
  <si>
    <t>STU0487</t>
  </si>
  <si>
    <t>ISHITA AHLUWALIA</t>
  </si>
  <si>
    <t>STU0488</t>
  </si>
  <si>
    <t>Ajay Jiindal</t>
  </si>
  <si>
    <t>STU0489</t>
  </si>
  <si>
    <t>esha lamba</t>
  </si>
  <si>
    <t xml:space="preserve"> 3.73 </t>
  </si>
  <si>
    <t>STU0490</t>
  </si>
  <si>
    <t>Karan IIyengar</t>
  </si>
  <si>
    <t>STU0491</t>
  </si>
  <si>
    <t>TANVI RAWAT</t>
  </si>
  <si>
    <t>STU0492</t>
  </si>
  <si>
    <t>Rohan bedi</t>
  </si>
  <si>
    <t>STU0493</t>
  </si>
  <si>
    <t>PRANAV MANWANI</t>
  </si>
  <si>
    <t>STU0494</t>
  </si>
  <si>
    <t>Sudeep choubey</t>
  </si>
  <si>
    <t>STU0495</t>
  </si>
  <si>
    <t>DEEPAK VOHRA</t>
  </si>
  <si>
    <t>STU0496</t>
  </si>
  <si>
    <t>SHREYA UPPAL</t>
  </si>
  <si>
    <t>STU0497</t>
  </si>
  <si>
    <t>Kiara Dubey</t>
  </si>
  <si>
    <t>STU0498</t>
  </si>
  <si>
    <t>ananya meher</t>
  </si>
  <si>
    <t>STU0499</t>
  </si>
  <si>
    <t>Kaavita Bharadwaj</t>
  </si>
  <si>
    <t>STU0500</t>
  </si>
  <si>
    <t xml:space="preserve">  Vishal Jindal   </t>
  </si>
  <si>
    <t>STU0501</t>
  </si>
  <si>
    <t>Sonali Iyer</t>
  </si>
  <si>
    <t>STU0502</t>
  </si>
  <si>
    <t>Alok Duggal</t>
  </si>
  <si>
    <t>STU0503</t>
  </si>
  <si>
    <t>Meenakshi Dasari</t>
  </si>
  <si>
    <t>STU0504</t>
  </si>
  <si>
    <t>Myra Bhateja</t>
  </si>
  <si>
    <t>STU0505</t>
  </si>
  <si>
    <t xml:space="preserve">  Varun Tyagi   </t>
  </si>
  <si>
    <t>STU0506</t>
  </si>
  <si>
    <t>RAJEEV ZAVERI</t>
  </si>
  <si>
    <t>STU0507</t>
  </si>
  <si>
    <t>Sanchit Goswami</t>
  </si>
  <si>
    <t>STU0508</t>
  </si>
  <si>
    <t>Atharv Ganguuly</t>
  </si>
  <si>
    <t>STU0509</t>
  </si>
  <si>
    <t>Harshiita Patel</t>
  </si>
  <si>
    <t>STU0510</t>
  </si>
  <si>
    <t>Rohit Nagar</t>
  </si>
  <si>
    <t>STU0511</t>
  </si>
  <si>
    <t>Hemant Ganguly</t>
  </si>
  <si>
    <t>4</t>
  </si>
  <si>
    <t>STU0512</t>
  </si>
  <si>
    <t>SAANVI AGARWAL</t>
  </si>
  <si>
    <t>STU0513</t>
  </si>
  <si>
    <t>Akash Rawaat</t>
  </si>
  <si>
    <t>STU0514</t>
  </si>
  <si>
    <t>Raamesh Rao</t>
  </si>
  <si>
    <t>STU0515</t>
  </si>
  <si>
    <t>RITIKA KAPOOR</t>
  </si>
  <si>
    <t>STU0516</t>
  </si>
  <si>
    <t>ramesh israni</t>
  </si>
  <si>
    <t>STU0517</t>
  </si>
  <si>
    <t>YUVRAJ DAS</t>
  </si>
  <si>
    <t>STU0518</t>
  </si>
  <si>
    <t>Aditi jindal</t>
  </si>
  <si>
    <t>STU0519</t>
  </si>
  <si>
    <t>Karan Feernandes</t>
  </si>
  <si>
    <t>STU0520</t>
  </si>
  <si>
    <t>Sakshi dhanwade</t>
  </si>
  <si>
    <t>STU0521</t>
  </si>
  <si>
    <t>Sanjeev Narayan</t>
  </si>
  <si>
    <t>STU0522</t>
  </si>
  <si>
    <t>Chandan dasari</t>
  </si>
  <si>
    <t>STU0523</t>
  </si>
  <si>
    <t>Ayaan chauhan</t>
  </si>
  <si>
    <t>STU0524</t>
  </si>
  <si>
    <t>sudeep ghosh</t>
  </si>
  <si>
    <t>STU0525</t>
  </si>
  <si>
    <t>Vinay kher</t>
  </si>
  <si>
    <t>STU0526</t>
  </si>
  <si>
    <t>chetan deshmukh</t>
  </si>
  <si>
    <t>STU0527</t>
  </si>
  <si>
    <t>MUKESH BHARGAVA</t>
  </si>
  <si>
    <t>STU0528</t>
  </si>
  <si>
    <t>Shreyya Tandon</t>
  </si>
  <si>
    <t>STU0529</t>
  </si>
  <si>
    <t>Eshha Iyer</t>
  </si>
  <si>
    <t>STU0530</t>
  </si>
  <si>
    <t xml:space="preserve">  Renu Jain   </t>
  </si>
  <si>
    <t>STU0531</t>
  </si>
  <si>
    <t>sneha malhotra</t>
  </si>
  <si>
    <t>STU0532</t>
  </si>
  <si>
    <t>Girish Manwani</t>
  </si>
  <si>
    <t>STU0533</t>
  </si>
  <si>
    <t>Omkar Paul</t>
  </si>
  <si>
    <t>STU0534</t>
  </si>
  <si>
    <t>Manju datta</t>
  </si>
  <si>
    <t>STU0535</t>
  </si>
  <si>
    <t>Esha Yadav</t>
  </si>
  <si>
    <t>STU0536</t>
  </si>
  <si>
    <t xml:space="preserve">  Yogesh Nair   </t>
  </si>
  <si>
    <t>STU0537</t>
  </si>
  <si>
    <t>PRAKASH THAKUR</t>
  </si>
  <si>
    <t>4.15%</t>
  </si>
  <si>
    <t>STU0538</t>
  </si>
  <si>
    <t xml:space="preserve">  Manish Bhateja   </t>
  </si>
  <si>
    <t>STU0539</t>
  </si>
  <si>
    <t>vipul dasgupta</t>
  </si>
  <si>
    <t>STU0540</t>
  </si>
  <si>
    <t>Pari sanyal</t>
  </si>
  <si>
    <t>STU0541</t>
  </si>
  <si>
    <t>preeti talwar</t>
  </si>
  <si>
    <t>STU0542</t>
  </si>
  <si>
    <t>bhavana tripathi</t>
  </si>
  <si>
    <t>STU0543</t>
  </si>
  <si>
    <t>Pooja agarwal</t>
  </si>
  <si>
    <t>STU0544</t>
  </si>
  <si>
    <t>DEVIKA PANDEY</t>
  </si>
  <si>
    <t>STU0545</t>
  </si>
  <si>
    <t>VVikas Hooda</t>
  </si>
  <si>
    <t>STU0546</t>
  </si>
  <si>
    <t>Aarav oberoi</t>
  </si>
  <si>
    <t>STU0547</t>
  </si>
  <si>
    <t xml:space="preserve">  Garima Bajaj   </t>
  </si>
  <si>
    <t>STU0548</t>
  </si>
  <si>
    <t xml:space="preserve">  Bhavna Malhotra   </t>
  </si>
  <si>
    <t>STU0549</t>
  </si>
  <si>
    <t>Shreya Kapadia</t>
  </si>
  <si>
    <t>STU0550</t>
  </si>
  <si>
    <t>neetu nandakumar</t>
  </si>
  <si>
    <t>STU0551</t>
  </si>
  <si>
    <t>Krishna bharadwaj</t>
  </si>
  <si>
    <t xml:space="preserve"> 3.57 </t>
  </si>
  <si>
    <t>STU0552</t>
  </si>
  <si>
    <t>ZARA SRIVASTAVA</t>
  </si>
  <si>
    <t>STU0553</t>
  </si>
  <si>
    <t>SANJAY GROVER</t>
  </si>
  <si>
    <t>STU0554</t>
  </si>
  <si>
    <t>Sonali Ahuja</t>
  </si>
  <si>
    <t>STU0555</t>
  </si>
  <si>
    <t xml:space="preserve">  Charul Jindal   </t>
  </si>
  <si>
    <t>STU0556</t>
  </si>
  <si>
    <t>NARESH GOEL</t>
  </si>
  <si>
    <t>STU0557</t>
  </si>
  <si>
    <t>dhruv saini</t>
  </si>
  <si>
    <t>STU0558</t>
  </si>
  <si>
    <t>POOJA BASU</t>
  </si>
  <si>
    <t>STU0559</t>
  </si>
  <si>
    <t>Kabir balan</t>
  </si>
  <si>
    <t>STU0560</t>
  </si>
  <si>
    <t>Simran joshi</t>
  </si>
  <si>
    <t>STU0561</t>
  </si>
  <si>
    <t>Mahesh BBhateja</t>
  </si>
  <si>
    <t>STU0562</t>
  </si>
  <si>
    <t>yuvraj kohir</t>
  </si>
  <si>
    <t>STU0563</t>
  </si>
  <si>
    <t>preeti marathe</t>
  </si>
  <si>
    <t>STU0564</t>
  </si>
  <si>
    <t>manju yerramsetti</t>
  </si>
  <si>
    <t>STU0565</t>
  </si>
  <si>
    <t>Sandeep balan</t>
  </si>
  <si>
    <t>STU0566</t>
  </si>
  <si>
    <t>Shreya bakshi</t>
  </si>
  <si>
    <t>STU0567</t>
  </si>
  <si>
    <t xml:space="preserve">  Priya Dhawan   </t>
  </si>
  <si>
    <t>STU0568</t>
  </si>
  <si>
    <t>Prerrna Kukreja</t>
  </si>
  <si>
    <t>STU0569</t>
  </si>
  <si>
    <t>Aarav Beddi</t>
  </si>
  <si>
    <t>STU0570</t>
  </si>
  <si>
    <t>Maanish Kher</t>
  </si>
  <si>
    <t>STU0571</t>
  </si>
  <si>
    <t>Sai Bansal</t>
  </si>
  <si>
    <t>STU0572</t>
  </si>
  <si>
    <t>Saanvi Chatterjee</t>
  </si>
  <si>
    <t>STU0573</t>
  </si>
  <si>
    <t>Deepika Fernandes</t>
  </si>
  <si>
    <t>STU0574</t>
  </si>
  <si>
    <t xml:space="preserve">  Aadhya Choudhary   </t>
  </si>
  <si>
    <t>STU0575</t>
  </si>
  <si>
    <t>Pankaj Dhanwade</t>
  </si>
  <si>
    <t>STU0576</t>
  </si>
  <si>
    <t>Kiara Bedi</t>
  </si>
  <si>
    <t>STU0577</t>
  </si>
  <si>
    <t>Pratik Dubey</t>
  </si>
  <si>
    <t>STU0578</t>
  </si>
  <si>
    <t>Usha  Bhargav</t>
  </si>
  <si>
    <t>STU0579</t>
  </si>
  <si>
    <t>riya rathi</t>
  </si>
  <si>
    <t>STU0580</t>
  </si>
  <si>
    <t>Nidhi basu</t>
  </si>
  <si>
    <t>STU0581</t>
  </si>
  <si>
    <t>rajendra malhotra</t>
  </si>
  <si>
    <t>STU0582</t>
  </si>
  <si>
    <t>rajeev uppal</t>
  </si>
  <si>
    <t>STU0583</t>
  </si>
  <si>
    <t>aarav ganguly</t>
  </si>
  <si>
    <t>STU0584</t>
  </si>
  <si>
    <t>tanvi pradhan</t>
  </si>
  <si>
    <t>STU0585</t>
  </si>
  <si>
    <t>manju ramesh</t>
  </si>
  <si>
    <t>STU0586</t>
  </si>
  <si>
    <t>Ritika Joshi</t>
  </si>
  <si>
    <t>STU0587</t>
  </si>
  <si>
    <t xml:space="preserve">  Garima Saxena   </t>
  </si>
  <si>
    <t>STU0588</t>
  </si>
  <si>
    <t>shraddha nayar</t>
  </si>
  <si>
    <t>STU0589</t>
  </si>
  <si>
    <t>Priya Rathi</t>
  </si>
  <si>
    <t>STU0590</t>
  </si>
  <si>
    <t>SEEMA HEGDE</t>
  </si>
  <si>
    <t>STU0591</t>
  </si>
  <si>
    <t>Rahul grover</t>
  </si>
  <si>
    <t>STU0592</t>
  </si>
  <si>
    <t>Varun Hooda</t>
  </si>
  <si>
    <t>4.42%</t>
  </si>
  <si>
    <t>STU0593</t>
  </si>
  <si>
    <t>charul kaur</t>
  </si>
  <si>
    <t>STU0594</t>
  </si>
  <si>
    <t xml:space="preserve">  Uday Nagar   </t>
  </si>
  <si>
    <t>STU0595</t>
  </si>
  <si>
    <t xml:space="preserve">  Pankaj Ramesh   </t>
  </si>
  <si>
    <t>STU0596</t>
  </si>
  <si>
    <t>vishal dasari</t>
  </si>
  <si>
    <t>STU0597</t>
  </si>
  <si>
    <t>Sandeep Kapaddia</t>
  </si>
  <si>
    <t>STU0598</t>
  </si>
  <si>
    <t>SUNITA TYAGI</t>
  </si>
  <si>
    <t>STU0599</t>
  </si>
  <si>
    <t>Kiran Issrani</t>
  </si>
  <si>
    <t>STU0600</t>
  </si>
  <si>
    <t>ADVIK NANDAKUMAR</t>
  </si>
  <si>
    <t>STU0601</t>
  </si>
  <si>
    <t>RAMESH KHER</t>
  </si>
  <si>
    <t>STU0602</t>
  </si>
  <si>
    <t>NAVNEET YERRAMSETTI</t>
  </si>
  <si>
    <t>STU0603</t>
  </si>
  <si>
    <t>Gaurav khatri</t>
  </si>
  <si>
    <t>STU0604</t>
  </si>
  <si>
    <t>rohan dasari</t>
  </si>
  <si>
    <t>STU0605</t>
  </si>
  <si>
    <t>Shikha manwani</t>
  </si>
  <si>
    <t>STU0606</t>
  </si>
  <si>
    <t>Shreya Bhatt</t>
  </si>
  <si>
    <t>STU0607</t>
  </si>
  <si>
    <t>RAMESH RAJ</t>
  </si>
  <si>
    <t>3.99%</t>
  </si>
  <si>
    <t>STU0608</t>
  </si>
  <si>
    <t>Ananya Jain</t>
  </si>
  <si>
    <t>STU0609</t>
  </si>
  <si>
    <t>harshita iyer</t>
  </si>
  <si>
    <t>STU0610</t>
  </si>
  <si>
    <t>OMKAR AGARWAL</t>
  </si>
  <si>
    <t>STU0611</t>
  </si>
  <si>
    <t>ISHITA BAJAJ</t>
  </si>
  <si>
    <t>STU0612</t>
  </si>
  <si>
    <t>vishnu chopra</t>
  </si>
  <si>
    <t>STU0613</t>
  </si>
  <si>
    <t xml:space="preserve">  Atharv Puri   </t>
  </si>
  <si>
    <t>STU0614</t>
  </si>
  <si>
    <t xml:space="preserve">  Tanya Khatri   </t>
  </si>
  <si>
    <t>STU0615</t>
  </si>
  <si>
    <t>diya vohra</t>
  </si>
  <si>
    <t>STU0616</t>
  </si>
  <si>
    <t>PANKAJ VOHRA</t>
  </si>
  <si>
    <t>STU0617</t>
  </si>
  <si>
    <t>Girish Bakshi</t>
  </si>
  <si>
    <t>STU0618</t>
  </si>
  <si>
    <t xml:space="preserve">  Simran Rawat   </t>
  </si>
  <si>
    <t>STU0619</t>
  </si>
  <si>
    <t>manju tyagi</t>
  </si>
  <si>
    <t>STU0620</t>
  </si>
  <si>
    <t>Neetu patel</t>
  </si>
  <si>
    <t>STU0621</t>
  </si>
  <si>
    <t xml:space="preserve">  Sandeep Pradhan   </t>
  </si>
  <si>
    <t>STU0622</t>
  </si>
  <si>
    <t>Alka Tandon</t>
  </si>
  <si>
    <t>STU0623</t>
  </si>
  <si>
    <t>SShreya Grover</t>
  </si>
  <si>
    <t>STU0624</t>
  </si>
  <si>
    <t>SUNIL SINHA</t>
  </si>
  <si>
    <t>STU0625</t>
  </si>
  <si>
    <t>Diya SSinha</t>
  </si>
  <si>
    <t>STU0626</t>
  </si>
  <si>
    <t>suresh marathe</t>
  </si>
  <si>
    <t>STU0627</t>
  </si>
  <si>
    <t>MYRA REDDY</t>
  </si>
  <si>
    <t>STU0628</t>
  </si>
  <si>
    <t>Zara Rana</t>
  </si>
  <si>
    <t>STU0629</t>
  </si>
  <si>
    <t>Neha Narayan</t>
  </si>
  <si>
    <t>STU0630</t>
  </si>
  <si>
    <t>deepika paul</t>
  </si>
  <si>
    <t>STU0631</t>
  </si>
  <si>
    <t>SHRADDHA KHER</t>
  </si>
  <si>
    <t>STU0632</t>
  </si>
  <si>
    <t>sakshi narayan</t>
  </si>
  <si>
    <t>STU0633</t>
  </si>
  <si>
    <t>Nikhil Shukla</t>
  </si>
  <si>
    <t>STU0634</t>
  </si>
  <si>
    <t>ANIRUDH BARUA</t>
  </si>
  <si>
    <t>STU0635</t>
  </si>
  <si>
    <t xml:space="preserve">  Yuvraj Joshi   </t>
  </si>
  <si>
    <t>STU0636</t>
  </si>
  <si>
    <t>Shailesh Naair</t>
  </si>
  <si>
    <t>STU0637</t>
  </si>
  <si>
    <t>vandana lamba</t>
  </si>
  <si>
    <t>STU0638</t>
  </si>
  <si>
    <t>SAMEER JOSHI</t>
  </si>
  <si>
    <t>STU0639</t>
  </si>
  <si>
    <t>Dinesh Zaveri</t>
  </si>
  <si>
    <t>STU0640</t>
  </si>
  <si>
    <t>Omkar duggal</t>
  </si>
  <si>
    <t>STU0641</t>
  </si>
  <si>
    <t>Riya OOberoi</t>
  </si>
  <si>
    <t>STU0642</t>
  </si>
  <si>
    <t>ritika jindal</t>
  </si>
  <si>
    <t>STU0643</t>
  </si>
  <si>
    <t xml:space="preserve">  Jatin Khosla   </t>
  </si>
  <si>
    <t>STU0644</t>
  </si>
  <si>
    <t>Sneha Nathani</t>
  </si>
  <si>
    <t>3.61%</t>
  </si>
  <si>
    <t>STU0645</t>
  </si>
  <si>
    <t>MEENAKSHI AGARWAL</t>
  </si>
  <si>
    <t>STU0646</t>
  </si>
  <si>
    <t>preeti kalra</t>
  </si>
  <si>
    <t>STU0647</t>
  </si>
  <si>
    <t>SUDHA JHAVERI</t>
  </si>
  <si>
    <t>STU0648</t>
  </si>
  <si>
    <t>Ritika bhateja</t>
  </si>
  <si>
    <t>STU0649</t>
  </si>
  <si>
    <t xml:space="preserve">  Anirudh Bakshi   </t>
  </si>
  <si>
    <t>STU0650</t>
  </si>
  <si>
    <t>Chetan choudhary</t>
  </si>
  <si>
    <t>STU0651</t>
  </si>
  <si>
    <t>VARUN KHER</t>
  </si>
  <si>
    <t>STU0652</t>
  </si>
  <si>
    <t>Ashwin khanna</t>
  </si>
  <si>
    <t>STU0653</t>
  </si>
  <si>
    <t>SAKSHI PATEL</t>
  </si>
  <si>
    <t>STU0654</t>
  </si>
  <si>
    <t>Jayant saini</t>
  </si>
  <si>
    <t>STU0655</t>
  </si>
  <si>
    <t>Ekta Kohiir</t>
  </si>
  <si>
    <t>STU0656</t>
  </si>
  <si>
    <t>shraddha narayan</t>
  </si>
  <si>
    <t>STU0657</t>
  </si>
  <si>
    <t>Esha Chaddha</t>
  </si>
  <si>
    <t>STU0658</t>
  </si>
  <si>
    <t>KABIR YADAV</t>
  </si>
  <si>
    <t>STU0659</t>
  </si>
  <si>
    <t>Rohhan Uppal</t>
  </si>
  <si>
    <t>STU0660</t>
  </si>
  <si>
    <t>Pranav iyer</t>
  </si>
  <si>
    <t>STU0661</t>
  </si>
  <si>
    <t>Chetaan Chauhan</t>
  </si>
  <si>
    <t>STU0662</t>
  </si>
  <si>
    <t>Pooja kumari</t>
  </si>
  <si>
    <t>STU0663</t>
  </si>
  <si>
    <t>Anil Ahuja</t>
  </si>
  <si>
    <t>STU0664</t>
  </si>
  <si>
    <t>Vipull Kumari</t>
  </si>
  <si>
    <t>STU0665</t>
  </si>
  <si>
    <t>Chetan lall</t>
  </si>
  <si>
    <t>STU0666</t>
  </si>
  <si>
    <t>AKASH BHARADWAJ</t>
  </si>
  <si>
    <t>STU0667</t>
  </si>
  <si>
    <t>Jatin Chandra</t>
  </si>
  <si>
    <t>STU0668</t>
  </si>
  <si>
    <t>Bhaskar Boose</t>
  </si>
  <si>
    <t>STU0669</t>
  </si>
  <si>
    <t>Rohit Hooda</t>
  </si>
  <si>
    <t>STU0670</t>
  </si>
  <si>
    <t>Sanjay dewan</t>
  </si>
  <si>
    <t>STU0671</t>
  </si>
  <si>
    <t>Ashwin chopra</t>
  </si>
  <si>
    <t>STU0672</t>
  </si>
  <si>
    <t>RAJAT MUKHERJEE</t>
  </si>
  <si>
    <t>STU0673</t>
  </si>
  <si>
    <t>Atharv Dasari</t>
  </si>
  <si>
    <t>STU0674</t>
  </si>
  <si>
    <t>Ushaa Iyer</t>
  </si>
  <si>
    <t>STU0675</t>
  </si>
  <si>
    <t>Sudha patel</t>
  </si>
  <si>
    <t>STU0676</t>
  </si>
  <si>
    <t>Poonam  Kumar</t>
  </si>
  <si>
    <t>STU0677</t>
  </si>
  <si>
    <t>nisha zaveri</t>
  </si>
  <si>
    <t>STU0678</t>
  </si>
  <si>
    <t>POOJA KAUR</t>
  </si>
  <si>
    <t>STU0679</t>
  </si>
  <si>
    <t>Sudeep kalra</t>
  </si>
  <si>
    <t>STU0680</t>
  </si>
  <si>
    <t>tanya goswami</t>
  </si>
  <si>
    <t>STU0681</t>
  </si>
  <si>
    <t>Kabir goswami</t>
  </si>
  <si>
    <t>STU0682</t>
  </si>
  <si>
    <t>NANDINI BHASIN</t>
  </si>
  <si>
    <t>STU0683</t>
  </si>
  <si>
    <t>AYAAN MARATHE</t>
  </si>
  <si>
    <t>STU0684</t>
  </si>
  <si>
    <t>Tushar verma</t>
  </si>
  <si>
    <t>STU0685</t>
  </si>
  <si>
    <t xml:space="preserve">  Dhruv Yerramsetti   </t>
  </si>
  <si>
    <t>STU0686</t>
  </si>
  <si>
    <t>Varun Rawat</t>
  </si>
  <si>
    <t>STU0687</t>
  </si>
  <si>
    <t>Sanjay kher</t>
  </si>
  <si>
    <t>STU0688</t>
  </si>
  <si>
    <t>deepika ahuja</t>
  </si>
  <si>
    <t>STU0689</t>
  </si>
  <si>
    <t>tushar rana</t>
  </si>
  <si>
    <t>STU0690</t>
  </si>
  <si>
    <t>GAURAV TRIVEDI</t>
  </si>
  <si>
    <t>STU0691</t>
  </si>
  <si>
    <t>POOJA NANDAKUMAR</t>
  </si>
  <si>
    <t>STU0692</t>
  </si>
  <si>
    <t xml:space="preserve">  Girish Bansal   </t>
  </si>
  <si>
    <t>STU0693</t>
  </si>
  <si>
    <t>ramesh lamba</t>
  </si>
  <si>
    <t>STU0694</t>
  </si>
  <si>
    <t>Vipul SSingh</t>
  </si>
  <si>
    <t>STU0695</t>
  </si>
  <si>
    <t>ANIL KALRA</t>
  </si>
  <si>
    <t>STU0696</t>
  </si>
  <si>
    <t xml:space="preserve">  Karan Bajaj   </t>
  </si>
  <si>
    <t>STU0697</t>
  </si>
  <si>
    <t xml:space="preserve">  Kavya Iyer   </t>
  </si>
  <si>
    <t>STU0698</t>
  </si>
  <si>
    <t>Shweta Mishra</t>
  </si>
  <si>
    <t>STU0699</t>
  </si>
  <si>
    <t>Gaurav Baakshi</t>
  </si>
  <si>
    <t>STU0700</t>
  </si>
  <si>
    <t>rakesh basu</t>
  </si>
  <si>
    <t>STU0701</t>
  </si>
  <si>
    <t>aditya jhaveri</t>
  </si>
  <si>
    <t>STU0702</t>
  </si>
  <si>
    <t>Preeti Bedi</t>
  </si>
  <si>
    <t>STU0703</t>
  </si>
  <si>
    <t>Harshita Sethi</t>
  </si>
  <si>
    <t>STU0704</t>
  </si>
  <si>
    <t>ananya walia</t>
  </si>
  <si>
    <t>STU0705</t>
  </si>
  <si>
    <t xml:space="preserve">  Usha Dhanwade   </t>
  </si>
  <si>
    <t>STU0706</t>
  </si>
  <si>
    <t>shreya vohra</t>
  </si>
  <si>
    <t>STU0707</t>
  </si>
  <si>
    <t>NIKHIL DUBEY</t>
  </si>
  <si>
    <t>STU0708</t>
  </si>
  <si>
    <t>DEVIKA JOSHI</t>
  </si>
  <si>
    <t>STU0709</t>
  </si>
  <si>
    <t>Usha ekbote</t>
  </si>
  <si>
    <t>STU0710</t>
  </si>
  <si>
    <t>Manju ahluwalia</t>
  </si>
  <si>
    <t>STU0711</t>
  </si>
  <si>
    <t>aditi lall</t>
  </si>
  <si>
    <t>STU0712</t>
  </si>
  <si>
    <t>Mohit Malhotra</t>
  </si>
  <si>
    <t>STU0713</t>
  </si>
  <si>
    <t>yuvraj bharadwaj</t>
  </si>
  <si>
    <t>STU0714</t>
  </si>
  <si>
    <t>VANDANA GOSWAMI</t>
  </si>
  <si>
    <t>STU0715</t>
  </si>
  <si>
    <t>Aarav kaushik</t>
  </si>
  <si>
    <t>STU0716</t>
  </si>
  <si>
    <t>Mohit Chopra</t>
  </si>
  <si>
    <t>STU0717</t>
  </si>
  <si>
    <t>IRA SINGHANIA</t>
  </si>
  <si>
    <t>STU0718</t>
  </si>
  <si>
    <t xml:space="preserve">  Ayaan Malhotra   </t>
  </si>
  <si>
    <t>STU0719</t>
  </si>
  <si>
    <t>Rahul IIyengar</t>
  </si>
  <si>
    <t>STU0720</t>
  </si>
  <si>
    <t>PRIYA IYENGAR</t>
  </si>
  <si>
    <t>STU0721</t>
  </si>
  <si>
    <t>Ajay Isranni</t>
  </si>
  <si>
    <t>STU0722</t>
  </si>
  <si>
    <t>Sannjay Manwani</t>
  </si>
  <si>
    <t>STU0723</t>
  </si>
  <si>
    <t>Rekhha Yadav</t>
  </si>
  <si>
    <t>STU0724</t>
  </si>
  <si>
    <t xml:space="preserve">  Reyansh Singhania   </t>
  </si>
  <si>
    <t>STU0725</t>
  </si>
  <si>
    <t>Naveen kalra</t>
  </si>
  <si>
    <t>STU0726</t>
  </si>
  <si>
    <t xml:space="preserve">  Priya Rawat   </t>
  </si>
  <si>
    <t>STU0727</t>
  </si>
  <si>
    <t>dhruv goel</t>
  </si>
  <si>
    <t>STU0728</t>
  </si>
  <si>
    <t>Aarav khanna</t>
  </si>
  <si>
    <t>STU0729</t>
  </si>
  <si>
    <t>rahul lamba</t>
  </si>
  <si>
    <t>STU0730</t>
  </si>
  <si>
    <t xml:space="preserve">  Sanjay Jhaveri   </t>
  </si>
  <si>
    <t>STU0731</t>
  </si>
  <si>
    <t>tanvi anand</t>
  </si>
  <si>
    <t>STU0732</t>
  </si>
  <si>
    <t>JATIN DEWAN</t>
  </si>
  <si>
    <t>4.36%</t>
  </si>
  <si>
    <t>STU0733</t>
  </si>
  <si>
    <t>Siddharth kaushik</t>
  </si>
  <si>
    <t>4.17%</t>
  </si>
  <si>
    <t>STU0734</t>
  </si>
  <si>
    <t xml:space="preserve">  Pratik Chauhan   </t>
  </si>
  <si>
    <t>STU0735</t>
  </si>
  <si>
    <t>monika vohra</t>
  </si>
  <si>
    <t>STU0736</t>
  </si>
  <si>
    <t>Anika nair</t>
  </si>
  <si>
    <t>STU0737</t>
  </si>
  <si>
    <t>Tarun Sahgal</t>
  </si>
  <si>
    <t>STU0738</t>
  </si>
  <si>
    <t>TANVI BASU</t>
  </si>
  <si>
    <t>STU0739</t>
  </si>
  <si>
    <t>nisha rana</t>
  </si>
  <si>
    <t>STU0740</t>
  </si>
  <si>
    <t>ravi israni</t>
  </si>
  <si>
    <t>STU0741</t>
  </si>
  <si>
    <t>Deveesh Bhasin</t>
  </si>
  <si>
    <t>STU0742</t>
  </si>
  <si>
    <t>DIVYA KHOSLA</t>
  </si>
  <si>
    <t>STU0743</t>
  </si>
  <si>
    <t xml:space="preserve">  Vikram Lall   </t>
  </si>
  <si>
    <t>STU0744</t>
  </si>
  <si>
    <t>AAshwin Nayar</t>
  </si>
  <si>
    <t>STU0745</t>
  </si>
  <si>
    <t>Jayantt Ahmed</t>
  </si>
  <si>
    <t>STU0746</t>
  </si>
  <si>
    <t>ISHAAN BHARGAV</t>
  </si>
  <si>
    <t>STU0747</t>
  </si>
  <si>
    <t>Aditya rana</t>
  </si>
  <si>
    <t>STU0748</t>
  </si>
  <si>
    <t xml:space="preserve">  Rahul Saxena   </t>
  </si>
  <si>
    <t>STU0749</t>
  </si>
  <si>
    <t>Sameer reddy</t>
  </si>
  <si>
    <t>STU0750</t>
  </si>
  <si>
    <t xml:space="preserve">  Shivam Sinha   </t>
  </si>
  <si>
    <t>STU0751</t>
  </si>
  <si>
    <t>Garimma Sahani</t>
  </si>
  <si>
    <t>STU0752</t>
  </si>
  <si>
    <t>Seema BBharadwaj</t>
  </si>
  <si>
    <t>STU0753</t>
  </si>
  <si>
    <t>Shailesh Thakur</t>
  </si>
  <si>
    <t>STU0754</t>
  </si>
  <si>
    <t xml:space="preserve">  Garima Jhaveri   </t>
  </si>
  <si>
    <t>STU0755</t>
  </si>
  <si>
    <t>kavya das</t>
  </si>
  <si>
    <t>4,2</t>
  </si>
  <si>
    <t>STU0756</t>
  </si>
  <si>
    <t>Rudra israni</t>
  </si>
  <si>
    <t>STU0757</t>
  </si>
  <si>
    <t>Garima paul</t>
  </si>
  <si>
    <t>STU0758</t>
  </si>
  <si>
    <t>Neetu  Sahani</t>
  </si>
  <si>
    <t>STU0759</t>
  </si>
  <si>
    <t>Suresh walia</t>
  </si>
  <si>
    <t>STU0760</t>
  </si>
  <si>
    <t xml:space="preserve">  Rohan Jani   </t>
  </si>
  <si>
    <t>STU0761</t>
  </si>
  <si>
    <t>Sonali chandra</t>
  </si>
  <si>
    <t>STU0762</t>
  </si>
  <si>
    <t>shweta bhargava</t>
  </si>
  <si>
    <t>STU0763</t>
  </si>
  <si>
    <t>ANJALI TRIVEDI</t>
  </si>
  <si>
    <t>STU0764</t>
  </si>
  <si>
    <t>KAVYA SRIVASTAVA</t>
  </si>
  <si>
    <t>STU0765</t>
  </si>
  <si>
    <t xml:space="preserve">  Divya Joshi   </t>
  </si>
  <si>
    <t>STU0766</t>
  </si>
  <si>
    <t>Ishaan rawat</t>
  </si>
  <si>
    <t>STU0767</t>
  </si>
  <si>
    <t>Poonam yadav</t>
  </si>
  <si>
    <t>STU0768</t>
  </si>
  <si>
    <t>nikhil chandra</t>
  </si>
  <si>
    <t>STU0769</t>
  </si>
  <si>
    <t>Aarav kathuria</t>
  </si>
  <si>
    <t>STU0770</t>
  </si>
  <si>
    <t xml:space="preserve">  Harshita Bose   </t>
  </si>
  <si>
    <t>STU0771</t>
  </si>
  <si>
    <t>Vinay sehgal</t>
  </si>
  <si>
    <t>STU0772</t>
  </si>
  <si>
    <t>tanvi marathe</t>
  </si>
  <si>
    <t>STU0773</t>
  </si>
  <si>
    <t>Varun rathi</t>
  </si>
  <si>
    <t>STU0774</t>
  </si>
  <si>
    <t>Sanchit trivedi</t>
  </si>
  <si>
    <t>STU0775</t>
  </si>
  <si>
    <t>ABHISHEK BAJAJ</t>
  </si>
  <si>
    <t>STU0776</t>
  </si>
  <si>
    <t>SIMRAN SINGH</t>
  </si>
  <si>
    <t>STU0777</t>
  </si>
  <si>
    <t>rajat bhatt</t>
  </si>
  <si>
    <t>STU0778</t>
  </si>
  <si>
    <t>Sai Jain</t>
  </si>
  <si>
    <t>STU0779</t>
  </si>
  <si>
    <t>Yogesh chauhan</t>
  </si>
  <si>
    <t>STU0780</t>
  </si>
  <si>
    <t>Surbhi Kumari</t>
  </si>
  <si>
    <t>STU0781</t>
  </si>
  <si>
    <t>KUNAL PURI</t>
  </si>
  <si>
    <t>3,78</t>
  </si>
  <si>
    <t>STU0782</t>
  </si>
  <si>
    <t>Sudha kumari</t>
  </si>
  <si>
    <t>STU0783</t>
  </si>
  <si>
    <t xml:space="preserve">  Renu Jhaveri   </t>
  </si>
  <si>
    <t>STU0784</t>
  </si>
  <si>
    <t xml:space="preserve">  Saanvi Ghosh   </t>
  </si>
  <si>
    <t>STU0785</t>
  </si>
  <si>
    <t>FFalguni Nathani</t>
  </si>
  <si>
    <t>STU0786</t>
  </si>
  <si>
    <t>NAVEEN BAJPAI</t>
  </si>
  <si>
    <t>STU0787</t>
  </si>
  <si>
    <t>Dhrruv Khosla</t>
  </si>
  <si>
    <t>STU0788</t>
  </si>
  <si>
    <t>SUNITA BAJAJ</t>
  </si>
  <si>
    <t>STU0789</t>
  </si>
  <si>
    <t>Kunal  Chauhan</t>
  </si>
  <si>
    <t>STU0790</t>
  </si>
  <si>
    <t>Vishal Raamesh</t>
  </si>
  <si>
    <t>STU0791</t>
  </si>
  <si>
    <t>TANYA SINHA</t>
  </si>
  <si>
    <t>STU0792</t>
  </si>
  <si>
    <t>ADITYA AGARWAL</t>
  </si>
  <si>
    <t>STU0793</t>
  </si>
  <si>
    <t xml:space="preserve">  Prerna Khosla   </t>
  </si>
  <si>
    <t>STU0794</t>
  </si>
  <si>
    <t>Anjali vohra</t>
  </si>
  <si>
    <t>STU0795</t>
  </si>
  <si>
    <t>Karran Goel</t>
  </si>
  <si>
    <t>STU0796</t>
  </si>
  <si>
    <t>ANANYA GROVER</t>
  </si>
  <si>
    <t>STU0797</t>
  </si>
  <si>
    <t>RAKESH DASGUPTA</t>
  </si>
  <si>
    <t>STU0798</t>
  </si>
  <si>
    <t xml:space="preserve">  Devesh Bakshi   </t>
  </si>
  <si>
    <t>STU0799</t>
  </si>
  <si>
    <t>Surbhi Saxenna</t>
  </si>
  <si>
    <t>STU0800</t>
  </si>
  <si>
    <t>NAVNEET JANI</t>
  </si>
  <si>
    <t>STU0801</t>
  </si>
  <si>
    <t>shreya verma</t>
  </si>
  <si>
    <t>STU0802</t>
  </si>
  <si>
    <t>chetan ahluwalia</t>
  </si>
  <si>
    <t>STU0803</t>
  </si>
  <si>
    <t>Siddharth ahmed</t>
  </si>
  <si>
    <t>STU0804</t>
  </si>
  <si>
    <t>Rajendra Patel</t>
  </si>
  <si>
    <t>STU0805</t>
  </si>
  <si>
    <t>advik nagar</t>
  </si>
  <si>
    <t>STU0806</t>
  </si>
  <si>
    <t>Shreya Duggaal</t>
  </si>
  <si>
    <t>STU0807</t>
  </si>
  <si>
    <t>kiran lall</t>
  </si>
  <si>
    <t>3,84</t>
  </si>
  <si>
    <t>STU0808</t>
  </si>
  <si>
    <t>TANYA BHARGAVA</t>
  </si>
  <si>
    <t>3,51</t>
  </si>
  <si>
    <t>STU0809</t>
  </si>
  <si>
    <t>Shreya Hooda</t>
  </si>
  <si>
    <t>STU0810</t>
  </si>
  <si>
    <t xml:space="preserve">  Vishnu Rathi   </t>
  </si>
  <si>
    <t>STU0811</t>
  </si>
  <si>
    <t>Chetan Jain</t>
  </si>
  <si>
    <t>STU0812</t>
  </si>
  <si>
    <t>madhavi choubey</t>
  </si>
  <si>
    <t>STU0813</t>
  </si>
  <si>
    <t>Chetan Kaur</t>
  </si>
  <si>
    <t>STU0814</t>
  </si>
  <si>
    <t xml:space="preserve">  Gaurav Bhatt   </t>
  </si>
  <si>
    <t>STU0815</t>
  </si>
  <si>
    <t>Rajeev Meher</t>
  </si>
  <si>
    <t>STU0816</t>
  </si>
  <si>
    <t>Sneha sanyal</t>
  </si>
  <si>
    <t>STU0817</t>
  </si>
  <si>
    <t>mahesh marwah</t>
  </si>
  <si>
    <t>STU0818</t>
  </si>
  <si>
    <t>Bhavana Deshmukh</t>
  </si>
  <si>
    <t>STU0819</t>
  </si>
  <si>
    <t xml:space="preserve">  Anjali Deshmukh   </t>
  </si>
  <si>
    <t>STU0820</t>
  </si>
  <si>
    <t>Shraddha jindal</t>
  </si>
  <si>
    <t>STU0821</t>
  </si>
  <si>
    <t>ashok tandon</t>
  </si>
  <si>
    <t>STU0822</t>
  </si>
  <si>
    <t xml:space="preserve">  Sunita Mishra   </t>
  </si>
  <si>
    <t>STU0823</t>
  </si>
  <si>
    <t>Harshita Tyagi</t>
  </si>
  <si>
    <t>STU0824</t>
  </si>
  <si>
    <t xml:space="preserve">  Sanchit Dhawan   </t>
  </si>
  <si>
    <t>STU0825</t>
  </si>
  <si>
    <t xml:space="preserve">  Avni Saini   </t>
  </si>
  <si>
    <t>STU0826</t>
  </si>
  <si>
    <t>abhishek meher</t>
  </si>
  <si>
    <t>STU0827</t>
  </si>
  <si>
    <t>Sanchit Ghosh</t>
  </si>
  <si>
    <t>STU0828</t>
  </si>
  <si>
    <t>Shraddha Dewan</t>
  </si>
  <si>
    <t>STU0829</t>
  </si>
  <si>
    <t>SONALI LAMBA</t>
  </si>
  <si>
    <t>STU0830</t>
  </si>
  <si>
    <t>aadhya nathani</t>
  </si>
  <si>
    <t>STU0831</t>
  </si>
  <si>
    <t>pari hegde</t>
  </si>
  <si>
    <t>STU0832</t>
  </si>
  <si>
    <t>Bhaskar chopra</t>
  </si>
  <si>
    <t>STU0833</t>
  </si>
  <si>
    <t>swati bhatt</t>
  </si>
  <si>
    <t>STU0834</t>
  </si>
  <si>
    <t>Nishaa Agrawal</t>
  </si>
  <si>
    <t>STU0835</t>
  </si>
  <si>
    <t>Priya Yerraamsetti</t>
  </si>
  <si>
    <t xml:space="preserve"> 4.13 </t>
  </si>
  <si>
    <t>STU0836</t>
  </si>
  <si>
    <t>Ishaan reddy</t>
  </si>
  <si>
    <t>STU0837</t>
  </si>
  <si>
    <t>shreya kohir</t>
  </si>
  <si>
    <t>STU0838</t>
  </si>
  <si>
    <t>Tushar Ahmed</t>
  </si>
  <si>
    <t>STU0839</t>
  </si>
  <si>
    <t>MUKESH NAGAR</t>
  </si>
  <si>
    <t>STU0840</t>
  </si>
  <si>
    <t xml:space="preserve">  Shweta Rawat   </t>
  </si>
  <si>
    <t>STU0841</t>
  </si>
  <si>
    <t>KIARA DAS</t>
  </si>
  <si>
    <t>STU0842</t>
  </si>
  <si>
    <t>Sanjeeev Israni</t>
  </si>
  <si>
    <t>STU0843</t>
  </si>
  <si>
    <t>Anil bose</t>
  </si>
  <si>
    <t>STU0844</t>
  </si>
  <si>
    <t xml:space="preserve">  Rudra Pandey   </t>
  </si>
  <si>
    <t>STU0845</t>
  </si>
  <si>
    <t xml:space="preserve">  Riya Barua   </t>
  </si>
  <si>
    <t>STU0846</t>
  </si>
  <si>
    <t xml:space="preserve">  Rajeev Dubey   </t>
  </si>
  <si>
    <t>STU0847</t>
  </si>
  <si>
    <t>Naandini Jani</t>
  </si>
  <si>
    <t>STU0848</t>
  </si>
  <si>
    <t>Aditya Kumar</t>
  </si>
  <si>
    <t>STU0849</t>
  </si>
  <si>
    <t xml:space="preserve">  Tarun Chauhan   </t>
  </si>
  <si>
    <t>STU0850</t>
  </si>
  <si>
    <t>Varun NNathani</t>
  </si>
  <si>
    <t>STU0851</t>
  </si>
  <si>
    <t>Rohan  Marwah</t>
  </si>
  <si>
    <t>STU0852</t>
  </si>
  <si>
    <t>Sneha Sahgal</t>
  </si>
  <si>
    <t>STU0853</t>
  </si>
  <si>
    <t>Sanchit kohir</t>
  </si>
  <si>
    <t>STU0854</t>
  </si>
  <si>
    <t>Vikram Xalxo</t>
  </si>
  <si>
    <t>STU0855</t>
  </si>
  <si>
    <t xml:space="preserve">  Rajeev Jain   </t>
  </si>
  <si>
    <t>STU0856</t>
  </si>
  <si>
    <t>neha mukherjee</t>
  </si>
  <si>
    <t>STU0857</t>
  </si>
  <si>
    <t>Deepak Bajpai</t>
  </si>
  <si>
    <t>STU0858</t>
  </si>
  <si>
    <t>Anshul Basu</t>
  </si>
  <si>
    <t>STU0859</t>
  </si>
  <si>
    <t>SUNIL MARWAH</t>
  </si>
  <si>
    <t>STU0860</t>
  </si>
  <si>
    <t>Ira qureshi</t>
  </si>
  <si>
    <t>STU0861</t>
  </si>
  <si>
    <t>vikram singh</t>
  </si>
  <si>
    <t>STU0862</t>
  </si>
  <si>
    <t>bhavna bhateja</t>
  </si>
  <si>
    <t>STU0863</t>
  </si>
  <si>
    <t xml:space="preserve">  Varun Saxena   </t>
  </si>
  <si>
    <t>STU0864</t>
  </si>
  <si>
    <t>TTanya Trivedi</t>
  </si>
  <si>
    <t>STU0865</t>
  </si>
  <si>
    <t>Deepali Gulati</t>
  </si>
  <si>
    <t>STU0866</t>
  </si>
  <si>
    <t xml:space="preserve">  Aadhya Raj   </t>
  </si>
  <si>
    <t>STU0867</t>
  </si>
  <si>
    <t>Vipul Pandey</t>
  </si>
  <si>
    <t>STU0868</t>
  </si>
  <si>
    <t>Sneha Dhanwade</t>
  </si>
  <si>
    <t>STU0869</t>
  </si>
  <si>
    <t>Ritika Mannwani</t>
  </si>
  <si>
    <t>STU0870</t>
  </si>
  <si>
    <t>Advik  Kumar</t>
  </si>
  <si>
    <t>STU0871</t>
  </si>
  <si>
    <t>FFalguni Srivastava</t>
  </si>
  <si>
    <t>STU0872</t>
  </si>
  <si>
    <t>MMukesh Sahgal</t>
  </si>
  <si>
    <t>STU0873</t>
  </si>
  <si>
    <t>sandeep chandra</t>
  </si>
  <si>
    <t>STU0874</t>
  </si>
  <si>
    <t>surbhi sanyal</t>
  </si>
  <si>
    <t>STU0875</t>
  </si>
  <si>
    <t>Myra Chadha</t>
  </si>
  <si>
    <t>STU0876</t>
  </si>
  <si>
    <t xml:space="preserve">  Kunal Lall   </t>
  </si>
  <si>
    <t>STU0877</t>
  </si>
  <si>
    <t>Alok Ahhmed</t>
  </si>
  <si>
    <t>STU0878</t>
  </si>
  <si>
    <t>Kunal malhotra</t>
  </si>
  <si>
    <t>4.4%</t>
  </si>
  <si>
    <t>STU0879</t>
  </si>
  <si>
    <t xml:space="preserve">  Bhavana Meher   </t>
  </si>
  <si>
    <t>STU0880</t>
  </si>
  <si>
    <t>Ayaan Puri</t>
  </si>
  <si>
    <t>STU0881</t>
  </si>
  <si>
    <t>PRIYA KHER</t>
  </si>
  <si>
    <t>STU0882</t>
  </si>
  <si>
    <t>sunita israni</t>
  </si>
  <si>
    <t>STU0883</t>
  </si>
  <si>
    <t>Neetu kohir</t>
  </si>
  <si>
    <t>STU0884</t>
  </si>
  <si>
    <t>vishal saxena</t>
  </si>
  <si>
    <t>STU0885</t>
  </si>
  <si>
    <t xml:space="preserve">  Rajeev Patel   </t>
  </si>
  <si>
    <t>STU0886</t>
  </si>
  <si>
    <t>VVikas Nayar</t>
  </si>
  <si>
    <t>STU0887</t>
  </si>
  <si>
    <t>ANJALI AHUJA</t>
  </si>
  <si>
    <t>STU0888</t>
  </si>
  <si>
    <t>KAVITA BAJAJ</t>
  </si>
  <si>
    <t>STU0889</t>
  </si>
  <si>
    <t>UDAY KHOSLA</t>
  </si>
  <si>
    <t>STU0890</t>
  </si>
  <si>
    <t xml:space="preserve">  Saanvi Narayan   </t>
  </si>
  <si>
    <t>STU0891</t>
  </si>
  <si>
    <t>Ramesh Talwar</t>
  </si>
  <si>
    <t>STU0892</t>
  </si>
  <si>
    <t>Hemant Hegde</t>
  </si>
  <si>
    <t>STU0893</t>
  </si>
  <si>
    <t>RAKESH ZAVERI</t>
  </si>
  <si>
    <t>STU0894</t>
  </si>
  <si>
    <t xml:space="preserve">  Krishna Bakshi   </t>
  </si>
  <si>
    <t>STU0895</t>
  </si>
  <si>
    <t>Jyoti Lall</t>
  </si>
  <si>
    <t>STU0896</t>
  </si>
  <si>
    <t xml:space="preserve">  Kavya Singhania   </t>
  </si>
  <si>
    <t>STU0897</t>
  </si>
  <si>
    <t>nikhil duggal</t>
  </si>
  <si>
    <t>STU0898</t>
  </si>
  <si>
    <t>Shweta ghosh</t>
  </si>
  <si>
    <t>STU0899</t>
  </si>
  <si>
    <t xml:space="preserve">  Pranav Bhatt   </t>
  </si>
  <si>
    <t>STU0900</t>
  </si>
  <si>
    <t>Ishaan Tyagi</t>
  </si>
  <si>
    <t>STU0901</t>
  </si>
  <si>
    <t xml:space="preserve">  Aditya Basu   </t>
  </si>
  <si>
    <t>STU0902</t>
  </si>
  <si>
    <t>bhaskar nathani</t>
  </si>
  <si>
    <t>STU0903</t>
  </si>
  <si>
    <t>ramesh deshmukh</t>
  </si>
  <si>
    <t>STU0904</t>
  </si>
  <si>
    <t>Mahesh Tandon</t>
  </si>
  <si>
    <t>STU0905</t>
  </si>
  <si>
    <t xml:space="preserve">  Girish Nathani   </t>
  </si>
  <si>
    <t>STU0906</t>
  </si>
  <si>
    <t>Anjali barua</t>
  </si>
  <si>
    <t>STU0907</t>
  </si>
  <si>
    <t>vandana yerramsetti</t>
  </si>
  <si>
    <t>STU0908</t>
  </si>
  <si>
    <t>bhaskar pillai</t>
  </si>
  <si>
    <t>STU0909</t>
  </si>
  <si>
    <t>AKASH PILLAI</t>
  </si>
  <si>
    <t>STU0910</t>
  </si>
  <si>
    <t>usha rastogi</t>
  </si>
  <si>
    <t>STU0911</t>
  </si>
  <si>
    <t>Saii Goswami</t>
  </si>
  <si>
    <t>STU0912</t>
  </si>
  <si>
    <t>Sandeep shukla</t>
  </si>
  <si>
    <t>STU0913</t>
  </si>
  <si>
    <t>VINAY VOHRA</t>
  </si>
  <si>
    <t>STU0914</t>
  </si>
  <si>
    <t>SWATI DAS</t>
  </si>
  <si>
    <t>STU0915</t>
  </si>
  <si>
    <t>Chaaru Hooda</t>
  </si>
  <si>
    <t>STU0916</t>
  </si>
  <si>
    <t>Tarunn Goel</t>
  </si>
  <si>
    <t>STU0917</t>
  </si>
  <si>
    <t>Sudha singh</t>
  </si>
  <si>
    <t>STU0918</t>
  </si>
  <si>
    <t>Ravi Kumari</t>
  </si>
  <si>
    <t>STU0919</t>
  </si>
  <si>
    <t>NAVEEN QURESHI</t>
  </si>
  <si>
    <t>STU0920</t>
  </si>
  <si>
    <t>TANVI BHATT</t>
  </si>
  <si>
    <t>STU0921</t>
  </si>
  <si>
    <t>Vikram Bharadwwaj</t>
  </si>
  <si>
    <t>STU0922</t>
  </si>
  <si>
    <t xml:space="preserve">  Ishita Pandey   </t>
  </si>
  <si>
    <t>STU0923</t>
  </si>
  <si>
    <t>Amit Pathak</t>
  </si>
  <si>
    <t>STU0924</t>
  </si>
  <si>
    <t xml:space="preserve">  Nandini Bajaj   </t>
  </si>
  <si>
    <t>STU0925</t>
  </si>
  <si>
    <t>Sudha Khannna</t>
  </si>
  <si>
    <t>STU0926</t>
  </si>
  <si>
    <t>Vishal marathe</t>
  </si>
  <si>
    <t>STU0927</t>
  </si>
  <si>
    <t xml:space="preserve">  Sudeep Iyer   </t>
  </si>
  <si>
    <t>STU0928</t>
  </si>
  <si>
    <t xml:space="preserve">  Dhruv Bansal   </t>
  </si>
  <si>
    <t>STU0929</t>
  </si>
  <si>
    <t>Sandeep  Barua</t>
  </si>
  <si>
    <t>STU0930</t>
  </si>
  <si>
    <t>nandini rawat</t>
  </si>
  <si>
    <t>STU0931</t>
  </si>
  <si>
    <t>tarun duggal</t>
  </si>
  <si>
    <t>STU0932</t>
  </si>
  <si>
    <t>DHRUV ANAND</t>
  </si>
  <si>
    <t>STU0933</t>
  </si>
  <si>
    <t>KAVYA AGRAWAL</t>
  </si>
  <si>
    <t>STU0934</t>
  </si>
  <si>
    <t>SUNIL DHANWADE</t>
  </si>
  <si>
    <t>STU0935</t>
  </si>
  <si>
    <t xml:space="preserve">  Ishaan Balan   </t>
  </si>
  <si>
    <t>STU0936</t>
  </si>
  <si>
    <t>PRERNA IYENGAR</t>
  </si>
  <si>
    <t>STU0937</t>
  </si>
  <si>
    <t>Ravi sharma</t>
  </si>
  <si>
    <t>STU0938</t>
  </si>
  <si>
    <t>atharv mahapatra</t>
  </si>
  <si>
    <t>STU0939</t>
  </si>
  <si>
    <t>divya sahgal</t>
  </si>
  <si>
    <t>STU0940</t>
  </si>
  <si>
    <t>reyansh iyengar</t>
  </si>
  <si>
    <t>STU0941</t>
  </si>
  <si>
    <t>ALKA CHOUBEY</t>
  </si>
  <si>
    <t>STU0942</t>
  </si>
  <si>
    <t>REKHA QURESHI</t>
  </si>
  <si>
    <t>STU0943</t>
  </si>
  <si>
    <t>ARJUN MANWANI</t>
  </si>
  <si>
    <t>STU0944</t>
  </si>
  <si>
    <t xml:space="preserve">  Sonali Bhatt   </t>
  </si>
  <si>
    <t>STU0945</t>
  </si>
  <si>
    <t xml:space="preserve">  Vandana Rastogi   </t>
  </si>
  <si>
    <t>STU0946</t>
  </si>
  <si>
    <t>Prattik Iyengar</t>
  </si>
  <si>
    <t>STU0947</t>
  </si>
  <si>
    <t>pratik fernandes</t>
  </si>
  <si>
    <t>STU0948</t>
  </si>
  <si>
    <t>Ravi joshi</t>
  </si>
  <si>
    <t>STU0949</t>
  </si>
  <si>
    <t>surbhi rao</t>
  </si>
  <si>
    <t>STU0950</t>
  </si>
  <si>
    <t xml:space="preserve">  Aarav Vaidya   </t>
  </si>
  <si>
    <t>STU0951</t>
  </si>
  <si>
    <t xml:space="preserve">  Hema Bedi   </t>
  </si>
  <si>
    <t>STU0952</t>
  </si>
  <si>
    <t>Vipul Purri</t>
  </si>
  <si>
    <t>STU0953</t>
  </si>
  <si>
    <t>Girish Oberroi</t>
  </si>
  <si>
    <t>STU0954</t>
  </si>
  <si>
    <t>Reyansh chadha</t>
  </si>
  <si>
    <t>STU0955</t>
  </si>
  <si>
    <t xml:space="preserve">  Ravi Lall   </t>
  </si>
  <si>
    <t>STU0956</t>
  </si>
  <si>
    <t>kavya sethi</t>
  </si>
  <si>
    <t>STU0957</t>
  </si>
  <si>
    <t xml:space="preserve">  Ravi Chatterjee   </t>
  </si>
  <si>
    <t>STU0958</t>
  </si>
  <si>
    <t>Aarav Ekbote</t>
  </si>
  <si>
    <t>STU0959</t>
  </si>
  <si>
    <t>POOJA MARWAH</t>
  </si>
  <si>
    <t>STU0960</t>
  </si>
  <si>
    <t>Shweta Rathi</t>
  </si>
  <si>
    <t>STU0961</t>
  </si>
  <si>
    <t>VVishal Lall</t>
  </si>
  <si>
    <t>STU0962</t>
  </si>
  <si>
    <t>Rohit Chhoubey</t>
  </si>
  <si>
    <t>STU0963</t>
  </si>
  <si>
    <t>Ajay Chouubey</t>
  </si>
  <si>
    <t>STU0964</t>
  </si>
  <si>
    <t>SAMEER AGARWAL</t>
  </si>
  <si>
    <t>STU0965</t>
  </si>
  <si>
    <t>Kiran madhwani</t>
  </si>
  <si>
    <t>STU0966</t>
  </si>
  <si>
    <t>Bhavna basu</t>
  </si>
  <si>
    <t>STU0967</t>
  </si>
  <si>
    <t>Sunita BBedi</t>
  </si>
  <si>
    <t>STU0968</t>
  </si>
  <si>
    <t>VANDANA XALXO</t>
  </si>
  <si>
    <t>STU0969</t>
  </si>
  <si>
    <t>Uday Rawwat</t>
  </si>
  <si>
    <t>STU0970</t>
  </si>
  <si>
    <t>karan anand</t>
  </si>
  <si>
    <t>STU0971</t>
  </si>
  <si>
    <t>kavita mukherjee</t>
  </si>
  <si>
    <t>STU0972</t>
  </si>
  <si>
    <t>DEVESH BANSAL</t>
  </si>
  <si>
    <t>STU0973</t>
  </si>
  <si>
    <t>Tushar Lall</t>
  </si>
  <si>
    <t>STU0974</t>
  </si>
  <si>
    <t>devika verma</t>
  </si>
  <si>
    <t>STU0975</t>
  </si>
  <si>
    <t>AAyaan Bhargava</t>
  </si>
  <si>
    <t>STU0976</t>
  </si>
  <si>
    <t>CHARU MARATHE</t>
  </si>
  <si>
    <t>STU0977</t>
  </si>
  <si>
    <t>Manish Nayar</t>
  </si>
  <si>
    <t>STU0978</t>
  </si>
  <si>
    <t>Devikka Vohra</t>
  </si>
  <si>
    <t>STU0979</t>
  </si>
  <si>
    <t>NNidhi Ganguly</t>
  </si>
  <si>
    <t>STU0980</t>
  </si>
  <si>
    <t>Riya Goswami</t>
  </si>
  <si>
    <t>STU0981</t>
  </si>
  <si>
    <t>Vikram Daasgupta</t>
  </si>
  <si>
    <t>STU0982</t>
  </si>
  <si>
    <t>Ravi Maarathe</t>
  </si>
  <si>
    <t>STU0983</t>
  </si>
  <si>
    <t>Ashok Mukherjjee</t>
  </si>
  <si>
    <t>STU0984</t>
  </si>
  <si>
    <t xml:space="preserve">  Suresh Ahuja   </t>
  </si>
  <si>
    <t>STU0985</t>
  </si>
  <si>
    <t>Vishal Jani</t>
  </si>
  <si>
    <t>STU0986</t>
  </si>
  <si>
    <t>Chandan Dhanwade</t>
  </si>
  <si>
    <t>STU0987</t>
  </si>
  <si>
    <t>Sai  Kalra</t>
  </si>
  <si>
    <t>STU0988</t>
  </si>
  <si>
    <t>ESHA LALL</t>
  </si>
  <si>
    <t>STU0989</t>
  </si>
  <si>
    <t xml:space="preserve">  Harshita Trivedi   </t>
  </si>
  <si>
    <t>STU0990</t>
  </si>
  <si>
    <t>SURESH KAUSHIK</t>
  </si>
  <si>
    <t>STU0991</t>
  </si>
  <si>
    <t>vikram verma</t>
  </si>
  <si>
    <t>STU0992</t>
  </si>
  <si>
    <t>Ritika Iyer</t>
  </si>
  <si>
    <t>STU0993</t>
  </si>
  <si>
    <t>vipul jindal</t>
  </si>
  <si>
    <t>STU0994</t>
  </si>
  <si>
    <t>Shreeya Barua</t>
  </si>
  <si>
    <t>STU0995</t>
  </si>
  <si>
    <t>sonali dasari</t>
  </si>
  <si>
    <t>STU0996</t>
  </si>
  <si>
    <t>Jayantt Dasari</t>
  </si>
  <si>
    <t>STU0997</t>
  </si>
  <si>
    <t>abhishek lamba</t>
  </si>
  <si>
    <t>STU0998</t>
  </si>
  <si>
    <t>Omkar joshi</t>
  </si>
  <si>
    <t>STU0999</t>
  </si>
  <si>
    <t>Navneet Duggal</t>
  </si>
  <si>
    <t>STU1000</t>
  </si>
  <si>
    <t xml:space="preserve">  Nikhil Srivastava   </t>
  </si>
  <si>
    <t>STU1001</t>
  </si>
  <si>
    <t>STU1002</t>
  </si>
  <si>
    <t>STU1003</t>
  </si>
  <si>
    <t>STU1004</t>
  </si>
  <si>
    <t>STU1005</t>
  </si>
  <si>
    <t>STU1006</t>
  </si>
  <si>
    <t>STU1007</t>
  </si>
  <si>
    <t>STU1008</t>
  </si>
  <si>
    <t>STU1009</t>
  </si>
  <si>
    <t>STU1010</t>
  </si>
  <si>
    <t>STU1011</t>
  </si>
  <si>
    <t>STU1012</t>
  </si>
  <si>
    <t>STU1013</t>
  </si>
  <si>
    <t>STU1014</t>
  </si>
  <si>
    <t>STU1015</t>
  </si>
  <si>
    <t>STU1016</t>
  </si>
  <si>
    <t>STU1017</t>
  </si>
  <si>
    <t>STU1018</t>
  </si>
  <si>
    <t>STU1019</t>
  </si>
  <si>
    <t>STU1020</t>
  </si>
  <si>
    <t>STU1021</t>
  </si>
  <si>
    <t>STU1022</t>
  </si>
  <si>
    <t>STU1023</t>
  </si>
  <si>
    <t>STU1024</t>
  </si>
  <si>
    <t>STU1025</t>
  </si>
  <si>
    <t>STU1026</t>
  </si>
  <si>
    <t>STU1027</t>
  </si>
  <si>
    <t>STU1028</t>
  </si>
  <si>
    <t>STU1029</t>
  </si>
  <si>
    <t>STU1030</t>
  </si>
  <si>
    <t>STU1031</t>
  </si>
  <si>
    <t>STU1032</t>
  </si>
  <si>
    <t>STU1033</t>
  </si>
  <si>
    <t>STU1034</t>
  </si>
  <si>
    <t>STU1035</t>
  </si>
  <si>
    <t>STU1036</t>
  </si>
  <si>
    <t>STU1037</t>
  </si>
  <si>
    <t>STU1038</t>
  </si>
  <si>
    <t>STU1039</t>
  </si>
  <si>
    <t>STU1040</t>
  </si>
  <si>
    <t>STU1041</t>
  </si>
  <si>
    <t>STU1042</t>
  </si>
  <si>
    <t>STU1043</t>
  </si>
  <si>
    <t>STU1044</t>
  </si>
  <si>
    <t>STU1045</t>
  </si>
  <si>
    <t>STU1046</t>
  </si>
  <si>
    <t>STU1047</t>
  </si>
  <si>
    <t>STU1048</t>
  </si>
  <si>
    <t>STU1049</t>
  </si>
  <si>
    <t>STU1050</t>
  </si>
  <si>
    <t>Round Overall Effectiveness</t>
  </si>
  <si>
    <t>Garima Sinha</t>
  </si>
  <si>
    <t>Aditya Chatterjee</t>
  </si>
  <si>
    <t>Alka Rathi</t>
  </si>
  <si>
    <t>Sanjay Lall</t>
  </si>
  <si>
    <t>Dhruv Jain</t>
  </si>
  <si>
    <t>Devika Dasari</t>
  </si>
  <si>
    <t>Ishan Kathuria</t>
  </si>
  <si>
    <t>Gaurav Pillai</t>
  </si>
  <si>
    <t>Ira Ggrover</t>
  </si>
  <si>
    <t>Karan Dhawan</t>
  </si>
  <si>
    <t>Sudha Rao</t>
  </si>
  <si>
    <t>Anil Mukherjee</t>
  </si>
  <si>
    <t>Renu Kumari</t>
  </si>
  <si>
    <t>Ishita Malhotra</t>
  </si>
  <si>
    <t>Pritam Bedi</t>
  </si>
  <si>
    <t>Usha Balan</t>
  </si>
  <si>
    <t>Seema Verma</t>
  </si>
  <si>
    <t>Tanvi Khosla</t>
  </si>
  <si>
    <t>Saurabh Kaur</t>
  </si>
  <si>
    <t>Ramesh Chadha</t>
  </si>
  <si>
    <t>Krishna Mukherjee</t>
  </si>
  <si>
    <t>Pooja Tripathi</t>
  </si>
  <si>
    <t>Yash Rana</t>
  </si>
  <si>
    <t>Kavya Bansal</t>
  </si>
  <si>
    <t>Sunita Sethi</t>
  </si>
  <si>
    <t>Charul Dasari</t>
  </si>
  <si>
    <t>Abhishek Ganguly</t>
  </si>
  <si>
    <t>Madhavi Bhargava</t>
  </si>
  <si>
    <t>Ishaan Sinha</t>
  </si>
  <si>
    <t>Sanjay Dasgupta</t>
  </si>
  <si>
    <t>Yash Nandakumar</t>
  </si>
  <si>
    <t>Sameer Shukla</t>
  </si>
  <si>
    <t>Pranav Lall</t>
  </si>
  <si>
    <t>Sunita Bhargav</t>
  </si>
  <si>
    <t>Sameer Goswami</t>
  </si>
  <si>
    <t>Rajeev Malhotra</t>
  </si>
  <si>
    <t>Tushar Tyagi</t>
  </si>
  <si>
    <t>Suresh Agrawal</t>
  </si>
  <si>
    <t>Tanya Puri</t>
  </si>
  <si>
    <t>Shailesh Chatterjee</t>
  </si>
  <si>
    <t>Zara Kumar</t>
  </si>
  <si>
    <t>Aditi Kumar</t>
  </si>
  <si>
    <t>Renu Ahmed</t>
  </si>
  <si>
    <t>Ananya Sanyal</t>
  </si>
  <si>
    <t>Bhavana Ramesh</t>
  </si>
  <si>
    <t>Shraddha Ekbote</t>
  </si>
  <si>
    <t>Meera Gulati</t>
  </si>
  <si>
    <t>Preeti Oswal</t>
  </si>
  <si>
    <t>Sarika Dhawan</t>
  </si>
  <si>
    <t>Shailesh Bhateja</t>
  </si>
  <si>
    <t>Sunil Singh</t>
  </si>
  <si>
    <t>Rohan Rao</t>
  </si>
  <si>
    <t>Ramesh Ahuja</t>
  </si>
  <si>
    <t>Mahesh Tripathi</t>
  </si>
  <si>
    <t>Advik Nair</t>
  </si>
  <si>
    <t>Kiran Nathani</t>
  </si>
  <si>
    <t>Ananya Mehta</t>
  </si>
  <si>
    <t>Myra Kumar</t>
  </si>
  <si>
    <t>Sanjeev Kohir</t>
  </si>
  <si>
    <t>Zara Anand</t>
  </si>
  <si>
    <t>Manish Duggal</t>
  </si>
  <si>
    <t>Swati Saini</t>
  </si>
  <si>
    <t>Ramesh Bhargava</t>
  </si>
  <si>
    <t>Seema Kohli</t>
  </si>
  <si>
    <t>Siddharth Chatterjee</t>
  </si>
  <si>
    <t>Ashok Israni</t>
  </si>
  <si>
    <t>Priya Bose</t>
  </si>
  <si>
    <t>Vvikram Rastogi</t>
  </si>
  <si>
    <t>Hema Menon</t>
  </si>
  <si>
    <t>Riya Yadav</t>
  </si>
  <si>
    <t>Rohit Puri</t>
  </si>
  <si>
    <t>Divya Dasari</t>
  </si>
  <si>
    <t>Kavya Chatterjee</t>
  </si>
  <si>
    <t>Anirudh Chopra</t>
  </si>
  <si>
    <t>Chandan Jjain</t>
  </si>
  <si>
    <t>Sneha Bhateja</t>
  </si>
  <si>
    <t>Yogesh Marathe</t>
  </si>
  <si>
    <t>Riya Khatri</t>
  </si>
  <si>
    <t>Preeti Jani</t>
  </si>
  <si>
    <t>Yuvraj Narayan</t>
  </si>
  <si>
    <t>Manju Narayan</t>
  </si>
  <si>
    <t>Rekha Kalra</t>
  </si>
  <si>
    <t>Kiran Lamba</t>
  </si>
  <si>
    <t>Atharv Chatterjee</t>
  </si>
  <si>
    <t>Myra Khatri</t>
  </si>
  <si>
    <t>Rekha Ramesh</t>
  </si>
  <si>
    <t>Nandini Bose</t>
  </si>
  <si>
    <t>Akash Kumar</t>
  </si>
  <si>
    <t>Saurabh Kher</t>
  </si>
  <si>
    <t>Rajendra Kumar</t>
  </si>
  <si>
    <t>Tanvi Kohir</t>
  </si>
  <si>
    <t>Prerna Chatterjee</t>
  </si>
  <si>
    <t>Anil Bajaj</t>
  </si>
  <si>
    <t>Esha Malhotra</t>
  </si>
  <si>
    <t>Dinesh Singhania</t>
  </si>
  <si>
    <t>Anshul Bedi</t>
  </si>
  <si>
    <t>Charul Goel</t>
  </si>
  <si>
    <t>Sneha Das</t>
  </si>
  <si>
    <t>Devika Bhateja</t>
  </si>
  <si>
    <t>Krishna Dhawan</t>
  </si>
  <si>
    <t>Sakshi Saini</t>
  </si>
  <si>
    <t>Rajat Yadav</t>
  </si>
  <si>
    <t>Kavya Ghosh</t>
  </si>
  <si>
    <t>Hema Dhanwade</t>
  </si>
  <si>
    <t>Reyansh Rao</t>
  </si>
  <si>
    <t>Vikas Meher</t>
  </si>
  <si>
    <t>Keshav Mukherjee</t>
  </si>
  <si>
    <t>Sakshi Lall</t>
  </si>
  <si>
    <t>Avni Pandey</t>
  </si>
  <si>
    <t>Rudra Duggal</t>
  </si>
  <si>
    <t>Rajat Lall</t>
  </si>
  <si>
    <t>Anupama Mukherjee</t>
  </si>
  <si>
    <t>Varun Das</t>
  </si>
  <si>
    <t>Kavita Dewan</t>
  </si>
  <si>
    <t>Tanya Israni</t>
  </si>
  <si>
    <t>Varun Datta</t>
  </si>
  <si>
    <t>Sudha Agrawal</t>
  </si>
  <si>
    <t>Kavya Nagar</t>
  </si>
  <si>
    <t>Bhavana Kukreja</t>
  </si>
  <si>
    <t>Siddharth Patel</t>
  </si>
  <si>
    <t>Rakesh Yerramsetti</t>
  </si>
  <si>
    <t>Ajay Bhatt</t>
  </si>
  <si>
    <t>Aditi Kalra</t>
  </si>
  <si>
    <t>Sunil Chandra</t>
  </si>
  <si>
    <t>Pranav Puri</t>
  </si>
  <si>
    <t>Divya Sanyal</t>
  </si>
  <si>
    <t>Tanvi Dubey</t>
  </si>
  <si>
    <t>Shraddha Datta</t>
  </si>
  <si>
    <t>Mahesh Kaur</t>
  </si>
  <si>
    <t>Anil Bhasin</t>
  </si>
  <si>
    <t>Sameer Ahuja</t>
  </si>
  <si>
    <t>Usha Bhatt</t>
  </si>
  <si>
    <t>Ravi Mahapatra</t>
  </si>
  <si>
    <t>Jyoti Rathi</t>
  </si>
  <si>
    <t>Anshul Ahuja</t>
  </si>
  <si>
    <t>Rohan Dhanwade</t>
  </si>
  <si>
    <t>Girish Ganguly</t>
  </si>
  <si>
    <t>Sandeep Ahmed</t>
  </si>
  <si>
    <t>Aatharv Shukla</t>
  </si>
  <si>
    <t>Rajendra Sanyal</t>
  </si>
  <si>
    <t>Ashok Ahuja</t>
  </si>
  <si>
    <t>Sai Balan</t>
  </si>
  <si>
    <t>Kiara Raj</t>
  </si>
  <si>
    <t>Monika Bansal</t>
  </si>
  <si>
    <t>Deepak Kumar</t>
  </si>
  <si>
    <t>Harshita Nair</t>
  </si>
  <si>
    <t>Bhavana Ahmed</t>
  </si>
  <si>
    <t>Rudra Choubey</t>
  </si>
  <si>
    <t>Harshita Lamba</t>
  </si>
  <si>
    <t>Sai Bhargava</t>
  </si>
  <si>
    <t>Chetan Tripathi</t>
  </si>
  <si>
    <t>Sunita Joshi</t>
  </si>
  <si>
    <t>Jatin Manwani</t>
  </si>
  <si>
    <t>Pritam Hegde</t>
  </si>
  <si>
    <t>Divya Rrao</t>
  </si>
  <si>
    <t>Ishaan Ahuja</t>
  </si>
  <si>
    <t>Usha Rawat</t>
  </si>
  <si>
    <t>Esha Kaur</t>
  </si>
  <si>
    <t>Divya Agarwal</t>
  </si>
  <si>
    <t>Aadhya Mehta</t>
  </si>
  <si>
    <t>Preeti Malhotra</t>
  </si>
  <si>
    <t>Vandana Mukherjee</t>
  </si>
  <si>
    <t>Aarav Bhargava</t>
  </si>
  <si>
    <t>Sonali Choudhary</t>
  </si>
  <si>
    <t>Mahesh Manwani</t>
  </si>
  <si>
    <t>Rajat Kukreja</t>
  </si>
  <si>
    <t>Poonam Nair</t>
  </si>
  <si>
    <t>Deepali Rawat</t>
  </si>
  <si>
    <t>Naresh Malhotra</t>
  </si>
  <si>
    <t>Surbhi Pillai</t>
  </si>
  <si>
    <t>Shailesh Sahani</t>
  </si>
  <si>
    <t>Saanvi Dasgupta</t>
  </si>
  <si>
    <t>Monika Hooda</t>
  </si>
  <si>
    <t>Tushar Saxena</t>
  </si>
  <si>
    <t>Monika Bedi</t>
  </si>
  <si>
    <t>Ananya Bhateja</t>
  </si>
  <si>
    <t>Shweta Pandey</t>
  </si>
  <si>
    <t>Zara Mehta</t>
  </si>
  <si>
    <t>Rajat Vaidya</t>
  </si>
  <si>
    <t>Chandan Dewan</t>
  </si>
  <si>
    <t>Simran Verma</t>
  </si>
  <si>
    <t>Pratik Hooda</t>
  </si>
  <si>
    <t>Anil Xalxo</t>
  </si>
  <si>
    <t>Yogesh Bhargav</t>
  </si>
  <si>
    <t>Vishnu Kaushik</t>
  </si>
  <si>
    <t>Shivam Goswami</t>
  </si>
  <si>
    <t>Naveen Tyagi</t>
  </si>
  <si>
    <t>Kiara Kapoor</t>
  </si>
  <si>
    <t>Ajay Ramesh</t>
  </si>
  <si>
    <t>Bhaskar Kumari</t>
  </si>
  <si>
    <t>Ravi Goswami</t>
  </si>
  <si>
    <t>Shreya Choubey</t>
  </si>
  <si>
    <t>Siddharth Tripathi</t>
  </si>
  <si>
    <t>Sakshi Rawat</t>
  </si>
  <si>
    <t>Ajay Dhawan</t>
  </si>
  <si>
    <t>Sudeep Walia</t>
  </si>
  <si>
    <t>Naresh Marathe</t>
  </si>
  <si>
    <t>Shikha Grover</t>
  </si>
  <si>
    <t>Charul Agrawal</t>
  </si>
  <si>
    <t>Sanjeev Sahani</t>
  </si>
  <si>
    <t>Zara Jain</t>
  </si>
  <si>
    <t>Madhavi Sharma</t>
  </si>
  <si>
    <t>Rakesh Ekbote</t>
  </si>
  <si>
    <t>Rudra Mukherjee</t>
  </si>
  <si>
    <t>Omkar Tripathi</t>
  </si>
  <si>
    <t>Navneet Marwah</t>
  </si>
  <si>
    <t>Myra Sahani</t>
  </si>
  <si>
    <t>Mohit Gupta</t>
  </si>
  <si>
    <t>Surbhi Israni</t>
  </si>
  <si>
    <t>Deepali Rathi</t>
  </si>
  <si>
    <t>Bhaskar Fernandes</t>
  </si>
  <si>
    <t>Priya Pandey</t>
  </si>
  <si>
    <t>Suresh Iiyer</t>
  </si>
  <si>
    <t>Riya Bedi</t>
  </si>
  <si>
    <t>Ishaan Nathani</t>
  </si>
  <si>
    <t>Aditi Bajpai</t>
  </si>
  <si>
    <t>Rekha Kapoor</t>
  </si>
  <si>
    <t>Aadhya Kumar</t>
  </si>
  <si>
    <t>Rajeev Bbajaj</t>
  </si>
  <si>
    <t>Madhavi Lamba</t>
  </si>
  <si>
    <t>Sunil Ahluwalia</t>
  </si>
  <si>
    <t>Mukesh Bedi</t>
  </si>
  <si>
    <t>Poonam Basu</t>
  </si>
  <si>
    <t>Rohan Oswal</t>
  </si>
  <si>
    <t>Shailesh Kher</t>
  </si>
  <si>
    <t>Kavita Gulati</t>
  </si>
  <si>
    <t>Shivam Grover</t>
  </si>
  <si>
    <t>Devesh Balan</t>
  </si>
  <si>
    <t>Sarika Nandakumar</t>
  </si>
  <si>
    <t>Ramesh Grover</t>
  </si>
  <si>
    <t>Rakesh Deshmukh</t>
  </si>
  <si>
    <t>Nidhi Narayan</t>
  </si>
  <si>
    <t>Deepali Yadav</t>
  </si>
  <si>
    <t>Atharv Choubey</t>
  </si>
  <si>
    <t>Rajendra Sahgal</t>
  </si>
  <si>
    <t>Shikha Agrawal</t>
  </si>
  <si>
    <t>Sneha Rana</t>
  </si>
  <si>
    <t>Sunita Saini</t>
  </si>
  <si>
    <t>Monika Anand</t>
  </si>
  <si>
    <t>Sanchit Sahgal</t>
  </si>
  <si>
    <t>Navneet Jain</t>
  </si>
  <si>
    <t>Ritika Kohli</t>
  </si>
  <si>
    <t>Rakesh Duggal</t>
  </si>
  <si>
    <t>Charul Jain</t>
  </si>
  <si>
    <t>Anupama Nair</t>
  </si>
  <si>
    <t>Akash Grover</t>
  </si>
  <si>
    <t>Rajendra Lall</t>
  </si>
  <si>
    <t>Alok Pillai</t>
  </si>
  <si>
    <t>Dhruv Kalra</t>
  </si>
  <si>
    <t>Tarun Chatterjee</t>
  </si>
  <si>
    <t>Manju Ahuja</t>
  </si>
  <si>
    <t>Sandeep Lamba</t>
  </si>
  <si>
    <t>Amit Hooda</t>
  </si>
  <si>
    <t>Shraddha Salunkhe</t>
  </si>
  <si>
    <t>Sunil Iyengar</t>
  </si>
  <si>
    <t>Chetan Ghosh</t>
  </si>
  <si>
    <t>Yuvraj Agrawal</t>
  </si>
  <si>
    <t>Rohit Vaidya</t>
  </si>
  <si>
    <t>Manju Iyer</t>
  </si>
  <si>
    <t>Aditya Rawat</t>
  </si>
  <si>
    <t>Pari Gulati</t>
  </si>
  <si>
    <t>Sanjeev Singh</t>
  </si>
  <si>
    <t>Prakash Iyer</t>
  </si>
  <si>
    <t>Neetu Zaveri</t>
  </si>
  <si>
    <t>Deepali Sanyal</t>
  </si>
  <si>
    <t>Sanjay Choudhary</t>
  </si>
  <si>
    <t>Gaurav Anand</t>
  </si>
  <si>
    <t>Prerna Raj</t>
  </si>
  <si>
    <t>Saurabh Ekbote</t>
  </si>
  <si>
    <t>Devika Yadav</t>
  </si>
  <si>
    <t>Shailesh Bhatt</t>
  </si>
  <si>
    <t>Sameer Kumar</t>
  </si>
  <si>
    <t>Ishan Deshmukh</t>
  </si>
  <si>
    <t>Divya Chauhan</t>
  </si>
  <si>
    <t>Yuvraj Saxena</t>
  </si>
  <si>
    <t>Nandini Menon</t>
  </si>
  <si>
    <t>Ritika Singhania</t>
  </si>
  <si>
    <t>Vandana Bhasin</t>
  </si>
  <si>
    <t>Alok Srivastava</t>
  </si>
  <si>
    <t>Anil Khanna</t>
  </si>
  <si>
    <t>Deepak Bhasin</t>
  </si>
  <si>
    <t>Kiara Mukherjee</t>
  </si>
  <si>
    <t>Sneha Hooda</t>
  </si>
  <si>
    <t>Siddharth Bhargav</t>
  </si>
  <si>
    <t>Riya Bansal</t>
  </si>
  <si>
    <t>Swati Hegde</t>
  </si>
  <si>
    <t>Prakash Bose</t>
  </si>
  <si>
    <t>Gaurav Ahluwalia</t>
  </si>
  <si>
    <t>Devika Dhawan</t>
  </si>
  <si>
    <t>Zara Madhwani</t>
  </si>
  <si>
    <t>Monika Dhawan</t>
  </si>
  <si>
    <t>Hemant Jhaveri</t>
  </si>
  <si>
    <t>Ramesh Salunkhe</t>
  </si>
  <si>
    <t>Kkavya Khatri</t>
  </si>
  <si>
    <t>Kavya Jain</t>
  </si>
  <si>
    <t>Akash Xalxo</t>
  </si>
  <si>
    <t>Vipul Lall</t>
  </si>
  <si>
    <t>Alka Pillai</t>
  </si>
  <si>
    <t>Pritam Duggal</t>
  </si>
  <si>
    <t>Rakesh Chandra</t>
  </si>
  <si>
    <t>Tanvi Marwah</t>
  </si>
  <si>
    <t>Deepika Shukla</t>
  </si>
  <si>
    <t>Ira Goel</t>
  </si>
  <si>
    <t>Prerna Rathi</t>
  </si>
  <si>
    <t>Iishaan Choudhary</t>
  </si>
  <si>
    <t>Sunil Trivedi</t>
  </si>
  <si>
    <t>Aditi Agarwal</t>
  </si>
  <si>
    <t>Aadhya Deshmukh</t>
  </si>
  <si>
    <t>Myra Choudhary</t>
  </si>
  <si>
    <t>Rohan Sharma</t>
  </si>
  <si>
    <t>Swati Sharma</t>
  </si>
  <si>
    <t>Tanya Lamba</t>
  </si>
  <si>
    <t>Anamika Iyengar</t>
  </si>
  <si>
    <t>Ravi Sanyal</t>
  </si>
  <si>
    <t>Jyoti Yadav</t>
  </si>
  <si>
    <t>Nidhi Iyer</t>
  </si>
  <si>
    <t>Shailesh Tripathi</t>
  </si>
  <si>
    <t>Seema Lamba</t>
  </si>
  <si>
    <t>Diya Bhargava</t>
  </si>
  <si>
    <t>Shikha Kaushik</t>
  </si>
  <si>
    <t>Aditya Dhanwade</t>
  </si>
  <si>
    <t>Sakshi Bakshi</t>
  </si>
  <si>
    <t>Yogesh Tandon</t>
  </si>
  <si>
    <t>Amit Fernandes</t>
  </si>
  <si>
    <t>Rakesh Bajpai</t>
  </si>
  <si>
    <t>Sunil Rastogi</t>
  </si>
  <si>
    <t>Kavita Rastogi</t>
  </si>
  <si>
    <t>Ekta Joshi</t>
  </si>
  <si>
    <t>Anil Tripathi</t>
  </si>
  <si>
    <t>Saurabh Pillai</t>
  </si>
  <si>
    <t>Bhavana Pradhan</t>
  </si>
  <si>
    <t>Vikas Jani</t>
  </si>
  <si>
    <t>Preeti Vaidya</t>
  </si>
  <si>
    <t>Ishita Ahluwalia</t>
  </si>
  <si>
    <t>Esha Lamba</t>
  </si>
  <si>
    <t>Karan Iiyengar</t>
  </si>
  <si>
    <t>Tanvi Rawat</t>
  </si>
  <si>
    <t>Rohan Bedi</t>
  </si>
  <si>
    <t>Pranav Manwani</t>
  </si>
  <si>
    <t>Sudeep Choubey</t>
  </si>
  <si>
    <t>Deepak Vohra</t>
  </si>
  <si>
    <t>Shreya Uppal</t>
  </si>
  <si>
    <t>Ananya Meher</t>
  </si>
  <si>
    <t>Vishal Jindal</t>
  </si>
  <si>
    <t>Varun Tyagi</t>
  </si>
  <si>
    <t>Rajeev Zaveri</t>
  </si>
  <si>
    <t>Saanvi Agarwal</t>
  </si>
  <si>
    <t>Ritika Kapoor</t>
  </si>
  <si>
    <t>Ramesh Israni</t>
  </si>
  <si>
    <t>Yuvraj Das</t>
  </si>
  <si>
    <t>Aditi Jindal</t>
  </si>
  <si>
    <t>Sakshi Dhanwade</t>
  </si>
  <si>
    <t>Chandan Dasari</t>
  </si>
  <si>
    <t>Ayaan Chauhan</t>
  </si>
  <si>
    <t>Sudeep Ghosh</t>
  </si>
  <si>
    <t>Vinay Kher</t>
  </si>
  <si>
    <t>Chetan Deshmukh</t>
  </si>
  <si>
    <t>Mukesh Bhargava</t>
  </si>
  <si>
    <t>Renu Jain</t>
  </si>
  <si>
    <t>Sneha Malhotra</t>
  </si>
  <si>
    <t>Manju Datta</t>
  </si>
  <si>
    <t>Yogesh Nair</t>
  </si>
  <si>
    <t>Prakash Thakur</t>
  </si>
  <si>
    <t>Manish Bhateja</t>
  </si>
  <si>
    <t>Vipul Dasgupta</t>
  </si>
  <si>
    <t>Pari Sanyal</t>
  </si>
  <si>
    <t>Preeti Talwar</t>
  </si>
  <si>
    <t>Bhavana Tripathi</t>
  </si>
  <si>
    <t>Pooja Agarwal</t>
  </si>
  <si>
    <t>Devika Pandey</t>
  </si>
  <si>
    <t>Vvikas Hooda</t>
  </si>
  <si>
    <t>Aarav Oberoi</t>
  </si>
  <si>
    <t>Garima Bajaj</t>
  </si>
  <si>
    <t>Bhavna Malhotra</t>
  </si>
  <si>
    <t>Neetu Nandakumar</t>
  </si>
  <si>
    <t>Krishna Bharadwaj</t>
  </si>
  <si>
    <t>Zara Srivastava</t>
  </si>
  <si>
    <t>Sanjay Grover</t>
  </si>
  <si>
    <t>Charul Jindal</t>
  </si>
  <si>
    <t>Naresh Goel</t>
  </si>
  <si>
    <t>Dhruv Saini</t>
  </si>
  <si>
    <t>Pooja Basu</t>
  </si>
  <si>
    <t>Kabir Balan</t>
  </si>
  <si>
    <t>Simran Joshi</t>
  </si>
  <si>
    <t>Mahesh Bbhateja</t>
  </si>
  <si>
    <t>Yuvraj Kohir</t>
  </si>
  <si>
    <t>Preeti Marathe</t>
  </si>
  <si>
    <t>Manju Yerramsetti</t>
  </si>
  <si>
    <t>Sandeep Balan</t>
  </si>
  <si>
    <t>Shreya Bakshi</t>
  </si>
  <si>
    <t>Priya Dhawan</t>
  </si>
  <si>
    <t>Aadhya Choudhary</t>
  </si>
  <si>
    <t>Usha Bhargav</t>
  </si>
  <si>
    <t>Riya Rathi</t>
  </si>
  <si>
    <t>Nidhi Basu</t>
  </si>
  <si>
    <t>Rajendra Malhotra</t>
  </si>
  <si>
    <t>Rajeev Uppal</t>
  </si>
  <si>
    <t>Aarav Ganguly</t>
  </si>
  <si>
    <t>Tanvi Pradhan</t>
  </si>
  <si>
    <t>Manju Ramesh</t>
  </si>
  <si>
    <t>Garima Saxena</t>
  </si>
  <si>
    <t>Shraddha Nayar</t>
  </si>
  <si>
    <t>Seema Hegde</t>
  </si>
  <si>
    <t>Rahul Grover</t>
  </si>
  <si>
    <t>Charul Kaur</t>
  </si>
  <si>
    <t>Uday Nagar</t>
  </si>
  <si>
    <t>Pankaj Ramesh</t>
  </si>
  <si>
    <t>Vishal Dasari</t>
  </si>
  <si>
    <t>Sunita Tyagi</t>
  </si>
  <si>
    <t>Advik Nandakumar</t>
  </si>
  <si>
    <t>Ramesh Kher</t>
  </si>
  <si>
    <t>Navneet Yerramsetti</t>
  </si>
  <si>
    <t>Gaurav Khatri</t>
  </si>
  <si>
    <t>Rohan Dasari</t>
  </si>
  <si>
    <t>Shikha Manwani</t>
  </si>
  <si>
    <t>Ramesh Raj</t>
  </si>
  <si>
    <t>Harshita Iyer</t>
  </si>
  <si>
    <t>Omkar Agarwal</t>
  </si>
  <si>
    <t>Ishita Bajaj</t>
  </si>
  <si>
    <t>Vishnu Chopra</t>
  </si>
  <si>
    <t>Atharv Puri</t>
  </si>
  <si>
    <t>Tanya Khatri</t>
  </si>
  <si>
    <t>Diya Vohra</t>
  </si>
  <si>
    <t>Pankaj Vohra</t>
  </si>
  <si>
    <t>Simran Rawat</t>
  </si>
  <si>
    <t>Manju Tyagi</t>
  </si>
  <si>
    <t>Neetu Patel</t>
  </si>
  <si>
    <t>Sandeep Pradhan</t>
  </si>
  <si>
    <t>Sshreya Grover</t>
  </si>
  <si>
    <t>Sunil Sinha</t>
  </si>
  <si>
    <t>Diya Ssinha</t>
  </si>
  <si>
    <t>Suresh Marathe</t>
  </si>
  <si>
    <t>Myra Reddy</t>
  </si>
  <si>
    <t>Deepika Paul</t>
  </si>
  <si>
    <t>Shraddha Kher</t>
  </si>
  <si>
    <t>Sakshi Narayan</t>
  </si>
  <si>
    <t>Anirudh Barua</t>
  </si>
  <si>
    <t>Yuvraj Joshi</t>
  </si>
  <si>
    <t>Vandana Lamba</t>
  </si>
  <si>
    <t>Sameer Joshi</t>
  </si>
  <si>
    <t>Omkar Duggal</t>
  </si>
  <si>
    <t>Riya Ooberoi</t>
  </si>
  <si>
    <t>Ritika Jindal</t>
  </si>
  <si>
    <t>Jatin Khosla</t>
  </si>
  <si>
    <t>Meenakshi Agarwal</t>
  </si>
  <si>
    <t>Preeti Kalra</t>
  </si>
  <si>
    <t>Sudha Jhaveri</t>
  </si>
  <si>
    <t>Ritika Bhateja</t>
  </si>
  <si>
    <t>Anirudh Bakshi</t>
  </si>
  <si>
    <t>Chetan Choudhary</t>
  </si>
  <si>
    <t>Varun Kher</t>
  </si>
  <si>
    <t>Ashwin Khanna</t>
  </si>
  <si>
    <t>Sakshi Patel</t>
  </si>
  <si>
    <t>Jayant Saini</t>
  </si>
  <si>
    <t>Shraddha Narayan</t>
  </si>
  <si>
    <t>Kabir Yadav</t>
  </si>
  <si>
    <t>Pranav Iyer</t>
  </si>
  <si>
    <t>Pooja Kumari</t>
  </si>
  <si>
    <t>Chetan Lall</t>
  </si>
  <si>
    <t>Akash Bharadwaj</t>
  </si>
  <si>
    <t>Sanjay Dewan</t>
  </si>
  <si>
    <t>Ashwin Chopra</t>
  </si>
  <si>
    <t>Rajat Mukherjee</t>
  </si>
  <si>
    <t>Sudha Patel</t>
  </si>
  <si>
    <t>Poonam Kumar</t>
  </si>
  <si>
    <t>Nisha Zaveri</t>
  </si>
  <si>
    <t>Pooja Kaur</t>
  </si>
  <si>
    <t>Sudeep Kalra</t>
  </si>
  <si>
    <t>Tanya Goswami</t>
  </si>
  <si>
    <t>Kabir Goswami</t>
  </si>
  <si>
    <t>Nandini Bhasin</t>
  </si>
  <si>
    <t>Ayaan Marathe</t>
  </si>
  <si>
    <t>Tushar Verma</t>
  </si>
  <si>
    <t>Dhruv Yerramsetti</t>
  </si>
  <si>
    <t>Sanjay Kher</t>
  </si>
  <si>
    <t>Deepika Ahuja</t>
  </si>
  <si>
    <t>Tushar Rana</t>
  </si>
  <si>
    <t>Gaurav Trivedi</t>
  </si>
  <si>
    <t>Pooja Nandakumar</t>
  </si>
  <si>
    <t>Girish Bansal</t>
  </si>
  <si>
    <t>Ramesh Lamba</t>
  </si>
  <si>
    <t>Vipul Ssingh</t>
  </si>
  <si>
    <t>Anil Kalra</t>
  </si>
  <si>
    <t>Karan Bajaj</t>
  </si>
  <si>
    <t>Kavya Iyer</t>
  </si>
  <si>
    <t>Rakesh Basu</t>
  </si>
  <si>
    <t>Aditya Jhaveri</t>
  </si>
  <si>
    <t>Ananya Walia</t>
  </si>
  <si>
    <t>Usha Dhanwade</t>
  </si>
  <si>
    <t>Shreya Vohra</t>
  </si>
  <si>
    <t>Nikhil Dubey</t>
  </si>
  <si>
    <t>Devika Joshi</t>
  </si>
  <si>
    <t>Usha Ekbote</t>
  </si>
  <si>
    <t>Manju Ahluwalia</t>
  </si>
  <si>
    <t>Aditi Lall</t>
  </si>
  <si>
    <t>Yuvraj Bharadwaj</t>
  </si>
  <si>
    <t>Vandana Goswami</t>
  </si>
  <si>
    <t>Aarav Kaushik</t>
  </si>
  <si>
    <t>Ira Singhania</t>
  </si>
  <si>
    <t>Ayaan Malhotra</t>
  </si>
  <si>
    <t>Rahul Iiyengar</t>
  </si>
  <si>
    <t>Priya Iyengar</t>
  </si>
  <si>
    <t>Reyansh Singhania</t>
  </si>
  <si>
    <t>Naveen Kalra</t>
  </si>
  <si>
    <t>Priya Rawat</t>
  </si>
  <si>
    <t>Dhruv Goel</t>
  </si>
  <si>
    <t>Aarav Khanna</t>
  </si>
  <si>
    <t>Rahul Lamba</t>
  </si>
  <si>
    <t>Sanjay Jhaveri</t>
  </si>
  <si>
    <t>Tanvi Anand</t>
  </si>
  <si>
    <t>Jatin Dewan</t>
  </si>
  <si>
    <t>Siddharth Kaushik</t>
  </si>
  <si>
    <t>Pratik Chauhan</t>
  </si>
  <si>
    <t>Monika Vohra</t>
  </si>
  <si>
    <t>Anika Nair</t>
  </si>
  <si>
    <t>Tanvi Basu</t>
  </si>
  <si>
    <t>Nisha Rana</t>
  </si>
  <si>
    <t>Ravi Israni</t>
  </si>
  <si>
    <t>Divya Khosla</t>
  </si>
  <si>
    <t>Vikram Lall</t>
  </si>
  <si>
    <t>Aashwin Nayar</t>
  </si>
  <si>
    <t>Ishaan Bhargav</t>
  </si>
  <si>
    <t>Aditya Rana</t>
  </si>
  <si>
    <t>Rahul Saxena</t>
  </si>
  <si>
    <t>Sameer Reddy</t>
  </si>
  <si>
    <t>Shivam Sinha</t>
  </si>
  <si>
    <t>Seema Bbharadwaj</t>
  </si>
  <si>
    <t>Garima Jhaveri</t>
  </si>
  <si>
    <t>Kavya Das</t>
  </si>
  <si>
    <t>Rudra Israni</t>
  </si>
  <si>
    <t>Garima Paul</t>
  </si>
  <si>
    <t>Neetu Sahani</t>
  </si>
  <si>
    <t>Suresh Walia</t>
  </si>
  <si>
    <t>Rohan Jani</t>
  </si>
  <si>
    <t>Sonali Chandra</t>
  </si>
  <si>
    <t>Shweta Bhargava</t>
  </si>
  <si>
    <t>Anjali Trivedi</t>
  </si>
  <si>
    <t>Kavya Srivastava</t>
  </si>
  <si>
    <t>Divya Joshi</t>
  </si>
  <si>
    <t>Ishaan Rawat</t>
  </si>
  <si>
    <t>Poonam Yadav</t>
  </si>
  <si>
    <t>Nikhil Chandra</t>
  </si>
  <si>
    <t>Aarav Kathuria</t>
  </si>
  <si>
    <t>Harshita Bose</t>
  </si>
  <si>
    <t>Vinay Sehgal</t>
  </si>
  <si>
    <t>Tanvi Marathe</t>
  </si>
  <si>
    <t>Varun Rathi</t>
  </si>
  <si>
    <t>Sanchit Trivedi</t>
  </si>
  <si>
    <t>Abhishek Bajaj</t>
  </si>
  <si>
    <t>Simran Singh</t>
  </si>
  <si>
    <t>Rajat Bhatt</t>
  </si>
  <si>
    <t>Yogesh Chauhan</t>
  </si>
  <si>
    <t>Kunal Puri</t>
  </si>
  <si>
    <t>Sudha Kumari</t>
  </si>
  <si>
    <t>Renu Jhaveri</t>
  </si>
  <si>
    <t>Saanvi Ghosh</t>
  </si>
  <si>
    <t>Ffalguni Nathani</t>
  </si>
  <si>
    <t>Naveen Bajpai</t>
  </si>
  <si>
    <t>Sunita Bajaj</t>
  </si>
  <si>
    <t>Kunal Chauhan</t>
  </si>
  <si>
    <t>Tanya Sinha</t>
  </si>
  <si>
    <t>Aditya Agarwal</t>
  </si>
  <si>
    <t>Prerna Khosla</t>
  </si>
  <si>
    <t>Anjali Vohra</t>
  </si>
  <si>
    <t>Ananya Grover</t>
  </si>
  <si>
    <t>Rakesh Dasgupta</t>
  </si>
  <si>
    <t>Devesh Bakshi</t>
  </si>
  <si>
    <t>Navneet Jani</t>
  </si>
  <si>
    <t>Shreya Verma</t>
  </si>
  <si>
    <t>Chetan Ahluwalia</t>
  </si>
  <si>
    <t>Siddharth Ahmed</t>
  </si>
  <si>
    <t>Advik Nagar</t>
  </si>
  <si>
    <t>Kiran Lall</t>
  </si>
  <si>
    <t>Tanya Bhargava</t>
  </si>
  <si>
    <t>Vishnu Rathi</t>
  </si>
  <si>
    <t>Madhavi Choubey</t>
  </si>
  <si>
    <t>Gaurav Bhatt</t>
  </si>
  <si>
    <t>Sneha Sanyal</t>
  </si>
  <si>
    <t>Mahesh Marwah</t>
  </si>
  <si>
    <t>Anjali Deshmukh</t>
  </si>
  <si>
    <t>Shraddha Jindal</t>
  </si>
  <si>
    <t>Ashok Tandon</t>
  </si>
  <si>
    <t>Sunita Mishra</t>
  </si>
  <si>
    <t>Sanchit Dhawan</t>
  </si>
  <si>
    <t>Avni Saini</t>
  </si>
  <si>
    <t>Abhishek Meher</t>
  </si>
  <si>
    <t>Sonali Lamba</t>
  </si>
  <si>
    <t>Aadhya Nathani</t>
  </si>
  <si>
    <t>Pari Hegde</t>
  </si>
  <si>
    <t>Bhaskar Chopra</t>
  </si>
  <si>
    <t>Swati Bhatt</t>
  </si>
  <si>
    <t>Ishaan Reddy</t>
  </si>
  <si>
    <t>Shreya Kohir</t>
  </si>
  <si>
    <t>Mukesh Nagar</t>
  </si>
  <si>
    <t>Shweta Rawat</t>
  </si>
  <si>
    <t>Kiara Das</t>
  </si>
  <si>
    <t>Anil Bose</t>
  </si>
  <si>
    <t>Rudra Pandey</t>
  </si>
  <si>
    <t>Riya Barua</t>
  </si>
  <si>
    <t>Rajeev Dubey</t>
  </si>
  <si>
    <t>Tarun Chauhan</t>
  </si>
  <si>
    <t>Varun Nnathani</t>
  </si>
  <si>
    <t>Rohan Marwah</t>
  </si>
  <si>
    <t>Sanchit Kohir</t>
  </si>
  <si>
    <t>Rajeev Jain</t>
  </si>
  <si>
    <t>Neha Mukherjee</t>
  </si>
  <si>
    <t>Sunil Marwah</t>
  </si>
  <si>
    <t>Ira Qureshi</t>
  </si>
  <si>
    <t>Vikram Singh</t>
  </si>
  <si>
    <t>Bhavna Bhateja</t>
  </si>
  <si>
    <t>Varun Saxena</t>
  </si>
  <si>
    <t>Ttanya Trivedi</t>
  </si>
  <si>
    <t>Aadhya Raj</t>
  </si>
  <si>
    <t>Advik Kumar</t>
  </si>
  <si>
    <t>Ffalguni Srivastava</t>
  </si>
  <si>
    <t>Mmukesh Sahgal</t>
  </si>
  <si>
    <t>Sandeep Chandra</t>
  </si>
  <si>
    <t>Surbhi Sanyal</t>
  </si>
  <si>
    <t>Kunal Lall</t>
  </si>
  <si>
    <t>Kunal Malhotra</t>
  </si>
  <si>
    <t>Bhavana Meher</t>
  </si>
  <si>
    <t>Priya Kher</t>
  </si>
  <si>
    <t>Sunita Israni</t>
  </si>
  <si>
    <t>Neetu Kohir</t>
  </si>
  <si>
    <t>Vishal Saxena</t>
  </si>
  <si>
    <t>Rajeev Patel</t>
  </si>
  <si>
    <t>Vvikas Nayar</t>
  </si>
  <si>
    <t>Anjali Ahuja</t>
  </si>
  <si>
    <t>Kavita Bajaj</t>
  </si>
  <si>
    <t>Uday Khosla</t>
  </si>
  <si>
    <t>Saanvi Narayan</t>
  </si>
  <si>
    <t>Rakesh Zaveri</t>
  </si>
  <si>
    <t>Krishna Bakshi</t>
  </si>
  <si>
    <t>Kavya Singhania</t>
  </si>
  <si>
    <t>Nikhil Duggal</t>
  </si>
  <si>
    <t>Shweta Ghosh</t>
  </si>
  <si>
    <t>Pranav Bhatt</t>
  </si>
  <si>
    <t>Aditya Basu</t>
  </si>
  <si>
    <t>Bhaskar Nathani</t>
  </si>
  <si>
    <t>Ramesh Deshmukh</t>
  </si>
  <si>
    <t>Girish Nathani</t>
  </si>
  <si>
    <t>Anjali Barua</t>
  </si>
  <si>
    <t>Vandana Yerramsetti</t>
  </si>
  <si>
    <t>Bhaskar Pillai</t>
  </si>
  <si>
    <t>Akash Pillai</t>
  </si>
  <si>
    <t>Usha Rastogi</t>
  </si>
  <si>
    <t>Sandeep Shukla</t>
  </si>
  <si>
    <t>Vinay Vohra</t>
  </si>
  <si>
    <t>Swati Das</t>
  </si>
  <si>
    <t>Sudha Singh</t>
  </si>
  <si>
    <t>Naveen Qureshi</t>
  </si>
  <si>
    <t>Tanvi Bhatt</t>
  </si>
  <si>
    <t>Ishita Pandey</t>
  </si>
  <si>
    <t>Nandini Bajaj</t>
  </si>
  <si>
    <t>Vishal Marathe</t>
  </si>
  <si>
    <t>Sudeep Iyer</t>
  </si>
  <si>
    <t>Dhruv Bansal</t>
  </si>
  <si>
    <t>Sandeep Barua</t>
  </si>
  <si>
    <t>Nandini Rawat</t>
  </si>
  <si>
    <t>Tarun Duggal</t>
  </si>
  <si>
    <t>Dhruv Anand</t>
  </si>
  <si>
    <t>Kavya Agrawal</t>
  </si>
  <si>
    <t>Sunil Dhanwade</t>
  </si>
  <si>
    <t>Ishaan Balan</t>
  </si>
  <si>
    <t>Prerna Iyengar</t>
  </si>
  <si>
    <t>Ravi Sharma</t>
  </si>
  <si>
    <t>Atharv Mahapatra</t>
  </si>
  <si>
    <t>Divya Sahgal</t>
  </si>
  <si>
    <t>Reyansh Iyengar</t>
  </si>
  <si>
    <t>Alka Choubey</t>
  </si>
  <si>
    <t>Rekha Qureshi</t>
  </si>
  <si>
    <t>Arjun Manwani</t>
  </si>
  <si>
    <t>Sonali Bhatt</t>
  </si>
  <si>
    <t>Vandana Rastogi</t>
  </si>
  <si>
    <t>Pratik Fernandes</t>
  </si>
  <si>
    <t>Ravi Joshi</t>
  </si>
  <si>
    <t>Surbhi Rao</t>
  </si>
  <si>
    <t>Aarav Vaidya</t>
  </si>
  <si>
    <t>Hema Bedi</t>
  </si>
  <si>
    <t>Reyansh Chadha</t>
  </si>
  <si>
    <t>Ravi Lall</t>
  </si>
  <si>
    <t>Kavya Sethi</t>
  </si>
  <si>
    <t>Ravi Chatterjee</t>
  </si>
  <si>
    <t>Pooja Marwah</t>
  </si>
  <si>
    <t>Vvishal Lall</t>
  </si>
  <si>
    <t>Sameer Agarwal</t>
  </si>
  <si>
    <t>Kiran Madhwani</t>
  </si>
  <si>
    <t>Bhavna Basu</t>
  </si>
  <si>
    <t>Sunita Bbedi</t>
  </si>
  <si>
    <t>Vandana Xalxo</t>
  </si>
  <si>
    <t>Karan Anand</t>
  </si>
  <si>
    <t>Kavita Mukherjee</t>
  </si>
  <si>
    <t>Devesh Bansal</t>
  </si>
  <si>
    <t>Devika Verma</t>
  </si>
  <si>
    <t>Aayaan Bhargava</t>
  </si>
  <si>
    <t>Charu Marathe</t>
  </si>
  <si>
    <t>Nnidhi Ganguly</t>
  </si>
  <si>
    <t>Suresh Ahuja</t>
  </si>
  <si>
    <t>Sai Kalra</t>
  </si>
  <si>
    <t>Esha Lall</t>
  </si>
  <si>
    <t>Harshita Trivedi</t>
  </si>
  <si>
    <t>Suresh Kaushik</t>
  </si>
  <si>
    <t>Vikram Verma</t>
  </si>
  <si>
    <t>Vipul Jindal</t>
  </si>
  <si>
    <t>Sonali Dasari</t>
  </si>
  <si>
    <t>Abhishek Lamba</t>
  </si>
  <si>
    <t>Omkar Joshi</t>
  </si>
  <si>
    <t>Nikhil Srivastava</t>
  </si>
  <si>
    <t>Neetu Mondal</t>
  </si>
  <si>
    <t>Divya Kumari</t>
  </si>
  <si>
    <t>Engagement (Gamification %)</t>
  </si>
  <si>
    <t>Engagement (Non-Gamification %)</t>
  </si>
  <si>
    <t>Motivation (Gamification %)</t>
  </si>
  <si>
    <t>Motivation (Non-Gamification %)</t>
  </si>
  <si>
    <t>Participation (Gamification %)</t>
  </si>
  <si>
    <t>Participation (Non-Gamification %)</t>
  </si>
  <si>
    <t>Learning Outcomes (Gamification %)</t>
  </si>
  <si>
    <t>Learning Outcomes (Non-Gamification %)</t>
  </si>
  <si>
    <t>Metric</t>
  </si>
  <si>
    <t>Gamification Impact (%)</t>
  </si>
  <si>
    <t>Non-Gamification Impact (%)</t>
  </si>
  <si>
    <t>Engagement</t>
  </si>
  <si>
    <t>Motivation</t>
  </si>
  <si>
    <t>Participation</t>
  </si>
  <si>
    <t>Learning Outcomes</t>
  </si>
  <si>
    <t>Teacher ID</t>
  </si>
  <si>
    <t>Teacher Name</t>
  </si>
  <si>
    <t>Specialization</t>
  </si>
  <si>
    <t>Teaching Method</t>
  </si>
  <si>
    <t>Subject</t>
  </si>
  <si>
    <t>Experience (Years)</t>
  </si>
  <si>
    <t>T001</t>
  </si>
  <si>
    <t>Dr. Ananya Sharma</t>
  </si>
  <si>
    <t>Computer Science</t>
  </si>
  <si>
    <t>Lectures</t>
  </si>
  <si>
    <t>Data Structures</t>
  </si>
  <si>
    <t>T002</t>
  </si>
  <si>
    <t>Prof. Rajesh Mukherjee</t>
  </si>
  <si>
    <t>Artificial Intelligence</t>
  </si>
  <si>
    <t>Case Studies</t>
  </si>
  <si>
    <t>Machine Learning</t>
  </si>
  <si>
    <t>T003</t>
  </si>
  <si>
    <t>Dr. Priya Nair</t>
  </si>
  <si>
    <t>Software Engineering</t>
  </si>
  <si>
    <t>Group Projects</t>
  </si>
  <si>
    <t>T004</t>
  </si>
  <si>
    <t>Prof. Amit Chatterjee</t>
  </si>
  <si>
    <t>Data Science</t>
  </si>
  <si>
    <t>Online Tutorials</t>
  </si>
  <si>
    <t>Data Analytics</t>
  </si>
  <si>
    <t>T005</t>
  </si>
  <si>
    <t>Dr. Sneha Iyer</t>
  </si>
  <si>
    <t>Cyber Security</t>
  </si>
  <si>
    <t>Experiments</t>
  </si>
  <si>
    <t>T006</t>
  </si>
  <si>
    <t>Prof. Vikram Gupta</t>
  </si>
  <si>
    <t>Database Systems</t>
  </si>
  <si>
    <t>DBMS</t>
  </si>
  <si>
    <t>T007</t>
  </si>
  <si>
    <t>Dr. Meera Kapoor</t>
  </si>
  <si>
    <t>T008</t>
  </si>
  <si>
    <t>Prof. Karan Bose</t>
  </si>
  <si>
    <t>Cloud Computing</t>
  </si>
  <si>
    <t>T009</t>
  </si>
  <si>
    <t>Dr. Nandini Das</t>
  </si>
  <si>
    <t>Networking</t>
  </si>
  <si>
    <t>Computer Networks</t>
  </si>
  <si>
    <t>T010</t>
  </si>
  <si>
    <t>Prof. Rahul Singh</t>
  </si>
  <si>
    <t>Operating Systems</t>
  </si>
  <si>
    <t>T011</t>
  </si>
  <si>
    <t>Dr. Arjun Sen</t>
  </si>
  <si>
    <t>T012</t>
  </si>
  <si>
    <t>Prof. Neha Verma</t>
  </si>
  <si>
    <t>T013</t>
  </si>
  <si>
    <t>Dr. Rohan Dutta</t>
  </si>
  <si>
    <t>T014</t>
  </si>
  <si>
    <t>Prof. Kavita Rao</t>
  </si>
  <si>
    <t>T015</t>
  </si>
  <si>
    <t>Dr. Sandeep Roy</t>
  </si>
  <si>
    <t>Gender</t>
  </si>
  <si>
    <t>Age</t>
  </si>
  <si>
    <t>Age Band</t>
  </si>
  <si>
    <t>Best Method (Effectiveness)</t>
  </si>
  <si>
    <t>Best Method (Engagement)</t>
  </si>
  <si>
    <t>Teachers Count - Best Method</t>
  </si>
  <si>
    <t>Example Teacher - Best Method</t>
  </si>
  <si>
    <t>Female</t>
  </si>
  <si>
    <t>Male</t>
  </si>
  <si>
    <t>Survey Analysis – Executive KPI Summary</t>
  </si>
  <si>
    <t>Learning Effectiveness &amp; Engagement Overview</t>
  </si>
  <si>
    <t>Value</t>
  </si>
  <si>
    <t>Total Students</t>
  </si>
  <si>
    <t>Average Overall Effectiveness</t>
  </si>
  <si>
    <t>Average Overall Engagement</t>
  </si>
  <si>
    <t>Highest Overall Effectiveness</t>
  </si>
  <si>
    <t>Lowest Overall Effectiveness</t>
  </si>
  <si>
    <t>Highest Overall Engagement</t>
  </si>
  <si>
    <t>Lowest Overall Engagement</t>
  </si>
  <si>
    <t>Students with Overall Effectiveness ≥ 4</t>
  </si>
  <si>
    <t>Students with Overall Engagement ≥ 4</t>
  </si>
  <si>
    <t>Gamification Impact</t>
  </si>
  <si>
    <t>Average Gamification Engagement</t>
  </si>
  <si>
    <t>Average Non-Gamification Engagement</t>
  </si>
  <si>
    <t>Average Gamification Motivation</t>
  </si>
  <si>
    <t>Average Non-Gamification Motivation</t>
  </si>
  <si>
    <t>Average Gamification Participation</t>
  </si>
  <si>
    <t>Average Non-Gamification Participation</t>
  </si>
  <si>
    <t>Average Gamification Learning Outcomes</t>
  </si>
  <si>
    <t>Average Non-Gamification Learning Outcomes</t>
  </si>
  <si>
    <t>Gamification Lift - Engagement (pts)</t>
  </si>
  <si>
    <t>Gamification Lift - Motivation (pts)</t>
  </si>
  <si>
    <t>Gamification Lift - Participation (pts)</t>
  </si>
  <si>
    <t>Gamification Lift - Learning Outcomes (pts)</t>
  </si>
  <si>
    <t>Overall Gamification Impact Score (Avg Lift, pts)</t>
  </si>
  <si>
    <t>Correlation &amp; Best Teaching Method</t>
  </si>
  <si>
    <t>Correlation: Effectiveness vs Engagement</t>
  </si>
  <si>
    <t>Best Teaching Method (by Effectiveness)</t>
  </si>
  <si>
    <t>Best Teaching Method (by Engagement)</t>
  </si>
  <si>
    <t>Student KPIs</t>
  </si>
  <si>
    <t>Average Age</t>
  </si>
  <si>
    <t>Highest Age</t>
  </si>
  <si>
    <t>Teaching KPIs</t>
  </si>
  <si>
    <t>Average Lecture Effectiveness</t>
  </si>
  <si>
    <t>Average Case Study Effectiveness</t>
  </si>
  <si>
    <t>Average Group Project Effectiveness</t>
  </si>
  <si>
    <t>Average Experiments Effectiveness</t>
  </si>
  <si>
    <t>Average Online Titorial Effectiveness</t>
  </si>
  <si>
    <t>Engagement KPIs</t>
  </si>
  <si>
    <t>Average Lecture Engagement</t>
  </si>
  <si>
    <t>Average Case Study Engagement</t>
  </si>
  <si>
    <t>Average Group Project Engagement</t>
  </si>
  <si>
    <t>Average Experiments Engagement</t>
  </si>
  <si>
    <t>Average Online Tutorial Engagement</t>
  </si>
  <si>
    <t>Gamification KPIs</t>
  </si>
  <si>
    <t>Avg Gamification Engagement</t>
  </si>
  <si>
    <t>Avg Non-Gamification Engagement</t>
  </si>
  <si>
    <t>Avg Gamification Motivation</t>
  </si>
  <si>
    <t>Avg Non-Gamification Motivation</t>
  </si>
  <si>
    <t>Avg Gamification Participation</t>
  </si>
  <si>
    <t>Avg Non-Gamification Participation</t>
  </si>
  <si>
    <t>Avg Learning Outcomes (Gamification)</t>
  </si>
  <si>
    <t>Avg Learning Outcomes (Non-Gamification)</t>
  </si>
  <si>
    <t>Teacher KPIs</t>
  </si>
  <si>
    <t>Total Teachers</t>
  </si>
  <si>
    <t>Most Experienced Teacher</t>
  </si>
  <si>
    <t>Average Experience</t>
  </si>
  <si>
    <t>Number of Teachers per Teaching Method</t>
  </si>
  <si>
    <t>Teacher Count</t>
  </si>
  <si>
    <t xml:space="preserve">  Total Students</t>
  </si>
  <si>
    <t xml:space="preserve">  Male Students</t>
  </si>
  <si>
    <t xml:space="preserve">  Female Students</t>
  </si>
  <si>
    <t xml:space="preserve">  Lowest Age</t>
  </si>
  <si>
    <t>Row Labels</t>
  </si>
  <si>
    <t>Grand Total</t>
  </si>
  <si>
    <t>Count of Student ID</t>
  </si>
  <si>
    <t>Column Labels</t>
  </si>
  <si>
    <t>Performance Tier</t>
  </si>
  <si>
    <t>Total Average of Overall Effectiveness</t>
  </si>
  <si>
    <t>Average of Overall Effectiveness</t>
  </si>
  <si>
    <t>Total Average of Overall Engagement</t>
  </si>
  <si>
    <t>Average of Overall Engagement</t>
  </si>
  <si>
    <t>Engagement Lift</t>
  </si>
  <si>
    <t>Motivation Lift</t>
  </si>
  <si>
    <t>Participation Lift</t>
  </si>
  <si>
    <t>Learning Outcomes Lift</t>
  </si>
  <si>
    <t>Average of Engagement Lift</t>
  </si>
  <si>
    <t>Average of Motivation Lift</t>
  </si>
  <si>
    <t>Average of Participation Lift</t>
  </si>
  <si>
    <t>Average of Learning Outcomes Lift</t>
  </si>
  <si>
    <t>Count of Student Name</t>
  </si>
  <si>
    <t>High</t>
  </si>
  <si>
    <t>Low</t>
  </si>
  <si>
    <t>Medium</t>
  </si>
  <si>
    <t>Experience Band</t>
  </si>
  <si>
    <t>Count of Teacher ID</t>
  </si>
  <si>
    <t>Mid</t>
  </si>
  <si>
    <t>Senior</t>
  </si>
  <si>
    <t>Effectiveness &amp; Engagement by Age Band × Gender</t>
  </si>
  <si>
    <t xml:space="preserve"> Gamification Lift by Age Band (pts)</t>
  </si>
  <si>
    <t>Gamification Lift by Gender (pts)</t>
  </si>
  <si>
    <t>Effectiveness Rating Distribution</t>
  </si>
  <si>
    <t>Best by Effectiveness (Count)</t>
  </si>
  <si>
    <t>Best by Engagement (Count)</t>
  </si>
  <si>
    <t>Best Teaching Method Popularity by Engagement</t>
  </si>
  <si>
    <t>Best Teaching Method Popularity by Effectiveness</t>
  </si>
  <si>
    <t>Gamification Lift by Performance Tier (pts)</t>
  </si>
  <si>
    <t>Teacher Count by Experience Band x Teaching Method</t>
  </si>
  <si>
    <t>Average of Gamification Impact (%)</t>
  </si>
  <si>
    <t>Average of Non-Gamification Impact (%)</t>
  </si>
  <si>
    <t>Gamification vs Non-Gamification Impact</t>
  </si>
  <si>
    <t>Students per Teacher by Method (Demand Pressure)</t>
  </si>
  <si>
    <t>Gender Split</t>
  </si>
  <si>
    <t>Rank</t>
  </si>
  <si>
    <t>Method</t>
  </si>
  <si>
    <t>Experience (yrs)</t>
  </si>
  <si>
    <t>Today's Date</t>
  </si>
  <si>
    <t>Total Teaching Method</t>
  </si>
  <si>
    <t>Student Survey Research Dashboard – Home</t>
  </si>
  <si>
    <t>A complete survey analytics project: data cleaning, KPI analysis, pivot tables and an interactive dashboard covering 1,002 students, 15 teachers, 5 teaching methods and gamification impact.</t>
  </si>
  <si>
    <t>Quick Navigation – Click Any Link Below</t>
  </si>
  <si>
    <t>Full documentation: data cleaning, formulas, KPI &amp; metric glossary</t>
  </si>
  <si>
    <t>Interactive dashboard – KPI cards, charts &amp; slicers</t>
  </si>
  <si>
    <t>Executive KPI summary &amp; live Top-5 Teacher ranking</t>
  </si>
  <si>
    <t>Detailed KPI breakdown: Student, Teaching, Engagement, Gamification, Teacher</t>
  </si>
  <si>
    <t>Core Data Tables</t>
  </si>
  <si>
    <t>Master merged dataset – 1,002 students × 35 columns (single source of truth)</t>
  </si>
  <si>
    <t>15 teachers with method, subject, experience &amp; performance tier</t>
  </si>
  <si>
    <t>Gamification vs non-gamification summary (4 metrics)</t>
  </si>
  <si>
    <t>Pivot Tables &amp; Charts</t>
  </si>
  <si>
    <t>Pivot: average impact % by metric</t>
  </si>
  <si>
    <t>Pivot: teacher count by experience band × teaching method</t>
  </si>
  <si>
    <t>Pivot: teacher count by teaching method</t>
  </si>
  <si>
    <t>Pivot: student count by gender</t>
  </si>
  <si>
    <t>Pivot: gamification lift by performance tier</t>
  </si>
  <si>
    <t>Pivot: student demand pressure by teaching method</t>
  </si>
  <si>
    <t>Pivot: effectiveness &amp; engagement by age band × gender</t>
  </si>
  <si>
    <t>Pivot: gamification lift by age band</t>
  </si>
  <si>
    <t>Pivot: gamification lift by gender</t>
  </si>
  <si>
    <t>Pivot: histogram of effectiveness ratings</t>
  </si>
  <si>
    <t>Pivot: best-method popularity by effectiveness</t>
  </si>
  <si>
    <t>Pivot: best-method popularity by engagement</t>
  </si>
  <si>
    <t>Raw &amp; Cleaned Data</t>
  </si>
  <si>
    <t>Original survey export (contains whitespace issues)</t>
  </si>
  <si>
    <t>Whitespace-trimmed version used downstream</t>
  </si>
  <si>
    <t>Original gamification survey export</t>
  </si>
  <si>
    <t>Project Instructions &amp; Data Dictionary</t>
  </si>
  <si>
    <t>1. Project Overview</t>
  </si>
  <si>
    <t>This workbook analyzes a survey of 1,002 students across 5 teaching methods (Lectures, Case Studies, Group Projects, Experiments, Online Tutorials) delivered by 15 teachers, measuring Effectiveness and Engagement, and comparing outcomes with vs. without gamification. The project flow is: Raw Data → Cleaned Data → Master_Data (merged + enriched) → Analysis / KPI Analysis → Pivot Tables &amp; Charts → Dashboard.</t>
  </si>
  <si>
    <t>2. Data Cleaning Steps</t>
  </si>
  <si>
    <t>Step</t>
  </si>
  <si>
    <t>Action Taken</t>
  </si>
  <si>
    <t>Why</t>
  </si>
  <si>
    <t>Raw Student Data → Clean Student Data</t>
  </si>
  <si>
    <t>Trimmed leading/trailing whitespace from Student Name (e.g. "  Garima Sinha   " → "Garima Sinha")</t>
  </si>
  <si>
    <t>Ensures names match exactly for lookups into Master_Data</t>
  </si>
  <si>
    <t>Raw Gamification Data → Clean Gamification Data</t>
  </si>
  <si>
    <t>Same whitespace trim applied to Student Name</t>
  </si>
  <si>
    <t>Required so INDEX/MATCH lookups in Master_Data find every student</t>
  </si>
  <si>
    <t>Clean Student Data</t>
  </si>
  <si>
    <t>Added "Round Overall Effectiveness" column</t>
  </si>
  <si>
    <t>Rounded value used for cleaner display/reporting</t>
  </si>
  <si>
    <t>3. Master_Data (Table1) – Columns Added &amp; Formulas Used</t>
  </si>
  <si>
    <t>Column</t>
  </si>
  <si>
    <t>Formula Used</t>
  </si>
  <si>
    <t>Purpose</t>
  </si>
  <si>
    <t>=IF(Age&lt;=22,"20-22",IF(Age&lt;=25,"23-25",IF(Age&lt;=28,"26-28","29-30")))</t>
  </si>
  <si>
    <t>Buckets student age into 4 bands for segmentation &amp; slicers</t>
  </si>
  <si>
    <t>Engagement/Motivation/Participation/Learning Outcomes (Gamification % &amp; Non-Gamification %) – 8 columns</t>
  </si>
  <si>
    <t>=IFERROR(INDEX('Clean Gamification Data'!col,MATCH(Name,...,0)),"Not Found")</t>
  </si>
  <si>
    <t>Pulls each student's gamification survey results by name (replaces an original XLOOKUP for cross-Excel-version compatibility)</t>
  </si>
  <si>
    <t>Engagement / Motivation / Participation / Learning Outcomes Lift – 4 columns</t>
  </si>
  <si>
    <t>=[Gamification %] - [Non-Gamification %]</t>
  </si>
  <si>
    <t>Point-gain from gamification per student, per metric</t>
  </si>
  <si>
    <t>=IF(Overall Effectiveness&lt;3.9,"Low",IF(&lt;4.2,"Medium","High"))</t>
  </si>
  <si>
    <t>3-tier segmentation used across pivots and as a slicer</t>
  </si>
  <si>
    <t>=CHOOSE(MATCH(MAX(5 effectiveness cols),...,0),"Lectures",...)</t>
  </si>
  <si>
    <t>The teaching method each student rated highest for effectiveness</t>
  </si>
  <si>
    <t>=CHOOSE(MATCH(MAX(5 engagement cols),...,0),"Lectures",...)</t>
  </si>
  <si>
    <t>The teaching method each student rated highest for engagement</t>
  </si>
  <si>
    <t>=COUNTIF(Teacher_Master Teaching Method, Best Method)</t>
  </si>
  <si>
    <t>How many teachers teach that student's top method</t>
  </si>
  <si>
    <t>=INDEX(Teacher_Master Name, MATCH(Best Method, Teaching Method,0))</t>
  </si>
  <si>
    <t>A sample teacher name for that method</t>
  </si>
  <si>
    <t>4. Teacher_Master (Table4) – Columns Added</t>
  </si>
  <si>
    <t>=IF(Experience&lt;8,"Junior",IF(&lt;12,"Mid","Senior"))</t>
  </si>
  <si>
    <t>Quick experience-based grouping</t>
  </si>
  <si>
    <t>=IF(Experience&lt;8,"Junior",IF(&lt;=12,"Mid","Senior"))</t>
  </si>
  <si>
    <t>Used as the row/column field in Teacher pivot tables &amp; slicers</t>
  </si>
  <si>
    <t>5. Analysis &amp; KPI Analysis Sheets</t>
  </si>
  <si>
    <t>KPI Analysis aggregates five categories – Student KPIs, Teaching KPIs, Engagement KPIs, Gamification KPIs, Teacher KPIs – using AVERAGE, AVERAGEIFS, COUNTIF, MAX, MIN and INDEX/MATCH formulas referencing Master_Data (Table1) and Teacher_Master (Table4).</t>
  </si>
  <si>
    <t>Analysis condenses these into an Executive KPI Summary: effectiveness/engagement overview, gamification impact &amp; lift, a CORREL() check between effectiveness and engagement, the best teaching method, and a live Top-5 Teachers by Experience ranking (via LARGE + INDEX/MATCH against Teacher_Master).</t>
  </si>
  <si>
    <t>6. Pivot Tables &amp; Slicers</t>
  </si>
  <si>
    <t>Pivot Sheet</t>
  </si>
  <si>
    <t>What It Shows</t>
  </si>
  <si>
    <t>Gamification &amp; Non-Gamification</t>
  </si>
  <si>
    <t>Average impact % by metric (Engagement, Motivation, Participation, Learning Outcomes)</t>
  </si>
  <si>
    <t>Teacher count by Experience Band × Teaching Method</t>
  </si>
  <si>
    <t>Teacher count by Teaching Method</t>
  </si>
  <si>
    <t>Student count by Gender</t>
  </si>
  <si>
    <t>Gamification Lift(Performance)</t>
  </si>
  <si>
    <t>Average gamification lift (4 metrics) by Performance Tier</t>
  </si>
  <si>
    <t>Students per Teacher</t>
  </si>
  <si>
    <t>Student count (demand) by Teaching Method</t>
  </si>
  <si>
    <t>Effectiveness &amp; Engagement</t>
  </si>
  <si>
    <t>Gamification Lift(Age)</t>
  </si>
  <si>
    <t>Average gamification lift by Age Band</t>
  </si>
  <si>
    <t>Gamification Lift(Gender)</t>
  </si>
  <si>
    <t>Average gamification lift by Gender</t>
  </si>
  <si>
    <t>Effectiveness Distribution</t>
  </si>
  <si>
    <t>Histogram of Overall Effectiveness ratings</t>
  </si>
  <si>
    <t>Teaching Method(Effectiveness)</t>
  </si>
  <si>
    <t>Best-method popularity count by Effectiveness</t>
  </si>
  <si>
    <t>Teaching Method(Engagement)</t>
  </si>
  <si>
    <t>Best-method popularity count by Engagement</t>
  </si>
  <si>
    <t>Gamification Lift</t>
  </si>
  <si>
    <t>Average gamification lift by Performance Tier</t>
  </si>
  <si>
    <t>5 slicers are connected: Gender, Age Band &amp; Performance Tier (drive all Master_Data-based pivots/charts in one click); Teaching Method (drives Teacher_Master-based pivots); Metric (drives the Summary-based pivot). A single slicer can only connect pivots built on the same source table – see Home for how sheets group by source.</t>
  </si>
  <si>
    <t>7. Dashboard</t>
  </si>
  <si>
    <t>The Dashboard sheet brings the KPI cards, key charts and all 5 slicers together on one screen. Filter using any slicer to update every connected chart simultaneously.</t>
  </si>
  <si>
    <t>8. Key &amp; Metric Glossary</t>
  </si>
  <si>
    <t>Term</t>
  </si>
  <si>
    <t>Definition</t>
  </si>
  <si>
    <t>Effectiveness</t>
  </si>
  <si>
    <t>Student-rated score (1–5) for how well a teaching method helped them learn</t>
  </si>
  <si>
    <t>Student-rated score (1–5) for how involved/interested the student felt during a method</t>
  </si>
  <si>
    <t>Gamification %</t>
  </si>
  <si>
    <t>Self-reported metric score when gamified elements (points, badges, leaderboards, etc.) were used</t>
  </si>
  <si>
    <t>Non-Gamification %</t>
  </si>
  <si>
    <t>Self-reported metric score for the same activity without gamified elements</t>
  </si>
  <si>
    <t>Lift</t>
  </si>
  <si>
    <t>Gamification % minus Non-Gamification % – the point improvement attributable to gamification</t>
  </si>
  <si>
    <t>Low / Medium / High bucket based on Overall Effectiveness (&lt;3.9 / &lt;4.2 / ≥4.2)</t>
  </si>
  <si>
    <t>4-year grouping of student age: 20-22, 23-25, 26-28, 29-30</t>
  </si>
  <si>
    <t>Best Method</t>
  </si>
  <si>
    <t>The single teaching method with a student's highest score for that dimension (Effectiveness or Engagement)</t>
  </si>
  <si>
    <t>Teacher grouping by years of experience: Junior (&lt;8), Mid (8–12), Senior (&gt;12)</t>
  </si>
  <si>
    <t>Column1</t>
  </si>
  <si>
    <t>Column2</t>
  </si>
  <si>
    <t>Column3</t>
  </si>
  <si>
    <t>Column4</t>
  </si>
  <si>
    <t>Column5</t>
  </si>
  <si>
    <t xml:space="preserve">  Overview &amp; Analysis</t>
  </si>
  <si>
    <t>20-22</t>
  </si>
  <si>
    <t>3.6075-3.7075</t>
  </si>
  <si>
    <t>3.7075-3.8075</t>
  </si>
  <si>
    <t>3.8075-3.9075</t>
  </si>
  <si>
    <t>23-25</t>
  </si>
  <si>
    <t>26-28</t>
  </si>
  <si>
    <t>29-30</t>
  </si>
  <si>
    <t>3.9075-4.0075</t>
  </si>
  <si>
    <t>4.0075-4.1075</t>
  </si>
  <si>
    <t>4.1075-4.2075</t>
  </si>
  <si>
    <t>4.2075-4.3075</t>
  </si>
  <si>
    <t>4.3075-4.4075</t>
  </si>
  <si>
    <t>4.4075-4.5075</t>
  </si>
  <si>
    <t>Junior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</si>
</sst>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
  </numFmts>
  <fonts count="43" x14ac:knownFonts="1">
    <font>
      <sz val="11"/>
      <color theme="1"/>
      <name val="Calibri"/>
      <family val="2"/>
      <charset val="1"/>
    </font>
    <font>
      <b/>
      <sz val="11"/>
      <color theme="1"/>
      <name val="Cambria"/>
      <family val="1"/>
      <charset val="1"/>
    </font>
    <font>
      <b/>
      <sz val="11"/>
      <name val="Cambria"/>
      <family val="1"/>
      <charset val="1"/>
    </font>
    <font>
      <b/>
      <sz val="11"/>
      <color theme="1"/>
      <name val="Calibri"/>
      <family val="2"/>
      <charset val="1"/>
    </font>
    <font>
      <b/>
      <sz val="11"/>
      <name val="Calibri"/>
      <family val="2"/>
      <charset val="1"/>
    </font>
    <font>
      <b/>
      <sz val="11"/>
      <color rgb="FF0F172A"/>
      <name val="Calibri"/>
      <family val="2"/>
      <charset val="1"/>
    </font>
    <font>
      <sz val="11"/>
      <color rgb="FF0F172A"/>
      <name val="Calibri"/>
      <family val="2"/>
      <charset val="1"/>
    </font>
    <font>
      <sz val="11"/>
      <name val="Arial"/>
      <family val="2"/>
    </font>
    <font>
      <b/>
      <sz val="13"/>
      <color rgb="FFFFFFFF"/>
      <name val="Arial"/>
      <family val="2"/>
    </font>
    <font>
      <b/>
      <sz val="11"/>
      <color rgb="FFFFFFFF"/>
      <name val="Arial"/>
      <family val="2"/>
    </font>
    <font>
      <b/>
      <sz val="10"/>
      <color rgb="FFFFFFFF"/>
      <name val="Arial"/>
      <family val="2"/>
    </font>
    <font>
      <sz val="10"/>
      <color rgb="FF000000"/>
      <name val="Arial"/>
      <family val="2"/>
    </font>
    <font>
      <b/>
      <sz val="10"/>
      <color rgb="FF1F3864"/>
      <name val="Arial"/>
      <family val="2"/>
    </font>
    <font>
      <sz val="11"/>
      <color theme="1"/>
      <name val="Calibri"/>
      <family val="2"/>
      <charset val="1"/>
    </font>
    <font>
      <sz val="11"/>
      <name val="Calibri"/>
      <family val="2"/>
      <scheme val="minor"/>
    </font>
    <font>
      <b/>
      <sz val="11"/>
      <color theme="0"/>
      <name val="Cambria"/>
      <family val="1"/>
      <scheme val="major"/>
    </font>
    <font>
      <sz val="11"/>
      <color theme="0"/>
      <name val="Cambria"/>
      <family val="1"/>
      <scheme val="major"/>
    </font>
    <font>
      <b/>
      <sz val="13"/>
      <color rgb="FFFFFFFF"/>
      <name val="Cambria"/>
      <family val="1"/>
      <scheme val="major"/>
    </font>
    <font>
      <b/>
      <sz val="11"/>
      <color rgb="FFFFFFFF"/>
      <name val="Cambria"/>
      <family val="1"/>
      <scheme val="major"/>
    </font>
    <font>
      <b/>
      <sz val="10"/>
      <color rgb="FFFFFFFF"/>
      <name val="Cambria"/>
      <family val="1"/>
      <scheme val="major"/>
    </font>
    <font>
      <sz val="10"/>
      <color rgb="FF000000"/>
      <name val="Calibri"/>
      <family val="2"/>
      <scheme val="minor"/>
    </font>
    <font>
      <b/>
      <sz val="10"/>
      <color rgb="FF1F3864"/>
      <name val="Calibri"/>
      <family val="2"/>
      <scheme val="minor"/>
    </font>
    <font>
      <b/>
      <sz val="11"/>
      <color theme="0"/>
      <name val="Calibri"/>
      <family val="2"/>
    </font>
    <font>
      <sz val="11"/>
      <color theme="0"/>
      <name val="Calibri"/>
      <family val="2"/>
    </font>
    <font>
      <sz val="11"/>
      <color theme="0"/>
      <name val="Calibri"/>
      <family val="2"/>
      <charset val="1"/>
    </font>
    <font>
      <b/>
      <sz val="11"/>
      <color theme="0"/>
      <name val="Calibri"/>
      <family val="2"/>
      <charset val="1"/>
    </font>
    <font>
      <b/>
      <sz val="10"/>
      <color theme="3" tint="-0.249977111117893"/>
      <name val="Arial"/>
      <family val="2"/>
    </font>
    <font>
      <b/>
      <sz val="11"/>
      <color theme="3" tint="-0.249977111117893"/>
      <name val="Calibri"/>
      <family val="2"/>
    </font>
    <font>
      <b/>
      <sz val="20"/>
      <color theme="0"/>
      <name val="Cambria"/>
      <family val="1"/>
      <scheme val="major"/>
    </font>
    <font>
      <sz val="11"/>
      <color theme="3" tint="0.79998168889431442"/>
      <name val="Calibri"/>
      <family val="2"/>
      <charset val="1"/>
    </font>
    <font>
      <b/>
      <sz val="18"/>
      <color rgb="FFFFFFFF"/>
      <name val="Arial"/>
      <family val="2"/>
    </font>
    <font>
      <b/>
      <sz val="12"/>
      <color rgb="FFFFFFFF"/>
      <name val="Arial"/>
      <family val="2"/>
    </font>
    <font>
      <b/>
      <sz val="10"/>
      <color rgb="FF1F3864"/>
      <name val="Arial"/>
      <family val="2"/>
    </font>
    <font>
      <sz val="10"/>
      <color rgb="FF000000"/>
      <name val="Arial"/>
      <family val="2"/>
    </font>
    <font>
      <b/>
      <u/>
      <sz val="10"/>
      <color rgb="FF0563C1"/>
      <name val="Arial"/>
      <family val="2"/>
    </font>
    <font>
      <i/>
      <sz val="10"/>
      <color rgb="FF595959"/>
      <name val="Arial"/>
      <family val="2"/>
    </font>
    <font>
      <b/>
      <i/>
      <sz val="10"/>
      <color rgb="FF1F3864"/>
      <name val="Arial"/>
      <family val="2"/>
    </font>
    <font>
      <b/>
      <sz val="22"/>
      <color theme="5"/>
      <name val="Calibri"/>
      <family val="2"/>
    </font>
    <font>
      <b/>
      <sz val="72"/>
      <color rgb="FF000000"/>
      <name val="Calibri"/>
      <family val="2"/>
    </font>
    <font>
      <b/>
      <sz val="72"/>
      <color rgb="FF333300"/>
      <name val="Calibri"/>
      <family val="2"/>
    </font>
    <font>
      <u/>
      <sz val="11"/>
      <color theme="10"/>
      <name val="Calibri"/>
      <family val="2"/>
      <charset val="1"/>
    </font>
    <font>
      <b/>
      <sz val="11"/>
      <color rgb="FF0070C0"/>
      <name val="Calibri"/>
      <family val="2"/>
    </font>
    <font>
      <b/>
      <u/>
      <sz val="11"/>
      <color rgb="FF0070C0"/>
      <name val="Calibri"/>
      <family val="2"/>
    </font>
  </fonts>
  <fills count="16">
    <fill>
      <patternFill patternType="none"/>
    </fill>
    <fill>
      <patternFill patternType="gray125"/>
    </fill>
    <fill>
      <patternFill patternType="solid">
        <fgColor rgb="FF1F3864"/>
        <bgColor rgb="FF333333"/>
      </patternFill>
    </fill>
    <fill>
      <patternFill patternType="solid">
        <fgColor rgb="FF2E5395"/>
        <bgColor rgb="FF1F3864"/>
      </patternFill>
    </fill>
    <fill>
      <patternFill patternType="solid">
        <fgColor rgb="FFF2F2F2"/>
        <bgColor rgb="FFFFFFFF"/>
      </patternFill>
    </fill>
    <fill>
      <patternFill patternType="solid">
        <fgColor theme="3"/>
        <bgColor rgb="FF1F3864"/>
      </patternFill>
    </fill>
    <fill>
      <patternFill patternType="solid">
        <fgColor theme="3"/>
        <bgColor rgb="FF333333"/>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rgb="FF1F3864"/>
        <bgColor indexed="64"/>
      </patternFill>
    </fill>
    <fill>
      <patternFill patternType="solid">
        <fgColor rgb="FF2E5395"/>
        <bgColor indexed="64"/>
      </patternFill>
    </fill>
    <fill>
      <patternFill patternType="solid">
        <fgColor rgb="FFF2F2F2"/>
        <bgColor indexed="64"/>
      </patternFill>
    </fill>
    <fill>
      <patternFill patternType="solid">
        <fgColor theme="0" tint="-0.34998626667073579"/>
        <bgColor indexed="64"/>
      </patternFill>
    </fill>
    <fill>
      <patternFill patternType="solid">
        <fgColor theme="5"/>
        <bgColor indexed="64"/>
      </patternFill>
    </fill>
    <fill>
      <patternFill patternType="solid">
        <fgColor theme="0" tint="-0.249977111117893"/>
        <bgColor indexed="64"/>
      </patternFill>
    </fill>
  </fills>
  <borders count="22">
    <border>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1" tint="0.499984740745262"/>
      </top>
      <bottom/>
      <diagonal/>
    </border>
    <border>
      <left style="thin">
        <color theme="0"/>
      </left>
      <right/>
      <top style="thin">
        <color theme="1" tint="0.499984740745262"/>
      </top>
      <bottom style="thin">
        <color theme="1" tint="0.499984740745262"/>
      </bottom>
      <diagonal/>
    </border>
    <border>
      <left style="thin">
        <color theme="0"/>
      </left>
      <right/>
      <top/>
      <bottom/>
      <diagonal/>
    </border>
    <border>
      <left style="thin">
        <color theme="0"/>
      </left>
      <right/>
      <top style="thin">
        <color theme="1" tint="0.499984740745262"/>
      </top>
      <bottom/>
      <diagonal/>
    </border>
    <border>
      <left style="thin">
        <color theme="1" tint="0.499984740745262"/>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0"/>
      </top>
      <bottom style="thin">
        <color theme="1" tint="0.499984740745262"/>
      </bottom>
      <diagonal/>
    </border>
    <border>
      <left/>
      <right style="thin">
        <color theme="1" tint="0.499984740745262"/>
      </right>
      <top style="thin">
        <color theme="0"/>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thin">
        <color rgb="FFBFBFBF"/>
      </left>
      <right style="thin">
        <color rgb="FFBFBFBF"/>
      </right>
      <top style="thin">
        <color rgb="FFBFBFBF"/>
      </top>
      <bottom style="thin">
        <color rgb="FFBFBFBF"/>
      </bottom>
      <diagonal/>
    </border>
    <border>
      <left style="thin">
        <color rgb="FFBFBFB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0" fontId="13" fillId="0" borderId="0"/>
    <xf numFmtId="0" fontId="40" fillId="0" borderId="0" applyNumberFormat="0" applyFill="0" applyBorder="0" applyAlignment="0" applyProtection="0"/>
  </cellStyleXfs>
  <cellXfs count="133">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2" fontId="0" fillId="0" borderId="0" xfId="0" applyNumberFormat="1"/>
    <xf numFmtId="2" fontId="4" fillId="0" borderId="0" xfId="0" applyNumberFormat="1" applyFont="1"/>
    <xf numFmtId="0" fontId="5" fillId="0" borderId="0" xfId="0" applyFont="1" applyAlignment="1">
      <alignment vertical="top"/>
    </xf>
    <xf numFmtId="0" fontId="5" fillId="0" borderId="0" xfId="0" applyFont="1" applyAlignment="1">
      <alignment horizontal="left" vertical="top"/>
    </xf>
    <xf numFmtId="0" fontId="6" fillId="0" borderId="0" xfId="0" applyFont="1" applyAlignment="1">
      <alignment vertical="top"/>
    </xf>
    <xf numFmtId="2" fontId="6" fillId="0" borderId="0" xfId="0" applyNumberFormat="1" applyFont="1" applyAlignment="1">
      <alignment horizontal="right" vertical="top" indent="1"/>
    </xf>
    <xf numFmtId="0" fontId="3" fillId="0" borderId="0" xfId="0" applyFont="1" applyAlignment="1">
      <alignment horizontal="center" vertical="center" wrapText="1"/>
    </xf>
    <xf numFmtId="0" fontId="0" fillId="0" borderId="0" xfId="0" applyAlignment="1">
      <alignment horizontal="center"/>
    </xf>
    <xf numFmtId="0" fontId="7" fillId="0" borderId="0" xfId="0" applyFont="1"/>
    <xf numFmtId="0" fontId="10" fillId="3" borderId="1" xfId="0" applyFont="1" applyFill="1" applyBorder="1" applyAlignment="1">
      <alignment horizontal="left" vertical="center" indent="1"/>
    </xf>
    <xf numFmtId="0" fontId="10" fillId="3" borderId="1" xfId="0" applyFont="1" applyFill="1" applyBorder="1" applyAlignment="1">
      <alignment horizontal="center" vertical="center"/>
    </xf>
    <xf numFmtId="0" fontId="11" fillId="0" borderId="1" xfId="0" applyFont="1" applyBorder="1" applyAlignment="1">
      <alignment horizontal="left" vertical="center" indent="1"/>
    </xf>
    <xf numFmtId="3" fontId="12"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164" fontId="12" fillId="0" borderId="1" xfId="0" applyNumberFormat="1" applyFont="1" applyBorder="1" applyAlignment="1">
      <alignment horizontal="center" vertical="center"/>
    </xf>
    <xf numFmtId="0" fontId="12" fillId="0" borderId="1" xfId="0" applyFont="1" applyBorder="1" applyAlignment="1">
      <alignment horizontal="center" vertical="center"/>
    </xf>
    <xf numFmtId="165" fontId="12" fillId="0" borderId="1" xfId="0" applyNumberFormat="1" applyFont="1" applyBorder="1" applyAlignment="1">
      <alignment horizontal="center" vertical="center"/>
    </xf>
    <xf numFmtId="1" fontId="12" fillId="0" borderId="1" xfId="0" applyNumberFormat="1" applyFont="1" applyBorder="1" applyAlignment="1">
      <alignment horizontal="center" vertical="center"/>
    </xf>
    <xf numFmtId="0" fontId="15" fillId="0" borderId="0" xfId="0" applyFont="1" applyAlignment="1">
      <alignment horizontal="left" vertical="center"/>
    </xf>
    <xf numFmtId="2" fontId="15" fillId="0" borderId="0" xfId="0" applyNumberFormat="1" applyFont="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4" fillId="0" borderId="0" xfId="0" applyFont="1" applyAlignment="1">
      <alignment horizontal="center"/>
    </xf>
    <xf numFmtId="2" fontId="0" fillId="0" borderId="0" xfId="0" applyNumberFormat="1" applyAlignment="1">
      <alignment horizontal="center"/>
    </xf>
    <xf numFmtId="0" fontId="0" fillId="0" borderId="0" xfId="0" applyAlignment="1">
      <alignment horizontal="left" vertical="center" wrapText="1"/>
    </xf>
    <xf numFmtId="0" fontId="14" fillId="0" borderId="0" xfId="0" applyFont="1" applyAlignment="1">
      <alignment horizontal="left"/>
    </xf>
    <xf numFmtId="0" fontId="0" fillId="0" borderId="0" xfId="0" applyAlignment="1">
      <alignment horizontal="left"/>
    </xf>
    <xf numFmtId="2" fontId="15" fillId="0" borderId="0" xfId="0" applyNumberFormat="1" applyFont="1" applyAlignment="1">
      <alignment horizontal="left" vertical="center"/>
    </xf>
    <xf numFmtId="0" fontId="0" fillId="7" borderId="0" xfId="0" applyFill="1" applyAlignment="1">
      <alignment vertical="center"/>
    </xf>
    <xf numFmtId="0" fontId="19" fillId="3" borderId="1" xfId="0" applyFont="1" applyFill="1" applyBorder="1" applyAlignment="1">
      <alignment horizontal="left" vertical="center" indent="1"/>
    </xf>
    <xf numFmtId="0" fontId="19" fillId="3" borderId="1" xfId="0" applyFont="1" applyFill="1" applyBorder="1" applyAlignment="1">
      <alignment horizontal="center" vertical="center"/>
    </xf>
    <xf numFmtId="3" fontId="21" fillId="0" borderId="1" xfId="0" applyNumberFormat="1" applyFont="1" applyBorder="1" applyAlignment="1">
      <alignment horizontal="center" vertical="center"/>
    </xf>
    <xf numFmtId="0" fontId="20" fillId="0" borderId="1" xfId="0" applyFont="1" applyBorder="1" applyAlignment="1">
      <alignment horizontal="left" vertical="center" indent="1"/>
    </xf>
    <xf numFmtId="0" fontId="20" fillId="4" borderId="1" xfId="0" applyFont="1" applyFill="1" applyBorder="1" applyAlignment="1">
      <alignment horizontal="left" vertical="center" indent="1"/>
    </xf>
    <xf numFmtId="2" fontId="2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3" fontId="21" fillId="4" borderId="1" xfId="0" applyNumberFormat="1" applyFont="1" applyFill="1" applyBorder="1" applyAlignment="1">
      <alignment horizontal="center" vertical="center"/>
    </xf>
    <xf numFmtId="0" fontId="0" fillId="0" borderId="0" xfId="0" pivotButton="1"/>
    <xf numFmtId="0" fontId="0" fillId="0" borderId="0" xfId="0" applyAlignment="1">
      <alignment horizontal="center" vertical="center" wrapText="1"/>
    </xf>
    <xf numFmtId="2" fontId="0" fillId="0" borderId="0" xfId="0" applyNumberFormat="1" applyAlignment="1">
      <alignment horizontal="left"/>
    </xf>
    <xf numFmtId="0" fontId="0" fillId="0" borderId="0" xfId="0" applyAlignment="1">
      <alignment horizontal="center" vertical="center"/>
    </xf>
    <xf numFmtId="3" fontId="0" fillId="0" borderId="0" xfId="0" applyNumberFormat="1"/>
    <xf numFmtId="0" fontId="22" fillId="8" borderId="0" xfId="0" applyFont="1" applyFill="1" applyAlignment="1">
      <alignment vertical="center"/>
    </xf>
    <xf numFmtId="0" fontId="22" fillId="8" borderId="0" xfId="0" applyFont="1" applyFill="1"/>
    <xf numFmtId="0" fontId="26" fillId="4" borderId="1" xfId="0" applyFont="1" applyFill="1" applyBorder="1" applyAlignment="1">
      <alignment horizontal="center" vertical="center"/>
    </xf>
    <xf numFmtId="0" fontId="25" fillId="7" borderId="5" xfId="0" applyFont="1" applyFill="1" applyBorder="1" applyAlignment="1">
      <alignment horizontal="center" vertical="center" wrapText="1"/>
    </xf>
    <xf numFmtId="0" fontId="0" fillId="0" borderId="7" xfId="0" applyBorder="1"/>
    <xf numFmtId="0" fontId="0" fillId="0" borderId="6" xfId="0" applyBorder="1" applyAlignment="1">
      <alignment horizontal="center" vertical="center" wrapText="1"/>
    </xf>
    <xf numFmtId="0" fontId="0" fillId="9" borderId="8" xfId="0" applyFill="1" applyBorder="1" applyAlignment="1">
      <alignment horizontal="center" vertical="center" wrapText="1"/>
    </xf>
    <xf numFmtId="0" fontId="0" fillId="0" borderId="9" xfId="0" applyBorder="1" applyAlignment="1">
      <alignment horizontal="center" vertical="center" wrapText="1"/>
    </xf>
    <xf numFmtId="0" fontId="0" fillId="9"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11" xfId="0" applyBorder="1"/>
    <xf numFmtId="0" fontId="27" fillId="0" borderId="12" xfId="0" applyFont="1" applyBorder="1" applyAlignment="1">
      <alignment horizontal="center" vertical="center" wrapText="1"/>
    </xf>
    <xf numFmtId="0" fontId="27" fillId="9" borderId="7" xfId="0" applyFont="1" applyFill="1" applyBorder="1" applyAlignment="1">
      <alignment horizontal="center" vertical="center" wrapText="1"/>
    </xf>
    <xf numFmtId="0" fontId="27" fillId="9" borderId="12" xfId="0" applyFont="1" applyFill="1" applyBorder="1" applyAlignment="1">
      <alignment horizontal="center" vertical="center" wrapText="1"/>
    </xf>
    <xf numFmtId="0" fontId="27" fillId="0" borderId="13" xfId="0" applyFont="1" applyBorder="1" applyAlignment="1">
      <alignment horizontal="center" vertical="center" wrapText="1"/>
    </xf>
    <xf numFmtId="0" fontId="27" fillId="0" borderId="13" xfId="0" applyFont="1" applyBorder="1" applyAlignment="1">
      <alignment horizontal="left" vertical="center" wrapText="1"/>
    </xf>
    <xf numFmtId="0" fontId="27" fillId="0" borderId="14" xfId="0" applyFont="1" applyBorder="1" applyAlignment="1">
      <alignment horizontal="left" vertical="center" wrapText="1"/>
    </xf>
    <xf numFmtId="0" fontId="27" fillId="9" borderId="12" xfId="0" applyFont="1" applyFill="1" applyBorder="1" applyAlignment="1">
      <alignment horizontal="left" vertical="center" wrapText="1"/>
    </xf>
    <xf numFmtId="0" fontId="27" fillId="0" borderId="15" xfId="0" applyFont="1" applyBorder="1" applyAlignment="1">
      <alignment horizontal="left" vertical="center" wrapText="1"/>
    </xf>
    <xf numFmtId="0" fontId="27" fillId="0" borderId="12" xfId="0" applyFont="1" applyBorder="1" applyAlignment="1">
      <alignment horizontal="left" vertical="center" wrapText="1"/>
    </xf>
    <xf numFmtId="0" fontId="27" fillId="9" borderId="15" xfId="0" applyFont="1" applyFill="1" applyBorder="1" applyAlignment="1">
      <alignment horizontal="left" vertical="center" wrapText="1"/>
    </xf>
    <xf numFmtId="0" fontId="11" fillId="0" borderId="2" xfId="0" applyFont="1" applyBorder="1" applyAlignment="1">
      <alignment horizontal="left" vertical="center" indent="1"/>
    </xf>
    <xf numFmtId="0" fontId="29" fillId="0" borderId="0" xfId="0" applyFont="1"/>
    <xf numFmtId="0" fontId="31" fillId="11" borderId="0" xfId="0" applyFont="1" applyFill="1" applyAlignment="1">
      <alignment vertical="center"/>
    </xf>
    <xf numFmtId="0" fontId="31" fillId="8" borderId="0" xfId="0" applyFont="1" applyFill="1" applyAlignment="1">
      <alignment vertical="center"/>
    </xf>
    <xf numFmtId="0" fontId="0" fillId="8" borderId="0" xfId="0" applyFill="1"/>
    <xf numFmtId="0" fontId="31" fillId="8" borderId="0" xfId="0" applyFont="1" applyFill="1" applyAlignment="1">
      <alignment horizontal="left" vertical="center" indent="1"/>
    </xf>
    <xf numFmtId="0" fontId="33" fillId="0" borderId="0" xfId="0" applyFont="1" applyAlignment="1">
      <alignment horizontal="left" vertical="center"/>
    </xf>
    <xf numFmtId="0" fontId="33" fillId="0" borderId="0" xfId="0" applyFont="1" applyAlignment="1">
      <alignment vertical="center"/>
    </xf>
    <xf numFmtId="0" fontId="31" fillId="8" borderId="0" xfId="0" applyFont="1" applyFill="1" applyAlignment="1">
      <alignment horizontal="left" vertical="center"/>
    </xf>
    <xf numFmtId="0" fontId="0" fillId="0" borderId="21" xfId="0" applyBorder="1"/>
    <xf numFmtId="0" fontId="34" fillId="0" borderId="17" xfId="0" applyFont="1" applyBorder="1" applyAlignment="1">
      <alignment horizontal="left" vertical="center" indent="1"/>
    </xf>
    <xf numFmtId="0" fontId="0" fillId="0" borderId="0" xfId="0" applyAlignment="1">
      <alignment horizontal="right"/>
    </xf>
    <xf numFmtId="0" fontId="36" fillId="0" borderId="0" xfId="0" applyFont="1" applyAlignment="1">
      <alignment horizontal="left" vertical="center"/>
    </xf>
    <xf numFmtId="0" fontId="36" fillId="0" borderId="0" xfId="0" applyFont="1" applyAlignment="1">
      <alignment horizontal="left" vertical="center" indent="1"/>
    </xf>
    <xf numFmtId="0" fontId="29" fillId="13" borderId="0" xfId="0" applyFont="1" applyFill="1"/>
    <xf numFmtId="0" fontId="29" fillId="8" borderId="0" xfId="0" applyFont="1" applyFill="1"/>
    <xf numFmtId="0" fontId="29" fillId="15" borderId="0" xfId="0" applyFont="1" applyFill="1"/>
    <xf numFmtId="0" fontId="0" fillId="15" borderId="0" xfId="0" applyFill="1"/>
    <xf numFmtId="0" fontId="41" fillId="0" borderId="0" xfId="0" applyFont="1"/>
    <xf numFmtId="0" fontId="42" fillId="0" borderId="17" xfId="2" applyFont="1" applyBorder="1" applyAlignment="1">
      <alignment horizontal="left" vertical="center" indent="1"/>
    </xf>
    <xf numFmtId="0" fontId="28" fillId="14" borderId="0" xfId="0" applyFont="1" applyFill="1" applyAlignment="1">
      <alignment horizontal="center" vertical="center"/>
    </xf>
    <xf numFmtId="0" fontId="23" fillId="14" borderId="0" xfId="0" applyFont="1" applyFill="1" applyAlignment="1">
      <alignment horizontal="center" vertical="center"/>
    </xf>
    <xf numFmtId="0" fontId="37" fillId="8" borderId="18" xfId="0" applyFont="1" applyFill="1" applyBorder="1" applyAlignment="1">
      <alignment horizontal="center" vertical="center"/>
    </xf>
    <xf numFmtId="0" fontId="30" fillId="10" borderId="0" xfId="0" applyFont="1" applyFill="1" applyAlignment="1">
      <alignment horizontal="left" vertical="center" indent="1"/>
    </xf>
    <xf numFmtId="0" fontId="0" fillId="0" borderId="0" xfId="0"/>
    <xf numFmtId="0" fontId="35" fillId="0" borderId="0" xfId="0" applyFont="1" applyAlignment="1">
      <alignment horizontal="left" vertical="center" wrapText="1"/>
    </xf>
    <xf numFmtId="0" fontId="31" fillId="11" borderId="0" xfId="0" applyFont="1" applyFill="1" applyAlignment="1">
      <alignment horizontal="left" vertical="center" indent="1"/>
    </xf>
    <xf numFmtId="0" fontId="32" fillId="12" borderId="18" xfId="0" applyFont="1" applyFill="1" applyBorder="1" applyAlignment="1">
      <alignment horizontal="left" vertical="center"/>
    </xf>
    <xf numFmtId="0" fontId="0" fillId="0" borderId="18" xfId="0" applyBorder="1"/>
    <xf numFmtId="0" fontId="33" fillId="12" borderId="18" xfId="0" applyFont="1" applyFill="1" applyBorder="1" applyAlignment="1">
      <alignment horizontal="left" vertical="center" wrapText="1"/>
    </xf>
    <xf numFmtId="0" fontId="33" fillId="0" borderId="18" xfId="0" applyFont="1" applyBorder="1" applyAlignment="1">
      <alignment horizontal="left" vertical="center"/>
    </xf>
    <xf numFmtId="0" fontId="33" fillId="0" borderId="18" xfId="0" applyFont="1" applyBorder="1" applyAlignment="1">
      <alignment horizontal="left" vertical="center" wrapText="1"/>
    </xf>
    <xf numFmtId="0" fontId="31" fillId="11" borderId="18" xfId="0" applyFont="1" applyFill="1" applyBorder="1" applyAlignment="1">
      <alignment horizontal="center" vertical="center" wrapText="1"/>
    </xf>
    <xf numFmtId="0" fontId="33" fillId="0" borderId="0" xfId="0" applyFont="1" applyAlignment="1">
      <alignment horizontal="left" vertical="center" wrapText="1" indent="1"/>
    </xf>
    <xf numFmtId="0" fontId="31" fillId="11" borderId="18" xfId="0" applyFont="1" applyFill="1" applyBorder="1" applyAlignment="1">
      <alignment horizontal="left" vertical="center" wrapText="1"/>
    </xf>
    <xf numFmtId="0" fontId="0" fillId="0" borderId="18" xfId="0" applyBorder="1" applyAlignment="1">
      <alignment horizontal="left"/>
    </xf>
    <xf numFmtId="0" fontId="33" fillId="0" borderId="19" xfId="0" applyFont="1" applyBorder="1" applyAlignment="1">
      <alignment horizontal="left" vertical="center"/>
    </xf>
    <xf numFmtId="0" fontId="0" fillId="0" borderId="19" xfId="0" applyBorder="1"/>
    <xf numFmtId="0" fontId="33" fillId="0" borderId="19" xfId="0" applyFont="1" applyBorder="1" applyAlignment="1">
      <alignment horizontal="left" vertical="center" wrapText="1"/>
    </xf>
    <xf numFmtId="0" fontId="32" fillId="12" borderId="18" xfId="0" applyFont="1" applyFill="1" applyBorder="1" applyAlignment="1">
      <alignment horizontal="left" vertical="center" wrapText="1"/>
    </xf>
    <xf numFmtId="0" fontId="31" fillId="11" borderId="18" xfId="0" applyFont="1" applyFill="1" applyBorder="1" applyAlignment="1">
      <alignment horizontal="left" vertical="top" wrapText="1"/>
    </xf>
    <xf numFmtId="0" fontId="0" fillId="0" borderId="18" xfId="0" applyBorder="1" applyAlignment="1">
      <alignment horizontal="left" vertical="top"/>
    </xf>
    <xf numFmtId="0" fontId="33" fillId="12" borderId="18" xfId="0" applyFont="1" applyFill="1" applyBorder="1" applyAlignment="1">
      <alignment horizontal="left" vertical="center"/>
    </xf>
    <xf numFmtId="0" fontId="31" fillId="11" borderId="18" xfId="0" applyFont="1" applyFill="1" applyBorder="1" applyAlignment="1">
      <alignment horizontal="left" vertical="center"/>
    </xf>
    <xf numFmtId="0" fontId="0" fillId="0" borderId="20" xfId="0" applyBorder="1"/>
    <xf numFmtId="0" fontId="31" fillId="11" borderId="18" xfId="0" applyFont="1" applyFill="1" applyBorder="1" applyAlignment="1">
      <alignment horizontal="center" vertical="center"/>
    </xf>
    <xf numFmtId="0" fontId="34" fillId="0" borderId="16" xfId="0" applyFont="1" applyBorder="1" applyAlignment="1">
      <alignment horizontal="left" vertical="center" indent="1"/>
    </xf>
    <xf numFmtId="0" fontId="32" fillId="12" borderId="18" xfId="0" applyFont="1" applyFill="1" applyBorder="1" applyAlignment="1">
      <alignment horizontal="left"/>
    </xf>
    <xf numFmtId="0" fontId="8" fillId="2" borderId="0" xfId="0" applyFont="1" applyFill="1" applyAlignment="1">
      <alignment horizontal="left" vertical="center" indent="1"/>
    </xf>
    <xf numFmtId="0" fontId="9" fillId="3" borderId="0" xfId="0" applyFont="1" applyFill="1" applyAlignment="1">
      <alignment horizontal="left" vertical="center" indent="1"/>
    </xf>
    <xf numFmtId="0" fontId="11" fillId="0" borderId="2" xfId="0" applyFont="1" applyBorder="1" applyAlignment="1">
      <alignment horizontal="left" vertical="center" indent="1"/>
    </xf>
    <xf numFmtId="0" fontId="11" fillId="0" borderId="2" xfId="0" applyFont="1" applyBorder="1" applyAlignment="1">
      <alignment horizontal="left" vertical="center"/>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7" fillId="3" borderId="0" xfId="0" applyFont="1" applyFill="1" applyAlignment="1">
      <alignment horizontal="left" vertical="center" indent="1"/>
    </xf>
    <xf numFmtId="0" fontId="18" fillId="3" borderId="0" xfId="0" applyFont="1" applyFill="1" applyAlignment="1">
      <alignment horizontal="left" vertical="center" indent="1"/>
    </xf>
    <xf numFmtId="0" fontId="17" fillId="6" borderId="0" xfId="0" applyFont="1" applyFill="1" applyAlignment="1">
      <alignment horizontal="left" vertical="center" indent="1"/>
    </xf>
    <xf numFmtId="0" fontId="17" fillId="5" borderId="0" xfId="0" applyFont="1" applyFill="1" applyAlignment="1">
      <alignment horizontal="left" vertical="center" indent="1"/>
    </xf>
    <xf numFmtId="0" fontId="22" fillId="7" borderId="0" xfId="0" applyFont="1" applyFill="1" applyAlignment="1">
      <alignment horizontal="center"/>
    </xf>
    <xf numFmtId="0" fontId="23" fillId="7" borderId="0" xfId="0" applyFont="1" applyFill="1" applyAlignment="1">
      <alignment horizontal="center"/>
    </xf>
    <xf numFmtId="0" fontId="24" fillId="7" borderId="0" xfId="0" applyFont="1" applyFill="1" applyAlignment="1">
      <alignment horizontal="center"/>
    </xf>
    <xf numFmtId="0" fontId="22" fillId="7" borderId="0" xfId="0" applyFont="1" applyFill="1" applyAlignment="1">
      <alignment horizontal="center" vertical="center"/>
    </xf>
    <xf numFmtId="0" fontId="24" fillId="7" borderId="0" xfId="0" applyFont="1" applyFill="1" applyAlignment="1">
      <alignment horizontal="center" vertical="center"/>
    </xf>
    <xf numFmtId="0" fontId="0" fillId="7" borderId="0" xfId="0" applyFill="1" applyAlignment="1">
      <alignment horizontal="center"/>
    </xf>
    <xf numFmtId="0" fontId="0" fillId="0" borderId="0" xfId="0" applyNumberFormat="1"/>
  </cellXfs>
  <cellStyles count="3">
    <cellStyle name="Hyperlink" xfId="2" builtinId="8"/>
    <cellStyle name="Normal" xfId="0" builtinId="0"/>
    <cellStyle name="Normal 2" xfId="1" xr:uid="{00000000-0005-0000-0000-000006000000}"/>
  </cellStyles>
  <dxfs count="60">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0"/>
        <name val="Cambria"/>
        <family val="1"/>
        <scheme val="major"/>
      </font>
      <alignment horizontal="center" vertical="center" textRotation="0" wrapText="0" indent="0" justifyLastLine="0" shrinkToFit="0" readingOrder="0"/>
    </dxf>
    <dxf>
      <font>
        <color rgb="FF9C5700"/>
      </font>
      <fill>
        <patternFill>
          <bgColor rgb="FFFFEB9C"/>
        </patternFill>
      </fill>
    </dxf>
    <dxf>
      <font>
        <color rgb="FF9C0006"/>
      </font>
      <fill>
        <patternFill>
          <bgColor rgb="FFFFC7CE"/>
        </patternFill>
      </fill>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val="0"/>
        <i val="0"/>
        <strike val="0"/>
        <condense val="0"/>
        <extend val="0"/>
        <outline val="0"/>
        <shadow val="0"/>
        <u val="none"/>
        <vertAlign val="baseline"/>
        <sz val="11"/>
        <color rgb="FF0F172A"/>
        <name val="Calibri"/>
        <family val="2"/>
        <charset val="1"/>
        <scheme val="none"/>
      </font>
      <numFmt numFmtId="2" formatCode="0.00"/>
      <alignment horizontal="right" vertical="top" textRotation="0" wrapText="0" indent="1" justifyLastLine="0" shrinkToFit="0" readingOrder="0"/>
    </dxf>
    <dxf>
      <font>
        <b val="0"/>
        <i val="0"/>
        <strike val="0"/>
        <condense val="0"/>
        <extend val="0"/>
        <outline val="0"/>
        <shadow val="0"/>
        <u val="none"/>
        <vertAlign val="baseline"/>
        <sz val="11"/>
        <color rgb="FF0F172A"/>
        <name val="Calibri"/>
        <family val="2"/>
        <charset val="1"/>
        <scheme val="none"/>
      </font>
      <numFmt numFmtId="2" formatCode="0.00"/>
      <alignment horizontal="right" vertical="top" textRotation="0" wrapText="0" indent="1" justifyLastLine="0" shrinkToFit="0" readingOrder="0"/>
    </dxf>
    <dxf>
      <font>
        <b val="0"/>
        <i val="0"/>
        <strike val="0"/>
        <condense val="0"/>
        <extend val="0"/>
        <outline val="0"/>
        <shadow val="0"/>
        <u val="none"/>
        <vertAlign val="baseline"/>
        <sz val="11"/>
        <color rgb="FF0F172A"/>
        <name val="Calibri"/>
        <family val="2"/>
        <charset val="1"/>
        <scheme val="none"/>
      </font>
      <alignment horizontal="general" vertical="top" textRotation="0" wrapText="0" indent="0" justifyLastLine="0" shrinkToFit="0" readingOrder="0"/>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fgColor theme="4" tint="-0.499984740745262"/>
        </patternFill>
      </fill>
    </dxf>
  </dxfs>
  <tableStyles count="3" defaultTableStyle="TableStyleMedium2" defaultPivotStyle="PivotStyleLight16">
    <tableStyle name="Slicer Style 1" pivot="0" table="0" count="0" xr9:uid="{6F63C405-122F-46ED-93A2-CEDC2BC23764}"/>
    <tableStyle name="Slicer Style 2" pivot="0" table="0" count="1" xr9:uid="{97072E01-B59A-4E0A-8A00-75E1B962F73F}">
      <tableStyleElement type="wholeTable" dxfId="59"/>
    </tableStyle>
    <tableStyle name="Slicer Style 3" pivot="0" table="0" count="1" xr9:uid="{65FDE6FC-93A2-40F6-9390-24D894D33AE8}"/>
  </tableStyle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EB9C"/>
      <rgbColor rgb="FF99CCFF"/>
      <rgbColor rgb="FFFF99CC"/>
      <rgbColor rgb="FFCC99FF"/>
      <rgbColor rgb="FFFFC7CE"/>
      <rgbColor rgb="FF3366FF"/>
      <rgbColor rgb="FF33CCCC"/>
      <rgbColor rgb="FF99CC00"/>
      <rgbColor rgb="FFFFCC00"/>
      <rgbColor rgb="FFFF9900"/>
      <rgbColor rgb="FFFF6600"/>
      <rgbColor rgb="FF666699"/>
      <rgbColor rgb="FF969696"/>
      <rgbColor rgb="FF1F3864"/>
      <rgbColor rgb="FF339966"/>
      <rgbColor rgb="FF0F172A"/>
      <rgbColor rgb="FF333300"/>
      <rgbColor rgb="FF9C5700"/>
      <rgbColor rgb="FF993366"/>
      <rgbColor rgb="FF2E5395"/>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46F421CA-312F-682f-3DD2-61675219B42D}">
      <x14:dxfs count="1">
        <dxf>
          <font>
            <color rgb="FFFFC000"/>
          </font>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5.xml"/><Relationship Id="rId38" Type="http://schemas.openxmlformats.org/officeDocument/2006/relationships/powerPivotData" Target="model/item.data"/><Relationship Id="rId46" Type="http://schemas.openxmlformats.org/officeDocument/2006/relationships/customXml" Target="../customXml/item7.xml"/><Relationship Id="rId20" Type="http://schemas.openxmlformats.org/officeDocument/2006/relationships/worksheet" Target="worksheets/sheet20.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microsoft.com/office/2007/relationships/slicerCache" Target="slicerCaches/slicerCache3.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Tool.xlsm]Effectiveness Distribution!PivotTable4</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600" b="1" i="0" u="none" strike="noStrike" baseline="0">
                <a:effectLst/>
              </a:rPr>
              <a:t>Effectiveness Rating Distribution </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'Effectiveness Distribution'!$B$3</c:f>
              <c:strCache>
                <c:ptCount val="1"/>
                <c:pt idx="0">
                  <c:v>Total</c:v>
                </c:pt>
              </c:strCache>
            </c:strRef>
          </c:tx>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'Effectiveness Distribution'!$A$4:$A$13</c:f>
              <c:strCache>
                <c:ptCount val="9"/>
                <c:pt idx="0">
                  <c:v>3.6075-3.7075</c:v>
                </c:pt>
                <c:pt idx="1">
                  <c:v>3.7075-3.8075</c:v>
                </c:pt>
                <c:pt idx="2">
                  <c:v>3.8075-3.9075</c:v>
                </c:pt>
                <c:pt idx="3">
                  <c:v>3.9075-4.0075</c:v>
                </c:pt>
                <c:pt idx="4">
                  <c:v>4.0075-4.1075</c:v>
                </c:pt>
                <c:pt idx="5">
                  <c:v>4.1075-4.2075</c:v>
                </c:pt>
                <c:pt idx="6">
                  <c:v>4.2075-4.3075</c:v>
                </c:pt>
                <c:pt idx="7">
                  <c:v>4.3075-4.4075</c:v>
                </c:pt>
                <c:pt idx="8">
                  <c:v>4.4075-4.5075</c:v>
                </c:pt>
              </c:strCache>
            </c:strRef>
          </c:cat>
          <c:val>
            <c:numRef>
              <c:f>'Effectiveness Distribution'!$B$4:$B$13</c:f>
              <c:numCache>
                <c:formatCode>General</c:formatCode>
                <c:ptCount val="9"/>
                <c:pt idx="0">
                  <c:v>16</c:v>
                </c:pt>
                <c:pt idx="1">
                  <c:v>37</c:v>
                </c:pt>
                <c:pt idx="2">
                  <c:v>114</c:v>
                </c:pt>
                <c:pt idx="3">
                  <c:v>244</c:v>
                </c:pt>
                <c:pt idx="4">
                  <c:v>254</c:v>
                </c:pt>
                <c:pt idx="5">
                  <c:v>204</c:v>
                </c:pt>
                <c:pt idx="6">
                  <c:v>109</c:v>
                </c:pt>
                <c:pt idx="7">
                  <c:v>19</c:v>
                </c:pt>
                <c:pt idx="8">
                  <c:v>5</c:v>
                </c:pt>
              </c:numCache>
            </c:numRef>
          </c:val>
          <c:smooth val="0"/>
          <c:extLst>
            <c:ext xmlns:c16="http://schemas.microsoft.com/office/drawing/2014/chart" uri="{C3380CC4-5D6E-409C-BE32-E72D297353CC}">
              <c16:uniqueId val="{00000000-EBF7-4620-A84F-ECBD61B9AF83}"/>
            </c:ext>
          </c:extLst>
        </c:ser>
        <c:dLbls>
          <c:showLegendKey val="0"/>
          <c:showVal val="0"/>
          <c:showCatName val="0"/>
          <c:showSerName val="0"/>
          <c:showPercent val="0"/>
          <c:showBubbleSize val="0"/>
        </c:dLbls>
        <c:marker val="1"/>
        <c:smooth val="0"/>
        <c:axId val="461505487"/>
        <c:axId val="463321775"/>
      </c:lineChart>
      <c:catAx>
        <c:axId val="46150548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3321775"/>
        <c:crosses val="autoZero"/>
        <c:auto val="1"/>
        <c:lblAlgn val="ctr"/>
        <c:lblOffset val="100"/>
        <c:noMultiLvlLbl val="0"/>
      </c:catAx>
      <c:valAx>
        <c:axId val="46332177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50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Tool.xlsm]Effectiveness &amp; Engagement !PivotTable2</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r>
              <a:rPr lang="en-IN" sz="1600" b="1" i="0" u="none" strike="noStrike" kern="1200" spc="-1" baseline="0">
                <a:solidFill>
                  <a:schemeClr val="tx2"/>
                </a:solidFill>
                <a:latin typeface="Calibri"/>
              </a:rPr>
              <a:t>Effectiveness &amp; Engagement by Age Band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139186955108048E-2"/>
          <c:y val="0.2249066386231694"/>
          <c:w val="0.62606471685202225"/>
          <c:h val="0.61211800364457969"/>
        </c:manualLayout>
      </c:layout>
      <c:barChart>
        <c:barDir val="col"/>
        <c:grouping val="clustered"/>
        <c:varyColors val="0"/>
        <c:ser>
          <c:idx val="0"/>
          <c:order val="0"/>
          <c:tx>
            <c:strRef>
              <c:f>'Effectiveness &amp; Engagement '!$B$3:$B$5</c:f>
              <c:strCache>
                <c:ptCount val="1"/>
                <c:pt idx="0">
                  <c:v>Female - Average of Overall Effectiveness</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'!$B$6:$B$10</c:f>
              <c:numCache>
                <c:formatCode>0.00</c:formatCode>
                <c:ptCount val="4"/>
                <c:pt idx="0">
                  <c:v>4.0160957854406139</c:v>
                </c:pt>
                <c:pt idx="1">
                  <c:v>4.0427877358490578</c:v>
                </c:pt>
                <c:pt idx="2">
                  <c:v>4.0546249999999988</c:v>
                </c:pt>
                <c:pt idx="3">
                  <c:v>4.0567465753424656</c:v>
                </c:pt>
              </c:numCache>
            </c:numRef>
          </c:val>
          <c:extLst>
            <c:ext xmlns:c16="http://schemas.microsoft.com/office/drawing/2014/chart" uri="{C3380CC4-5D6E-409C-BE32-E72D297353CC}">
              <c16:uniqueId val="{00000000-81D9-4302-84CB-D3BB0517673F}"/>
            </c:ext>
          </c:extLst>
        </c:ser>
        <c:ser>
          <c:idx val="1"/>
          <c:order val="1"/>
          <c:tx>
            <c:strRef>
              <c:f>'Effectiveness &amp; Engagement '!$C$3:$C$5</c:f>
              <c:strCache>
                <c:ptCount val="1"/>
                <c:pt idx="0">
                  <c:v>Female - Average of Overall Engagement</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'!$C$6:$C$10</c:f>
              <c:numCache>
                <c:formatCode>0.00</c:formatCode>
                <c:ptCount val="4"/>
                <c:pt idx="0">
                  <c:v>4.048295019157087</c:v>
                </c:pt>
                <c:pt idx="1">
                  <c:v>4.0252562893081789</c:v>
                </c:pt>
                <c:pt idx="2">
                  <c:v>4.0348450000000007</c:v>
                </c:pt>
                <c:pt idx="3">
                  <c:v>4.0767876712328759</c:v>
                </c:pt>
              </c:numCache>
            </c:numRef>
          </c:val>
          <c:extLst>
            <c:ext xmlns:c16="http://schemas.microsoft.com/office/drawing/2014/chart" uri="{C3380CC4-5D6E-409C-BE32-E72D297353CC}">
              <c16:uniqueId val="{00000001-81D9-4302-84CB-D3BB0517673F}"/>
            </c:ext>
          </c:extLst>
        </c:ser>
        <c:ser>
          <c:idx val="2"/>
          <c:order val="2"/>
          <c:tx>
            <c:strRef>
              <c:f>'Effectiveness &amp; Engagement '!$D$3:$D$5</c:f>
              <c:strCache>
                <c:ptCount val="1"/>
                <c:pt idx="0">
                  <c:v>Male - Average of Overall Effectiveness</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'!$D$6:$D$10</c:f>
              <c:numCache>
                <c:formatCode>0.00</c:formatCode>
                <c:ptCount val="4"/>
                <c:pt idx="0">
                  <c:v>4.0466284313725494</c:v>
                </c:pt>
                <c:pt idx="1">
                  <c:v>4.0326261770244809</c:v>
                </c:pt>
                <c:pt idx="2">
                  <c:v>4.0451000000000032</c:v>
                </c:pt>
                <c:pt idx="3">
                  <c:v>4.0516798245614032</c:v>
                </c:pt>
              </c:numCache>
            </c:numRef>
          </c:val>
          <c:extLst>
            <c:ext xmlns:c16="http://schemas.microsoft.com/office/drawing/2014/chart" uri="{C3380CC4-5D6E-409C-BE32-E72D297353CC}">
              <c16:uniqueId val="{00000001-5A31-4974-B8BD-66125214B7F2}"/>
            </c:ext>
          </c:extLst>
        </c:ser>
        <c:ser>
          <c:idx val="3"/>
          <c:order val="3"/>
          <c:tx>
            <c:strRef>
              <c:f>'Effectiveness &amp; Engagement '!$E$3:$E$5</c:f>
              <c:strCache>
                <c:ptCount val="1"/>
                <c:pt idx="0">
                  <c:v>Male - Average of Overall Engagement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'!$E$6:$E$10</c:f>
              <c:numCache>
                <c:formatCode>0.00</c:formatCode>
                <c:ptCount val="4"/>
                <c:pt idx="0">
                  <c:v>4.043885294117648</c:v>
                </c:pt>
                <c:pt idx="1">
                  <c:v>4.0553879472693017</c:v>
                </c:pt>
                <c:pt idx="2">
                  <c:v>4.0540333333333338</c:v>
                </c:pt>
                <c:pt idx="3">
                  <c:v>4.0497397660818715</c:v>
                </c:pt>
              </c:numCache>
            </c:numRef>
          </c:val>
          <c:extLst>
            <c:ext xmlns:c16="http://schemas.microsoft.com/office/drawing/2014/chart" uri="{C3380CC4-5D6E-409C-BE32-E72D297353CC}">
              <c16:uniqueId val="{00000002-5A31-4974-B8BD-66125214B7F2}"/>
            </c:ext>
          </c:extLst>
        </c:ser>
        <c:dLbls>
          <c:showLegendKey val="0"/>
          <c:showVal val="0"/>
          <c:showCatName val="0"/>
          <c:showSerName val="0"/>
          <c:showPercent val="0"/>
          <c:showBubbleSize val="0"/>
        </c:dLbls>
        <c:gapWidth val="100"/>
        <c:overlap val="-24"/>
        <c:axId val="983488495"/>
        <c:axId val="1041205295"/>
      </c:barChart>
      <c:catAx>
        <c:axId val="9834884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41205295"/>
        <c:crosses val="autoZero"/>
        <c:auto val="1"/>
        <c:lblAlgn val="ctr"/>
        <c:lblOffset val="100"/>
        <c:noMultiLvlLbl val="0"/>
      </c:catAx>
      <c:valAx>
        <c:axId val="1041205295"/>
        <c:scaling>
          <c:orientation val="minMax"/>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83488495"/>
        <c:crosses val="autoZero"/>
        <c:crossBetween val="between"/>
      </c:valAx>
      <c:spPr>
        <a:noFill/>
        <a:ln>
          <a:noFill/>
        </a:ln>
        <a:effectLst/>
      </c:spPr>
    </c:plotArea>
    <c:legend>
      <c:legendPos val="r"/>
      <c:layout>
        <c:manualLayout>
          <c:xMode val="edge"/>
          <c:yMode val="edge"/>
          <c:x val="0.70579198799695719"/>
          <c:y val="0.29867096883873123"/>
          <c:w val="0.26051368707453848"/>
          <c:h val="0.324131699472372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&amp; Non-Gamification!PivotTable4</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Gamification vs Non-Gamification Impact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dLbl>
          <c:idx val="0"/>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dLbl>
          <c:idx val="0"/>
          <c:tx>
            <c:rich>
              <a:bodyPr/>
              <a:lstStyle/>
              <a:p>
                <a:fld id="{A4A9B251-4F0F-40B9-B2FB-5D30AF8884E2}"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dLbl>
          <c:idx val="0"/>
          <c:tx>
            <c:rich>
              <a:bodyPr/>
              <a:lstStyle/>
              <a:p>
                <a:fld id="{E0B5F163-E9DC-4D91-8952-646D80409D4E}"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dLbl>
          <c:idx val="0"/>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dLbl>
          <c:idx val="0"/>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dLbl>
          <c:idx val="0"/>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dLbl>
          <c:idx val="0"/>
          <c:tx>
            <c:rich>
              <a:bodyPr/>
              <a:lstStyle/>
              <a:p>
                <a:fld id="{E0B5F163-E9DC-4D91-8952-646D80409D4E}"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dLbl>
          <c:idx val="0"/>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dLbl>
          <c:idx val="0"/>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8"/>
        <c:dLbl>
          <c:idx val="0"/>
          <c:tx>
            <c:rich>
              <a:bodyPr/>
              <a:lstStyle/>
              <a:p>
                <a:fld id="{A4A9B251-4F0F-40B9-B2FB-5D30AF8884E2}"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9"/>
        <c:dLbl>
          <c:idx val="0"/>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1"/>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2"/>
        <c:dLbl>
          <c:idx val="0"/>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3"/>
        <c:dLbl>
          <c:idx val="0"/>
          <c:tx>
            <c:rich>
              <a:bodyPr/>
              <a:lstStyle/>
              <a:p>
                <a:fld id="{E0B5F163-E9DC-4D91-8952-646D80409D4E}"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4"/>
        <c:dLbl>
          <c:idx val="0"/>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6"/>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7"/>
        <c:dLbl>
          <c:idx val="0"/>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8"/>
        <c:dLbl>
          <c:idx val="0"/>
          <c:tx>
            <c:rich>
              <a:bodyPr/>
              <a:lstStyle/>
              <a:p>
                <a:fld id="{A4A9B251-4F0F-40B9-B2FB-5D30AF8884E2}"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9"/>
        <c:dLbl>
          <c:idx val="0"/>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7DC4CA-EC6F-4651-9222-B4C0F14E4C65}"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9D02D2-90D6-461A-86CB-E43FF59069E9}"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0B5F163-E9DC-4D91-8952-646D80409D4E}"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96FA83-5E6D-417A-9113-795DEAA577A6}"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F4BA7D-5761-44D9-8A33-6AB8C31C4254}"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BB9E9B-2C61-43A9-8BBE-497667CF05A5}"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4A9B251-4F0F-40B9-B2FB-5D30AF8884E2}"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ADDF50E-9651-46A1-A90B-124B4ABE149C}"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'Gamification &amp; Non-Gamification'!$B$3</c:f>
              <c:strCache>
                <c:ptCount val="1"/>
                <c:pt idx="0">
                  <c:v>Average of Gamification Impact (%)</c:v>
                </c:pt>
              </c:strCache>
            </c:strRef>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Pt>
            <c:idx val="0"/>
            <c:invertIfNegative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0-D996-4A8B-95DD-F5E8ED178E33}"/>
              </c:ext>
            </c:extLst>
          </c:dPt>
          <c:dPt>
            <c:idx val="1"/>
            <c:invertIfNegative val="0"/>
            <c:bubble3D val="0"/>
            <c:extLst>
              <c:ext xmlns:c16="http://schemas.microsoft.com/office/drawing/2014/chart" uri="{C3380CC4-5D6E-409C-BE32-E72D297353CC}">
                <c16:uniqueId val="{00000001-D996-4A8B-95DD-F5E8ED178E33}"/>
              </c:ext>
            </c:extLst>
          </c:dPt>
          <c:dPt>
            <c:idx val="2"/>
            <c:invertIfNegative val="0"/>
            <c:bubble3D val="0"/>
            <c:extLst>
              <c:ext xmlns:c16="http://schemas.microsoft.com/office/drawing/2014/chart" uri="{C3380CC4-5D6E-409C-BE32-E72D297353CC}">
                <c16:uniqueId val="{00000002-D996-4A8B-95DD-F5E8ED178E33}"/>
              </c:ext>
            </c:extLst>
          </c:dPt>
          <c:dPt>
            <c:idx val="3"/>
            <c:invertIfNegative val="0"/>
            <c:bubble3D val="0"/>
            <c:extLst>
              <c:ext xmlns:c16="http://schemas.microsoft.com/office/drawing/2014/chart" uri="{C3380CC4-5D6E-409C-BE32-E72D297353CC}">
                <c16:uniqueId val="{00000003-D996-4A8B-95DD-F5E8ED178E33}"/>
              </c:ext>
            </c:extLst>
          </c:dPt>
          <c:dLbls>
            <c:dLbl>
              <c:idx val="0"/>
              <c:tx>
                <c:rich>
                  <a:bodyPr/>
                  <a:lstStyle/>
                  <a:p>
                    <a:fld id="{927DC4CA-EC6F-4651-9222-B4C0F14E4C65}"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D996-4A8B-95DD-F5E8ED178E33}"/>
                </c:ext>
              </c:extLst>
            </c:dLbl>
            <c:dLbl>
              <c:idx val="1"/>
              <c:tx>
                <c:rich>
                  <a:bodyPr/>
                  <a:lstStyle/>
                  <a:p>
                    <a:fld id="{049D02D2-90D6-461A-86CB-E43FF59069E9}"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996-4A8B-95DD-F5E8ED178E33}"/>
                </c:ext>
              </c:extLst>
            </c:dLbl>
            <c:dLbl>
              <c:idx val="2"/>
              <c:tx>
                <c:rich>
                  <a:bodyPr/>
                  <a:lstStyle/>
                  <a:p>
                    <a:fld id="{E0B5F163-E9DC-4D91-8952-646D80409D4E}"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D996-4A8B-95DD-F5E8ED178E33}"/>
                </c:ext>
              </c:extLst>
            </c:dLbl>
            <c:dLbl>
              <c:idx val="3"/>
              <c:tx>
                <c:rich>
                  <a:bodyPr/>
                  <a:lstStyle/>
                  <a:p>
                    <a:fld id="{2196FA83-5E6D-417A-9113-795DEAA577A6}"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996-4A8B-95DD-F5E8ED178E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&amp; Non-Gamification'!$A$4:$A$8</c:f>
              <c:strCache>
                <c:ptCount val="4"/>
                <c:pt idx="0">
                  <c:v>Engagement</c:v>
                </c:pt>
                <c:pt idx="1">
                  <c:v>Learning Outcomes</c:v>
                </c:pt>
                <c:pt idx="2">
                  <c:v>Motivation</c:v>
                </c:pt>
                <c:pt idx="3">
                  <c:v>Participation</c:v>
                </c:pt>
              </c:strCache>
            </c:strRef>
          </c:cat>
          <c:val>
            <c:numRef>
              <c:f>'Gamification &amp; Non-Gamification'!$B$4:$B$8</c:f>
              <c:numCache>
                <c:formatCode>0.00</c:formatCode>
                <c:ptCount val="4"/>
                <c:pt idx="0">
                  <c:v>84.4</c:v>
                </c:pt>
                <c:pt idx="1">
                  <c:v>73.63</c:v>
                </c:pt>
                <c:pt idx="2">
                  <c:v>80.349999999999994</c:v>
                </c:pt>
                <c:pt idx="3">
                  <c:v>90.32</c:v>
                </c:pt>
              </c:numCache>
            </c:numRef>
          </c:val>
          <c:extLst>
            <c:ext xmlns:c16="http://schemas.microsoft.com/office/drawing/2014/chart" uri="{C3380CC4-5D6E-409C-BE32-E72D297353CC}">
              <c16:uniqueId val="{00000004-D996-4A8B-95DD-F5E8ED178E33}"/>
            </c:ext>
          </c:extLst>
        </c:ser>
        <c:ser>
          <c:idx val="1"/>
          <c:order val="1"/>
          <c:tx>
            <c:strRef>
              <c:f>'Gamification &amp; Non-Gamification'!$C$3</c:f>
              <c:strCache>
                <c:ptCount val="1"/>
                <c:pt idx="0">
                  <c:v>Average of Non-Gamification Impact (%)</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Pt>
            <c:idx val="0"/>
            <c:invertIfNegative val="0"/>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5-D996-4A8B-95DD-F5E8ED178E33}"/>
              </c:ext>
            </c:extLst>
          </c:dPt>
          <c:dPt>
            <c:idx val="1"/>
            <c:invertIfNegative val="0"/>
            <c:bubble3D val="0"/>
            <c:extLst>
              <c:ext xmlns:c16="http://schemas.microsoft.com/office/drawing/2014/chart" uri="{C3380CC4-5D6E-409C-BE32-E72D297353CC}">
                <c16:uniqueId val="{00000006-D996-4A8B-95DD-F5E8ED178E33}"/>
              </c:ext>
            </c:extLst>
          </c:dPt>
          <c:dPt>
            <c:idx val="2"/>
            <c:invertIfNegative val="0"/>
            <c:bubble3D val="0"/>
            <c:extLst>
              <c:ext xmlns:c16="http://schemas.microsoft.com/office/drawing/2014/chart" uri="{C3380CC4-5D6E-409C-BE32-E72D297353CC}">
                <c16:uniqueId val="{00000007-D996-4A8B-95DD-F5E8ED178E33}"/>
              </c:ext>
            </c:extLst>
          </c:dPt>
          <c:dPt>
            <c:idx val="3"/>
            <c:invertIfNegative val="0"/>
            <c:bubble3D val="0"/>
            <c:extLst>
              <c:ext xmlns:c16="http://schemas.microsoft.com/office/drawing/2014/chart" uri="{C3380CC4-5D6E-409C-BE32-E72D297353CC}">
                <c16:uniqueId val="{00000008-D996-4A8B-95DD-F5E8ED178E33}"/>
              </c:ext>
            </c:extLst>
          </c:dPt>
          <c:dLbls>
            <c:dLbl>
              <c:idx val="0"/>
              <c:tx>
                <c:rich>
                  <a:bodyPr/>
                  <a:lstStyle/>
                  <a:p>
                    <a:fld id="{B5F4BA7D-5761-44D9-8A33-6AB8C31C4254}"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D996-4A8B-95DD-F5E8ED178E33}"/>
                </c:ext>
              </c:extLst>
            </c:dLbl>
            <c:dLbl>
              <c:idx val="1"/>
              <c:tx>
                <c:rich>
                  <a:bodyPr/>
                  <a:lstStyle/>
                  <a:p>
                    <a:fld id="{E5BB9E9B-2C61-43A9-8BBE-497667CF05A5}"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996-4A8B-95DD-F5E8ED178E33}"/>
                </c:ext>
              </c:extLst>
            </c:dLbl>
            <c:dLbl>
              <c:idx val="2"/>
              <c:tx>
                <c:rich>
                  <a:bodyPr/>
                  <a:lstStyle/>
                  <a:p>
                    <a:fld id="{A4A9B251-4F0F-40B9-B2FB-5D30AF8884E2}"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D996-4A8B-95DD-F5E8ED178E33}"/>
                </c:ext>
              </c:extLst>
            </c:dLbl>
            <c:dLbl>
              <c:idx val="3"/>
              <c:tx>
                <c:rich>
                  <a:bodyPr/>
                  <a:lstStyle/>
                  <a:p>
                    <a:fld id="{FADDF50E-9651-46A1-A90B-124B4ABE149C}" type="VALUE">
                      <a:rPr lang="en-US"/>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D996-4A8B-95DD-F5E8ED178E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&amp; Non-Gamification'!$A$4:$A$8</c:f>
              <c:strCache>
                <c:ptCount val="4"/>
                <c:pt idx="0">
                  <c:v>Engagement</c:v>
                </c:pt>
                <c:pt idx="1">
                  <c:v>Learning Outcomes</c:v>
                </c:pt>
                <c:pt idx="2">
                  <c:v>Motivation</c:v>
                </c:pt>
                <c:pt idx="3">
                  <c:v>Participation</c:v>
                </c:pt>
              </c:strCache>
            </c:strRef>
          </c:cat>
          <c:val>
            <c:numRef>
              <c:f>'Gamification &amp; Non-Gamification'!$C$4:$C$8</c:f>
              <c:numCache>
                <c:formatCode>0.00</c:formatCode>
                <c:ptCount val="4"/>
                <c:pt idx="0">
                  <c:v>69.959999999999994</c:v>
                </c:pt>
                <c:pt idx="1">
                  <c:v>60.52</c:v>
                </c:pt>
                <c:pt idx="2">
                  <c:v>64.819999999999993</c:v>
                </c:pt>
                <c:pt idx="3">
                  <c:v>75.510000000000005</c:v>
                </c:pt>
              </c:numCache>
            </c:numRef>
          </c:val>
          <c:extLst>
            <c:ext xmlns:c16="http://schemas.microsoft.com/office/drawing/2014/chart" uri="{C3380CC4-5D6E-409C-BE32-E72D297353CC}">
              <c16:uniqueId val="{00000009-D996-4A8B-95DD-F5E8ED178E33}"/>
            </c:ext>
          </c:extLst>
        </c:ser>
        <c:dLbls>
          <c:dLblPos val="inEnd"/>
          <c:showLegendKey val="0"/>
          <c:showVal val="1"/>
          <c:showCatName val="0"/>
          <c:showSerName val="0"/>
          <c:showPercent val="0"/>
          <c:showBubbleSize val="0"/>
        </c:dLbls>
        <c:gapWidth val="115"/>
        <c:overlap val="-20"/>
        <c:axId val="995300639"/>
        <c:axId val="813501839"/>
      </c:barChart>
      <c:catAx>
        <c:axId val="99530063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01839"/>
        <c:crosses val="autoZero"/>
        <c:auto val="1"/>
        <c:lblAlgn val="ctr"/>
        <c:lblOffset val="100"/>
        <c:noMultiLvlLbl val="0"/>
      </c:catAx>
      <c:valAx>
        <c:axId val="81350183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00639"/>
        <c:crosses val="autoZero"/>
        <c:crossBetween val="between"/>
      </c:valAx>
      <c:spPr>
        <a:noFill/>
        <a:ln>
          <a:noFill/>
        </a:ln>
        <a:effectLst/>
      </c:spPr>
    </c:plotArea>
    <c:legend>
      <c:legendPos val="r"/>
      <c:layout>
        <c:manualLayout>
          <c:xMode val="edge"/>
          <c:yMode val="edge"/>
          <c:x val="0.75224822133002711"/>
          <c:y val="0.3509884138976555"/>
          <c:w val="0.22187053900947792"/>
          <c:h val="0.31502474134053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Tool.xlsm]Teacher Count!PivotTable7</c:name>
    <c:fmtId val="1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Teacher Count by Experience Band &amp; Method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'Teacher Count'!$B$3:$B$4</c:f>
              <c:strCache>
                <c:ptCount val="1"/>
                <c:pt idx="0">
                  <c:v>Case Studies</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a:sp3d/>
          </c:spPr>
          <c:invertIfNegative val="0"/>
          <c:cat>
            <c:strRef>
              <c:f>'Teacher Count'!$A$5:$A$8</c:f>
              <c:strCache>
                <c:ptCount val="3"/>
                <c:pt idx="0">
                  <c:v>Junior</c:v>
                </c:pt>
                <c:pt idx="1">
                  <c:v>Mid</c:v>
                </c:pt>
                <c:pt idx="2">
                  <c:v>Senior</c:v>
                </c:pt>
              </c:strCache>
            </c:strRef>
          </c:cat>
          <c:val>
            <c:numRef>
              <c:f>'Teacher Count'!$B$5:$B$8</c:f>
              <c:numCache>
                <c:formatCode>General</c:formatCode>
                <c:ptCount val="3"/>
                <c:pt idx="0">
                  <c:v>1</c:v>
                </c:pt>
                <c:pt idx="1">
                  <c:v>2</c:v>
                </c:pt>
              </c:numCache>
            </c:numRef>
          </c:val>
          <c:extLst>
            <c:ext xmlns:c16="http://schemas.microsoft.com/office/drawing/2014/chart" uri="{C3380CC4-5D6E-409C-BE32-E72D297353CC}">
              <c16:uniqueId val="{00000000-5D64-4C4C-BBB1-1BAD4CDE2A3D}"/>
            </c:ext>
          </c:extLst>
        </c:ser>
        <c:ser>
          <c:idx val="1"/>
          <c:order val="1"/>
          <c:tx>
            <c:strRef>
              <c:f>'Teacher Count'!$C$3:$C$4</c:f>
              <c:strCache>
                <c:ptCount val="1"/>
                <c:pt idx="0">
                  <c:v>Experiments</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a:sp3d/>
          </c:spPr>
          <c:invertIfNegative val="0"/>
          <c:cat>
            <c:strRef>
              <c:f>'Teacher Count'!$A$5:$A$8</c:f>
              <c:strCache>
                <c:ptCount val="3"/>
                <c:pt idx="0">
                  <c:v>Junior</c:v>
                </c:pt>
                <c:pt idx="1">
                  <c:v>Mid</c:v>
                </c:pt>
                <c:pt idx="2">
                  <c:v>Senior</c:v>
                </c:pt>
              </c:strCache>
            </c:strRef>
          </c:cat>
          <c:val>
            <c:numRef>
              <c:f>'Teacher Count'!$C$5:$C$8</c:f>
              <c:numCache>
                <c:formatCode>General</c:formatCode>
                <c:ptCount val="3"/>
                <c:pt idx="1">
                  <c:v>2</c:v>
                </c:pt>
                <c:pt idx="2">
                  <c:v>1</c:v>
                </c:pt>
              </c:numCache>
            </c:numRef>
          </c:val>
          <c:extLst>
            <c:ext xmlns:c16="http://schemas.microsoft.com/office/drawing/2014/chart" uri="{C3380CC4-5D6E-409C-BE32-E72D297353CC}">
              <c16:uniqueId val="{00000000-2561-45A3-BF92-3368599234E2}"/>
            </c:ext>
          </c:extLst>
        </c:ser>
        <c:ser>
          <c:idx val="2"/>
          <c:order val="2"/>
          <c:tx>
            <c:strRef>
              <c:f>'Teacher Count'!$D$3:$D$4</c:f>
              <c:strCache>
                <c:ptCount val="1"/>
                <c:pt idx="0">
                  <c:v>Group Projects</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a:sp3d/>
          </c:spPr>
          <c:invertIfNegative val="0"/>
          <c:cat>
            <c:strRef>
              <c:f>'Teacher Count'!$A$5:$A$8</c:f>
              <c:strCache>
                <c:ptCount val="3"/>
                <c:pt idx="0">
                  <c:v>Junior</c:v>
                </c:pt>
                <c:pt idx="1">
                  <c:v>Mid</c:v>
                </c:pt>
                <c:pt idx="2">
                  <c:v>Senior</c:v>
                </c:pt>
              </c:strCache>
            </c:strRef>
          </c:cat>
          <c:val>
            <c:numRef>
              <c:f>'Teacher Count'!$D$5:$D$8</c:f>
              <c:numCache>
                <c:formatCode>General</c:formatCode>
                <c:ptCount val="3"/>
                <c:pt idx="1">
                  <c:v>3</c:v>
                </c:pt>
              </c:numCache>
            </c:numRef>
          </c:val>
          <c:extLst>
            <c:ext xmlns:c16="http://schemas.microsoft.com/office/drawing/2014/chart" uri="{C3380CC4-5D6E-409C-BE32-E72D297353CC}">
              <c16:uniqueId val="{00000001-2561-45A3-BF92-3368599234E2}"/>
            </c:ext>
          </c:extLst>
        </c:ser>
        <c:ser>
          <c:idx val="3"/>
          <c:order val="3"/>
          <c:tx>
            <c:strRef>
              <c:f>'Teacher Count'!$E$3:$E$4</c:f>
              <c:strCache>
                <c:ptCount val="1"/>
                <c:pt idx="0">
                  <c:v>Lectures</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a:sp3d/>
          </c:spPr>
          <c:invertIfNegative val="0"/>
          <c:cat>
            <c:strRef>
              <c:f>'Teacher Count'!$A$5:$A$8</c:f>
              <c:strCache>
                <c:ptCount val="3"/>
                <c:pt idx="0">
                  <c:v>Junior</c:v>
                </c:pt>
                <c:pt idx="1">
                  <c:v>Mid</c:v>
                </c:pt>
                <c:pt idx="2">
                  <c:v>Senior</c:v>
                </c:pt>
              </c:strCache>
            </c:strRef>
          </c:cat>
          <c:val>
            <c:numRef>
              <c:f>'Teacher Count'!$E$5:$E$8</c:f>
              <c:numCache>
                <c:formatCode>General</c:formatCode>
                <c:ptCount val="3"/>
                <c:pt idx="1">
                  <c:v>2</c:v>
                </c:pt>
                <c:pt idx="2">
                  <c:v>1</c:v>
                </c:pt>
              </c:numCache>
            </c:numRef>
          </c:val>
          <c:extLst>
            <c:ext xmlns:c16="http://schemas.microsoft.com/office/drawing/2014/chart" uri="{C3380CC4-5D6E-409C-BE32-E72D297353CC}">
              <c16:uniqueId val="{00000002-2561-45A3-BF92-3368599234E2}"/>
            </c:ext>
          </c:extLst>
        </c:ser>
        <c:ser>
          <c:idx val="4"/>
          <c:order val="4"/>
          <c:tx>
            <c:strRef>
              <c:f>'Teacher Count'!$F$3:$F$4</c:f>
              <c:strCache>
                <c:ptCount val="1"/>
                <c:pt idx="0">
                  <c:v>Online Tutorials</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a:sp3d/>
          </c:spPr>
          <c:invertIfNegative val="0"/>
          <c:cat>
            <c:strRef>
              <c:f>'Teacher Count'!$A$5:$A$8</c:f>
              <c:strCache>
                <c:ptCount val="3"/>
                <c:pt idx="0">
                  <c:v>Junior</c:v>
                </c:pt>
                <c:pt idx="1">
                  <c:v>Mid</c:v>
                </c:pt>
                <c:pt idx="2">
                  <c:v>Senior</c:v>
                </c:pt>
              </c:strCache>
            </c:strRef>
          </c:cat>
          <c:val>
            <c:numRef>
              <c:f>'Teacher Count'!$F$5:$F$8</c:f>
              <c:numCache>
                <c:formatCode>General</c:formatCode>
                <c:ptCount val="3"/>
                <c:pt idx="0">
                  <c:v>1</c:v>
                </c:pt>
                <c:pt idx="1">
                  <c:v>2</c:v>
                </c:pt>
              </c:numCache>
            </c:numRef>
          </c:val>
          <c:extLst>
            <c:ext xmlns:c16="http://schemas.microsoft.com/office/drawing/2014/chart" uri="{C3380CC4-5D6E-409C-BE32-E72D297353CC}">
              <c16:uniqueId val="{00000003-2561-45A3-BF92-3368599234E2}"/>
            </c:ext>
          </c:extLst>
        </c:ser>
        <c:dLbls>
          <c:showLegendKey val="0"/>
          <c:showVal val="0"/>
          <c:showCatName val="0"/>
          <c:showSerName val="0"/>
          <c:showPercent val="0"/>
          <c:showBubbleSize val="0"/>
        </c:dLbls>
        <c:gapWidth val="150"/>
        <c:shape val="box"/>
        <c:axId val="581843855"/>
        <c:axId val="463280495"/>
        <c:axId val="0"/>
      </c:bar3DChart>
      <c:catAx>
        <c:axId val="58184385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3280495"/>
        <c:crosses val="autoZero"/>
        <c:auto val="1"/>
        <c:lblAlgn val="ctr"/>
        <c:lblOffset val="100"/>
        <c:noMultiLvlLbl val="0"/>
      </c:catAx>
      <c:valAx>
        <c:axId val="46328049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81843855"/>
        <c:crosses val="autoZero"/>
        <c:crossBetween val="between"/>
      </c:valAx>
      <c:spPr>
        <a:noFill/>
        <a:ln>
          <a:noFill/>
        </a:ln>
        <a:effectLst/>
      </c:spPr>
    </c:plotArea>
    <c:legend>
      <c:legendPos val="r"/>
      <c:layout>
        <c:manualLayout>
          <c:xMode val="edge"/>
          <c:yMode val="edge"/>
          <c:x val="0.8199314046421442"/>
          <c:y val="0.36928982584452935"/>
          <c:w val="0.16547150474244227"/>
          <c:h val="0.321980037722132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Tool.xlsm]Gender Split!PivotTable1</c:name>
    <c:fmtId val="18"/>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Gender Split</a:t>
            </a:r>
          </a:p>
        </c:rich>
      </c:tx>
      <c:layout>
        <c:manualLayout>
          <c:xMode val="edge"/>
          <c:yMode val="edge"/>
          <c:x val="0.36439052512040399"/>
          <c:y val="7.024837309708123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E3B4992-1CD6-45C9-AA8A-90329CDEB97A}" type="PERCENTAGE">
                  <a:rPr lang="en-US" sz="1000"/>
                  <a:pPr>
                    <a:defRPr/>
                  </a:pPr>
                  <a:t>[PERCENTAGE]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a:outerShdw blurRad="317500" algn="ctr" rotWithShape="0">
              <a:prstClr val="black">
                <a:alpha val="25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F44060B-0157-4F07-86F3-168D405DC3A4}" type="PERCENTAGE">
                  <a:rPr lang="en-US" sz="1000"/>
                  <a:pPr>
                    <a:defRPr/>
                  </a:pPr>
                  <a:t>[PERCENTAGE]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30445158078297568"/>
          <c:y val="0.20851565973589306"/>
          <c:w val="0.39316584080346367"/>
          <c:h val="0.67741026397220305"/>
        </c:manualLayout>
      </c:layout>
      <c:pieChart>
        <c:varyColors val="1"/>
        <c:ser>
          <c:idx val="0"/>
          <c:order val="0"/>
          <c:tx>
            <c:strRef>
              <c:f>'Gender Split'!$B$3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EA9-4443-876E-21C77207C403}"/>
              </c:ext>
            </c:extLst>
          </c:dPt>
          <c:dPt>
            <c:idx val="1"/>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EA9-4443-876E-21C77207C403}"/>
              </c:ext>
            </c:extLst>
          </c:dPt>
          <c:dLbls>
            <c:dLbl>
              <c:idx val="0"/>
              <c:tx>
                <c:rich>
                  <a:bodyPr/>
                  <a:lstStyle/>
                  <a:p>
                    <a:fld id="{5E3B4992-1CD6-45C9-AA8A-90329CDEB97A}" type="PERCENTAGE">
                      <a:rPr lang="en-US" sz="1000"/>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EA9-4443-876E-21C77207C403}"/>
                </c:ext>
              </c:extLst>
            </c:dLbl>
            <c:dLbl>
              <c:idx val="1"/>
              <c:tx>
                <c:rich>
                  <a:bodyPr/>
                  <a:lstStyle/>
                  <a:p>
                    <a:fld id="{BF44060B-0157-4F07-86F3-168D405DC3A4}" type="PERCENTAGE">
                      <a:rPr lang="en-US" sz="1000"/>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EA9-4443-876E-21C77207C40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'Gender Split'!$A$4:$A$6</c:f>
              <c:strCache>
                <c:ptCount val="2"/>
                <c:pt idx="0">
                  <c:v>Female</c:v>
                </c:pt>
                <c:pt idx="1">
                  <c:v>Male</c:v>
                </c:pt>
              </c:strCache>
            </c:strRef>
          </c:cat>
          <c:val>
            <c:numRef>
              <c:f>'Gender Split'!$B$4:$B$6</c:f>
              <c:numCache>
                <c:formatCode>General</c:formatCode>
                <c:ptCount val="2"/>
                <c:pt idx="0">
                  <c:v>366</c:v>
                </c:pt>
                <c:pt idx="1">
                  <c:v>636</c:v>
                </c:pt>
              </c:numCache>
            </c:numRef>
          </c:val>
          <c:extLst>
            <c:ext xmlns:c16="http://schemas.microsoft.com/office/drawing/2014/chart" uri="{C3380CC4-5D6E-409C-BE32-E72D297353CC}">
              <c16:uniqueId val="{00000004-BEA9-4443-876E-21C77207C40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6758206716904864"/>
          <c:y val="0.43723493121872131"/>
          <c:w val="0.15793384753201142"/>
          <c:h val="0.25799641310384785"/>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Lift(Performance)!PivotTable2</c:name>
    <c:fmtId val="1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Gamification Lift by Performance Tier (pts)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'Gamification Lift(Performance)'!$B$3</c:f>
              <c:strCache>
                <c:ptCount val="1"/>
                <c:pt idx="0">
                  <c:v>Average of Engagement Lift</c:v>
                </c:pt>
              </c:strCache>
            </c:strRef>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Lift(Performance)'!$A$4:$A$7</c:f>
              <c:strCache>
                <c:ptCount val="3"/>
                <c:pt idx="0">
                  <c:v>High</c:v>
                </c:pt>
                <c:pt idx="1">
                  <c:v>Low</c:v>
                </c:pt>
                <c:pt idx="2">
                  <c:v>Medium</c:v>
                </c:pt>
              </c:strCache>
            </c:strRef>
          </c:cat>
          <c:val>
            <c:numRef>
              <c:f>'Gamification Lift(Performance)'!$B$4:$B$7</c:f>
              <c:numCache>
                <c:formatCode>0.00</c:formatCode>
                <c:ptCount val="3"/>
                <c:pt idx="0">
                  <c:v>16.937675317551026</c:v>
                </c:pt>
                <c:pt idx="1">
                  <c:v>17.241211012499999</c:v>
                </c:pt>
                <c:pt idx="2">
                  <c:v>16.83365989569382</c:v>
                </c:pt>
              </c:numCache>
            </c:numRef>
          </c:val>
          <c:extLst>
            <c:ext xmlns:c16="http://schemas.microsoft.com/office/drawing/2014/chart" uri="{C3380CC4-5D6E-409C-BE32-E72D297353CC}">
              <c16:uniqueId val="{00000000-2939-4F4A-9BEE-2F7ED2064122}"/>
            </c:ext>
          </c:extLst>
        </c:ser>
        <c:ser>
          <c:idx val="1"/>
          <c:order val="1"/>
          <c:tx>
            <c:strRef>
              <c:f>'Gamification Lift(Performance)'!$C$3</c:f>
              <c:strCache>
                <c:ptCount val="1"/>
                <c:pt idx="0">
                  <c:v>Average of Motivation Lift</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Lift(Performance)'!$A$4:$A$7</c:f>
              <c:strCache>
                <c:ptCount val="3"/>
                <c:pt idx="0">
                  <c:v>High</c:v>
                </c:pt>
                <c:pt idx="1">
                  <c:v>Low</c:v>
                </c:pt>
                <c:pt idx="2">
                  <c:v>Medium</c:v>
                </c:pt>
              </c:strCache>
            </c:strRef>
          </c:cat>
          <c:val>
            <c:numRef>
              <c:f>'Gamification Lift(Performance)'!$C$4:$C$7</c:f>
              <c:numCache>
                <c:formatCode>0.00</c:formatCode>
                <c:ptCount val="3"/>
                <c:pt idx="0">
                  <c:v>11.017824956054424</c:v>
                </c:pt>
                <c:pt idx="1">
                  <c:v>12.862507504935897</c:v>
                </c:pt>
                <c:pt idx="2">
                  <c:v>11.397209398268959</c:v>
                </c:pt>
              </c:numCache>
            </c:numRef>
          </c:val>
          <c:extLst>
            <c:ext xmlns:c16="http://schemas.microsoft.com/office/drawing/2014/chart" uri="{C3380CC4-5D6E-409C-BE32-E72D297353CC}">
              <c16:uniqueId val="{00000001-2939-4F4A-9BEE-2F7ED2064122}"/>
            </c:ext>
          </c:extLst>
        </c:ser>
        <c:ser>
          <c:idx val="2"/>
          <c:order val="2"/>
          <c:tx>
            <c:strRef>
              <c:f>'Gamification Lift(Performance)'!$D$3</c:f>
              <c:strCache>
                <c:ptCount val="1"/>
                <c:pt idx="0">
                  <c:v>Average of Participation Lift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Lift(Performance)'!$A$4:$A$7</c:f>
              <c:strCache>
                <c:ptCount val="3"/>
                <c:pt idx="0">
                  <c:v>High</c:v>
                </c:pt>
                <c:pt idx="1">
                  <c:v>Low</c:v>
                </c:pt>
                <c:pt idx="2">
                  <c:v>Medium</c:v>
                </c:pt>
              </c:strCache>
            </c:strRef>
          </c:cat>
          <c:val>
            <c:numRef>
              <c:f>'Gamification Lift(Performance)'!$D$4:$D$7</c:f>
              <c:numCache>
                <c:formatCode>0.00</c:formatCode>
                <c:ptCount val="3"/>
                <c:pt idx="0">
                  <c:v>11.192561500816327</c:v>
                </c:pt>
                <c:pt idx="1">
                  <c:v>11.516490839807696</c:v>
                </c:pt>
                <c:pt idx="2">
                  <c:v>11.898162359184555</c:v>
                </c:pt>
              </c:numCache>
            </c:numRef>
          </c:val>
          <c:extLst>
            <c:ext xmlns:c16="http://schemas.microsoft.com/office/drawing/2014/chart" uri="{C3380CC4-5D6E-409C-BE32-E72D297353CC}">
              <c16:uniqueId val="{00000002-2939-4F4A-9BEE-2F7ED2064122}"/>
            </c:ext>
          </c:extLst>
        </c:ser>
        <c:ser>
          <c:idx val="3"/>
          <c:order val="3"/>
          <c:tx>
            <c:strRef>
              <c:f>'Gamification Lift(Performance)'!$E$3</c:f>
              <c:strCache>
                <c:ptCount val="1"/>
                <c:pt idx="0">
                  <c:v>Average of Learning Outcomes Lift</c:v>
                </c:pt>
              </c:strCache>
            </c:strRef>
          </c:tx>
          <c:spPr>
            <a:gradFill>
              <a:gsLst>
                <a:gs pos="0">
                  <a:schemeClr val="accent6">
                    <a:lumMod val="60000"/>
                    <a:shade val="51000"/>
                  </a:schemeClr>
                </a:gs>
                <a:gs pos="80000">
                  <a:schemeClr val="accent6">
                    <a:lumMod val="60000"/>
                    <a:shade val="93000"/>
                  </a:schemeClr>
                </a:gs>
                <a:gs pos="100000">
                  <a:schemeClr val="accent6">
                    <a:lumMod val="6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'Gamification Lift(Performance)'!$A$4:$A$7</c:f>
              <c:strCache>
                <c:ptCount val="3"/>
                <c:pt idx="0">
                  <c:v>High</c:v>
                </c:pt>
                <c:pt idx="1">
                  <c:v>Low</c:v>
                </c:pt>
                <c:pt idx="2">
                  <c:v>Medium</c:v>
                </c:pt>
              </c:strCache>
            </c:strRef>
          </c:cat>
          <c:val>
            <c:numRef>
              <c:f>'Gamification Lift(Performance)'!$E$4:$E$7</c:f>
              <c:numCache>
                <c:formatCode>0.00</c:formatCode>
                <c:ptCount val="3"/>
                <c:pt idx="0">
                  <c:v>13.398163401292523</c:v>
                </c:pt>
                <c:pt idx="1">
                  <c:v>12.535647228589744</c:v>
                </c:pt>
                <c:pt idx="2">
                  <c:v>12.616776247095848</c:v>
                </c:pt>
              </c:numCache>
            </c:numRef>
          </c:val>
          <c:extLst>
            <c:ext xmlns:c16="http://schemas.microsoft.com/office/drawing/2014/chart" uri="{C3380CC4-5D6E-409C-BE32-E72D297353CC}">
              <c16:uniqueId val="{00000003-2939-4F4A-9BEE-2F7ED2064122}"/>
            </c:ext>
          </c:extLst>
        </c:ser>
        <c:dLbls>
          <c:dLblPos val="ctr"/>
          <c:showLegendKey val="0"/>
          <c:showVal val="1"/>
          <c:showCatName val="0"/>
          <c:showSerName val="0"/>
          <c:showPercent val="0"/>
          <c:showBubbleSize val="0"/>
        </c:dLbls>
        <c:gapWidth val="100"/>
        <c:overlap val="-24"/>
        <c:axId val="85594304"/>
        <c:axId val="2123512847"/>
      </c:barChart>
      <c:catAx>
        <c:axId val="8559430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512847"/>
        <c:crosses val="autoZero"/>
        <c:auto val="1"/>
        <c:lblAlgn val="ctr"/>
        <c:lblOffset val="100"/>
        <c:noMultiLvlLbl val="0"/>
      </c:catAx>
      <c:valAx>
        <c:axId val="21235128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94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[Academic Research Survey Data Analysis Tool.xlsm]Students per Teacher!PivotTable3</c:name>
    <c:fmtId val="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200"/>
              <a:t>Students per Teacher by Method (Demand Pressure)</a:t>
            </a:r>
          </a:p>
        </c:rich>
      </c:tx>
      <c:layout>
        <c:manualLayout>
          <c:xMode val="edge"/>
          <c:yMode val="edge"/>
          <c:x val="0.24975340185253975"/>
          <c:y val="8.622604696838273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'Students per Teacher'!$B$3</c:f>
              <c:strCache>
                <c:ptCount val="1"/>
                <c:pt idx="0">
                  <c:v>Total</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'Students per Teacher'!$A$4:$A$9</c:f>
              <c:strCache>
                <c:ptCount val="5"/>
                <c:pt idx="0">
                  <c:v>Case Studies</c:v>
                </c:pt>
                <c:pt idx="1">
                  <c:v>Experiments</c:v>
                </c:pt>
                <c:pt idx="2">
                  <c:v>Group Projects</c:v>
                </c:pt>
                <c:pt idx="3">
                  <c:v>Lectures</c:v>
                </c:pt>
                <c:pt idx="4">
                  <c:v>Online Tutorials</c:v>
                </c:pt>
              </c:strCache>
            </c:strRef>
          </c:cat>
          <c:val>
            <c:numRef>
              <c:f>'Students per Teacher'!$B$4:$B$9</c:f>
              <c:numCache>
                <c:formatCode>General</c:formatCode>
                <c:ptCount val="5"/>
                <c:pt idx="0">
                  <c:v>210</c:v>
                </c:pt>
                <c:pt idx="1">
                  <c:v>197</c:v>
                </c:pt>
                <c:pt idx="2">
                  <c:v>208</c:v>
                </c:pt>
                <c:pt idx="3">
                  <c:v>184</c:v>
                </c:pt>
                <c:pt idx="4">
                  <c:v>203</c:v>
                </c:pt>
              </c:numCache>
            </c:numRef>
          </c:val>
          <c:extLst>
            <c:ext xmlns:c16="http://schemas.microsoft.com/office/drawing/2014/chart" uri="{C3380CC4-5D6E-409C-BE32-E72D297353CC}">
              <c16:uniqueId val="{00000000-5B46-4AD3-BE64-95B1EF4577AA}"/>
            </c:ext>
          </c:extLst>
        </c:ser>
        <c:dLbls>
          <c:showLegendKey val="0"/>
          <c:showVal val="0"/>
          <c:showCatName val="0"/>
          <c:showSerName val="0"/>
          <c:showPercent val="0"/>
          <c:showBubbleSize val="0"/>
        </c:dLbls>
        <c:gapWidth val="100"/>
        <c:overlap val="-24"/>
        <c:axId val="1015561295"/>
        <c:axId val="813581039"/>
      </c:barChart>
      <c:catAx>
        <c:axId val="10155612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81039"/>
        <c:crosses val="autoZero"/>
        <c:auto val="1"/>
        <c:lblAlgn val="ctr"/>
        <c:lblOffset val="100"/>
        <c:noMultiLvlLbl val="0"/>
      </c:catAx>
      <c:valAx>
        <c:axId val="81358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61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Tool.xlsm]Teaching Method(Effectiveness)!PivotTable1</c:name>
    <c:fmtId val="1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Teaching Method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710961713809899E-2"/>
          <c:y val="0.30698835722457768"/>
          <c:w val="0.78397604145635646"/>
          <c:h val="0.39880072925835269"/>
        </c:manualLayout>
      </c:layout>
      <c:lineChart>
        <c:grouping val="stacked"/>
        <c:varyColors val="0"/>
        <c:ser>
          <c:idx val="0"/>
          <c:order val="0"/>
          <c:tx>
            <c:strRef>
              <c:f>'Teaching Method(Effectiveness)'!$B$3</c:f>
              <c:strCache>
                <c:ptCount val="1"/>
                <c:pt idx="0">
                  <c:v>Total</c:v>
                </c:pt>
              </c:strCache>
            </c:strRef>
          </c:tx>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'Teaching Method(Effectiveness)'!$A$4:$A$9</c:f>
              <c:strCache>
                <c:ptCount val="5"/>
                <c:pt idx="0">
                  <c:v>Case Studies</c:v>
                </c:pt>
                <c:pt idx="1">
                  <c:v>Experiments</c:v>
                </c:pt>
                <c:pt idx="2">
                  <c:v>Group Projects</c:v>
                </c:pt>
                <c:pt idx="3">
                  <c:v>Lectures</c:v>
                </c:pt>
                <c:pt idx="4">
                  <c:v>Online Tutorials</c:v>
                </c:pt>
              </c:strCache>
            </c:strRef>
          </c:cat>
          <c:val>
            <c:numRef>
              <c:f>'Teaching Method(Effectiveness)'!$B$4:$B$9</c:f>
              <c:numCache>
                <c:formatCode>General</c:formatCode>
                <c:ptCount val="5"/>
                <c:pt idx="0">
                  <c:v>210</c:v>
                </c:pt>
                <c:pt idx="1">
                  <c:v>197</c:v>
                </c:pt>
                <c:pt idx="2">
                  <c:v>208</c:v>
                </c:pt>
                <c:pt idx="3">
                  <c:v>184</c:v>
                </c:pt>
                <c:pt idx="4">
                  <c:v>203</c:v>
                </c:pt>
              </c:numCache>
            </c:numRef>
          </c:val>
          <c:smooth val="0"/>
          <c:extLst>
            <c:ext xmlns:c16="http://schemas.microsoft.com/office/drawing/2014/chart" uri="{C3380CC4-5D6E-409C-BE32-E72D297353CC}">
              <c16:uniqueId val="{00000000-10ED-4959-8A9F-42AE37A98BAD}"/>
            </c:ext>
          </c:extLst>
        </c:ser>
        <c:dLbls>
          <c:dLblPos val="ctr"/>
          <c:showLegendKey val="0"/>
          <c:showVal val="1"/>
          <c:showCatName val="0"/>
          <c:showSerName val="0"/>
          <c:showPercent val="0"/>
          <c:showBubbleSize val="0"/>
        </c:dLbls>
        <c:marker val="1"/>
        <c:smooth val="0"/>
        <c:axId val="1379636303"/>
        <c:axId val="1192932175"/>
      </c:lineChart>
      <c:catAx>
        <c:axId val="137963630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92932175"/>
        <c:crosses val="autoZero"/>
        <c:auto val="1"/>
        <c:lblAlgn val="ctr"/>
        <c:lblOffset val="100"/>
        <c:noMultiLvlLbl val="0"/>
      </c:catAx>
      <c:valAx>
        <c:axId val="119293217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7963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Tool.xlsm]Teaching Method(Engagement)!PivotTable1</c:name>
    <c:fmtId val="5"/>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Total Teaching Method</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692038495188095E-2"/>
          <c:y val="0.28847003499562557"/>
          <c:w val="0.73458530183727033"/>
          <c:h val="0.47559091571886847"/>
        </c:manualLayout>
      </c:layout>
      <c:lineChart>
        <c:grouping val="standard"/>
        <c:varyColors val="0"/>
        <c:ser>
          <c:idx val="0"/>
          <c:order val="0"/>
          <c:tx>
            <c:strRef>
              <c:f>'Teaching Method(Engagement)'!$B$3</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'Teaching Method(Engagement)'!$A$4:$A$9</c:f>
              <c:strCache>
                <c:ptCount val="5"/>
                <c:pt idx="0">
                  <c:v>Case Studies</c:v>
                </c:pt>
                <c:pt idx="1">
                  <c:v>Experiments</c:v>
                </c:pt>
                <c:pt idx="2">
                  <c:v>Group Projects</c:v>
                </c:pt>
                <c:pt idx="3">
                  <c:v>Lectures</c:v>
                </c:pt>
                <c:pt idx="4">
                  <c:v>Online Tutorials</c:v>
                </c:pt>
              </c:strCache>
            </c:strRef>
          </c:cat>
          <c:val>
            <c:numRef>
              <c:f>'Teaching Method(Engagement)'!$B$4:$B$9</c:f>
              <c:numCache>
                <c:formatCode>General</c:formatCode>
                <c:ptCount val="5"/>
                <c:pt idx="0">
                  <c:v>204</c:v>
                </c:pt>
                <c:pt idx="1">
                  <c:v>228</c:v>
                </c:pt>
                <c:pt idx="2">
                  <c:v>176</c:v>
                </c:pt>
                <c:pt idx="3">
                  <c:v>194</c:v>
                </c:pt>
                <c:pt idx="4">
                  <c:v>200</c:v>
                </c:pt>
              </c:numCache>
            </c:numRef>
          </c:val>
          <c:smooth val="0"/>
          <c:extLst>
            <c:ext xmlns:c16="http://schemas.microsoft.com/office/drawing/2014/chart" uri="{C3380CC4-5D6E-409C-BE32-E72D297353CC}">
              <c16:uniqueId val="{00000000-E95B-477F-9A88-B0F67D2201A0}"/>
            </c:ext>
          </c:extLst>
        </c:ser>
        <c:dLbls>
          <c:showLegendKey val="0"/>
          <c:showVal val="0"/>
          <c:showCatName val="0"/>
          <c:showSerName val="0"/>
          <c:showPercent val="0"/>
          <c:showBubbleSize val="0"/>
        </c:dLbls>
        <c:marker val="1"/>
        <c:smooth val="0"/>
        <c:axId val="995342863"/>
        <c:axId val="813580559"/>
      </c:lineChart>
      <c:catAx>
        <c:axId val="995342863"/>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13580559"/>
        <c:crosses val="autoZero"/>
        <c:auto val="1"/>
        <c:lblAlgn val="ctr"/>
        <c:lblOffset val="100"/>
        <c:noMultiLvlLbl val="0"/>
      </c:catAx>
      <c:valAx>
        <c:axId val="813580559"/>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95342863"/>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Lift!PivotTable6</c:name>
    <c:fmtId val="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Average of Gamigication Lift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1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2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3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4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1"/>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2"/>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4"/>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
        <c:idx val="59"/>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pivotFmt>
    </c:pivotFmts>
    <c:plotArea>
      <c:layout/>
      <c:pieChart>
        <c:varyColors val="1"/>
        <c:ser>
          <c:idx val="0"/>
          <c:order val="0"/>
          <c:tx>
            <c:strRef>
              <c:f>'Gamification Lift'!$B$3</c:f>
              <c:strCache>
                <c:ptCount val="1"/>
                <c:pt idx="0">
                  <c:v>Average of Engagement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1-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3-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05-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Lift'!$B$4:$B$7</c:f>
              <c:numCache>
                <c:formatCode>0.00</c:formatCode>
                <c:ptCount val="3"/>
                <c:pt idx="0">
                  <c:v>16.937675317551026</c:v>
                </c:pt>
                <c:pt idx="1">
                  <c:v>17.241211012499999</c:v>
                </c:pt>
                <c:pt idx="2">
                  <c:v>16.83365989569382</c:v>
                </c:pt>
              </c:numCache>
            </c:numRef>
          </c:val>
          <c:extLst>
            <c:ext xmlns:c16="http://schemas.microsoft.com/office/drawing/2014/chart" uri="{C3380CC4-5D6E-409C-BE32-E72D297353CC}">
              <c16:uniqueId val="{00000006-6F41-4EFD-BF13-CA3318FB40EE}"/>
            </c:ext>
          </c:extLst>
        </c:ser>
        <c:ser>
          <c:idx val="1"/>
          <c:order val="1"/>
          <c:tx>
            <c:strRef>
              <c:f>'Gamification Lift'!$C$3</c:f>
              <c:strCache>
                <c:ptCount val="1"/>
                <c:pt idx="0">
                  <c:v>Average of Motivation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8-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A-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0C-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Lift'!$C$4:$C$7</c:f>
              <c:numCache>
                <c:formatCode>0.00</c:formatCode>
                <c:ptCount val="3"/>
                <c:pt idx="0">
                  <c:v>11.017824956054424</c:v>
                </c:pt>
                <c:pt idx="1">
                  <c:v>12.862507504935897</c:v>
                </c:pt>
                <c:pt idx="2">
                  <c:v>11.397209398268959</c:v>
                </c:pt>
              </c:numCache>
            </c:numRef>
          </c:val>
          <c:extLst>
            <c:ext xmlns:c16="http://schemas.microsoft.com/office/drawing/2014/chart" uri="{C3380CC4-5D6E-409C-BE32-E72D297353CC}">
              <c16:uniqueId val="{0000000D-6F41-4EFD-BF13-CA3318FB40EE}"/>
            </c:ext>
          </c:extLst>
        </c:ser>
        <c:ser>
          <c:idx val="2"/>
          <c:order val="2"/>
          <c:tx>
            <c:strRef>
              <c:f>'Gamification Lift'!$D$3</c:f>
              <c:strCache>
                <c:ptCount val="1"/>
                <c:pt idx="0">
                  <c:v>Average of Participation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0F-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11-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13-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Lift'!$D$4:$D$7</c:f>
              <c:numCache>
                <c:formatCode>0.00</c:formatCode>
                <c:ptCount val="3"/>
                <c:pt idx="0">
                  <c:v>11.192561500816327</c:v>
                </c:pt>
                <c:pt idx="1">
                  <c:v>11.516490839807696</c:v>
                </c:pt>
                <c:pt idx="2">
                  <c:v>11.898162359184555</c:v>
                </c:pt>
              </c:numCache>
            </c:numRef>
          </c:val>
          <c:extLst>
            <c:ext xmlns:c16="http://schemas.microsoft.com/office/drawing/2014/chart" uri="{C3380CC4-5D6E-409C-BE32-E72D297353CC}">
              <c16:uniqueId val="{00000014-6F41-4EFD-BF13-CA3318FB40EE}"/>
            </c:ext>
          </c:extLst>
        </c:ser>
        <c:ser>
          <c:idx val="3"/>
          <c:order val="3"/>
          <c:tx>
            <c:strRef>
              <c:f>'Gamification Lift'!$E$3</c:f>
              <c:strCache>
                <c:ptCount val="1"/>
                <c:pt idx="0">
                  <c:v>Average of Learning Outcomes Lift</c:v>
                </c:pt>
              </c:strCache>
            </c:strRef>
          </c:tx>
          <c:dPt>
            <c:idx val="0"/>
            <c:bubble3D val="0"/>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extLst>
              <c:ext xmlns:c16="http://schemas.microsoft.com/office/drawing/2014/chart" uri="{C3380CC4-5D6E-409C-BE32-E72D297353CC}">
                <c16:uniqueId val="{00000016-6F41-4EFD-BF13-CA3318FB40EE}"/>
              </c:ext>
            </c:extLst>
          </c:dPt>
          <c:dPt>
            <c:idx val="1"/>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18-6F41-4EFD-BF13-CA3318FB40EE}"/>
              </c:ext>
            </c:extLst>
          </c:dPt>
          <c:dPt>
            <c:idx val="2"/>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1A-6F41-4EFD-BF13-CA3318FB40E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Lift'!$E$4:$E$7</c:f>
              <c:numCache>
                <c:formatCode>0.00</c:formatCode>
                <c:ptCount val="3"/>
                <c:pt idx="0">
                  <c:v>13.398163401292523</c:v>
                </c:pt>
                <c:pt idx="1">
                  <c:v>12.535647228589744</c:v>
                </c:pt>
                <c:pt idx="2">
                  <c:v>12.616776247095848</c:v>
                </c:pt>
              </c:numCache>
            </c:numRef>
          </c:val>
          <c:extLst>
            <c:ext xmlns:c16="http://schemas.microsoft.com/office/drawing/2014/chart" uri="{C3380CC4-5D6E-409C-BE32-E72D297353CC}">
              <c16:uniqueId val="{0000001B-6F41-4EFD-BF13-CA3318FB40E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597173183206146"/>
          <c:y val="0.36382320823035807"/>
          <c:w val="0.11701206404992669"/>
          <c:h val="0.431222196677970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Tool.xlsm]Effectiveness &amp; Engagement !PivotTable2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r>
              <a:rPr lang="en-IN" sz="1600" b="1" i="0" u="none" strike="noStrike" kern="1200" spc="-1" baseline="0">
                <a:solidFill>
                  <a:schemeClr val="tx2"/>
                </a:solidFill>
                <a:latin typeface="Calibri"/>
              </a:rPr>
              <a:t>Effectiveness &amp; Engagement by Age Band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1F497D"/>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'Effectiveness &amp; Engagement '!$B$3:$B$5</c:f>
              <c:strCache>
                <c:ptCount val="1"/>
                <c:pt idx="0">
                  <c:v>Female - Average of Overall Effectiveness</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'!$B$6:$B$10</c:f>
              <c:numCache>
                <c:formatCode>0.00</c:formatCode>
                <c:ptCount val="4"/>
                <c:pt idx="0">
                  <c:v>4.0160957854406139</c:v>
                </c:pt>
                <c:pt idx="1">
                  <c:v>4.0427877358490578</c:v>
                </c:pt>
                <c:pt idx="2">
                  <c:v>4.0546249999999988</c:v>
                </c:pt>
                <c:pt idx="3">
                  <c:v>4.0567465753424656</c:v>
                </c:pt>
              </c:numCache>
            </c:numRef>
          </c:val>
          <c:extLst>
            <c:ext xmlns:c16="http://schemas.microsoft.com/office/drawing/2014/chart" uri="{C3380CC4-5D6E-409C-BE32-E72D297353CC}">
              <c16:uniqueId val="{00000000-93BD-4913-ADFC-84E37233D7A5}"/>
            </c:ext>
          </c:extLst>
        </c:ser>
        <c:ser>
          <c:idx val="1"/>
          <c:order val="1"/>
          <c:tx>
            <c:strRef>
              <c:f>'Effectiveness &amp; Engagement '!$C$3:$C$5</c:f>
              <c:strCache>
                <c:ptCount val="1"/>
                <c:pt idx="0">
                  <c:v>Female - Average of Overall Engagement</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'!$C$6:$C$10</c:f>
              <c:numCache>
                <c:formatCode>0.00</c:formatCode>
                <c:ptCount val="4"/>
                <c:pt idx="0">
                  <c:v>4.048295019157087</c:v>
                </c:pt>
                <c:pt idx="1">
                  <c:v>4.0252562893081789</c:v>
                </c:pt>
                <c:pt idx="2">
                  <c:v>4.0348450000000007</c:v>
                </c:pt>
                <c:pt idx="3">
                  <c:v>4.0767876712328759</c:v>
                </c:pt>
              </c:numCache>
            </c:numRef>
          </c:val>
          <c:extLst>
            <c:ext xmlns:c16="http://schemas.microsoft.com/office/drawing/2014/chart" uri="{C3380CC4-5D6E-409C-BE32-E72D297353CC}">
              <c16:uniqueId val="{00000001-93BD-4913-ADFC-84E37233D7A5}"/>
            </c:ext>
          </c:extLst>
        </c:ser>
        <c:ser>
          <c:idx val="2"/>
          <c:order val="2"/>
          <c:tx>
            <c:strRef>
              <c:f>'Effectiveness &amp; Engagement '!$D$3:$D$5</c:f>
              <c:strCache>
                <c:ptCount val="1"/>
                <c:pt idx="0">
                  <c:v>Male - Average of Overall Effectiveness</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'!$D$6:$D$10</c:f>
              <c:numCache>
                <c:formatCode>0.00</c:formatCode>
                <c:ptCount val="4"/>
                <c:pt idx="0">
                  <c:v>4.0466284313725494</c:v>
                </c:pt>
                <c:pt idx="1">
                  <c:v>4.0326261770244809</c:v>
                </c:pt>
                <c:pt idx="2">
                  <c:v>4.0451000000000032</c:v>
                </c:pt>
                <c:pt idx="3">
                  <c:v>4.0516798245614032</c:v>
                </c:pt>
              </c:numCache>
            </c:numRef>
          </c:val>
          <c:extLst>
            <c:ext xmlns:c16="http://schemas.microsoft.com/office/drawing/2014/chart" uri="{C3380CC4-5D6E-409C-BE32-E72D297353CC}">
              <c16:uniqueId val="{00000000-344B-49EC-AD0C-FBD7981C15D3}"/>
            </c:ext>
          </c:extLst>
        </c:ser>
        <c:ser>
          <c:idx val="3"/>
          <c:order val="3"/>
          <c:tx>
            <c:strRef>
              <c:f>'Effectiveness &amp; Engagement '!$E$3:$E$5</c:f>
              <c:strCache>
                <c:ptCount val="1"/>
                <c:pt idx="0">
                  <c:v>Male - Average of Overall Engagement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'Effectiveness &amp; Engagement '!$A$6:$A$10</c:f>
              <c:strCache>
                <c:ptCount val="4"/>
                <c:pt idx="0">
                  <c:v>20-22</c:v>
                </c:pt>
                <c:pt idx="1">
                  <c:v>23-25</c:v>
                </c:pt>
                <c:pt idx="2">
                  <c:v>26-28</c:v>
                </c:pt>
                <c:pt idx="3">
                  <c:v>29-30</c:v>
                </c:pt>
              </c:strCache>
            </c:strRef>
          </c:cat>
          <c:val>
            <c:numRef>
              <c:f>'Effectiveness &amp; Engagement '!$E$6:$E$10</c:f>
              <c:numCache>
                <c:formatCode>0.00</c:formatCode>
                <c:ptCount val="4"/>
                <c:pt idx="0">
                  <c:v>4.043885294117648</c:v>
                </c:pt>
                <c:pt idx="1">
                  <c:v>4.0553879472693017</c:v>
                </c:pt>
                <c:pt idx="2">
                  <c:v>4.0540333333333338</c:v>
                </c:pt>
                <c:pt idx="3">
                  <c:v>4.0497397660818715</c:v>
                </c:pt>
              </c:numCache>
            </c:numRef>
          </c:val>
          <c:extLst>
            <c:ext xmlns:c16="http://schemas.microsoft.com/office/drawing/2014/chart" uri="{C3380CC4-5D6E-409C-BE32-E72D297353CC}">
              <c16:uniqueId val="{00000001-344B-49EC-AD0C-FBD7981C15D3}"/>
            </c:ext>
          </c:extLst>
        </c:ser>
        <c:dLbls>
          <c:showLegendKey val="0"/>
          <c:showVal val="0"/>
          <c:showCatName val="0"/>
          <c:showSerName val="0"/>
          <c:showPercent val="0"/>
          <c:showBubbleSize val="0"/>
        </c:dLbls>
        <c:gapWidth val="100"/>
        <c:overlap val="-24"/>
        <c:axId val="983488495"/>
        <c:axId val="1041205295"/>
      </c:barChart>
      <c:catAx>
        <c:axId val="9834884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41205295"/>
        <c:crosses val="autoZero"/>
        <c:auto val="1"/>
        <c:lblAlgn val="ctr"/>
        <c:lblOffset val="100"/>
        <c:noMultiLvlLbl val="0"/>
      </c:catAx>
      <c:valAx>
        <c:axId val="1041205295"/>
        <c:scaling>
          <c:orientation val="minMax"/>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83488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 Gamification Lift(Age) !PivotTable2</c:name>
    <c:fmtId val="0"/>
  </c:pivotSource>
  <c:chart>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Gamification Lift(Age) '!$B$3</c:f>
              <c:strCache>
                <c:ptCount val="1"/>
                <c:pt idx="0">
                  <c:v>Average of Engagement Lift</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'!$B$4:$B$8</c:f>
              <c:numCache>
                <c:formatCode>0.00</c:formatCode>
                <c:ptCount val="4"/>
                <c:pt idx="0">
                  <c:v>17.146339900972759</c:v>
                </c:pt>
                <c:pt idx="1">
                  <c:v>17.189597415477017</c:v>
                </c:pt>
                <c:pt idx="2">
                  <c:v>16.758162154690922</c:v>
                </c:pt>
                <c:pt idx="3">
                  <c:v>16.398050486898395</c:v>
                </c:pt>
              </c:numCache>
            </c:numRef>
          </c:val>
          <c:extLst>
            <c:ext xmlns:c16="http://schemas.microsoft.com/office/drawing/2014/chart" uri="{C3380CC4-5D6E-409C-BE32-E72D297353CC}">
              <c16:uniqueId val="{00000000-8494-41EA-B5E6-4C23697ADDE9}"/>
            </c:ext>
          </c:extLst>
        </c:ser>
        <c:ser>
          <c:idx val="1"/>
          <c:order val="1"/>
          <c:tx>
            <c:strRef>
              <c:f>' Gamification Lift(Age) '!$C$3</c:f>
              <c:strCache>
                <c:ptCount val="1"/>
                <c:pt idx="0">
                  <c:v>Average of Motivation Lift</c:v>
                </c:pt>
              </c:strCache>
            </c:strRef>
          </c:tx>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'!$C$4:$C$8</c:f>
              <c:numCache>
                <c:formatCode>0.00</c:formatCode>
                <c:ptCount val="4"/>
                <c:pt idx="0">
                  <c:v>11.015282584747087</c:v>
                </c:pt>
                <c:pt idx="1">
                  <c:v>11.876486326925791</c:v>
                </c:pt>
                <c:pt idx="2">
                  <c:v>12.037147384072734</c:v>
                </c:pt>
                <c:pt idx="3">
                  <c:v>11.179850391871664</c:v>
                </c:pt>
              </c:numCache>
            </c:numRef>
          </c:val>
          <c:extLst>
            <c:ext xmlns:c16="http://schemas.microsoft.com/office/drawing/2014/chart" uri="{C3380CC4-5D6E-409C-BE32-E72D297353CC}">
              <c16:uniqueId val="{00000001-8494-41EA-B5E6-4C23697ADDE9}"/>
            </c:ext>
          </c:extLst>
        </c:ser>
        <c:ser>
          <c:idx val="2"/>
          <c:order val="2"/>
          <c:tx>
            <c:strRef>
              <c:f>' Gamification Lift(Age) '!$D$3</c:f>
              <c:strCache>
                <c:ptCount val="1"/>
                <c:pt idx="0">
                  <c:v>Average of Participation Lift</c:v>
                </c:pt>
              </c:strCache>
            </c:strRef>
          </c:tx>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'!$D$4:$D$8</c:f>
              <c:numCache>
                <c:formatCode>0.00</c:formatCode>
                <c:ptCount val="4"/>
                <c:pt idx="0">
                  <c:v>11.255250935914399</c:v>
                </c:pt>
                <c:pt idx="1">
                  <c:v>11.701428868021203</c:v>
                </c:pt>
                <c:pt idx="2">
                  <c:v>12.362912981854537</c:v>
                </c:pt>
                <c:pt idx="3">
                  <c:v>11.522939414491985</c:v>
                </c:pt>
              </c:numCache>
            </c:numRef>
          </c:val>
          <c:extLst>
            <c:ext xmlns:c16="http://schemas.microsoft.com/office/drawing/2014/chart" uri="{C3380CC4-5D6E-409C-BE32-E72D297353CC}">
              <c16:uniqueId val="{00000002-8494-41EA-B5E6-4C23697ADDE9}"/>
            </c:ext>
          </c:extLst>
        </c:ser>
        <c:ser>
          <c:idx val="3"/>
          <c:order val="3"/>
          <c:tx>
            <c:strRef>
              <c:f>' Gamification Lift(Age) '!$E$3</c:f>
              <c:strCache>
                <c:ptCount val="1"/>
                <c:pt idx="0">
                  <c:v>Average of Learning Outcomes Lift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cat>
            <c:strRef>
              <c:f>' Gamification Lift(Age) '!$A$4:$A$8</c:f>
              <c:strCache>
                <c:ptCount val="4"/>
                <c:pt idx="0">
                  <c:v>20-22</c:v>
                </c:pt>
                <c:pt idx="1">
                  <c:v>23-25</c:v>
                </c:pt>
                <c:pt idx="2">
                  <c:v>26-28</c:v>
                </c:pt>
                <c:pt idx="3">
                  <c:v>29-30</c:v>
                </c:pt>
              </c:strCache>
            </c:strRef>
          </c:cat>
          <c:val>
            <c:numRef>
              <c:f>' Gamification Lift(Age) '!$E$4:$E$8</c:f>
              <c:numCache>
                <c:formatCode>0.00</c:formatCode>
                <c:ptCount val="4"/>
                <c:pt idx="0">
                  <c:v>13.027540880739299</c:v>
                </c:pt>
                <c:pt idx="1">
                  <c:v>12.587248350070675</c:v>
                </c:pt>
                <c:pt idx="2">
                  <c:v>13.025011749563637</c:v>
                </c:pt>
                <c:pt idx="3">
                  <c:v>12.043155421497326</c:v>
                </c:pt>
              </c:numCache>
            </c:numRef>
          </c:val>
          <c:extLst>
            <c:ext xmlns:c16="http://schemas.microsoft.com/office/drawing/2014/chart" uri="{C3380CC4-5D6E-409C-BE32-E72D297353CC}">
              <c16:uniqueId val="{00000003-8494-41EA-B5E6-4C23697ADDE9}"/>
            </c:ext>
          </c:extLst>
        </c:ser>
        <c:dLbls>
          <c:showLegendKey val="0"/>
          <c:showVal val="0"/>
          <c:showCatName val="0"/>
          <c:showSerName val="0"/>
          <c:showPercent val="0"/>
          <c:showBubbleSize val="0"/>
        </c:dLbls>
        <c:gapWidth val="150"/>
        <c:axId val="581869535"/>
        <c:axId val="463308815"/>
      </c:barChart>
      <c:catAx>
        <c:axId val="58186953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08815"/>
        <c:crosses val="autoZero"/>
        <c:auto val="1"/>
        <c:lblAlgn val="ctr"/>
        <c:lblOffset val="100"/>
        <c:noMultiLvlLbl val="0"/>
      </c:catAx>
      <c:valAx>
        <c:axId val="463308815"/>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869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Lift(Gender)!PivotTable3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'Gamification Lift(Gender)'!$B$3</c:f>
              <c:strCache>
                <c:ptCount val="1"/>
                <c:pt idx="0">
                  <c:v>Average of Engagement Lift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Lift(Gender)'!$B$4:$B$6</c:f>
              <c:numCache>
                <c:formatCode>0.00</c:formatCode>
                <c:ptCount val="2"/>
                <c:pt idx="0">
                  <c:v>16.79739072669398</c:v>
                </c:pt>
                <c:pt idx="1">
                  <c:v>16.978538444575449</c:v>
                </c:pt>
              </c:numCache>
            </c:numRef>
          </c:val>
          <c:extLst>
            <c:ext xmlns:c16="http://schemas.microsoft.com/office/drawing/2014/chart" uri="{C3380CC4-5D6E-409C-BE32-E72D297353CC}">
              <c16:uniqueId val="{00000000-23B0-4144-9DE1-F0EEE337878F}"/>
            </c:ext>
          </c:extLst>
        </c:ser>
        <c:ser>
          <c:idx val="1"/>
          <c:order val="1"/>
          <c:tx>
            <c:strRef>
              <c:f>'Gamification Lift(Gender)'!$C$3</c:f>
              <c:strCache>
                <c:ptCount val="1"/>
                <c:pt idx="0">
                  <c:v>Average of Motivation Lift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Lift(Gender)'!$C$4:$C$6</c:f>
              <c:numCache>
                <c:formatCode>0.00</c:formatCode>
                <c:ptCount val="2"/>
                <c:pt idx="0">
                  <c:v>11.22145582907104</c:v>
                </c:pt>
                <c:pt idx="1">
                  <c:v>11.770075432798746</c:v>
                </c:pt>
              </c:numCache>
            </c:numRef>
          </c:val>
          <c:extLst>
            <c:ext xmlns:c16="http://schemas.microsoft.com/office/drawing/2014/chart" uri="{C3380CC4-5D6E-409C-BE32-E72D297353CC}">
              <c16:uniqueId val="{00000001-23B0-4144-9DE1-F0EEE337878F}"/>
            </c:ext>
          </c:extLst>
        </c:ser>
        <c:ser>
          <c:idx val="2"/>
          <c:order val="2"/>
          <c:tx>
            <c:strRef>
              <c:f>'Gamification Lift(Gender)'!$D$3</c:f>
              <c:strCache>
                <c:ptCount val="1"/>
                <c:pt idx="0">
                  <c:v>Average of Participation Lift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Lift(Gender)'!$D$4:$D$6</c:f>
              <c:numCache>
                <c:formatCode>0.00</c:formatCode>
                <c:ptCount val="2"/>
                <c:pt idx="0">
                  <c:v>12.081391986885237</c:v>
                </c:pt>
                <c:pt idx="1">
                  <c:v>11.536014360849057</c:v>
                </c:pt>
              </c:numCache>
            </c:numRef>
          </c:val>
          <c:extLst>
            <c:ext xmlns:c16="http://schemas.microsoft.com/office/drawing/2014/chart" uri="{C3380CC4-5D6E-409C-BE32-E72D297353CC}">
              <c16:uniqueId val="{00000002-23B0-4144-9DE1-F0EEE337878F}"/>
            </c:ext>
          </c:extLst>
        </c:ser>
        <c:ser>
          <c:idx val="3"/>
          <c:order val="3"/>
          <c:tx>
            <c:strRef>
              <c:f>'Gamification Lift(Gender)'!$E$3</c:f>
              <c:strCache>
                <c:ptCount val="1"/>
                <c:pt idx="0">
                  <c:v>Average of Learning Outcomes Lift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'Gamification Lift(Gender)'!$A$4:$A$6</c:f>
              <c:strCache>
                <c:ptCount val="2"/>
                <c:pt idx="0">
                  <c:v>Female</c:v>
                </c:pt>
                <c:pt idx="1">
                  <c:v>Male</c:v>
                </c:pt>
              </c:strCache>
            </c:strRef>
          </c:cat>
          <c:val>
            <c:numRef>
              <c:f>'Gamification Lift(Gender)'!$E$4:$E$6</c:f>
              <c:numCache>
                <c:formatCode>0.00</c:formatCode>
                <c:ptCount val="2"/>
                <c:pt idx="0">
                  <c:v>13.18655196997268</c:v>
                </c:pt>
                <c:pt idx="1">
                  <c:v>12.449590508427669</c:v>
                </c:pt>
              </c:numCache>
            </c:numRef>
          </c:val>
          <c:extLst>
            <c:ext xmlns:c16="http://schemas.microsoft.com/office/drawing/2014/chart" uri="{C3380CC4-5D6E-409C-BE32-E72D297353CC}">
              <c16:uniqueId val="{00000003-23B0-4144-9DE1-F0EEE337878F}"/>
            </c:ext>
          </c:extLst>
        </c:ser>
        <c:dLbls>
          <c:dLblPos val="ctr"/>
          <c:showLegendKey val="0"/>
          <c:showVal val="1"/>
          <c:showCatName val="0"/>
          <c:showSerName val="0"/>
          <c:showPercent val="0"/>
          <c:showBubbleSize val="0"/>
        </c:dLbls>
        <c:gapWidth val="150"/>
        <c:overlap val="100"/>
        <c:axId val="581884383"/>
        <c:axId val="463279535"/>
      </c:barChart>
      <c:catAx>
        <c:axId val="581884383"/>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463279535"/>
        <c:crosses val="autoZero"/>
        <c:auto val="1"/>
        <c:lblAlgn val="ctr"/>
        <c:lblOffset val="100"/>
        <c:noMultiLvlLbl val="0"/>
      </c:catAx>
      <c:valAx>
        <c:axId val="463279535"/>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81884383"/>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Tool.xlsm]Effectiveness Distribution!PivotTable4</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600" b="1" i="0" u="none" strike="noStrike" baseline="0">
                <a:effectLst/>
              </a:rPr>
              <a:t>Effectiveness Rating Distribution </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'Effectiveness Distribution'!$B$3</c:f>
              <c:strCache>
                <c:ptCount val="1"/>
                <c:pt idx="0">
                  <c:v>Total</c:v>
                </c:pt>
              </c:strCache>
            </c:strRef>
          </c:tx>
          <c:spPr>
            <a:ln w="31750"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'Effectiveness Distribution'!$A$4:$A$13</c:f>
              <c:strCache>
                <c:ptCount val="9"/>
                <c:pt idx="0">
                  <c:v>3.6075-3.7075</c:v>
                </c:pt>
                <c:pt idx="1">
                  <c:v>3.7075-3.8075</c:v>
                </c:pt>
                <c:pt idx="2">
                  <c:v>3.8075-3.9075</c:v>
                </c:pt>
                <c:pt idx="3">
                  <c:v>3.9075-4.0075</c:v>
                </c:pt>
                <c:pt idx="4">
                  <c:v>4.0075-4.1075</c:v>
                </c:pt>
                <c:pt idx="5">
                  <c:v>4.1075-4.2075</c:v>
                </c:pt>
                <c:pt idx="6">
                  <c:v>4.2075-4.3075</c:v>
                </c:pt>
                <c:pt idx="7">
                  <c:v>4.3075-4.4075</c:v>
                </c:pt>
                <c:pt idx="8">
                  <c:v>4.4075-4.5075</c:v>
                </c:pt>
              </c:strCache>
            </c:strRef>
          </c:cat>
          <c:val>
            <c:numRef>
              <c:f>'Effectiveness Distribution'!$B$4:$B$13</c:f>
              <c:numCache>
                <c:formatCode>General</c:formatCode>
                <c:ptCount val="9"/>
                <c:pt idx="0">
                  <c:v>16</c:v>
                </c:pt>
                <c:pt idx="1">
                  <c:v>37</c:v>
                </c:pt>
                <c:pt idx="2">
                  <c:v>114</c:v>
                </c:pt>
                <c:pt idx="3">
                  <c:v>244</c:v>
                </c:pt>
                <c:pt idx="4">
                  <c:v>254</c:v>
                </c:pt>
                <c:pt idx="5">
                  <c:v>204</c:v>
                </c:pt>
                <c:pt idx="6">
                  <c:v>109</c:v>
                </c:pt>
                <c:pt idx="7">
                  <c:v>19</c:v>
                </c:pt>
                <c:pt idx="8">
                  <c:v>5</c:v>
                </c:pt>
              </c:numCache>
            </c:numRef>
          </c:val>
          <c:smooth val="0"/>
          <c:extLst>
            <c:ext xmlns:c16="http://schemas.microsoft.com/office/drawing/2014/chart" uri="{C3380CC4-5D6E-409C-BE32-E72D297353CC}">
              <c16:uniqueId val="{00000000-67EA-4EC4-897C-27DD8A5FC679}"/>
            </c:ext>
          </c:extLst>
        </c:ser>
        <c:dLbls>
          <c:showLegendKey val="0"/>
          <c:showVal val="0"/>
          <c:showCatName val="0"/>
          <c:showSerName val="0"/>
          <c:showPercent val="0"/>
          <c:showBubbleSize val="0"/>
        </c:dLbls>
        <c:marker val="1"/>
        <c:smooth val="0"/>
        <c:axId val="461505487"/>
        <c:axId val="463321775"/>
      </c:lineChart>
      <c:catAx>
        <c:axId val="46150548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3321775"/>
        <c:crosses val="autoZero"/>
        <c:auto val="1"/>
        <c:lblAlgn val="ctr"/>
        <c:lblOffset val="100"/>
        <c:noMultiLvlLbl val="0"/>
      </c:catAx>
      <c:valAx>
        <c:axId val="46332177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50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Tool.xlsm]Teaching Method(Effectiveness)!PivotTable1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Total Teaching Method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w="34925" cap="rnd">
            <a:solidFill>
              <a:schemeClr val="accent1"/>
            </a:solidFill>
            <a:round/>
          </a:ln>
          <a:effectLst/>
        </c:spPr>
        <c:marker>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w="34925" cap="rnd">
            <a:solidFill>
              <a:schemeClr val="accent1"/>
            </a:solidFill>
            <a:round/>
          </a:ln>
          <a:effectLst/>
        </c:spPr>
        <c:marker>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710961713809899E-2"/>
          <c:y val="0.30698835722457768"/>
          <c:w val="0.78397604145635646"/>
          <c:h val="0.34703302712160983"/>
        </c:manualLayout>
      </c:layout>
      <c:lineChart>
        <c:grouping val="stacked"/>
        <c:varyColors val="0"/>
        <c:ser>
          <c:idx val="0"/>
          <c:order val="0"/>
          <c:tx>
            <c:strRef>
              <c:f>'Teaching Method(Effectiveness)'!$B$3</c:f>
              <c:strCache>
                <c:ptCount val="1"/>
                <c:pt idx="0">
                  <c:v>Total</c:v>
                </c:pt>
              </c:strCache>
            </c:strRef>
          </c:tx>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'Teaching Method(Effectiveness)'!$A$4:$A$9</c:f>
              <c:strCache>
                <c:ptCount val="5"/>
                <c:pt idx="0">
                  <c:v>Case Studies</c:v>
                </c:pt>
                <c:pt idx="1">
                  <c:v>Experiments</c:v>
                </c:pt>
                <c:pt idx="2">
                  <c:v>Group Projects</c:v>
                </c:pt>
                <c:pt idx="3">
                  <c:v>Lectures</c:v>
                </c:pt>
                <c:pt idx="4">
                  <c:v>Online Tutorials</c:v>
                </c:pt>
              </c:strCache>
            </c:strRef>
          </c:cat>
          <c:val>
            <c:numRef>
              <c:f>'Teaching Method(Effectiveness)'!$B$4:$B$9</c:f>
              <c:numCache>
                <c:formatCode>General</c:formatCode>
                <c:ptCount val="5"/>
                <c:pt idx="0">
                  <c:v>210</c:v>
                </c:pt>
                <c:pt idx="1">
                  <c:v>197</c:v>
                </c:pt>
                <c:pt idx="2">
                  <c:v>208</c:v>
                </c:pt>
                <c:pt idx="3">
                  <c:v>184</c:v>
                </c:pt>
                <c:pt idx="4">
                  <c:v>203</c:v>
                </c:pt>
              </c:numCache>
            </c:numRef>
          </c:val>
          <c:smooth val="0"/>
          <c:extLst>
            <c:ext xmlns:c16="http://schemas.microsoft.com/office/drawing/2014/chart" uri="{C3380CC4-5D6E-409C-BE32-E72D297353CC}">
              <c16:uniqueId val="{00000002-2670-476E-BA29-AE9A1527F128}"/>
            </c:ext>
          </c:extLst>
        </c:ser>
        <c:dLbls>
          <c:dLblPos val="ctr"/>
          <c:showLegendKey val="0"/>
          <c:showVal val="1"/>
          <c:showCatName val="0"/>
          <c:showSerName val="0"/>
          <c:showPercent val="0"/>
          <c:showBubbleSize val="0"/>
        </c:dLbls>
        <c:marker val="1"/>
        <c:smooth val="0"/>
        <c:axId val="1379636303"/>
        <c:axId val="1192932175"/>
      </c:lineChart>
      <c:catAx>
        <c:axId val="137963630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2932175"/>
        <c:crosses val="autoZero"/>
        <c:auto val="1"/>
        <c:lblAlgn val="ctr"/>
        <c:lblOffset val="100"/>
        <c:noMultiLvlLbl val="0"/>
      </c:catAx>
      <c:valAx>
        <c:axId val="11929321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7963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Tool.xlsm]Teaching Method(Engagement)!PivotTable1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Teaching</a:t>
            </a:r>
            <a:r>
              <a:rPr lang="en-US" baseline="0"/>
              <a:t> Method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692038495188095E-2"/>
          <c:y val="0.28847003499562557"/>
          <c:w val="0.73458530183727033"/>
          <c:h val="0.47559091571886847"/>
        </c:manualLayout>
      </c:layout>
      <c:lineChart>
        <c:grouping val="standard"/>
        <c:varyColors val="0"/>
        <c:ser>
          <c:idx val="0"/>
          <c:order val="0"/>
          <c:tx>
            <c:strRef>
              <c:f>'Teaching Method(Engagement)'!$B$3</c:f>
              <c:strCache>
                <c:ptCount val="1"/>
                <c:pt idx="0">
                  <c:v>Total</c:v>
                </c:pt>
              </c:strCache>
            </c:strRef>
          </c:tx>
          <c:spPr>
            <a:ln w="34925" cap="rnd">
              <a:solidFill>
                <a:schemeClr val="accent1"/>
              </a:solidFill>
              <a:round/>
            </a:ln>
            <a:effectLst/>
          </c:spPr>
          <c:marker>
            <c:symbol val="circle"/>
            <c:size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'Teaching Method(Engagement)'!$A$4:$A$9</c:f>
              <c:strCache>
                <c:ptCount val="5"/>
                <c:pt idx="0">
                  <c:v>Case Studies</c:v>
                </c:pt>
                <c:pt idx="1">
                  <c:v>Experiments</c:v>
                </c:pt>
                <c:pt idx="2">
                  <c:v>Group Projects</c:v>
                </c:pt>
                <c:pt idx="3">
                  <c:v>Lectures</c:v>
                </c:pt>
                <c:pt idx="4">
                  <c:v>Online Tutorials</c:v>
                </c:pt>
              </c:strCache>
            </c:strRef>
          </c:cat>
          <c:val>
            <c:numRef>
              <c:f>'Teaching Method(Engagement)'!$B$4:$B$9</c:f>
              <c:numCache>
                <c:formatCode>General</c:formatCode>
                <c:ptCount val="5"/>
                <c:pt idx="0">
                  <c:v>204</c:v>
                </c:pt>
                <c:pt idx="1">
                  <c:v>228</c:v>
                </c:pt>
                <c:pt idx="2">
                  <c:v>176</c:v>
                </c:pt>
                <c:pt idx="3">
                  <c:v>194</c:v>
                </c:pt>
                <c:pt idx="4">
                  <c:v>200</c:v>
                </c:pt>
              </c:numCache>
            </c:numRef>
          </c:val>
          <c:smooth val="0"/>
          <c:extLst>
            <c:ext xmlns:c16="http://schemas.microsoft.com/office/drawing/2014/chart" uri="{C3380CC4-5D6E-409C-BE32-E72D297353CC}">
              <c16:uniqueId val="{00000000-8F54-4849-A1E3-D69084AF6519}"/>
            </c:ext>
          </c:extLst>
        </c:ser>
        <c:dLbls>
          <c:showLegendKey val="0"/>
          <c:showVal val="0"/>
          <c:showCatName val="0"/>
          <c:showSerName val="0"/>
          <c:showPercent val="0"/>
          <c:showBubbleSize val="0"/>
        </c:dLbls>
        <c:marker val="1"/>
        <c:smooth val="0"/>
        <c:axId val="995342863"/>
        <c:axId val="813580559"/>
      </c:lineChart>
      <c:catAx>
        <c:axId val="9953428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3580559"/>
        <c:crosses val="autoZero"/>
        <c:auto val="1"/>
        <c:lblAlgn val="ctr"/>
        <c:lblOffset val="100"/>
        <c:noMultiLvlLbl val="0"/>
      </c:catAx>
      <c:valAx>
        <c:axId val="8135805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5342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Lift!PivotTable6</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Average of Gamigication Lift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8"/>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9"/>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8"/>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19"/>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7"/>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s>
    <c:plotArea>
      <c:layout/>
      <c:pieChart>
        <c:varyColors val="1"/>
        <c:ser>
          <c:idx val="0"/>
          <c:order val="0"/>
          <c:tx>
            <c:strRef>
              <c:f>'Gamification Lift'!$B$3</c:f>
              <c:strCache>
                <c:ptCount val="1"/>
                <c:pt idx="0">
                  <c:v>Average of Engagement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1-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3-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5-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Lift'!$B$4:$B$7</c:f>
              <c:numCache>
                <c:formatCode>0.00</c:formatCode>
                <c:ptCount val="3"/>
                <c:pt idx="0">
                  <c:v>16.937675317551026</c:v>
                </c:pt>
                <c:pt idx="1">
                  <c:v>17.241211012499999</c:v>
                </c:pt>
                <c:pt idx="2">
                  <c:v>16.83365989569382</c:v>
                </c:pt>
              </c:numCache>
            </c:numRef>
          </c:val>
          <c:extLst>
            <c:ext xmlns:c16="http://schemas.microsoft.com/office/drawing/2014/chart" uri="{C3380CC4-5D6E-409C-BE32-E72D297353CC}">
              <c16:uniqueId val="{00000000-4B70-4959-A962-EADE0227C03D}"/>
            </c:ext>
          </c:extLst>
        </c:ser>
        <c:ser>
          <c:idx val="1"/>
          <c:order val="1"/>
          <c:tx>
            <c:strRef>
              <c:f>'Gamification Lift'!$C$3</c:f>
              <c:strCache>
                <c:ptCount val="1"/>
                <c:pt idx="0">
                  <c:v>Average of Motivation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7-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9-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B-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Lift'!$C$4:$C$7</c:f>
              <c:numCache>
                <c:formatCode>0.00</c:formatCode>
                <c:ptCount val="3"/>
                <c:pt idx="0">
                  <c:v>11.017824956054424</c:v>
                </c:pt>
                <c:pt idx="1">
                  <c:v>12.862507504935897</c:v>
                </c:pt>
                <c:pt idx="2">
                  <c:v>11.397209398268959</c:v>
                </c:pt>
              </c:numCache>
            </c:numRef>
          </c:val>
          <c:extLst>
            <c:ext xmlns:c16="http://schemas.microsoft.com/office/drawing/2014/chart" uri="{C3380CC4-5D6E-409C-BE32-E72D297353CC}">
              <c16:uniqueId val="{00000001-4B70-4959-A962-EADE0227C03D}"/>
            </c:ext>
          </c:extLst>
        </c:ser>
        <c:ser>
          <c:idx val="2"/>
          <c:order val="2"/>
          <c:tx>
            <c:strRef>
              <c:f>'Gamification Lift'!$D$3</c:f>
              <c:strCache>
                <c:ptCount val="1"/>
                <c:pt idx="0">
                  <c:v>Average of Participation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D-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F-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11-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Lift'!$D$4:$D$7</c:f>
              <c:numCache>
                <c:formatCode>0.00</c:formatCode>
                <c:ptCount val="3"/>
                <c:pt idx="0">
                  <c:v>11.192561500816327</c:v>
                </c:pt>
                <c:pt idx="1">
                  <c:v>11.516490839807696</c:v>
                </c:pt>
                <c:pt idx="2">
                  <c:v>11.898162359184555</c:v>
                </c:pt>
              </c:numCache>
            </c:numRef>
          </c:val>
          <c:extLst>
            <c:ext xmlns:c16="http://schemas.microsoft.com/office/drawing/2014/chart" uri="{C3380CC4-5D6E-409C-BE32-E72D297353CC}">
              <c16:uniqueId val="{00000002-4B70-4959-A962-EADE0227C03D}"/>
            </c:ext>
          </c:extLst>
        </c:ser>
        <c:ser>
          <c:idx val="3"/>
          <c:order val="3"/>
          <c:tx>
            <c:strRef>
              <c:f>'Gamification Lift'!$E$3</c:f>
              <c:strCache>
                <c:ptCount val="1"/>
                <c:pt idx="0">
                  <c:v>Average of Learning Outcomes Lift</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13-8A1B-4355-9E9A-6525D470C1CA}"/>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15-8A1B-4355-9E9A-6525D470C1CA}"/>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17-8A1B-4355-9E9A-6525D470C1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'Gamification Lift'!$A$4:$A$7</c:f>
              <c:strCache>
                <c:ptCount val="3"/>
                <c:pt idx="0">
                  <c:v>High</c:v>
                </c:pt>
                <c:pt idx="1">
                  <c:v>Low</c:v>
                </c:pt>
                <c:pt idx="2">
                  <c:v>Medium</c:v>
                </c:pt>
              </c:strCache>
            </c:strRef>
          </c:cat>
          <c:val>
            <c:numRef>
              <c:f>'Gamification Lift'!$E$4:$E$7</c:f>
              <c:numCache>
                <c:formatCode>0.00</c:formatCode>
                <c:ptCount val="3"/>
                <c:pt idx="0">
                  <c:v>13.398163401292523</c:v>
                </c:pt>
                <c:pt idx="1">
                  <c:v>12.535647228589744</c:v>
                </c:pt>
                <c:pt idx="2">
                  <c:v>12.616776247095848</c:v>
                </c:pt>
              </c:numCache>
            </c:numRef>
          </c:val>
          <c:extLst>
            <c:ext xmlns:c16="http://schemas.microsoft.com/office/drawing/2014/chart" uri="{C3380CC4-5D6E-409C-BE32-E72D297353CC}">
              <c16:uniqueId val="{00000003-4B70-4959-A962-EADE0227C03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&amp; Non-Gamification!PivotTable4</c:name>
    <c:fmtId val="0"/>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sz="1600"/>
              <a:t>Gamification</a:t>
            </a:r>
            <a:r>
              <a:rPr lang="en-IN" sz="1600" baseline="0"/>
              <a:t> vs Non-Gamification Impact</a:t>
            </a:r>
            <a:endParaRPr lang="en-IN" sz="1600"/>
          </a:p>
        </c:rich>
      </c:tx>
      <c:layout>
        <c:manualLayout>
          <c:xMode val="edge"/>
          <c:yMode val="edge"/>
          <c:x val="0.12029252424746165"/>
          <c:y val="0.11446431817863985"/>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IN"/>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ADDF50E-9651-46A1-A90B-124B4ABE149C}"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96FA83-5E6D-417A-9113-795DEAA577A6}"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F4BA7D-5761-44D9-8A33-6AB8C31C4254}"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7DC4CA-EC6F-4651-9222-B4C0F14E4C65}"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BB9E9B-2C61-43A9-8BBE-497667CF05A5}"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9D02D2-90D6-461A-86CB-E43FF59069E9}"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F4BA7D-5761-44D9-8A33-6AB8C31C4254}"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7DC4CA-EC6F-4651-9222-B4C0F14E4C65}" type="VALUE">
                  <a:rPr lang="en-US"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'Gamification &amp; Non-Gamification'!$B$3</c:f>
              <c:strCache>
                <c:ptCount val="1"/>
                <c:pt idx="0">
                  <c:v>Average of Gamification Impact (%)</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A-47BA-4F9C-A4B8-57D91953E149}"/>
              </c:ext>
            </c:extLst>
          </c:dPt>
          <c:dPt>
            <c:idx val="1"/>
            <c:invertIfNegative val="0"/>
            <c:bubble3D val="0"/>
            <c:extLst>
              <c:ext xmlns:c16="http://schemas.microsoft.com/office/drawing/2014/chart" uri="{C3380CC4-5D6E-409C-BE32-E72D297353CC}">
                <c16:uniqueId val="{00000008-47BA-4F9C-A4B8-57D91953E149}"/>
              </c:ext>
            </c:extLst>
          </c:dPt>
          <c:dPt>
            <c:idx val="2"/>
            <c:invertIfNegative val="0"/>
            <c:bubble3D val="0"/>
            <c:extLst>
              <c:ext xmlns:c16="http://schemas.microsoft.com/office/drawing/2014/chart" uri="{C3380CC4-5D6E-409C-BE32-E72D297353CC}">
                <c16:uniqueId val="{00000006-47BA-4F9C-A4B8-57D91953E149}"/>
              </c:ext>
            </c:extLst>
          </c:dPt>
          <c:dPt>
            <c:idx val="3"/>
            <c:invertIfNegative val="0"/>
            <c:bubble3D val="0"/>
            <c:extLst>
              <c:ext xmlns:c16="http://schemas.microsoft.com/office/drawing/2014/chart" uri="{C3380CC4-5D6E-409C-BE32-E72D297353CC}">
                <c16:uniqueId val="{00000004-47BA-4F9C-A4B8-57D91953E149}"/>
              </c:ext>
            </c:extLst>
          </c:dPt>
          <c:dLbls>
            <c:dLbl>
              <c:idx val="0"/>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47BA-4F9C-A4B8-57D91953E149}"/>
                </c:ext>
              </c:extLst>
            </c:dLbl>
            <c:dLbl>
              <c:idx val="1"/>
              <c:tx>
                <c:rich>
                  <a:bodyPr/>
                  <a:lstStyle/>
                  <a:p>
                    <a:fld id="{049D02D2-90D6-461A-86CB-E43FF59069E9}"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47BA-4F9C-A4B8-57D91953E149}"/>
                </c:ext>
              </c:extLst>
            </c:dLbl>
            <c:dLbl>
              <c:idx val="2"/>
              <c:tx>
                <c:rich>
                  <a:bodyPr/>
                  <a:lstStyle/>
                  <a:p>
                    <a:fld id="{927DC4CA-EC6F-4651-9222-B4C0F14E4C6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47BA-4F9C-A4B8-57D91953E149}"/>
                </c:ext>
              </c:extLst>
            </c:dLbl>
            <c:dLbl>
              <c:idx val="3"/>
              <c:tx>
                <c:rich>
                  <a:bodyPr/>
                  <a:lstStyle/>
                  <a:p>
                    <a:fld id="{2196FA83-5E6D-417A-9113-795DEAA577A6}"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47BA-4F9C-A4B8-57D91953E1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'Gamification &amp; Non-Gamification'!$A$4:$A$8</c:f>
              <c:strCache>
                <c:ptCount val="4"/>
                <c:pt idx="0">
                  <c:v>Engagement</c:v>
                </c:pt>
                <c:pt idx="1">
                  <c:v>Learning Outcomes</c:v>
                </c:pt>
                <c:pt idx="2">
                  <c:v>Motivation</c:v>
                </c:pt>
                <c:pt idx="3">
                  <c:v>Participation</c:v>
                </c:pt>
              </c:strCache>
            </c:strRef>
          </c:cat>
          <c:val>
            <c:numRef>
              <c:f>'Gamification &amp; Non-Gamification'!$B$4:$B$8</c:f>
              <c:numCache>
                <c:formatCode>0.00</c:formatCode>
                <c:ptCount val="4"/>
                <c:pt idx="0">
                  <c:v>84.4</c:v>
                </c:pt>
                <c:pt idx="1">
                  <c:v>73.63</c:v>
                </c:pt>
                <c:pt idx="2">
                  <c:v>80.349999999999994</c:v>
                </c:pt>
                <c:pt idx="3">
                  <c:v>90.32</c:v>
                </c:pt>
              </c:numCache>
            </c:numRef>
          </c:val>
          <c:extLst>
            <c:ext xmlns:c16="http://schemas.microsoft.com/office/drawing/2014/chart" uri="{C3380CC4-5D6E-409C-BE32-E72D297353CC}">
              <c16:uniqueId val="{00000000-47BA-4F9C-A4B8-57D91953E149}"/>
            </c:ext>
          </c:extLst>
        </c:ser>
        <c:ser>
          <c:idx val="1"/>
          <c:order val="1"/>
          <c:tx>
            <c:strRef>
              <c:f>'Gamification &amp; Non-Gamification'!$C$3</c:f>
              <c:strCache>
                <c:ptCount val="1"/>
                <c:pt idx="0">
                  <c:v>Average of Non-Gamification Impact (%)</c:v>
                </c:pt>
              </c:strCache>
            </c:strRef>
          </c:tx>
          <c:spPr>
            <a:solidFill>
              <a:schemeClr val="accent5"/>
            </a:solidFill>
            <a:ln>
              <a:noFill/>
            </a:ln>
            <a:effectLst/>
          </c:spPr>
          <c:invertIfNegative val="0"/>
          <c:dPt>
            <c:idx val="0"/>
            <c:invertIfNegative val="0"/>
            <c:bubble3D val="0"/>
            <c:extLst>
              <c:ext xmlns:c16="http://schemas.microsoft.com/office/drawing/2014/chart" uri="{C3380CC4-5D6E-409C-BE32-E72D297353CC}">
                <c16:uniqueId val="{00000009-47BA-4F9C-A4B8-57D91953E149}"/>
              </c:ext>
            </c:extLst>
          </c:dPt>
          <c:dPt>
            <c:idx val="1"/>
            <c:invertIfNegative val="0"/>
            <c:bubble3D val="0"/>
            <c:extLst>
              <c:ext xmlns:c16="http://schemas.microsoft.com/office/drawing/2014/chart" uri="{C3380CC4-5D6E-409C-BE32-E72D297353CC}">
                <c16:uniqueId val="{00000007-47BA-4F9C-A4B8-57D91953E149}"/>
              </c:ext>
            </c:extLst>
          </c:dPt>
          <c:dPt>
            <c:idx val="2"/>
            <c:invertIfNegative val="0"/>
            <c:bubble3D val="0"/>
            <c:extLst>
              <c:ext xmlns:c16="http://schemas.microsoft.com/office/drawing/2014/chart" uri="{C3380CC4-5D6E-409C-BE32-E72D297353CC}">
                <c16:uniqueId val="{00000005-47BA-4F9C-A4B8-57D91953E149}"/>
              </c:ext>
            </c:extLst>
          </c:dPt>
          <c:dPt>
            <c:idx val="3"/>
            <c:invertIfNegative val="0"/>
            <c:bubble3D val="0"/>
            <c:extLst>
              <c:ext xmlns:c16="http://schemas.microsoft.com/office/drawing/2014/chart" uri="{C3380CC4-5D6E-409C-BE32-E72D297353CC}">
                <c16:uniqueId val="{00000003-47BA-4F9C-A4B8-57D91953E149}"/>
              </c:ext>
            </c:extLst>
          </c:dPt>
          <c:dLbls>
            <c:dLbl>
              <c:idx val="0"/>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47BA-4F9C-A4B8-57D91953E149}"/>
                </c:ext>
              </c:extLst>
            </c:dLbl>
            <c:dLbl>
              <c:idx val="1"/>
              <c:tx>
                <c:rich>
                  <a:bodyPr/>
                  <a:lstStyle/>
                  <a:p>
                    <a:fld id="{E5BB9E9B-2C61-43A9-8BBE-497667CF05A5}"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47BA-4F9C-A4B8-57D91953E149}"/>
                </c:ext>
              </c:extLst>
            </c:dLbl>
            <c:dLbl>
              <c:idx val="2"/>
              <c:tx>
                <c:rich>
                  <a:bodyPr/>
                  <a:lstStyle/>
                  <a:p>
                    <a:fld id="{B5F4BA7D-5761-44D9-8A33-6AB8C31C4254}" type="VALUE">
                      <a:rPr lang="en-US" b="1">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47BA-4F9C-A4B8-57D91953E149}"/>
                </c:ext>
              </c:extLst>
            </c:dLbl>
            <c:dLbl>
              <c:idx val="3"/>
              <c:tx>
                <c:rich>
                  <a:bodyPr/>
                  <a:lstStyle/>
                  <a:p>
                    <a:fld id="{FADDF50E-9651-46A1-A90B-124B4ABE149C}" type="VALUE">
                      <a:rPr lang="en-US">
                        <a:solidFill>
                          <a:schemeClr val="bg1"/>
                        </a:solidFill>
                      </a:rPr>
                      <a:pPr/>
                      <a:t>[VALUE]</a:t>
                    </a:fld>
                    <a:endParaRPr lang="en-IN"/>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7BA-4F9C-A4B8-57D91953E1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'Gamification &amp; Non-Gamification'!$A$4:$A$8</c:f>
              <c:strCache>
                <c:ptCount val="4"/>
                <c:pt idx="0">
                  <c:v>Engagement</c:v>
                </c:pt>
                <c:pt idx="1">
                  <c:v>Learning Outcomes</c:v>
                </c:pt>
                <c:pt idx="2">
                  <c:v>Motivation</c:v>
                </c:pt>
                <c:pt idx="3">
                  <c:v>Participation</c:v>
                </c:pt>
              </c:strCache>
            </c:strRef>
          </c:cat>
          <c:val>
            <c:numRef>
              <c:f>'Gamification &amp; Non-Gamification'!$C$4:$C$8</c:f>
              <c:numCache>
                <c:formatCode>0.00</c:formatCode>
                <c:ptCount val="4"/>
                <c:pt idx="0">
                  <c:v>69.959999999999994</c:v>
                </c:pt>
                <c:pt idx="1">
                  <c:v>60.52</c:v>
                </c:pt>
                <c:pt idx="2">
                  <c:v>64.819999999999993</c:v>
                </c:pt>
                <c:pt idx="3">
                  <c:v>75.510000000000005</c:v>
                </c:pt>
              </c:numCache>
            </c:numRef>
          </c:val>
          <c:extLst>
            <c:ext xmlns:c16="http://schemas.microsoft.com/office/drawing/2014/chart" uri="{C3380CC4-5D6E-409C-BE32-E72D297353CC}">
              <c16:uniqueId val="{00000001-47BA-4F9C-A4B8-57D91953E149}"/>
            </c:ext>
          </c:extLst>
        </c:ser>
        <c:dLbls>
          <c:dLblPos val="inEnd"/>
          <c:showLegendKey val="0"/>
          <c:showVal val="1"/>
          <c:showCatName val="0"/>
          <c:showSerName val="0"/>
          <c:showPercent val="0"/>
          <c:showBubbleSize val="0"/>
        </c:dLbls>
        <c:gapWidth val="150"/>
        <c:axId val="995300639"/>
        <c:axId val="813501839"/>
      </c:barChart>
      <c:catAx>
        <c:axId val="99530063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813501839"/>
        <c:crosses val="autoZero"/>
        <c:auto val="1"/>
        <c:lblAlgn val="ctr"/>
        <c:lblOffset val="100"/>
        <c:noMultiLvlLbl val="0"/>
      </c:catAx>
      <c:valAx>
        <c:axId val="81350183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300639"/>
        <c:crosses val="autoZero"/>
        <c:crossBetween val="between"/>
      </c:valAx>
      <c:spPr>
        <a:noFill/>
        <a:ln>
          <a:noFill/>
        </a:ln>
        <a:effectLst/>
      </c:spPr>
    </c:plotArea>
    <c:legend>
      <c:legendPos val="r"/>
      <c:layout>
        <c:manualLayout>
          <c:xMode val="edge"/>
          <c:yMode val="edge"/>
          <c:x val="0.66669151565470719"/>
          <c:y val="0.3509884138976555"/>
          <c:w val="0.28888997252136184"/>
          <c:h val="0.31502474134053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Tool.xlsm]Gamification Lift(Performance)!PivotTable2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kern="1200" spc="-1" baseline="0">
                <a:solidFill>
                  <a:schemeClr val="bg1"/>
                </a:solidFill>
                <a:effectLst>
                  <a:outerShdw blurRad="50800" dist="38100" dir="5400000" algn="t" rotWithShape="0">
                    <a:prstClr val="black">
                      <a:alpha val="40000"/>
                    </a:prstClr>
                  </a:outerShdw>
                </a:effectLst>
                <a:latin typeface="+mn-lt"/>
              </a:rPr>
              <a:t>Gamification Lift by Performance Tier (pts)</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'Gamification Lift(Performance)'!$B$3</c:f>
              <c:strCache>
                <c:ptCount val="1"/>
                <c:pt idx="0">
                  <c:v>Average of Engagement Lift</c:v>
                </c:pt>
              </c:strCache>
            </c:strRef>
          </c:tx>
          <c:spPr>
            <a:gradFill>
              <a:gsLst>
                <a:gs pos="0">
                  <a:schemeClr val="accent6">
                    <a:shade val="51000"/>
                  </a:schemeClr>
                </a:gs>
                <a:gs pos="80000">
                  <a:schemeClr val="accent6">
                    <a:shade val="93000"/>
                  </a:schemeClr>
                </a:gs>
                <a:gs pos="100000">
                  <a:schemeClr val="accent6">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Lift(Performance)'!$A$4:$A$7</c:f>
              <c:strCache>
                <c:ptCount val="3"/>
                <c:pt idx="0">
                  <c:v>High</c:v>
                </c:pt>
                <c:pt idx="1">
                  <c:v>Low</c:v>
                </c:pt>
                <c:pt idx="2">
                  <c:v>Medium</c:v>
                </c:pt>
              </c:strCache>
            </c:strRef>
          </c:cat>
          <c:val>
            <c:numRef>
              <c:f>'Gamification Lift(Performance)'!$B$4:$B$7</c:f>
              <c:numCache>
                <c:formatCode>0.00</c:formatCode>
                <c:ptCount val="3"/>
                <c:pt idx="0">
                  <c:v>16.937675317551026</c:v>
                </c:pt>
                <c:pt idx="1">
                  <c:v>17.241211012499999</c:v>
                </c:pt>
                <c:pt idx="2">
                  <c:v>16.83365989569382</c:v>
                </c:pt>
              </c:numCache>
            </c:numRef>
          </c:val>
          <c:extLst>
            <c:ext xmlns:c16="http://schemas.microsoft.com/office/drawing/2014/chart" uri="{C3380CC4-5D6E-409C-BE32-E72D297353CC}">
              <c16:uniqueId val="{00000000-AFBA-49DF-985F-A58C8B182E78}"/>
            </c:ext>
          </c:extLst>
        </c:ser>
        <c:ser>
          <c:idx val="1"/>
          <c:order val="1"/>
          <c:tx>
            <c:strRef>
              <c:f>'Gamification Lift(Performance)'!$C$3</c:f>
              <c:strCache>
                <c:ptCount val="1"/>
                <c:pt idx="0">
                  <c:v>Average of Motivation Lift</c:v>
                </c:pt>
              </c:strCache>
            </c:strRef>
          </c:tx>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Lift(Performance)'!$A$4:$A$7</c:f>
              <c:strCache>
                <c:ptCount val="3"/>
                <c:pt idx="0">
                  <c:v>High</c:v>
                </c:pt>
                <c:pt idx="1">
                  <c:v>Low</c:v>
                </c:pt>
                <c:pt idx="2">
                  <c:v>Medium</c:v>
                </c:pt>
              </c:strCache>
            </c:strRef>
          </c:cat>
          <c:val>
            <c:numRef>
              <c:f>'Gamification Lift(Performance)'!$C$4:$C$7</c:f>
              <c:numCache>
                <c:formatCode>0.00</c:formatCode>
                <c:ptCount val="3"/>
                <c:pt idx="0">
                  <c:v>11.017824956054424</c:v>
                </c:pt>
                <c:pt idx="1">
                  <c:v>12.862507504935897</c:v>
                </c:pt>
                <c:pt idx="2">
                  <c:v>11.397209398268959</c:v>
                </c:pt>
              </c:numCache>
            </c:numRef>
          </c:val>
          <c:extLst>
            <c:ext xmlns:c16="http://schemas.microsoft.com/office/drawing/2014/chart" uri="{C3380CC4-5D6E-409C-BE32-E72D297353CC}">
              <c16:uniqueId val="{00000004-0FD7-4C3D-A347-5559651F315D}"/>
            </c:ext>
          </c:extLst>
        </c:ser>
        <c:ser>
          <c:idx val="2"/>
          <c:order val="2"/>
          <c:tx>
            <c:strRef>
              <c:f>'Gamification Lift(Performance)'!$D$3</c:f>
              <c:strCache>
                <c:ptCount val="1"/>
                <c:pt idx="0">
                  <c:v>Average of Participation Lift</c:v>
                </c:pt>
              </c:strCache>
            </c:strRef>
          </c:tx>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Lift(Performance)'!$A$4:$A$7</c:f>
              <c:strCache>
                <c:ptCount val="3"/>
                <c:pt idx="0">
                  <c:v>High</c:v>
                </c:pt>
                <c:pt idx="1">
                  <c:v>Low</c:v>
                </c:pt>
                <c:pt idx="2">
                  <c:v>Medium</c:v>
                </c:pt>
              </c:strCache>
            </c:strRef>
          </c:cat>
          <c:val>
            <c:numRef>
              <c:f>'Gamification Lift(Performance)'!$D$4:$D$7</c:f>
              <c:numCache>
                <c:formatCode>0.00</c:formatCode>
                <c:ptCount val="3"/>
                <c:pt idx="0">
                  <c:v>11.192561500816327</c:v>
                </c:pt>
                <c:pt idx="1">
                  <c:v>11.516490839807696</c:v>
                </c:pt>
                <c:pt idx="2">
                  <c:v>11.898162359184555</c:v>
                </c:pt>
              </c:numCache>
            </c:numRef>
          </c:val>
          <c:extLst>
            <c:ext xmlns:c16="http://schemas.microsoft.com/office/drawing/2014/chart" uri="{C3380CC4-5D6E-409C-BE32-E72D297353CC}">
              <c16:uniqueId val="{00000005-0FD7-4C3D-A347-5559651F315D}"/>
            </c:ext>
          </c:extLst>
        </c:ser>
        <c:ser>
          <c:idx val="3"/>
          <c:order val="3"/>
          <c:tx>
            <c:strRef>
              <c:f>'Gamification Lift(Performance)'!$E$3</c:f>
              <c:strCache>
                <c:ptCount val="1"/>
                <c:pt idx="0">
                  <c:v>Average of Learning Outcomes Lift</c:v>
                </c:pt>
              </c:strCache>
            </c:strRef>
          </c:tx>
          <c:spPr>
            <a:gradFill>
              <a:gsLst>
                <a:gs pos="0">
                  <a:schemeClr val="accent6">
                    <a:lumMod val="60000"/>
                    <a:shade val="51000"/>
                  </a:schemeClr>
                </a:gs>
                <a:gs pos="80000">
                  <a:schemeClr val="accent6">
                    <a:lumMod val="60000"/>
                    <a:shade val="93000"/>
                  </a:schemeClr>
                </a:gs>
                <a:gs pos="100000">
                  <a:schemeClr val="accent6">
                    <a:lumMod val="60000"/>
                    <a:shade val="94000"/>
                  </a:schemeClr>
                </a:gs>
              </a:gsLst>
              <a:lin ang="1620000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'Gamification Lift(Performance)'!$A$4:$A$7</c:f>
              <c:strCache>
                <c:ptCount val="3"/>
                <c:pt idx="0">
                  <c:v>High</c:v>
                </c:pt>
                <c:pt idx="1">
                  <c:v>Low</c:v>
                </c:pt>
                <c:pt idx="2">
                  <c:v>Medium</c:v>
                </c:pt>
              </c:strCache>
            </c:strRef>
          </c:cat>
          <c:val>
            <c:numRef>
              <c:f>'Gamification Lift(Performance)'!$E$4:$E$7</c:f>
              <c:numCache>
                <c:formatCode>0.00</c:formatCode>
                <c:ptCount val="3"/>
                <c:pt idx="0">
                  <c:v>13.398163401292523</c:v>
                </c:pt>
                <c:pt idx="1">
                  <c:v>12.535647228589744</c:v>
                </c:pt>
                <c:pt idx="2">
                  <c:v>12.616776247095848</c:v>
                </c:pt>
              </c:numCache>
            </c:numRef>
          </c:val>
          <c:extLst>
            <c:ext xmlns:c16="http://schemas.microsoft.com/office/drawing/2014/chart" uri="{C3380CC4-5D6E-409C-BE32-E72D297353CC}">
              <c16:uniqueId val="{00000006-0FD7-4C3D-A347-5559651F315D}"/>
            </c:ext>
          </c:extLst>
        </c:ser>
        <c:dLbls>
          <c:dLblPos val="ctr"/>
          <c:showLegendKey val="0"/>
          <c:showVal val="1"/>
          <c:showCatName val="0"/>
          <c:showSerName val="0"/>
          <c:showPercent val="0"/>
          <c:showBubbleSize val="0"/>
        </c:dLbls>
        <c:gapWidth val="100"/>
        <c:overlap val="-24"/>
        <c:axId val="85594304"/>
        <c:axId val="2123512847"/>
      </c:barChart>
      <c:catAx>
        <c:axId val="855943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3512847"/>
        <c:crosses val="autoZero"/>
        <c:auto val="1"/>
        <c:lblAlgn val="ctr"/>
        <c:lblOffset val="100"/>
        <c:noMultiLvlLbl val="0"/>
      </c:catAx>
      <c:valAx>
        <c:axId val="212351284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5594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Tool.xlsm]Teacher Count!PivotTable7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400"/>
              <a:t>Teacher</a:t>
            </a:r>
            <a:r>
              <a:rPr lang="en-IN" sz="1400" baseline="0"/>
              <a:t> Count by Experience Band &amp; Method</a:t>
            </a:r>
            <a:endParaRPr lang="en-IN" sz="14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'Teacher Count'!$B$3:$B$4</c:f>
              <c:strCache>
                <c:ptCount val="1"/>
                <c:pt idx="0">
                  <c:v>Case Studies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'Teacher Count'!$A$5:$A$8</c:f>
              <c:strCache>
                <c:ptCount val="3"/>
                <c:pt idx="0">
                  <c:v>Junior</c:v>
                </c:pt>
                <c:pt idx="1">
                  <c:v>Mid</c:v>
                </c:pt>
                <c:pt idx="2">
                  <c:v>Senior</c:v>
                </c:pt>
              </c:strCache>
            </c:strRef>
          </c:cat>
          <c:val>
            <c:numRef>
              <c:f>'Teacher Count'!$B$5:$B$8</c:f>
              <c:numCache>
                <c:formatCode>General</c:formatCode>
                <c:ptCount val="3"/>
                <c:pt idx="0">
                  <c:v>1</c:v>
                </c:pt>
                <c:pt idx="1">
                  <c:v>2</c:v>
                </c:pt>
              </c:numCache>
            </c:numRef>
          </c:val>
          <c:extLst>
            <c:ext xmlns:c16="http://schemas.microsoft.com/office/drawing/2014/chart" uri="{C3380CC4-5D6E-409C-BE32-E72D297353CC}">
              <c16:uniqueId val="{00000000-16C6-4780-9784-CF07A366A2C0}"/>
            </c:ext>
          </c:extLst>
        </c:ser>
        <c:ser>
          <c:idx val="1"/>
          <c:order val="1"/>
          <c:tx>
            <c:strRef>
              <c:f>'Teacher Count'!$C$3:$C$4</c:f>
              <c:strCache>
                <c:ptCount val="1"/>
                <c:pt idx="0">
                  <c:v>Experiments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'Teacher Count'!$A$5:$A$8</c:f>
              <c:strCache>
                <c:ptCount val="3"/>
                <c:pt idx="0">
                  <c:v>Junior</c:v>
                </c:pt>
                <c:pt idx="1">
                  <c:v>Mid</c:v>
                </c:pt>
                <c:pt idx="2">
                  <c:v>Senior</c:v>
                </c:pt>
              </c:strCache>
            </c:strRef>
          </c:cat>
          <c:val>
            <c:numRef>
              <c:f>'Teacher Count'!$C$5:$C$8</c:f>
              <c:numCache>
                <c:formatCode>General</c:formatCode>
                <c:ptCount val="3"/>
                <c:pt idx="1">
                  <c:v>2</c:v>
                </c:pt>
                <c:pt idx="2">
                  <c:v>1</c:v>
                </c:pt>
              </c:numCache>
            </c:numRef>
          </c:val>
          <c:extLst>
            <c:ext xmlns:c16="http://schemas.microsoft.com/office/drawing/2014/chart" uri="{C3380CC4-5D6E-409C-BE32-E72D297353CC}">
              <c16:uniqueId val="{00000000-A752-44AF-8277-4150F169E16C}"/>
            </c:ext>
          </c:extLst>
        </c:ser>
        <c:ser>
          <c:idx val="2"/>
          <c:order val="2"/>
          <c:tx>
            <c:strRef>
              <c:f>'Teacher Count'!$D$3:$D$4</c:f>
              <c:strCache>
                <c:ptCount val="1"/>
                <c:pt idx="0">
                  <c:v>Group Projects</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'Teacher Count'!$A$5:$A$8</c:f>
              <c:strCache>
                <c:ptCount val="3"/>
                <c:pt idx="0">
                  <c:v>Junior</c:v>
                </c:pt>
                <c:pt idx="1">
                  <c:v>Mid</c:v>
                </c:pt>
                <c:pt idx="2">
                  <c:v>Senior</c:v>
                </c:pt>
              </c:strCache>
            </c:strRef>
          </c:cat>
          <c:val>
            <c:numRef>
              <c:f>'Teacher Count'!$D$5:$D$8</c:f>
              <c:numCache>
                <c:formatCode>General</c:formatCode>
                <c:ptCount val="3"/>
                <c:pt idx="1">
                  <c:v>3</c:v>
                </c:pt>
              </c:numCache>
            </c:numRef>
          </c:val>
          <c:extLst>
            <c:ext xmlns:c16="http://schemas.microsoft.com/office/drawing/2014/chart" uri="{C3380CC4-5D6E-409C-BE32-E72D297353CC}">
              <c16:uniqueId val="{00000001-A752-44AF-8277-4150F169E16C}"/>
            </c:ext>
          </c:extLst>
        </c:ser>
        <c:ser>
          <c:idx val="3"/>
          <c:order val="3"/>
          <c:tx>
            <c:strRef>
              <c:f>'Teacher Count'!$E$3:$E$4</c:f>
              <c:strCache>
                <c:ptCount val="1"/>
                <c:pt idx="0">
                  <c:v>Lectures</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'Teacher Count'!$A$5:$A$8</c:f>
              <c:strCache>
                <c:ptCount val="3"/>
                <c:pt idx="0">
                  <c:v>Junior</c:v>
                </c:pt>
                <c:pt idx="1">
                  <c:v>Mid</c:v>
                </c:pt>
                <c:pt idx="2">
                  <c:v>Senior</c:v>
                </c:pt>
              </c:strCache>
            </c:strRef>
          </c:cat>
          <c:val>
            <c:numRef>
              <c:f>'Teacher Count'!$E$5:$E$8</c:f>
              <c:numCache>
                <c:formatCode>General</c:formatCode>
                <c:ptCount val="3"/>
                <c:pt idx="1">
                  <c:v>2</c:v>
                </c:pt>
                <c:pt idx="2">
                  <c:v>1</c:v>
                </c:pt>
              </c:numCache>
            </c:numRef>
          </c:val>
          <c:extLst>
            <c:ext xmlns:c16="http://schemas.microsoft.com/office/drawing/2014/chart" uri="{C3380CC4-5D6E-409C-BE32-E72D297353CC}">
              <c16:uniqueId val="{00000002-A752-44AF-8277-4150F169E16C}"/>
            </c:ext>
          </c:extLst>
        </c:ser>
        <c:ser>
          <c:idx val="4"/>
          <c:order val="4"/>
          <c:tx>
            <c:strRef>
              <c:f>'Teacher Count'!$F$3:$F$4</c:f>
              <c:strCache>
                <c:ptCount val="1"/>
                <c:pt idx="0">
                  <c:v>Online Tutorials</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'Teacher Count'!$A$5:$A$8</c:f>
              <c:strCache>
                <c:ptCount val="3"/>
                <c:pt idx="0">
                  <c:v>Junior</c:v>
                </c:pt>
                <c:pt idx="1">
                  <c:v>Mid</c:v>
                </c:pt>
                <c:pt idx="2">
                  <c:v>Senior</c:v>
                </c:pt>
              </c:strCache>
            </c:strRef>
          </c:cat>
          <c:val>
            <c:numRef>
              <c:f>'Teacher Count'!$F$5:$F$8</c:f>
              <c:numCache>
                <c:formatCode>General</c:formatCode>
                <c:ptCount val="3"/>
                <c:pt idx="0">
                  <c:v>1</c:v>
                </c:pt>
                <c:pt idx="1">
                  <c:v>2</c:v>
                </c:pt>
              </c:numCache>
            </c:numRef>
          </c:val>
          <c:extLst>
            <c:ext xmlns:c16="http://schemas.microsoft.com/office/drawing/2014/chart" uri="{C3380CC4-5D6E-409C-BE32-E72D297353CC}">
              <c16:uniqueId val="{00000003-A752-44AF-8277-4150F169E16C}"/>
            </c:ext>
          </c:extLst>
        </c:ser>
        <c:dLbls>
          <c:showLegendKey val="0"/>
          <c:showVal val="0"/>
          <c:showCatName val="0"/>
          <c:showSerName val="0"/>
          <c:showPercent val="0"/>
          <c:showBubbleSize val="0"/>
        </c:dLbls>
        <c:gapWidth val="65"/>
        <c:shape val="box"/>
        <c:axId val="581843855"/>
        <c:axId val="463280495"/>
        <c:axId val="0"/>
      </c:bar3DChart>
      <c:catAx>
        <c:axId val="58184385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63280495"/>
        <c:crosses val="autoZero"/>
        <c:auto val="1"/>
        <c:lblAlgn val="ctr"/>
        <c:lblOffset val="100"/>
        <c:noMultiLvlLbl val="0"/>
      </c:catAx>
      <c:valAx>
        <c:axId val="463280495"/>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81843855"/>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Tool.xlsm]Teacher ID!PivotTable8</c:name>
    <c:fmtId val="0"/>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'Teacher ID'!$B$3</c:f>
              <c:strCache>
                <c:ptCount val="1"/>
                <c:pt idx="0">
                  <c:v>Total</c:v>
                </c:pt>
              </c:strCache>
            </c:strRef>
          </c:tx>
          <c:dPt>
            <c:idx val="0"/>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348-40DD-965B-A0B1E70DDEFB}"/>
              </c:ext>
            </c:extLst>
          </c:dPt>
          <c:dPt>
            <c:idx val="1"/>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348-40DD-965B-A0B1E70DDEFB}"/>
              </c:ext>
            </c:extLst>
          </c:dPt>
          <c:dPt>
            <c:idx val="2"/>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348-40DD-965B-A0B1E70DDEFB}"/>
              </c:ext>
            </c:extLst>
          </c:dPt>
          <c:dPt>
            <c:idx val="3"/>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348-40DD-965B-A0B1E70DDEFB}"/>
              </c:ext>
            </c:extLst>
          </c:dPt>
          <c:dPt>
            <c:idx val="4"/>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348-40DD-965B-A0B1E70DDEF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'Teacher ID'!$A$4:$A$9</c:f>
              <c:strCache>
                <c:ptCount val="5"/>
                <c:pt idx="0">
                  <c:v>Case Studies</c:v>
                </c:pt>
                <c:pt idx="1">
                  <c:v>Experiments</c:v>
                </c:pt>
                <c:pt idx="2">
                  <c:v>Group Projects</c:v>
                </c:pt>
                <c:pt idx="3">
                  <c:v>Lectures</c:v>
                </c:pt>
                <c:pt idx="4">
                  <c:v>Online Tutorials</c:v>
                </c:pt>
              </c:strCache>
            </c:strRef>
          </c:cat>
          <c:val>
            <c:numRef>
              <c:f>'Teacher ID'!$B$4:$B$9</c:f>
              <c:numCache>
                <c:formatCode>General</c:formatCode>
                <c:ptCount val="5"/>
                <c:pt idx="0">
                  <c:v>3</c:v>
                </c:pt>
                <c:pt idx="1">
                  <c:v>3</c:v>
                </c:pt>
                <c:pt idx="2">
                  <c:v>3</c:v>
                </c:pt>
                <c:pt idx="3">
                  <c:v>3</c:v>
                </c:pt>
                <c:pt idx="4">
                  <c:v>3</c:v>
                </c:pt>
              </c:numCache>
            </c:numRef>
          </c:val>
          <c:extLst>
            <c:ext xmlns:c16="http://schemas.microsoft.com/office/drawing/2014/chart" uri="{C3380CC4-5D6E-409C-BE32-E72D297353CC}">
              <c16:uniqueId val="{00000000-DE05-4523-A5C7-37C90E94EF9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Tool.xlsm]Gender Split!PivotTable1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Gender Split</a:t>
            </a:r>
          </a:p>
        </c:rich>
      </c:tx>
      <c:layout>
        <c:manualLayout>
          <c:xMode val="edge"/>
          <c:yMode val="edge"/>
          <c:x val="0.36439052512040399"/>
          <c:y val="7.024837309708123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s>
    <c:plotArea>
      <c:layout>
        <c:manualLayout>
          <c:layoutTarget val="inner"/>
          <c:xMode val="edge"/>
          <c:yMode val="edge"/>
          <c:x val="0.30445158078297568"/>
          <c:y val="0.20851565973589306"/>
          <c:w val="0.39316584080346367"/>
          <c:h val="0.67741026397220305"/>
        </c:manualLayout>
      </c:layout>
      <c:pieChart>
        <c:varyColors val="1"/>
        <c:ser>
          <c:idx val="0"/>
          <c:order val="0"/>
          <c:tx>
            <c:strRef>
              <c:f>'Gender Split'!$B$3</c:f>
              <c:strCache>
                <c:ptCount val="1"/>
                <c:pt idx="0">
                  <c:v>Total</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1-3E36-429D-BA21-70FA9411BB43}"/>
              </c:ext>
            </c:extLst>
          </c:dPt>
          <c:dPt>
            <c:idx val="1"/>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3-3E36-429D-BA21-70FA9411BB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'Gender Split'!$A$4:$A$6</c:f>
              <c:strCache>
                <c:ptCount val="2"/>
                <c:pt idx="0">
                  <c:v>Female</c:v>
                </c:pt>
                <c:pt idx="1">
                  <c:v>Male</c:v>
                </c:pt>
              </c:strCache>
            </c:strRef>
          </c:cat>
          <c:val>
            <c:numRef>
              <c:f>'Gender Split'!$B$4:$B$6</c:f>
              <c:numCache>
                <c:formatCode>General</c:formatCode>
                <c:ptCount val="2"/>
                <c:pt idx="0">
                  <c:v>366</c:v>
                </c:pt>
                <c:pt idx="1">
                  <c:v>636</c:v>
                </c:pt>
              </c:numCache>
            </c:numRef>
          </c:val>
          <c:extLst>
            <c:ext xmlns:c16="http://schemas.microsoft.com/office/drawing/2014/chart" uri="{C3380CC4-5D6E-409C-BE32-E72D297353CC}">
              <c16:uniqueId val="{00000000-6F6D-4A91-BE1F-D4898B3DCE0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6758206716904864"/>
          <c:y val="0.43723493121872131"/>
          <c:w val="0.15793384753201142"/>
          <c:h val="0.2579964131038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[Academic Research Survey Data Analysis Tool.xlsm]Students per Teacher!PivotTable3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200"/>
              <a:t>Students per Teacher by Method (Demand Pressure)</a:t>
            </a:r>
          </a:p>
        </c:rich>
      </c:tx>
      <c:layout>
        <c:manualLayout>
          <c:xMode val="edge"/>
          <c:yMode val="edge"/>
          <c:x val="0.15213431159901558"/>
          <c:y val="0.1342998280947996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'Students per Teacher'!$B$3</c:f>
              <c:strCache>
                <c:ptCount val="1"/>
                <c:pt idx="0">
                  <c:v>Total</c:v>
                </c:pt>
              </c:strCache>
            </c:strRef>
          </c:tx>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invertIfNegative val="0"/>
          <c:cat>
            <c:strRef>
              <c:f>'Students per Teacher'!$A$4:$A$9</c:f>
              <c:strCache>
                <c:ptCount val="5"/>
                <c:pt idx="0">
                  <c:v>Case Studies</c:v>
                </c:pt>
                <c:pt idx="1">
                  <c:v>Experiments</c:v>
                </c:pt>
                <c:pt idx="2">
                  <c:v>Group Projects</c:v>
                </c:pt>
                <c:pt idx="3">
                  <c:v>Lectures</c:v>
                </c:pt>
                <c:pt idx="4">
                  <c:v>Online Tutorials</c:v>
                </c:pt>
              </c:strCache>
            </c:strRef>
          </c:cat>
          <c:val>
            <c:numRef>
              <c:f>'Students per Teacher'!$B$4:$B$9</c:f>
              <c:numCache>
                <c:formatCode>General</c:formatCode>
                <c:ptCount val="5"/>
                <c:pt idx="0">
                  <c:v>210</c:v>
                </c:pt>
                <c:pt idx="1">
                  <c:v>197</c:v>
                </c:pt>
                <c:pt idx="2">
                  <c:v>208</c:v>
                </c:pt>
                <c:pt idx="3">
                  <c:v>184</c:v>
                </c:pt>
                <c:pt idx="4">
                  <c:v>203</c:v>
                </c:pt>
              </c:numCache>
            </c:numRef>
          </c:val>
          <c:extLst>
            <c:ext xmlns:c16="http://schemas.microsoft.com/office/drawing/2014/chart" uri="{C3380CC4-5D6E-409C-BE32-E72D297353CC}">
              <c16:uniqueId val="{00000000-00DC-47D6-AA5C-EFE2CB026F88}"/>
            </c:ext>
          </c:extLst>
        </c:ser>
        <c:dLbls>
          <c:showLegendKey val="0"/>
          <c:showVal val="0"/>
          <c:showCatName val="0"/>
          <c:showSerName val="0"/>
          <c:showPercent val="0"/>
          <c:showBubbleSize val="0"/>
        </c:dLbls>
        <c:gapWidth val="100"/>
        <c:overlap val="-24"/>
        <c:axId val="1015561295"/>
        <c:axId val="813581039"/>
      </c:barChart>
      <c:catAx>
        <c:axId val="10155612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581039"/>
        <c:crosses val="autoZero"/>
        <c:auto val="1"/>
        <c:lblAlgn val="ctr"/>
        <c:lblOffset val="100"/>
        <c:noMultiLvlLbl val="0"/>
      </c:catAx>
      <c:valAx>
        <c:axId val="81358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61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03">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Raw Student Data'!A1"/><Relationship Id="rId18" Type="http://schemas.openxmlformats.org/officeDocument/2006/relationships/hyperlink" Target="#'Clean Gamification Data'!A1"/><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hyperlink" Target="#Home!A1"/><Relationship Id="rId17" Type="http://schemas.openxmlformats.org/officeDocument/2006/relationships/hyperlink" Target="#Master_Data!A1"/><Relationship Id="rId2" Type="http://schemas.openxmlformats.org/officeDocument/2006/relationships/image" Target="../media/image1.png"/><Relationship Id="rId16" Type="http://schemas.openxmlformats.org/officeDocument/2006/relationships/hyperlink" Target="#'Summary Table'!A1"/><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hyperlink" Target="#'Raw Gamification Data'!A1"/><Relationship Id="rId10" Type="http://schemas.openxmlformats.org/officeDocument/2006/relationships/chart" Target="../charts/chart9.xml"/><Relationship Id="rId19" Type="http://schemas.openxmlformats.org/officeDocument/2006/relationships/hyperlink" Target="#Teacher_Master!A1"/><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hyperlink" Target="#'Clean Student Data'!A1"/></Relationships>
</file>

<file path=xl/drawings/_rels/drawing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38</xdr:col>
      <xdr:colOff>84320</xdr:colOff>
      <xdr:row>43</xdr:row>
      <xdr:rowOff>100714</xdr:rowOff>
    </xdr:from>
    <xdr:to>
      <xdr:col>49</xdr:col>
      <xdr:colOff>504350</xdr:colOff>
      <xdr:row>63</xdr:row>
      <xdr:rowOff>81969</xdr:rowOff>
    </xdr:to>
    <xdr:graphicFrame macro="">
      <xdr:nvGraphicFramePr>
        <xdr:cNvPr id="8" name="Chart 7">
          <a:extLst>
            <a:ext uri="{FF2B5EF4-FFF2-40B4-BE49-F238E27FC236}">
              <a16:creationId xmlns:a16="http://schemas.microsoft.com/office/drawing/2014/main" id="{D01DA6BB-3952-4E3A-8BDF-C156488B62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317500</xdr:colOff>
      <xdr:row>12</xdr:row>
      <xdr:rowOff>5292</xdr:rowOff>
    </xdr:from>
    <xdr:to>
      <xdr:col>4</xdr:col>
      <xdr:colOff>130175</xdr:colOff>
      <xdr:row>16</xdr:row>
      <xdr:rowOff>136525</xdr:rowOff>
    </xdr:to>
    <xdr:sp macro="" textlink="">
      <xdr:nvSpPr>
        <xdr:cNvPr id="21" name="Rectangle 20">
          <a:extLst>
            <a:ext uri="{FF2B5EF4-FFF2-40B4-BE49-F238E27FC236}">
              <a16:creationId xmlns:a16="http://schemas.microsoft.com/office/drawing/2014/main" id="{B0CBF5E2-F9BB-4517-00BF-D8D426FEB69D}"/>
            </a:ext>
          </a:extLst>
        </xdr:cNvPr>
        <xdr:cNvSpPr/>
      </xdr:nvSpPr>
      <xdr:spPr>
        <a:xfrm>
          <a:off x="317500" y="2037292"/>
          <a:ext cx="2296231" cy="80856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chemeClr val="bg1"/>
              </a:solidFill>
            </a:rPr>
            <a:t>Total Students</a:t>
          </a:r>
        </a:p>
      </xdr:txBody>
    </xdr:sp>
    <xdr:clientData/>
  </xdr:twoCellAnchor>
  <xdr:twoCellAnchor>
    <xdr:from>
      <xdr:col>34</xdr:col>
      <xdr:colOff>262119</xdr:colOff>
      <xdr:row>12</xdr:row>
      <xdr:rowOff>28575</xdr:rowOff>
    </xdr:from>
    <xdr:to>
      <xdr:col>41</xdr:col>
      <xdr:colOff>17356</xdr:colOff>
      <xdr:row>17</xdr:row>
      <xdr:rowOff>11641</xdr:rowOff>
    </xdr:to>
    <xdr:sp macro="" textlink="">
      <xdr:nvSpPr>
        <xdr:cNvPr id="26" name="Rectangle 25">
          <a:extLst>
            <a:ext uri="{FF2B5EF4-FFF2-40B4-BE49-F238E27FC236}">
              <a16:creationId xmlns:a16="http://schemas.microsoft.com/office/drawing/2014/main" id="{D5C74197-D66D-40AA-9D45-DAB54BA94605}"/>
            </a:ext>
          </a:extLst>
        </xdr:cNvPr>
        <xdr:cNvSpPr/>
      </xdr:nvSpPr>
      <xdr:spPr>
        <a:xfrm>
          <a:off x="21372341" y="2060575"/>
          <a:ext cx="4101459"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Avg Overall Effectiveness</a:t>
          </a:r>
          <a:endParaRPr lang="en-IN" sz="2400">
            <a:effectLst/>
          </a:endParaRPr>
        </a:p>
      </xdr:txBody>
    </xdr:sp>
    <xdr:clientData/>
  </xdr:twoCellAnchor>
  <xdr:twoCellAnchor>
    <xdr:from>
      <xdr:col>23</xdr:col>
      <xdr:colOff>0</xdr:colOff>
      <xdr:row>12</xdr:row>
      <xdr:rowOff>23813</xdr:rowOff>
    </xdr:from>
    <xdr:to>
      <xdr:col>28</xdr:col>
      <xdr:colOff>154171</xdr:colOff>
      <xdr:row>17</xdr:row>
      <xdr:rowOff>11642</xdr:rowOff>
    </xdr:to>
    <xdr:sp macro="" textlink="">
      <xdr:nvSpPr>
        <xdr:cNvPr id="27" name="Rectangle 26">
          <a:extLst>
            <a:ext uri="{FF2B5EF4-FFF2-40B4-BE49-F238E27FC236}">
              <a16:creationId xmlns:a16="http://schemas.microsoft.com/office/drawing/2014/main" id="{F69E7861-C68A-448C-A605-EA36ED653E2F}"/>
            </a:ext>
          </a:extLst>
        </xdr:cNvPr>
        <xdr:cNvSpPr/>
      </xdr:nvSpPr>
      <xdr:spPr>
        <a:xfrm>
          <a:off x="14280444" y="2055813"/>
          <a:ext cx="3258616" cy="83449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Best Teaching Method</a:t>
          </a:r>
        </a:p>
      </xdr:txBody>
    </xdr:sp>
    <xdr:clientData/>
  </xdr:twoCellAnchor>
  <xdr:twoCellAnchor>
    <xdr:from>
      <xdr:col>28</xdr:col>
      <xdr:colOff>473257</xdr:colOff>
      <xdr:row>12</xdr:row>
      <xdr:rowOff>29312</xdr:rowOff>
    </xdr:from>
    <xdr:to>
      <xdr:col>33</xdr:col>
      <xdr:colOff>609019</xdr:colOff>
      <xdr:row>17</xdr:row>
      <xdr:rowOff>3911</xdr:rowOff>
    </xdr:to>
    <xdr:sp macro="" textlink="">
      <xdr:nvSpPr>
        <xdr:cNvPr id="28" name="Rectangle 27">
          <a:extLst>
            <a:ext uri="{FF2B5EF4-FFF2-40B4-BE49-F238E27FC236}">
              <a16:creationId xmlns:a16="http://schemas.microsoft.com/office/drawing/2014/main" id="{855DE0B8-9401-4661-8E4C-F9820203046D}"/>
            </a:ext>
          </a:extLst>
        </xdr:cNvPr>
        <xdr:cNvSpPr/>
      </xdr:nvSpPr>
      <xdr:spPr>
        <a:xfrm>
          <a:off x="17858146" y="2061312"/>
          <a:ext cx="3240206" cy="82126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Best Teacher</a:t>
          </a:r>
        </a:p>
      </xdr:txBody>
    </xdr:sp>
    <xdr:clientData/>
  </xdr:twoCellAnchor>
  <xdr:twoCellAnchor editAs="oneCell">
    <xdr:from>
      <xdr:col>43</xdr:col>
      <xdr:colOff>593408</xdr:colOff>
      <xdr:row>1</xdr:row>
      <xdr:rowOff>3704</xdr:rowOff>
    </xdr:from>
    <xdr:to>
      <xdr:col>55</xdr:col>
      <xdr:colOff>35243</xdr:colOff>
      <xdr:row>11</xdr:row>
      <xdr:rowOff>3703</xdr:rowOff>
    </xdr:to>
    <xdr:pic>
      <xdr:nvPicPr>
        <xdr:cNvPr id="30" name="Picture 29">
          <a:extLst>
            <a:ext uri="{FF2B5EF4-FFF2-40B4-BE49-F238E27FC236}">
              <a16:creationId xmlns:a16="http://schemas.microsoft.com/office/drawing/2014/main" id="{4D16A60F-0EC4-44F4-93A9-F5B5EE16BF1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2983" t="38690" r="12741" b="38393"/>
        <a:stretch/>
      </xdr:blipFill>
      <xdr:spPr>
        <a:xfrm>
          <a:off x="27291630" y="173037"/>
          <a:ext cx="6892502" cy="1693333"/>
        </a:xfrm>
        <a:prstGeom prst="rect">
          <a:avLst/>
        </a:prstGeom>
      </xdr:spPr>
    </xdr:pic>
    <xdr:clientData/>
  </xdr:twoCellAnchor>
  <xdr:twoCellAnchor>
    <xdr:from>
      <xdr:col>18</xdr:col>
      <xdr:colOff>473099</xdr:colOff>
      <xdr:row>12</xdr:row>
      <xdr:rowOff>12171</xdr:rowOff>
    </xdr:from>
    <xdr:to>
      <xdr:col>22</xdr:col>
      <xdr:colOff>308551</xdr:colOff>
      <xdr:row>16</xdr:row>
      <xdr:rowOff>143404</xdr:rowOff>
    </xdr:to>
    <xdr:sp macro="" textlink="">
      <xdr:nvSpPr>
        <xdr:cNvPr id="31" name="Rectangle 30">
          <a:extLst>
            <a:ext uri="{FF2B5EF4-FFF2-40B4-BE49-F238E27FC236}">
              <a16:creationId xmlns:a16="http://schemas.microsoft.com/office/drawing/2014/main" id="{480D721C-18F1-4340-9C04-72D8BB82B33C}"/>
            </a:ext>
          </a:extLst>
        </xdr:cNvPr>
        <xdr:cNvSpPr/>
      </xdr:nvSpPr>
      <xdr:spPr>
        <a:xfrm>
          <a:off x="11649099" y="2044171"/>
          <a:ext cx="2319008" cy="808566"/>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chemeClr val="bg1"/>
              </a:solidFill>
            </a:rPr>
            <a:t>Total</a:t>
          </a:r>
          <a:r>
            <a:rPr lang="en-IN" sz="2400" b="1" baseline="0">
              <a:solidFill>
                <a:schemeClr val="bg1"/>
              </a:solidFill>
            </a:rPr>
            <a:t> Teachers</a:t>
          </a:r>
          <a:endParaRPr lang="en-IN" sz="2400" b="1">
            <a:solidFill>
              <a:schemeClr val="bg1"/>
            </a:solidFill>
          </a:endParaRPr>
        </a:p>
      </xdr:txBody>
    </xdr:sp>
    <xdr:clientData/>
  </xdr:twoCellAnchor>
  <xdr:twoCellAnchor>
    <xdr:from>
      <xdr:col>0</xdr:col>
      <xdr:colOff>280988</xdr:colOff>
      <xdr:row>14</xdr:row>
      <xdr:rowOff>128587</xdr:rowOff>
    </xdr:from>
    <xdr:to>
      <xdr:col>4</xdr:col>
      <xdr:colOff>119063</xdr:colOff>
      <xdr:row>18</xdr:row>
      <xdr:rowOff>33337</xdr:rowOff>
    </xdr:to>
    <xdr:sp macro="" textlink="'KPI Analysis'!D3">
      <xdr:nvSpPr>
        <xdr:cNvPr id="12" name="TextBox 11">
          <a:extLst>
            <a:ext uri="{FF2B5EF4-FFF2-40B4-BE49-F238E27FC236}">
              <a16:creationId xmlns:a16="http://schemas.microsoft.com/office/drawing/2014/main" id="{AA635FAD-E789-46F5-4F6F-53B6170221BE}"/>
            </a:ext>
          </a:extLst>
        </xdr:cNvPr>
        <xdr:cNvSpPr txBox="1"/>
      </xdr:nvSpPr>
      <xdr:spPr>
        <a:xfrm>
          <a:off x="280988" y="2499254"/>
          <a:ext cx="2321631" cy="582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684915-638C-4995-B00D-2398DFA1C87E}" type="TxLink">
            <a:rPr lang="en-US" sz="2800" b="1" i="0" u="none" strike="noStrike">
              <a:solidFill>
                <a:srgbClr val="1F3864"/>
              </a:solidFill>
              <a:latin typeface="Arial"/>
              <a:cs typeface="Arial"/>
            </a:rPr>
            <a:pPr algn="ctr"/>
            <a:t>1,002</a:t>
          </a:fld>
          <a:endParaRPr lang="en-IN" sz="2800"/>
        </a:p>
      </xdr:txBody>
    </xdr:sp>
    <xdr:clientData/>
  </xdr:twoCellAnchor>
  <xdr:twoCellAnchor>
    <xdr:from>
      <xdr:col>18</xdr:col>
      <xdr:colOff>418273</xdr:colOff>
      <xdr:row>14</xdr:row>
      <xdr:rowOff>114300</xdr:rowOff>
    </xdr:from>
    <xdr:to>
      <xdr:col>22</xdr:col>
      <xdr:colOff>279125</xdr:colOff>
      <xdr:row>18</xdr:row>
      <xdr:rowOff>19050</xdr:rowOff>
    </xdr:to>
    <xdr:sp macro="" textlink="'KPI Analysis'!D41">
      <xdr:nvSpPr>
        <xdr:cNvPr id="14" name="TextBox 13">
          <a:extLst>
            <a:ext uri="{FF2B5EF4-FFF2-40B4-BE49-F238E27FC236}">
              <a16:creationId xmlns:a16="http://schemas.microsoft.com/office/drawing/2014/main" id="{0E6867A5-B3BA-4329-9071-BC9BE30880FF}"/>
            </a:ext>
          </a:extLst>
        </xdr:cNvPr>
        <xdr:cNvSpPr txBox="1"/>
      </xdr:nvSpPr>
      <xdr:spPr>
        <a:xfrm>
          <a:off x="11594273" y="2484967"/>
          <a:ext cx="2344408" cy="582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F9BA875-0CB0-4FF0-8679-DBF716DA9E04}" type="TxLink">
            <a:rPr lang="en-US" sz="2800" b="1" i="0" u="none" strike="noStrike">
              <a:solidFill>
                <a:srgbClr val="1F3864"/>
              </a:solidFill>
              <a:effectLst/>
              <a:latin typeface="Arial"/>
              <a:cs typeface="Arial"/>
            </a:rPr>
            <a:pPr algn="ctr"/>
            <a:t>15</a:t>
          </a:fld>
          <a:endParaRPr lang="en-IN" sz="2800" b="1"/>
        </a:p>
      </xdr:txBody>
    </xdr:sp>
    <xdr:clientData/>
  </xdr:twoCellAnchor>
  <xdr:twoCellAnchor>
    <xdr:from>
      <xdr:col>22</xdr:col>
      <xdr:colOff>611366</xdr:colOff>
      <xdr:row>14</xdr:row>
      <xdr:rowOff>161510</xdr:rowOff>
    </xdr:from>
    <xdr:to>
      <xdr:col>28</xdr:col>
      <xdr:colOff>152261</xdr:colOff>
      <xdr:row>18</xdr:row>
      <xdr:rowOff>71437</xdr:rowOff>
    </xdr:to>
    <xdr:sp macro="" textlink="' Overall Analysis'!B34">
      <xdr:nvSpPr>
        <xdr:cNvPr id="29" name="TextBox 28">
          <a:extLst>
            <a:ext uri="{FF2B5EF4-FFF2-40B4-BE49-F238E27FC236}">
              <a16:creationId xmlns:a16="http://schemas.microsoft.com/office/drawing/2014/main" id="{6020321D-E517-40B0-93A9-457EE2896BFC}"/>
            </a:ext>
          </a:extLst>
        </xdr:cNvPr>
        <xdr:cNvSpPr txBox="1"/>
      </xdr:nvSpPr>
      <xdr:spPr>
        <a:xfrm>
          <a:off x="14270922" y="2532177"/>
          <a:ext cx="3266228" cy="587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D97795-B309-4837-8CD1-A5F85BF2CDFC}" type="TxLink">
            <a:rPr lang="en-US" sz="2400" b="1" i="0" u="none" strike="noStrike">
              <a:solidFill>
                <a:srgbClr val="1F3864"/>
              </a:solidFill>
              <a:effectLst/>
              <a:latin typeface="Arial"/>
              <a:cs typeface="Arial"/>
            </a:rPr>
            <a:pPr algn="ctr"/>
            <a:t>Experiments</a:t>
          </a:fld>
          <a:endParaRPr lang="en-IN" sz="2400" b="1"/>
        </a:p>
      </xdr:txBody>
    </xdr:sp>
    <xdr:clientData/>
  </xdr:twoCellAnchor>
  <xdr:twoCellAnchor>
    <xdr:from>
      <xdr:col>28</xdr:col>
      <xdr:colOff>469761</xdr:colOff>
      <xdr:row>14</xdr:row>
      <xdr:rowOff>101046</xdr:rowOff>
    </xdr:from>
    <xdr:to>
      <xdr:col>33</xdr:col>
      <xdr:colOff>589859</xdr:colOff>
      <xdr:row>18</xdr:row>
      <xdr:rowOff>71437</xdr:rowOff>
    </xdr:to>
    <xdr:sp macro="" textlink="'KPI Analysis'!D42">
      <xdr:nvSpPr>
        <xdr:cNvPr id="32" name="TextBox 31">
          <a:extLst>
            <a:ext uri="{FF2B5EF4-FFF2-40B4-BE49-F238E27FC236}">
              <a16:creationId xmlns:a16="http://schemas.microsoft.com/office/drawing/2014/main" id="{D8FBAB31-AC8D-4DAA-9A36-40199DF5A7C7}"/>
            </a:ext>
          </a:extLst>
        </xdr:cNvPr>
        <xdr:cNvSpPr txBox="1"/>
      </xdr:nvSpPr>
      <xdr:spPr>
        <a:xfrm>
          <a:off x="17854650" y="2471713"/>
          <a:ext cx="3224542" cy="647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277529-8C14-4B60-B20C-0864B1BBA906}" type="TxLink">
            <a:rPr lang="en-US" sz="2400" b="1" i="0" u="none" strike="noStrike">
              <a:solidFill>
                <a:srgbClr val="1F3864"/>
              </a:solidFill>
              <a:latin typeface="Arial"/>
              <a:cs typeface="Arial"/>
            </a:rPr>
            <a:pPr algn="ctr"/>
            <a:t>Prof. Vikram Gupta</a:t>
          </a:fld>
          <a:endParaRPr lang="en-IN" sz="2400" b="1"/>
        </a:p>
      </xdr:txBody>
    </xdr:sp>
    <xdr:clientData/>
  </xdr:twoCellAnchor>
  <xdr:twoCellAnchor>
    <xdr:from>
      <xdr:col>34</xdr:col>
      <xdr:colOff>232534</xdr:colOff>
      <xdr:row>14</xdr:row>
      <xdr:rowOff>138113</xdr:rowOff>
    </xdr:from>
    <xdr:to>
      <xdr:col>40</xdr:col>
      <xdr:colOff>604010</xdr:colOff>
      <xdr:row>18</xdr:row>
      <xdr:rowOff>23813</xdr:rowOff>
    </xdr:to>
    <xdr:sp macro="" textlink="' Overall Analysis'!B6">
      <xdr:nvSpPr>
        <xdr:cNvPr id="33" name="TextBox 32">
          <a:extLst>
            <a:ext uri="{FF2B5EF4-FFF2-40B4-BE49-F238E27FC236}">
              <a16:creationId xmlns:a16="http://schemas.microsoft.com/office/drawing/2014/main" id="{F1751874-13E5-4CF4-9439-B7625DCBEC59}"/>
            </a:ext>
          </a:extLst>
        </xdr:cNvPr>
        <xdr:cNvSpPr txBox="1"/>
      </xdr:nvSpPr>
      <xdr:spPr>
        <a:xfrm>
          <a:off x="21342756" y="2508780"/>
          <a:ext cx="4096810" cy="5630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60492F-BF95-4B14-BB21-605BAE1CA306}" type="TxLink">
            <a:rPr lang="en-US" sz="2800" b="1" i="0" u="none" strike="noStrike">
              <a:solidFill>
                <a:srgbClr val="1F3864"/>
              </a:solidFill>
              <a:latin typeface="Calibri"/>
              <a:ea typeface="Calibri"/>
              <a:cs typeface="Calibri"/>
            </a:rPr>
            <a:pPr algn="ctr"/>
            <a:t>4.04</a:t>
          </a:fld>
          <a:endParaRPr lang="en-IN" sz="2800" b="1"/>
        </a:p>
      </xdr:txBody>
    </xdr:sp>
    <xdr:clientData/>
  </xdr:twoCellAnchor>
  <xdr:twoCellAnchor>
    <xdr:from>
      <xdr:col>0</xdr:col>
      <xdr:colOff>185854</xdr:colOff>
      <xdr:row>20</xdr:row>
      <xdr:rowOff>-1</xdr:rowOff>
    </xdr:from>
    <xdr:to>
      <xdr:col>13</xdr:col>
      <xdr:colOff>558800</xdr:colOff>
      <xdr:row>39</xdr:row>
      <xdr:rowOff>134470</xdr:rowOff>
    </xdr:to>
    <xdr:graphicFrame macro="">
      <xdr:nvGraphicFramePr>
        <xdr:cNvPr id="35" name="Chart 34">
          <a:extLst>
            <a:ext uri="{FF2B5EF4-FFF2-40B4-BE49-F238E27FC236}">
              <a16:creationId xmlns:a16="http://schemas.microsoft.com/office/drawing/2014/main" id="{240C2033-D81E-47F2-B8BE-ABEF0015D3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51773</xdr:colOff>
      <xdr:row>66</xdr:row>
      <xdr:rowOff>130098</xdr:rowOff>
    </xdr:from>
    <xdr:to>
      <xdr:col>19</xdr:col>
      <xdr:colOff>111513</xdr:colOff>
      <xdr:row>91</xdr:row>
      <xdr:rowOff>130098</xdr:rowOff>
    </xdr:to>
    <xdr:graphicFrame macro="">
      <xdr:nvGraphicFramePr>
        <xdr:cNvPr id="36" name="Chart 35">
          <a:extLst>
            <a:ext uri="{FF2B5EF4-FFF2-40B4-BE49-F238E27FC236}">
              <a16:creationId xmlns:a16="http://schemas.microsoft.com/office/drawing/2014/main" id="{7576D12F-7855-40DC-93C9-2E51AED75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446049</xdr:colOff>
      <xdr:row>67</xdr:row>
      <xdr:rowOff>21681</xdr:rowOff>
    </xdr:from>
    <xdr:to>
      <xdr:col>49</xdr:col>
      <xdr:colOff>594730</xdr:colOff>
      <xdr:row>90</xdr:row>
      <xdr:rowOff>167268</xdr:rowOff>
    </xdr:to>
    <xdr:graphicFrame macro="">
      <xdr:nvGraphicFramePr>
        <xdr:cNvPr id="37" name="Chart 36">
          <a:extLst>
            <a:ext uri="{FF2B5EF4-FFF2-40B4-BE49-F238E27FC236}">
              <a16:creationId xmlns:a16="http://schemas.microsoft.com/office/drawing/2014/main" id="{11396EFD-95E4-45DD-8182-B6920E6E9A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495300</xdr:colOff>
      <xdr:row>20</xdr:row>
      <xdr:rowOff>38100</xdr:rowOff>
    </xdr:from>
    <xdr:to>
      <xdr:col>25</xdr:col>
      <xdr:colOff>582258</xdr:colOff>
      <xdr:row>40</xdr:row>
      <xdr:rowOff>104887</xdr:rowOff>
    </xdr:to>
    <xdr:graphicFrame macro="">
      <xdr:nvGraphicFramePr>
        <xdr:cNvPr id="39" name="Chart 38">
          <a:extLst>
            <a:ext uri="{FF2B5EF4-FFF2-40B4-BE49-F238E27FC236}">
              <a16:creationId xmlns:a16="http://schemas.microsoft.com/office/drawing/2014/main" id="{64763645-541A-4C6B-A288-B39C92184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589673</xdr:colOff>
      <xdr:row>42</xdr:row>
      <xdr:rowOff>65791</xdr:rowOff>
    </xdr:from>
    <xdr:to>
      <xdr:col>33</xdr:col>
      <xdr:colOff>373380</xdr:colOff>
      <xdr:row>64</xdr:row>
      <xdr:rowOff>152400</xdr:rowOff>
    </xdr:to>
    <xdr:graphicFrame macro="">
      <xdr:nvGraphicFramePr>
        <xdr:cNvPr id="40" name="Chart 39">
          <a:extLst>
            <a:ext uri="{FF2B5EF4-FFF2-40B4-BE49-F238E27FC236}">
              <a16:creationId xmlns:a16="http://schemas.microsoft.com/office/drawing/2014/main" id="{CBCFEBEB-AA62-49B7-8640-EAD29BAA52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274321</xdr:colOff>
      <xdr:row>41</xdr:row>
      <xdr:rowOff>152400</xdr:rowOff>
    </xdr:from>
    <xdr:to>
      <xdr:col>14</xdr:col>
      <xdr:colOff>218739</xdr:colOff>
      <xdr:row>64</xdr:row>
      <xdr:rowOff>136262</xdr:rowOff>
    </xdr:to>
    <xdr:graphicFrame macro="">
      <xdr:nvGraphicFramePr>
        <xdr:cNvPr id="41" name="Chart 40">
          <a:extLst>
            <a:ext uri="{FF2B5EF4-FFF2-40B4-BE49-F238E27FC236}">
              <a16:creationId xmlns:a16="http://schemas.microsoft.com/office/drawing/2014/main" id="{7595DBC2-B81A-4764-80D2-0D6B22AE2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448083</xdr:colOff>
      <xdr:row>20</xdr:row>
      <xdr:rowOff>69125</xdr:rowOff>
    </xdr:from>
    <xdr:to>
      <xdr:col>40</xdr:col>
      <xdr:colOff>95060</xdr:colOff>
      <xdr:row>40</xdr:row>
      <xdr:rowOff>30049</xdr:rowOff>
    </xdr:to>
    <xdr:graphicFrame macro="">
      <xdr:nvGraphicFramePr>
        <xdr:cNvPr id="42" name="Chart 41">
          <a:extLst>
            <a:ext uri="{FF2B5EF4-FFF2-40B4-BE49-F238E27FC236}">
              <a16:creationId xmlns:a16="http://schemas.microsoft.com/office/drawing/2014/main" id="{C6A1B696-28A4-4632-8145-1B6259281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550541</xdr:colOff>
      <xdr:row>20</xdr:row>
      <xdr:rowOff>119347</xdr:rowOff>
    </xdr:from>
    <xdr:to>
      <xdr:col>53</xdr:col>
      <xdr:colOff>537882</xdr:colOff>
      <xdr:row>40</xdr:row>
      <xdr:rowOff>134470</xdr:rowOff>
    </xdr:to>
    <xdr:graphicFrame macro="">
      <xdr:nvGraphicFramePr>
        <xdr:cNvPr id="43" name="Chart 42">
          <a:extLst>
            <a:ext uri="{FF2B5EF4-FFF2-40B4-BE49-F238E27FC236}">
              <a16:creationId xmlns:a16="http://schemas.microsoft.com/office/drawing/2014/main" id="{53C077A8-9F2C-4404-A5F1-746AF7E7D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447997</xdr:colOff>
      <xdr:row>67</xdr:row>
      <xdr:rowOff>138</xdr:rowOff>
    </xdr:from>
    <xdr:to>
      <xdr:col>32</xdr:col>
      <xdr:colOff>572867</xdr:colOff>
      <xdr:row>91</xdr:row>
      <xdr:rowOff>97299</xdr:rowOff>
    </xdr:to>
    <xdr:graphicFrame macro="">
      <xdr:nvGraphicFramePr>
        <xdr:cNvPr id="2" name="Chart 1">
          <a:extLst>
            <a:ext uri="{FF2B5EF4-FFF2-40B4-BE49-F238E27FC236}">
              <a16:creationId xmlns:a16="http://schemas.microsoft.com/office/drawing/2014/main" id="{392E9010-91D5-482F-BC7B-F388A60BEF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50</xdr:col>
      <xdr:colOff>359150</xdr:colOff>
      <xdr:row>43</xdr:row>
      <xdr:rowOff>38100</xdr:rowOff>
    </xdr:from>
    <xdr:to>
      <xdr:col>53</xdr:col>
      <xdr:colOff>517713</xdr:colOff>
      <xdr:row>64</xdr:row>
      <xdr:rowOff>38323</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3C33CFB6-EDE6-6986-C331-1FEDF1E1CC2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1403594" y="7319433"/>
              <a:ext cx="2021230" cy="35562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594360</xdr:colOff>
      <xdr:row>42</xdr:row>
      <xdr:rowOff>38100</xdr:rowOff>
    </xdr:from>
    <xdr:to>
      <xdr:col>18</xdr:col>
      <xdr:colOff>175737</xdr:colOff>
      <xdr:row>63</xdr:row>
      <xdr:rowOff>76201</xdr:rowOff>
    </xdr:to>
    <mc:AlternateContent xmlns:mc="http://schemas.openxmlformats.org/markup-compatibility/2006" xmlns:a14="http://schemas.microsoft.com/office/drawing/2010/main">
      <mc:Choice Requires="a14">
        <xdr:graphicFrame macro="">
          <xdr:nvGraphicFramePr>
            <xdr:cNvPr id="4" name="Age Band">
              <a:extLst>
                <a:ext uri="{FF2B5EF4-FFF2-40B4-BE49-F238E27FC236}">
                  <a16:creationId xmlns:a16="http://schemas.microsoft.com/office/drawing/2014/main" id="{FB5A853C-6101-D2AC-5F34-C857FE69D0BC}"/>
                </a:ext>
              </a:extLst>
            </xdr:cNvPr>
            <xdr:cNvGraphicFramePr/>
          </xdr:nvGraphicFramePr>
          <xdr:xfrm>
            <a:off x="0" y="0"/>
            <a:ext cx="0" cy="0"/>
          </xdr:xfrm>
          <a:graphic>
            <a:graphicData uri="http://schemas.microsoft.com/office/drawing/2010/slicer">
              <sle:slicer xmlns:sle="http://schemas.microsoft.com/office/drawing/2010/slicer" name="Age Band"/>
            </a:graphicData>
          </a:graphic>
        </xdr:graphicFrame>
      </mc:Choice>
      <mc:Fallback xmlns="">
        <xdr:sp macro="" textlink="">
          <xdr:nvSpPr>
            <xdr:cNvPr id="0" name=""/>
            <xdr:cNvSpPr>
              <a:spLocks noTextEdit="1"/>
            </xdr:cNvSpPr>
          </xdr:nvSpPr>
          <xdr:spPr>
            <a:xfrm>
              <a:off x="9286804" y="7150100"/>
              <a:ext cx="2064933" cy="3594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123265</xdr:colOff>
      <xdr:row>42</xdr:row>
      <xdr:rowOff>134471</xdr:rowOff>
    </xdr:from>
    <xdr:to>
      <xdr:col>37</xdr:col>
      <xdr:colOff>212912</xdr:colOff>
      <xdr:row>64</xdr:row>
      <xdr:rowOff>0</xdr:rowOff>
    </xdr:to>
    <mc:AlternateContent xmlns:mc="http://schemas.openxmlformats.org/markup-compatibility/2006" xmlns:a14="http://schemas.microsoft.com/office/drawing/2010/main">
      <mc:Choice Requires="a14">
        <xdr:graphicFrame macro="">
          <xdr:nvGraphicFramePr>
            <xdr:cNvPr id="5" name="Performance Tier">
              <a:extLst>
                <a:ext uri="{FF2B5EF4-FFF2-40B4-BE49-F238E27FC236}">
                  <a16:creationId xmlns:a16="http://schemas.microsoft.com/office/drawing/2014/main" id="{6E55B15C-CAB2-5BDC-1C84-1C7101347BD7}"/>
                </a:ext>
              </a:extLst>
            </xdr:cNvPr>
            <xdr:cNvGraphicFramePr/>
          </xdr:nvGraphicFramePr>
          <xdr:xfrm>
            <a:off x="0" y="0"/>
            <a:ext cx="0" cy="0"/>
          </xdr:xfrm>
          <a:graphic>
            <a:graphicData uri="http://schemas.microsoft.com/office/drawing/2010/slicer">
              <sle:slicer xmlns:sle="http://schemas.microsoft.com/office/drawing/2010/slicer" name="Performance Tier"/>
            </a:graphicData>
          </a:graphic>
        </xdr:graphicFrame>
      </mc:Choice>
      <mc:Fallback xmlns="">
        <xdr:sp macro="" textlink="">
          <xdr:nvSpPr>
            <xdr:cNvPr id="0" name=""/>
            <xdr:cNvSpPr>
              <a:spLocks noTextEdit="1"/>
            </xdr:cNvSpPr>
          </xdr:nvSpPr>
          <xdr:spPr>
            <a:xfrm>
              <a:off x="21233487" y="7246471"/>
              <a:ext cx="1952314" cy="3590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50</xdr:col>
      <xdr:colOff>465153</xdr:colOff>
      <xdr:row>67</xdr:row>
      <xdr:rowOff>45882</xdr:rowOff>
    </xdr:from>
    <xdr:to>
      <xdr:col>53</xdr:col>
      <xdr:colOff>465152</xdr:colOff>
      <xdr:row>90</xdr:row>
      <xdr:rowOff>121919</xdr:rowOff>
    </xdr:to>
    <mc:AlternateContent xmlns:mc="http://schemas.openxmlformats.org/markup-compatibility/2006" xmlns:a14="http://schemas.microsoft.com/office/drawing/2010/main">
      <mc:Choice Requires="a14">
        <xdr:graphicFrame macro="">
          <xdr:nvGraphicFramePr>
            <xdr:cNvPr id="6" name="Teaching Method">
              <a:extLst>
                <a:ext uri="{FF2B5EF4-FFF2-40B4-BE49-F238E27FC236}">
                  <a16:creationId xmlns:a16="http://schemas.microsoft.com/office/drawing/2014/main" id="{0B341AF3-3F3B-ECD5-656E-E6EB15E7E85F}"/>
                </a:ext>
              </a:extLst>
            </xdr:cNvPr>
            <xdr:cNvGraphicFramePr/>
          </xdr:nvGraphicFramePr>
          <xdr:xfrm>
            <a:off x="0" y="0"/>
            <a:ext cx="0" cy="0"/>
          </xdr:xfrm>
          <a:graphic>
            <a:graphicData uri="http://schemas.microsoft.com/office/drawing/2010/slicer">
              <sle:slicer xmlns:sle="http://schemas.microsoft.com/office/drawing/2010/slicer" name="Teaching Method"/>
            </a:graphicData>
          </a:graphic>
        </xdr:graphicFrame>
      </mc:Choice>
      <mc:Fallback xmlns="">
        <xdr:sp macro="" textlink="">
          <xdr:nvSpPr>
            <xdr:cNvPr id="0" name=""/>
            <xdr:cNvSpPr>
              <a:spLocks noTextEdit="1"/>
            </xdr:cNvSpPr>
          </xdr:nvSpPr>
          <xdr:spPr>
            <a:xfrm>
              <a:off x="31509597" y="11391215"/>
              <a:ext cx="1862666" cy="39707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347310</xdr:colOff>
      <xdr:row>67</xdr:row>
      <xdr:rowOff>55756</xdr:rowOff>
    </xdr:from>
    <xdr:to>
      <xdr:col>3</xdr:col>
      <xdr:colOff>371372</xdr:colOff>
      <xdr:row>91</xdr:row>
      <xdr:rowOff>121920</xdr:rowOff>
    </xdr:to>
    <mc:AlternateContent xmlns:mc="http://schemas.openxmlformats.org/markup-compatibility/2006" xmlns:a14="http://schemas.microsoft.com/office/drawing/2010/main">
      <mc:Choice Requires="a14">
        <xdr:graphicFrame macro="">
          <xdr:nvGraphicFramePr>
            <xdr:cNvPr id="9" name="Metric">
              <a:extLst>
                <a:ext uri="{FF2B5EF4-FFF2-40B4-BE49-F238E27FC236}">
                  <a16:creationId xmlns:a16="http://schemas.microsoft.com/office/drawing/2014/main" id="{8DC90B72-9AA1-74E3-5184-4B89412A6A73}"/>
                </a:ext>
              </a:extLst>
            </xdr:cNvPr>
            <xdr:cNvGraphicFramePr/>
          </xdr:nvGraphicFramePr>
          <xdr:xfrm>
            <a:off x="0" y="0"/>
            <a:ext cx="0" cy="0"/>
          </xdr:xfrm>
          <a:graphic>
            <a:graphicData uri="http://schemas.microsoft.com/office/drawing/2010/slicer">
              <sle:slicer xmlns:sle="http://schemas.microsoft.com/office/drawing/2010/slicer" name="Metric"/>
            </a:graphicData>
          </a:graphic>
        </xdr:graphicFrame>
      </mc:Choice>
      <mc:Fallback xmlns="">
        <xdr:sp macro="" textlink="">
          <xdr:nvSpPr>
            <xdr:cNvPr id="0" name=""/>
            <xdr:cNvSpPr>
              <a:spLocks noTextEdit="1"/>
            </xdr:cNvSpPr>
          </xdr:nvSpPr>
          <xdr:spPr>
            <a:xfrm>
              <a:off x="347310" y="11401089"/>
              <a:ext cx="1886729" cy="41301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41</xdr:col>
      <xdr:colOff>295456</xdr:colOff>
      <xdr:row>12</xdr:row>
      <xdr:rowOff>14288</xdr:rowOff>
    </xdr:from>
    <xdr:to>
      <xdr:col>48</xdr:col>
      <xdr:colOff>50693</xdr:colOff>
      <xdr:row>16</xdr:row>
      <xdr:rowOff>166688</xdr:rowOff>
    </xdr:to>
    <xdr:sp macro="" textlink="">
      <xdr:nvSpPr>
        <xdr:cNvPr id="11" name="Rectangle 10">
          <a:extLst>
            <a:ext uri="{FF2B5EF4-FFF2-40B4-BE49-F238E27FC236}">
              <a16:creationId xmlns:a16="http://schemas.microsoft.com/office/drawing/2014/main" id="{1FD6767E-28CF-4349-863A-490D4D9A8EC1}"/>
            </a:ext>
          </a:extLst>
        </xdr:cNvPr>
        <xdr:cNvSpPr/>
      </xdr:nvSpPr>
      <xdr:spPr>
        <a:xfrm>
          <a:off x="25751900" y="2046288"/>
          <a:ext cx="4101460"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Avg Overall Engagement</a:t>
          </a:r>
          <a:endParaRPr lang="en-IN" sz="4800">
            <a:effectLst/>
          </a:endParaRPr>
        </a:p>
        <a:p>
          <a:pPr algn="ctr"/>
          <a:endParaRPr lang="en-IN" sz="4800" b="1"/>
        </a:p>
      </xdr:txBody>
    </xdr:sp>
    <xdr:clientData/>
  </xdr:twoCellAnchor>
  <xdr:twoCellAnchor>
    <xdr:from>
      <xdr:col>41</xdr:col>
      <xdr:colOff>289683</xdr:colOff>
      <xdr:row>15</xdr:row>
      <xdr:rowOff>2118</xdr:rowOff>
    </xdr:from>
    <xdr:to>
      <xdr:col>48</xdr:col>
      <xdr:colOff>42034</xdr:colOff>
      <xdr:row>18</xdr:row>
      <xdr:rowOff>57151</xdr:rowOff>
    </xdr:to>
    <xdr:sp macro="" textlink="' Overall Analysis'!B7">
      <xdr:nvSpPr>
        <xdr:cNvPr id="13" name="TextBox 12">
          <a:extLst>
            <a:ext uri="{FF2B5EF4-FFF2-40B4-BE49-F238E27FC236}">
              <a16:creationId xmlns:a16="http://schemas.microsoft.com/office/drawing/2014/main" id="{00F05CCB-2B1F-45E9-AD13-D40CC42770C4}"/>
            </a:ext>
          </a:extLst>
        </xdr:cNvPr>
        <xdr:cNvSpPr txBox="1"/>
      </xdr:nvSpPr>
      <xdr:spPr>
        <a:xfrm>
          <a:off x="25746127" y="2542118"/>
          <a:ext cx="4098574" cy="5630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734EF2-A2C1-49C7-8D2B-AA10C09B3256}" type="TxLink">
            <a:rPr lang="en-US" sz="2800" b="1" i="0" u="none" strike="noStrike">
              <a:solidFill>
                <a:srgbClr val="1F3864"/>
              </a:solidFill>
              <a:latin typeface="Calibri"/>
              <a:ea typeface="Calibri"/>
              <a:cs typeface="Calibri"/>
            </a:rPr>
            <a:pPr algn="ctr"/>
            <a:t>4.05</a:t>
          </a:fld>
          <a:endParaRPr lang="en-IN" sz="23900" b="1"/>
        </a:p>
      </xdr:txBody>
    </xdr:sp>
    <xdr:clientData/>
  </xdr:twoCellAnchor>
  <xdr:twoCellAnchor>
    <xdr:from>
      <xdr:col>48</xdr:col>
      <xdr:colOff>319268</xdr:colOff>
      <xdr:row>12</xdr:row>
      <xdr:rowOff>11642</xdr:rowOff>
    </xdr:from>
    <xdr:to>
      <xdr:col>53</xdr:col>
      <xdr:colOff>547688</xdr:colOff>
      <xdr:row>16</xdr:row>
      <xdr:rowOff>119063</xdr:rowOff>
    </xdr:to>
    <xdr:sp macro="" textlink="">
      <xdr:nvSpPr>
        <xdr:cNvPr id="15" name="Rectangle 14">
          <a:extLst>
            <a:ext uri="{FF2B5EF4-FFF2-40B4-BE49-F238E27FC236}">
              <a16:creationId xmlns:a16="http://schemas.microsoft.com/office/drawing/2014/main" id="{D67CF22F-5432-4C1B-A6FF-A05C59F53E38}"/>
            </a:ext>
          </a:extLst>
        </xdr:cNvPr>
        <xdr:cNvSpPr/>
      </xdr:nvSpPr>
      <xdr:spPr>
        <a:xfrm>
          <a:off x="30121935" y="2043642"/>
          <a:ext cx="3332864" cy="784754"/>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Avg Gamification Lift</a:t>
          </a:r>
        </a:p>
      </xdr:txBody>
    </xdr:sp>
    <xdr:clientData/>
  </xdr:twoCellAnchor>
  <xdr:twoCellAnchor>
    <xdr:from>
      <xdr:col>48</xdr:col>
      <xdr:colOff>299209</xdr:colOff>
      <xdr:row>15</xdr:row>
      <xdr:rowOff>14287</xdr:rowOff>
    </xdr:from>
    <xdr:to>
      <xdr:col>53</xdr:col>
      <xdr:colOff>523876</xdr:colOff>
      <xdr:row>18</xdr:row>
      <xdr:rowOff>119062</xdr:rowOff>
    </xdr:to>
    <xdr:sp macro="" textlink="' Overall Analysis'!B29">
      <xdr:nvSpPr>
        <xdr:cNvPr id="16" name="TextBox 15">
          <a:extLst>
            <a:ext uri="{FF2B5EF4-FFF2-40B4-BE49-F238E27FC236}">
              <a16:creationId xmlns:a16="http://schemas.microsoft.com/office/drawing/2014/main" id="{ABA367D9-75FB-45B6-A85D-50FAFC4B87C9}"/>
            </a:ext>
          </a:extLst>
        </xdr:cNvPr>
        <xdr:cNvSpPr txBox="1"/>
      </xdr:nvSpPr>
      <xdr:spPr>
        <a:xfrm>
          <a:off x="30101876" y="2554287"/>
          <a:ext cx="3329111" cy="612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F58132-339B-47D9-964B-0827302F8F0B}" type="TxLink">
            <a:rPr lang="en-US" sz="2800" b="1" i="0" u="none" strike="noStrike">
              <a:solidFill>
                <a:srgbClr val="1F3864"/>
              </a:solidFill>
              <a:effectLst/>
              <a:latin typeface="Calibri"/>
              <a:ea typeface="Calibri"/>
              <a:cs typeface="Calibri"/>
            </a:rPr>
            <a:pPr algn="ctr"/>
            <a:t>13.23</a:t>
          </a:fld>
          <a:endParaRPr lang="en-IN" sz="2800" b="1"/>
        </a:p>
      </xdr:txBody>
    </xdr:sp>
    <xdr:clientData/>
  </xdr:twoCellAnchor>
  <xdr:twoCellAnchor>
    <xdr:from>
      <xdr:col>4</xdr:col>
      <xdr:colOff>352606</xdr:colOff>
      <xdr:row>12</xdr:row>
      <xdr:rowOff>0</xdr:rowOff>
    </xdr:from>
    <xdr:to>
      <xdr:col>11</xdr:col>
      <xdr:colOff>107843</xdr:colOff>
      <xdr:row>16</xdr:row>
      <xdr:rowOff>152400</xdr:rowOff>
    </xdr:to>
    <xdr:sp macro="" textlink="">
      <xdr:nvSpPr>
        <xdr:cNvPr id="18" name="Rectangle 17">
          <a:extLst>
            <a:ext uri="{FF2B5EF4-FFF2-40B4-BE49-F238E27FC236}">
              <a16:creationId xmlns:a16="http://schemas.microsoft.com/office/drawing/2014/main" id="{79BBE516-DAA3-4F5E-9FF0-359BB97B590B}"/>
            </a:ext>
          </a:extLst>
        </xdr:cNvPr>
        <xdr:cNvSpPr/>
      </xdr:nvSpPr>
      <xdr:spPr>
        <a:xfrm>
          <a:off x="2836162" y="2032000"/>
          <a:ext cx="4101459"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Total</a:t>
          </a:r>
          <a:r>
            <a:rPr lang="en-IN" sz="2400" b="1" baseline="0">
              <a:solidFill>
                <a:schemeClr val="lt1"/>
              </a:solidFill>
              <a:effectLst/>
              <a:latin typeface="+mn-lt"/>
              <a:ea typeface="+mn-ea"/>
              <a:cs typeface="+mn-cs"/>
            </a:rPr>
            <a:t> Female Students</a:t>
          </a:r>
          <a:endParaRPr lang="en-IN" sz="2400">
            <a:effectLst/>
          </a:endParaRPr>
        </a:p>
      </xdr:txBody>
    </xdr:sp>
    <xdr:clientData/>
  </xdr:twoCellAnchor>
  <xdr:twoCellAnchor>
    <xdr:from>
      <xdr:col>11</xdr:col>
      <xdr:colOff>385944</xdr:colOff>
      <xdr:row>12</xdr:row>
      <xdr:rowOff>9525</xdr:rowOff>
    </xdr:from>
    <xdr:to>
      <xdr:col>18</xdr:col>
      <xdr:colOff>141181</xdr:colOff>
      <xdr:row>16</xdr:row>
      <xdr:rowOff>161925</xdr:rowOff>
    </xdr:to>
    <xdr:sp macro="" textlink="">
      <xdr:nvSpPr>
        <xdr:cNvPr id="23" name="Rectangle 22">
          <a:extLst>
            <a:ext uri="{FF2B5EF4-FFF2-40B4-BE49-F238E27FC236}">
              <a16:creationId xmlns:a16="http://schemas.microsoft.com/office/drawing/2014/main" id="{C2B15B64-1A87-43B1-909F-AE9F13504DD8}"/>
            </a:ext>
          </a:extLst>
        </xdr:cNvPr>
        <xdr:cNvSpPr/>
      </xdr:nvSpPr>
      <xdr:spPr>
        <a:xfrm>
          <a:off x="7215722" y="2041525"/>
          <a:ext cx="4101459" cy="829733"/>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chemeClr val="lt1"/>
              </a:solidFill>
              <a:effectLst/>
              <a:latin typeface="+mn-lt"/>
              <a:ea typeface="+mn-ea"/>
              <a:cs typeface="+mn-cs"/>
            </a:rPr>
            <a:t>Total</a:t>
          </a:r>
          <a:r>
            <a:rPr lang="en-IN" sz="2400" b="1" baseline="0">
              <a:solidFill>
                <a:schemeClr val="lt1"/>
              </a:solidFill>
              <a:effectLst/>
              <a:latin typeface="+mn-lt"/>
              <a:ea typeface="+mn-ea"/>
              <a:cs typeface="+mn-cs"/>
            </a:rPr>
            <a:t> Male Students</a:t>
          </a:r>
          <a:endParaRPr lang="en-IN" sz="2400">
            <a:effectLst/>
          </a:endParaRPr>
        </a:p>
      </xdr:txBody>
    </xdr:sp>
    <xdr:clientData/>
  </xdr:twoCellAnchor>
  <xdr:twoCellAnchor>
    <xdr:from>
      <xdr:col>4</xdr:col>
      <xdr:colOff>361950</xdr:colOff>
      <xdr:row>14</xdr:row>
      <xdr:rowOff>114299</xdr:rowOff>
    </xdr:from>
    <xdr:to>
      <xdr:col>11</xdr:col>
      <xdr:colOff>71438</xdr:colOff>
      <xdr:row>18</xdr:row>
      <xdr:rowOff>47624</xdr:rowOff>
    </xdr:to>
    <xdr:sp macro="" textlink="'KPI Analysis'!D5">
      <xdr:nvSpPr>
        <xdr:cNvPr id="34" name="TextBox 33">
          <a:extLst>
            <a:ext uri="{FF2B5EF4-FFF2-40B4-BE49-F238E27FC236}">
              <a16:creationId xmlns:a16="http://schemas.microsoft.com/office/drawing/2014/main" id="{72605C7C-7D65-4661-9CB9-EB0BC1339073}"/>
            </a:ext>
          </a:extLst>
        </xdr:cNvPr>
        <xdr:cNvSpPr txBox="1"/>
      </xdr:nvSpPr>
      <xdr:spPr>
        <a:xfrm>
          <a:off x="2845506" y="2484966"/>
          <a:ext cx="4055710" cy="6106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DA7794-D554-4666-9087-33B652473B22}" type="TxLink">
            <a:rPr lang="en-US" sz="2800" b="1" i="0" u="none" strike="noStrike">
              <a:solidFill>
                <a:srgbClr val="1F3864"/>
              </a:solidFill>
              <a:latin typeface="Arial"/>
              <a:cs typeface="Arial"/>
            </a:rPr>
            <a:pPr algn="ctr"/>
            <a:t>366</a:t>
          </a:fld>
          <a:endParaRPr lang="en-IN" sz="2800"/>
        </a:p>
      </xdr:txBody>
    </xdr:sp>
    <xdr:clientData/>
  </xdr:twoCellAnchor>
  <xdr:twoCellAnchor>
    <xdr:from>
      <xdr:col>11</xdr:col>
      <xdr:colOff>347663</xdr:colOff>
      <xdr:row>15</xdr:row>
      <xdr:rowOff>4762</xdr:rowOff>
    </xdr:from>
    <xdr:to>
      <xdr:col>18</xdr:col>
      <xdr:colOff>142875</xdr:colOff>
      <xdr:row>18</xdr:row>
      <xdr:rowOff>23814</xdr:rowOff>
    </xdr:to>
    <xdr:sp macro="" textlink="'KPI Analysis'!D4">
      <xdr:nvSpPr>
        <xdr:cNvPr id="38" name="TextBox 37">
          <a:extLst>
            <a:ext uri="{FF2B5EF4-FFF2-40B4-BE49-F238E27FC236}">
              <a16:creationId xmlns:a16="http://schemas.microsoft.com/office/drawing/2014/main" id="{5651B1FF-0825-4B09-B880-91B9222D1D71}"/>
            </a:ext>
          </a:extLst>
        </xdr:cNvPr>
        <xdr:cNvSpPr txBox="1"/>
      </xdr:nvSpPr>
      <xdr:spPr>
        <a:xfrm>
          <a:off x="7177441" y="2544762"/>
          <a:ext cx="4141434" cy="5270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95FF1E-08E1-4BB7-A957-9389AE8D89A3}" type="TxLink">
            <a:rPr lang="en-US" sz="2800" b="1" i="0" u="none" strike="noStrike">
              <a:solidFill>
                <a:srgbClr val="1F3864"/>
              </a:solidFill>
              <a:latin typeface="Arial"/>
              <a:cs typeface="Arial"/>
            </a:rPr>
            <a:pPr algn="ctr"/>
            <a:t>636</a:t>
          </a:fld>
          <a:endParaRPr lang="en-IN" sz="2800"/>
        </a:p>
      </xdr:txBody>
    </xdr:sp>
    <xdr:clientData/>
  </xdr:twoCellAnchor>
  <xdr:twoCellAnchor>
    <xdr:from>
      <xdr:col>4</xdr:col>
      <xdr:colOff>536221</xdr:colOff>
      <xdr:row>1</xdr:row>
      <xdr:rowOff>1</xdr:rowOff>
    </xdr:from>
    <xdr:to>
      <xdr:col>44</xdr:col>
      <xdr:colOff>28222</xdr:colOff>
      <xdr:row>10</xdr:row>
      <xdr:rowOff>84668</xdr:rowOff>
    </xdr:to>
    <xdr:sp macro="" textlink="">
      <xdr:nvSpPr>
        <xdr:cNvPr id="7" name="Rectangle 6">
          <a:extLst>
            <a:ext uri="{FF2B5EF4-FFF2-40B4-BE49-F238E27FC236}">
              <a16:creationId xmlns:a16="http://schemas.microsoft.com/office/drawing/2014/main" id="{573DBCEF-EEFF-10C3-69D4-62551D7EF692}"/>
            </a:ext>
          </a:extLst>
        </xdr:cNvPr>
        <xdr:cNvSpPr/>
      </xdr:nvSpPr>
      <xdr:spPr>
        <a:xfrm>
          <a:off x="3019777" y="169334"/>
          <a:ext cx="24327556" cy="1608667"/>
        </a:xfrm>
        <a:prstGeom prst="rect">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7200" b="1">
              <a:solidFill>
                <a:schemeClr val="lt1"/>
              </a:solidFill>
              <a:effectLst/>
              <a:latin typeface="+mn-lt"/>
              <a:ea typeface="+mn-ea"/>
              <a:cs typeface="+mn-cs"/>
            </a:rPr>
            <a:t>Academic Research Survey Data Analysis Tool </a:t>
          </a:r>
          <a:endParaRPr lang="en-IN" sz="7200">
            <a:effectLst/>
          </a:endParaRPr>
        </a:p>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59</xdr:col>
          <xdr:colOff>30480</xdr:colOff>
          <xdr:row>8</xdr:row>
          <xdr:rowOff>30480</xdr:rowOff>
        </xdr:from>
        <xdr:to>
          <xdr:col>70</xdr:col>
          <xdr:colOff>312420</xdr:colOff>
          <xdr:row>20</xdr:row>
          <xdr:rowOff>30480</xdr:rowOff>
        </xdr:to>
        <xdr:sp macro="" textlink="">
          <xdr:nvSpPr>
            <xdr:cNvPr id="1025" name="Button 1" descr="Summary Report" hidden="1">
              <a:extLst>
                <a:ext uri="{63B3BB69-23CF-44E3-9099-C40C66FF867C}">
                  <a14:compatExt spid="_x0000_s1025"/>
                </a:ext>
                <a:ext uri="{FF2B5EF4-FFF2-40B4-BE49-F238E27FC236}">
                  <a16:creationId xmlns:a16="http://schemas.microsoft.com/office/drawing/2014/main" id="{00000000-0008-0000-0B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7200" b="1" i="0" u="none" strike="noStrike" baseline="0">
                  <a:solidFill>
                    <a:srgbClr val="333300"/>
                  </a:solidFill>
                  <a:latin typeface="Calibri"/>
                  <a:ea typeface="Calibri"/>
                  <a:cs typeface="Calibri"/>
                </a:rPr>
                <a:t>Summary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30480</xdr:colOff>
          <xdr:row>22</xdr:row>
          <xdr:rowOff>0</xdr:rowOff>
        </xdr:from>
        <xdr:to>
          <xdr:col>70</xdr:col>
          <xdr:colOff>312420</xdr:colOff>
          <xdr:row>33</xdr:row>
          <xdr:rowOff>30480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B00-000002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35</xdr:row>
          <xdr:rowOff>91440</xdr:rowOff>
        </xdr:from>
        <xdr:to>
          <xdr:col>70</xdr:col>
          <xdr:colOff>281940</xdr:colOff>
          <xdr:row>46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B00-000003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000000"/>
                  </a:solidFill>
                  <a:latin typeface="Calibri"/>
                  <a:ea typeface="Calibri"/>
                  <a:cs typeface="Calibri"/>
                </a:rPr>
                <a:t>Refresh pivots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30480</xdr:colOff>
          <xdr:row>48</xdr:row>
          <xdr:rowOff>30480</xdr:rowOff>
        </xdr:from>
        <xdr:to>
          <xdr:col>70</xdr:col>
          <xdr:colOff>281940</xdr:colOff>
          <xdr:row>60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B00-00000404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IN" sz="7200" b="1" i="0" u="none" strike="noStrike" baseline="0">
                  <a:solidFill>
                    <a:srgbClr val="000000"/>
                  </a:solidFill>
                  <a:latin typeface="Calibri"/>
                  <a:ea typeface="Calibri"/>
                  <a:cs typeface="Calibri"/>
                </a:rPr>
                <a:t>Reset all slicers</a:t>
              </a:r>
            </a:p>
          </xdr:txBody>
        </xdr:sp>
        <xdr:clientData fPrintsWithSheet="0"/>
      </xdr:twoCellAnchor>
    </mc:Choice>
    <mc:Fallback/>
  </mc:AlternateContent>
  <xdr:twoCellAnchor>
    <xdr:from>
      <xdr:col>0</xdr:col>
      <xdr:colOff>263236</xdr:colOff>
      <xdr:row>101</xdr:row>
      <xdr:rowOff>4619</xdr:rowOff>
    </xdr:from>
    <xdr:to>
      <xdr:col>10</xdr:col>
      <xdr:colOff>584200</xdr:colOff>
      <xdr:row>112</xdr:row>
      <xdr:rowOff>108858</xdr:rowOff>
    </xdr:to>
    <xdr:sp macro="" textlink="">
      <xdr:nvSpPr>
        <xdr:cNvPr id="51" name="Rectangle: Rounded Corners 50">
          <a:hlinkClick xmlns:r="http://schemas.openxmlformats.org/officeDocument/2006/relationships" r:id="rId12"/>
          <a:extLst>
            <a:ext uri="{FF2B5EF4-FFF2-40B4-BE49-F238E27FC236}">
              <a16:creationId xmlns:a16="http://schemas.microsoft.com/office/drawing/2014/main" id="{6DEFC948-A609-487B-41D9-61AFECF085F6}"/>
            </a:ext>
          </a:extLst>
        </xdr:cNvPr>
        <xdr:cNvSpPr/>
      </xdr:nvSpPr>
      <xdr:spPr>
        <a:xfrm>
          <a:off x="263236" y="16496476"/>
          <a:ext cx="6308107" cy="1900382"/>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Home</a:t>
          </a:r>
        </a:p>
      </xdr:txBody>
    </xdr:sp>
    <xdr:clientData/>
  </xdr:twoCellAnchor>
  <xdr:twoCellAnchor>
    <xdr:from>
      <xdr:col>12</xdr:col>
      <xdr:colOff>173183</xdr:colOff>
      <xdr:row>101</xdr:row>
      <xdr:rowOff>25401</xdr:rowOff>
    </xdr:from>
    <xdr:to>
      <xdr:col>26</xdr:col>
      <xdr:colOff>544287</xdr:colOff>
      <xdr:row>112</xdr:row>
      <xdr:rowOff>108858</xdr:rowOff>
    </xdr:to>
    <xdr:sp macro="" textlink="">
      <xdr:nvSpPr>
        <xdr:cNvPr id="52" name="Rectangle: Rounded Corners 51">
          <a:hlinkClick xmlns:r="http://schemas.openxmlformats.org/officeDocument/2006/relationships" r:id="rId13"/>
          <a:extLst>
            <a:ext uri="{FF2B5EF4-FFF2-40B4-BE49-F238E27FC236}">
              <a16:creationId xmlns:a16="http://schemas.microsoft.com/office/drawing/2014/main" id="{014198A0-6F66-49D9-9580-9A71EF11E427}"/>
            </a:ext>
          </a:extLst>
        </xdr:cNvPr>
        <xdr:cNvSpPr/>
      </xdr:nvSpPr>
      <xdr:spPr>
        <a:xfrm>
          <a:off x="7357754" y="16517258"/>
          <a:ext cx="8753104" cy="1879600"/>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Raw Student Data</a:t>
          </a:r>
        </a:p>
      </xdr:txBody>
    </xdr:sp>
    <xdr:clientData/>
  </xdr:twoCellAnchor>
  <xdr:twoCellAnchor>
    <xdr:from>
      <xdr:col>28</xdr:col>
      <xdr:colOff>185058</xdr:colOff>
      <xdr:row>100</xdr:row>
      <xdr:rowOff>155040</xdr:rowOff>
    </xdr:from>
    <xdr:to>
      <xdr:col>45</xdr:col>
      <xdr:colOff>217714</xdr:colOff>
      <xdr:row>112</xdr:row>
      <xdr:rowOff>116892</xdr:rowOff>
    </xdr:to>
    <xdr:sp macro="" textlink="">
      <xdr:nvSpPr>
        <xdr:cNvPr id="53" name="Rectangle: Rounded Corners 52">
          <a:hlinkClick xmlns:r="http://schemas.openxmlformats.org/officeDocument/2006/relationships" r:id="rId14"/>
          <a:extLst>
            <a:ext uri="{FF2B5EF4-FFF2-40B4-BE49-F238E27FC236}">
              <a16:creationId xmlns:a16="http://schemas.microsoft.com/office/drawing/2014/main" id="{27FF929B-5E27-4B46-8B4B-6051245C0058}"/>
            </a:ext>
          </a:extLst>
        </xdr:cNvPr>
        <xdr:cNvSpPr/>
      </xdr:nvSpPr>
      <xdr:spPr>
        <a:xfrm>
          <a:off x="16949058" y="16483611"/>
          <a:ext cx="10210799" cy="1921281"/>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Clean Student Data</a:t>
          </a:r>
        </a:p>
      </xdr:txBody>
    </xdr:sp>
    <xdr:clientData/>
  </xdr:twoCellAnchor>
  <xdr:twoCellAnchor>
    <xdr:from>
      <xdr:col>46</xdr:col>
      <xdr:colOff>370115</xdr:colOff>
      <xdr:row>101</xdr:row>
      <xdr:rowOff>29325</xdr:rowOff>
    </xdr:from>
    <xdr:to>
      <xdr:col>67</xdr:col>
      <xdr:colOff>320154</xdr:colOff>
      <xdr:row>113</xdr:row>
      <xdr:rowOff>1774</xdr:rowOff>
    </xdr:to>
    <xdr:sp macro="" textlink="">
      <xdr:nvSpPr>
        <xdr:cNvPr id="54" name="Rectangle: Rounded Corners 53">
          <a:hlinkClick xmlns:r="http://schemas.openxmlformats.org/officeDocument/2006/relationships" r:id="rId15"/>
          <a:extLst>
            <a:ext uri="{FF2B5EF4-FFF2-40B4-BE49-F238E27FC236}">
              <a16:creationId xmlns:a16="http://schemas.microsoft.com/office/drawing/2014/main" id="{43025BA6-D982-4F5E-AB8F-410DD1D73FDF}"/>
            </a:ext>
          </a:extLst>
        </xdr:cNvPr>
        <xdr:cNvSpPr/>
      </xdr:nvSpPr>
      <xdr:spPr>
        <a:xfrm>
          <a:off x="27910972" y="16521182"/>
          <a:ext cx="12523039" cy="1931878"/>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Raw Gamification Data</a:t>
          </a:r>
        </a:p>
      </xdr:txBody>
    </xdr:sp>
    <xdr:clientData/>
  </xdr:twoCellAnchor>
  <xdr:twoCellAnchor>
    <xdr:from>
      <xdr:col>20</xdr:col>
      <xdr:colOff>341084</xdr:colOff>
      <xdr:row>126</xdr:row>
      <xdr:rowOff>127325</xdr:rowOff>
    </xdr:from>
    <xdr:to>
      <xdr:col>33</xdr:col>
      <xdr:colOff>429694</xdr:colOff>
      <xdr:row>139</xdr:row>
      <xdr:rowOff>119658</xdr:rowOff>
    </xdr:to>
    <xdr:sp macro="" textlink="">
      <xdr:nvSpPr>
        <xdr:cNvPr id="56" name="Rectangle: Rounded Corners 55">
          <a:hlinkClick xmlns:r="http://schemas.openxmlformats.org/officeDocument/2006/relationships" r:id="rId16"/>
          <a:extLst>
            <a:ext uri="{FF2B5EF4-FFF2-40B4-BE49-F238E27FC236}">
              <a16:creationId xmlns:a16="http://schemas.microsoft.com/office/drawing/2014/main" id="{CACD548C-85F1-44E2-925C-BB2229C79953}"/>
            </a:ext>
          </a:extLst>
        </xdr:cNvPr>
        <xdr:cNvSpPr/>
      </xdr:nvSpPr>
      <xdr:spPr>
        <a:xfrm>
          <a:off x="12315370" y="20701325"/>
          <a:ext cx="7871895" cy="2115047"/>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Summary</a:t>
          </a:r>
          <a:r>
            <a:rPr lang="en-IN" sz="8000" b="1" baseline="0">
              <a:solidFill>
                <a:sysClr val="windowText" lastClr="000000"/>
              </a:solidFill>
            </a:rPr>
            <a:t> Table</a:t>
          </a:r>
          <a:endParaRPr lang="en-IN" sz="8000" b="1">
            <a:solidFill>
              <a:sysClr val="windowText" lastClr="000000"/>
            </a:solidFill>
          </a:endParaRPr>
        </a:p>
      </xdr:txBody>
    </xdr:sp>
    <xdr:clientData/>
  </xdr:twoCellAnchor>
  <xdr:twoCellAnchor>
    <xdr:from>
      <xdr:col>50</xdr:col>
      <xdr:colOff>527973</xdr:colOff>
      <xdr:row>126</xdr:row>
      <xdr:rowOff>58616</xdr:rowOff>
    </xdr:from>
    <xdr:to>
      <xdr:col>62</xdr:col>
      <xdr:colOff>584569</xdr:colOff>
      <xdr:row>140</xdr:row>
      <xdr:rowOff>41928</xdr:rowOff>
    </xdr:to>
    <xdr:sp macro="" textlink="">
      <xdr:nvSpPr>
        <xdr:cNvPr id="57" name="Rectangle: Rounded Corners 56">
          <a:hlinkClick xmlns:r="http://schemas.openxmlformats.org/officeDocument/2006/relationships" r:id="rId17"/>
          <a:extLst>
            <a:ext uri="{FF2B5EF4-FFF2-40B4-BE49-F238E27FC236}">
              <a16:creationId xmlns:a16="http://schemas.microsoft.com/office/drawing/2014/main" id="{2FD15879-6AFF-4136-90E8-AFF07BA740BF}"/>
            </a:ext>
          </a:extLst>
        </xdr:cNvPr>
        <xdr:cNvSpPr/>
      </xdr:nvSpPr>
      <xdr:spPr>
        <a:xfrm>
          <a:off x="30463687" y="20632616"/>
          <a:ext cx="7241168" cy="2269312"/>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Master_Data</a:t>
          </a:r>
        </a:p>
      </xdr:txBody>
    </xdr:sp>
    <xdr:clientData/>
  </xdr:twoCellAnchor>
  <xdr:twoCellAnchor>
    <xdr:from>
      <xdr:col>0</xdr:col>
      <xdr:colOff>213942</xdr:colOff>
      <xdr:row>127</xdr:row>
      <xdr:rowOff>1504</xdr:rowOff>
    </xdr:from>
    <xdr:to>
      <xdr:col>19</xdr:col>
      <xdr:colOff>163140</xdr:colOff>
      <xdr:row>139</xdr:row>
      <xdr:rowOff>65139</xdr:rowOff>
    </xdr:to>
    <xdr:sp macro="" textlink="">
      <xdr:nvSpPr>
        <xdr:cNvPr id="58" name="Rectangle: Rounded Corners 57">
          <a:hlinkClick xmlns:r="http://schemas.openxmlformats.org/officeDocument/2006/relationships" r:id="rId18"/>
          <a:extLst>
            <a:ext uri="{FF2B5EF4-FFF2-40B4-BE49-F238E27FC236}">
              <a16:creationId xmlns:a16="http://schemas.microsoft.com/office/drawing/2014/main" id="{385C4436-C69D-4FF2-BCA1-A419F698D139}"/>
            </a:ext>
          </a:extLst>
        </xdr:cNvPr>
        <xdr:cNvSpPr/>
      </xdr:nvSpPr>
      <xdr:spPr>
        <a:xfrm>
          <a:off x="213942" y="20738790"/>
          <a:ext cx="11324769" cy="2023063"/>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Clean</a:t>
          </a:r>
          <a:r>
            <a:rPr lang="en-IN" sz="8000" b="1" baseline="0">
              <a:solidFill>
                <a:sysClr val="windowText" lastClr="000000"/>
              </a:solidFill>
            </a:rPr>
            <a:t> </a:t>
          </a:r>
          <a:r>
            <a:rPr lang="en-IN" sz="8000" b="1">
              <a:solidFill>
                <a:sysClr val="windowText" lastClr="000000"/>
              </a:solidFill>
            </a:rPr>
            <a:t>Gamification Data</a:t>
          </a:r>
        </a:p>
      </xdr:txBody>
    </xdr:sp>
    <xdr:clientData/>
  </xdr:twoCellAnchor>
  <xdr:twoCellAnchor>
    <xdr:from>
      <xdr:col>35</xdr:col>
      <xdr:colOff>97135</xdr:colOff>
      <xdr:row>126</xdr:row>
      <xdr:rowOff>41033</xdr:rowOff>
    </xdr:from>
    <xdr:to>
      <xdr:col>49</xdr:col>
      <xdr:colOff>177340</xdr:colOff>
      <xdr:row>139</xdr:row>
      <xdr:rowOff>150782</xdr:rowOff>
    </xdr:to>
    <xdr:sp macro="" textlink="">
      <xdr:nvSpPr>
        <xdr:cNvPr id="60" name="Rectangle: Rounded Corners 59">
          <a:hlinkClick xmlns:r="http://schemas.openxmlformats.org/officeDocument/2006/relationships" r:id="rId19"/>
          <a:extLst>
            <a:ext uri="{FF2B5EF4-FFF2-40B4-BE49-F238E27FC236}">
              <a16:creationId xmlns:a16="http://schemas.microsoft.com/office/drawing/2014/main" id="{887B68CB-CB1B-4A7F-B3E6-935B396C34FF}"/>
            </a:ext>
          </a:extLst>
        </xdr:cNvPr>
        <xdr:cNvSpPr/>
      </xdr:nvSpPr>
      <xdr:spPr>
        <a:xfrm>
          <a:off x="21052135" y="20615033"/>
          <a:ext cx="8462205" cy="2232463"/>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0" b="1">
              <a:solidFill>
                <a:sysClr val="windowText" lastClr="000000"/>
              </a:solidFill>
            </a:rPr>
            <a:t>Teacher_Master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813661</xdr:colOff>
      <xdr:row>11</xdr:row>
      <xdr:rowOff>179070</xdr:rowOff>
    </xdr:from>
    <xdr:to>
      <xdr:col>4</xdr:col>
      <xdr:colOff>1459424</xdr:colOff>
      <xdr:row>33</xdr:row>
      <xdr:rowOff>12916</xdr:rowOff>
    </xdr:to>
    <xdr:graphicFrame macro="">
      <xdr:nvGraphicFramePr>
        <xdr:cNvPr id="2" name="Chart 1">
          <a:extLst>
            <a:ext uri="{FF2B5EF4-FFF2-40B4-BE49-F238E27FC236}">
              <a16:creationId xmlns:a16="http://schemas.microsoft.com/office/drawing/2014/main" id="{4D66BBB1-666D-7DA3-CE67-41EC98FD5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182880</xdr:colOff>
      <xdr:row>9</xdr:row>
      <xdr:rowOff>3810</xdr:rowOff>
    </xdr:from>
    <xdr:to>
      <xdr:col>4</xdr:col>
      <xdr:colOff>1463040</xdr:colOff>
      <xdr:row>24</xdr:row>
      <xdr:rowOff>3810</xdr:rowOff>
    </xdr:to>
    <xdr:graphicFrame macro="">
      <xdr:nvGraphicFramePr>
        <xdr:cNvPr id="2" name="Chart 1">
          <a:extLst>
            <a:ext uri="{FF2B5EF4-FFF2-40B4-BE49-F238E27FC236}">
              <a16:creationId xmlns:a16="http://schemas.microsoft.com/office/drawing/2014/main" id="{F0542C1C-6048-8495-A842-3312331D6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662940</xdr:colOff>
      <xdr:row>8</xdr:row>
      <xdr:rowOff>49530</xdr:rowOff>
    </xdr:from>
    <xdr:to>
      <xdr:col>4</xdr:col>
      <xdr:colOff>1440180</xdr:colOff>
      <xdr:row>23</xdr:row>
      <xdr:rowOff>15240</xdr:rowOff>
    </xdr:to>
    <xdr:graphicFrame macro="">
      <xdr:nvGraphicFramePr>
        <xdr:cNvPr id="2" name="Chart 1">
          <a:extLst>
            <a:ext uri="{FF2B5EF4-FFF2-40B4-BE49-F238E27FC236}">
              <a16:creationId xmlns:a16="http://schemas.microsoft.com/office/drawing/2014/main" id="{6219097D-F046-04AF-7335-C6E47F9AF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472440</xdr:colOff>
      <xdr:row>4</xdr:row>
      <xdr:rowOff>80010</xdr:rowOff>
    </xdr:from>
    <xdr:to>
      <xdr:col>11</xdr:col>
      <xdr:colOff>167640</xdr:colOff>
      <xdr:row>19</xdr:row>
      <xdr:rowOff>80010</xdr:rowOff>
    </xdr:to>
    <xdr:graphicFrame macro="">
      <xdr:nvGraphicFramePr>
        <xdr:cNvPr id="2" name="Chart 1">
          <a:extLst>
            <a:ext uri="{FF2B5EF4-FFF2-40B4-BE49-F238E27FC236}">
              <a16:creationId xmlns:a16="http://schemas.microsoft.com/office/drawing/2014/main" id="{DA537900-F3A8-81CC-E6B5-EBBD20018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270510</xdr:colOff>
      <xdr:row>10</xdr:row>
      <xdr:rowOff>80010</xdr:rowOff>
    </xdr:from>
    <xdr:to>
      <xdr:col>3</xdr:col>
      <xdr:colOff>22860</xdr:colOff>
      <xdr:row>22</xdr:row>
      <xdr:rowOff>114300</xdr:rowOff>
    </xdr:to>
    <xdr:graphicFrame macro="">
      <xdr:nvGraphicFramePr>
        <xdr:cNvPr id="2" name="Chart 1">
          <a:extLst>
            <a:ext uri="{FF2B5EF4-FFF2-40B4-BE49-F238E27FC236}">
              <a16:creationId xmlns:a16="http://schemas.microsoft.com/office/drawing/2014/main" id="{D319508B-6D31-206D-8FFA-78C45344FA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137166</xdr:colOff>
      <xdr:row>9</xdr:row>
      <xdr:rowOff>87630</xdr:rowOff>
    </xdr:from>
    <xdr:to>
      <xdr:col>4</xdr:col>
      <xdr:colOff>502926</xdr:colOff>
      <xdr:row>24</xdr:row>
      <xdr:rowOff>87630</xdr:rowOff>
    </xdr:to>
    <xdr:graphicFrame macro="">
      <xdr:nvGraphicFramePr>
        <xdr:cNvPr id="2" name="Chart 1">
          <a:extLst>
            <a:ext uri="{FF2B5EF4-FFF2-40B4-BE49-F238E27FC236}">
              <a16:creationId xmlns:a16="http://schemas.microsoft.com/office/drawing/2014/main" id="{FDAF655F-2098-E7E6-5CE5-920F85C9D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274320</xdr:colOff>
      <xdr:row>8</xdr:row>
      <xdr:rowOff>41910</xdr:rowOff>
    </xdr:from>
    <xdr:to>
      <xdr:col>3</xdr:col>
      <xdr:colOff>1562100</xdr:colOff>
      <xdr:row>23</xdr:row>
      <xdr:rowOff>41910</xdr:rowOff>
    </xdr:to>
    <xdr:graphicFrame macro="">
      <xdr:nvGraphicFramePr>
        <xdr:cNvPr id="2" name="Chart 1">
          <a:extLst>
            <a:ext uri="{FF2B5EF4-FFF2-40B4-BE49-F238E27FC236}">
              <a16:creationId xmlns:a16="http://schemas.microsoft.com/office/drawing/2014/main" id="{B9A92F0D-B001-B466-2185-08532F9BBF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594360</xdr:colOff>
      <xdr:row>9</xdr:row>
      <xdr:rowOff>3810</xdr:rowOff>
    </xdr:from>
    <xdr:to>
      <xdr:col>4</xdr:col>
      <xdr:colOff>83820</xdr:colOff>
      <xdr:row>24</xdr:row>
      <xdr:rowOff>83820</xdr:rowOff>
    </xdr:to>
    <xdr:graphicFrame macro="">
      <xdr:nvGraphicFramePr>
        <xdr:cNvPr id="5" name="Chart 4">
          <a:extLst>
            <a:ext uri="{FF2B5EF4-FFF2-40B4-BE49-F238E27FC236}">
              <a16:creationId xmlns:a16="http://schemas.microsoft.com/office/drawing/2014/main" id="{33FEDFB7-C4C7-5B4C-D186-2B4ADE3A0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91440</xdr:colOff>
      <xdr:row>8</xdr:row>
      <xdr:rowOff>179070</xdr:rowOff>
    </xdr:from>
    <xdr:to>
      <xdr:col>5</xdr:col>
      <xdr:colOff>30480</xdr:colOff>
      <xdr:row>25</xdr:row>
      <xdr:rowOff>150395</xdr:rowOff>
    </xdr:to>
    <xdr:graphicFrame macro="">
      <xdr:nvGraphicFramePr>
        <xdr:cNvPr id="2" name="Chart 1">
          <a:extLst>
            <a:ext uri="{FF2B5EF4-FFF2-40B4-BE49-F238E27FC236}">
              <a16:creationId xmlns:a16="http://schemas.microsoft.com/office/drawing/2014/main" id="{CC1BC8D4-D0A9-21E1-A916-7B2214B5FF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106686</xdr:colOff>
      <xdr:row>9</xdr:row>
      <xdr:rowOff>57150</xdr:rowOff>
    </xdr:from>
    <xdr:to>
      <xdr:col>5</xdr:col>
      <xdr:colOff>129546</xdr:colOff>
      <xdr:row>24</xdr:row>
      <xdr:rowOff>57150</xdr:rowOff>
    </xdr:to>
    <xdr:graphicFrame macro="">
      <xdr:nvGraphicFramePr>
        <xdr:cNvPr id="2" name="Chart 1">
          <a:extLst>
            <a:ext uri="{FF2B5EF4-FFF2-40B4-BE49-F238E27FC236}">
              <a16:creationId xmlns:a16="http://schemas.microsoft.com/office/drawing/2014/main" id="{335F37DC-FAD8-3E6E-25E5-7A3EE12225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3810</xdr:colOff>
      <xdr:row>10</xdr:row>
      <xdr:rowOff>118110</xdr:rowOff>
    </xdr:from>
    <xdr:to>
      <xdr:col>8</xdr:col>
      <xdr:colOff>373380</xdr:colOff>
      <xdr:row>27</xdr:row>
      <xdr:rowOff>152400</xdr:rowOff>
    </xdr:to>
    <xdr:graphicFrame macro="">
      <xdr:nvGraphicFramePr>
        <xdr:cNvPr id="2" name="Chart 1">
          <a:extLst>
            <a:ext uri="{FF2B5EF4-FFF2-40B4-BE49-F238E27FC236}">
              <a16:creationId xmlns:a16="http://schemas.microsoft.com/office/drawing/2014/main" id="{C1224192-4DD2-D975-3B61-C6039A6E64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388026</xdr:colOff>
      <xdr:row>7</xdr:row>
      <xdr:rowOff>96834</xdr:rowOff>
    </xdr:from>
    <xdr:to>
      <xdr:col>6</xdr:col>
      <xdr:colOff>449382</xdr:colOff>
      <xdr:row>22</xdr:row>
      <xdr:rowOff>96834</xdr:rowOff>
    </xdr:to>
    <xdr:graphicFrame macro="">
      <xdr:nvGraphicFramePr>
        <xdr:cNvPr id="2" name="Chart 1">
          <a:extLst>
            <a:ext uri="{FF2B5EF4-FFF2-40B4-BE49-F238E27FC236}">
              <a16:creationId xmlns:a16="http://schemas.microsoft.com/office/drawing/2014/main" id="{7CA17A72-8724-8015-7E45-B50AF48BE0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571506</xdr:colOff>
      <xdr:row>9</xdr:row>
      <xdr:rowOff>133350</xdr:rowOff>
    </xdr:from>
    <xdr:to>
      <xdr:col>6</xdr:col>
      <xdr:colOff>251466</xdr:colOff>
      <xdr:row>24</xdr:row>
      <xdr:rowOff>133350</xdr:rowOff>
    </xdr:to>
    <xdr:graphicFrame macro="">
      <xdr:nvGraphicFramePr>
        <xdr:cNvPr id="3" name="Chart 2">
          <a:extLst>
            <a:ext uri="{FF2B5EF4-FFF2-40B4-BE49-F238E27FC236}">
              <a16:creationId xmlns:a16="http://schemas.microsoft.com/office/drawing/2014/main" id="{1142A723-84A9-F6AD-A5CC-0FB7B82104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hta Saha" refreshedDate="46217.491580902781" createdVersion="8" refreshedVersion="8" minRefreshableVersion="3" recordCount="1002" xr:uid="{03E6F7BF-8C16-4486-BA50-425C706BC87C}">
  <cacheSource type="worksheet">
    <worksheetSource name="Table1"/>
  </cacheSource>
  <cacheFields count="35">
    <cacheField name="Student ID" numFmtId="0">
      <sharedItems/>
    </cacheField>
    <cacheField name="Student Name" numFmtId="0">
      <sharedItems/>
    </cacheField>
    <cacheField name="Gender" numFmtId="0">
      <sharedItems count="2">
        <s v="Female"/>
        <s v="Male"/>
      </sharedItems>
    </cacheField>
    <cacheField name="Age" numFmtId="0">
      <sharedItems containsSemiMixedTypes="0" containsString="0" containsNumber="1" containsInteger="1" minValue="20" maxValue="30"/>
    </cacheField>
    <cacheField name="Age Band" numFmtId="0">
      <sharedItems count="4">
        <s v="20-22"/>
        <s v="29-30"/>
        <s v="23-25"/>
        <s v="26-28"/>
      </sharedItems>
    </cacheField>
    <cacheField name="Lectures_effectiveness" numFmtId="0">
      <sharedItems containsMixedTypes="1" containsNumber="1" minValue="3.04" maxValue="5.0599999999999996"/>
    </cacheField>
    <cacheField name="Case Studies_effectiveness" numFmtId="0">
      <sharedItems containsMixedTypes="1" containsNumber="1" minValue="3.22" maxValue="5.0999999999999996"/>
    </cacheField>
    <cacheField name="Group Projects_effectiveness" numFmtId="0">
      <sharedItems containsMixedTypes="1" containsNumber="1" minValue="2.99" maxValue="4.92"/>
    </cacheField>
    <cacheField name="Experiments_effectiveness" numFmtId="0">
      <sharedItems containsMixedTypes="1" containsNumber="1" minValue="3.1" maxValue="5.0599999999999996"/>
    </cacheField>
    <cacheField name="Online Tutorials_effectiveness" numFmtId="0">
      <sharedItems containsMixedTypes="1" containsNumber="1" minValue="3.07" maxValue="5.1100000000000003"/>
    </cacheField>
    <cacheField name="Lectures_engagement" numFmtId="0">
      <sharedItems containsMixedTypes="1" containsNumber="1" minValue="3.17" maxValue="5.14"/>
    </cacheField>
    <cacheField name="Case Studies_engagement" numFmtId="0">
      <sharedItems containsMixedTypes="1" containsNumber="1" minValue="2.86" maxValue="4.93"/>
    </cacheField>
    <cacheField name="Group Projects_engagement" numFmtId="0">
      <sharedItems containsMixedTypes="1" containsNumber="1" minValue="2.96" maxValue="5"/>
    </cacheField>
    <cacheField name="Experiments_engagement" numFmtId="0">
      <sharedItems containsMixedTypes="1" containsNumber="1" minValue="3.04" maxValue="5.2"/>
    </cacheField>
    <cacheField name="Online Tutorials_engagement" numFmtId="0">
      <sharedItems containsMixedTypes="1" containsNumber="1" minValue="2.8" maxValue="5"/>
    </cacheField>
    <cacheField name="Overall Effectiveness" numFmtId="0">
      <sharedItems containsSemiMixedTypes="0" containsString="0" containsNumber="1" minValue="3.6074999999999999" maxValue="4.49" count="494">
        <n v="4.0380000000000003"/>
        <n v="3.7840000000000003"/>
        <n v="4.2299999999999995"/>
        <n v="3.63"/>
        <n v="3.9760000000000004"/>
        <n v="4.1300000000000008"/>
        <n v="4.1839999999999993"/>
        <n v="3.8619999999999997"/>
        <n v="4.0759999999999996"/>
        <n v="3.9380000000000002"/>
        <n v="4.2120000000000006"/>
        <n v="4.048"/>
        <n v="3.9560000000000004"/>
        <n v="4.1520000000000001"/>
        <n v="4.0449999999999999"/>
        <n v="4.0840000000000005"/>
        <n v="4.1120000000000001"/>
        <n v="3.96"/>
        <n v="4.1219999999999999"/>
        <n v="4.2799999999999994"/>
        <n v="4.1375000000000002"/>
        <n v="4.0220000000000002"/>
        <n v="3.992"/>
        <n v="4.3319999999999999"/>
        <n v="4.1620000000000008"/>
        <n v="4.0739999999999998"/>
        <n v="4.2179999999999991"/>
        <n v="4.3533333333333344"/>
        <n v="4.2"/>
        <n v="3.8879999999999995"/>
        <n v="4.0280000000000005"/>
        <n v="4.104000000000001"/>
        <n v="4.2060000000000004"/>
        <n v="4.1759999999999993"/>
        <n v="4.0324999999999998"/>
        <n v="3.9160000000000004"/>
        <n v="4.1240000000000006"/>
        <n v="4.01"/>
        <n v="3.8899999999999997"/>
        <n v="4.0519999999999996"/>
        <n v="4.0419999999999998"/>
        <n v="4.1150000000000002"/>
        <n v="4.218"/>
        <n v="4.0640000000000001"/>
        <n v="3.8519999999999994"/>
        <n v="4.1719999999999997"/>
        <n v="3.9340000000000002"/>
        <n v="4.0779999999999994"/>
        <n v="4.0559999999999992"/>
        <n v="3.9699999999999998"/>
        <n v="4.1420000000000003"/>
        <n v="4.168000000000001"/>
        <n v="4.0020000000000007"/>
        <n v="4.2320000000000002"/>
        <n v="3.9519999999999995"/>
        <n v="4.0033333333333339"/>
        <n v="3.7159999999999997"/>
        <n v="4.0920000000000005"/>
        <n v="4.0039999999999996"/>
        <n v="4"/>
        <n v="3.9850000000000003"/>
        <n v="3.976"/>
        <n v="4.0619999999999994"/>
        <n v="4.0599999999999996"/>
        <n v="3.8699999999999997"/>
        <n v="3.7733333333333334"/>
        <n v="3.8220000000000001"/>
        <n v="4.1825000000000001"/>
        <n v="3.9019999999999997"/>
        <n v="3.9524999999999997"/>
        <n v="3.9180000000000001"/>
        <n v="3.9479999999999995"/>
        <n v="4.4040000000000008"/>
        <n v="4.234"/>
        <n v="3.9740000000000002"/>
        <n v="4.0720000000000001"/>
        <n v="4.1459999999999999"/>
        <n v="3.7399999999999998"/>
        <n v="4.2700000000000005"/>
        <n v="4.2839999999999998"/>
        <n v="4.0299999999999994"/>
        <n v="4.1624999999999996"/>
        <n v="4.2840000000000007"/>
        <n v="4.2160000000000002"/>
        <n v="3.806"/>
        <n v="4.1225000000000005"/>
        <n v="4.1820000000000004"/>
        <n v="3.972"/>
        <n v="3.8759999999999999"/>
        <n v="3.88"/>
        <n v="4.0060000000000002"/>
        <n v="4.04"/>
        <n v="4.0580000000000007"/>
        <n v="3.8840000000000003"/>
        <n v="3.9739999999999993"/>
        <n v="4.1680000000000001"/>
        <n v="4.0666666666666664"/>
        <n v="4.1619999999999999"/>
        <n v="4.0259999999999998"/>
        <n v="4.4340000000000002"/>
        <n v="3.8475000000000001"/>
        <n v="3.9980000000000002"/>
        <n v="4.0199999999999996"/>
        <n v="3.6920000000000002"/>
        <n v="4.2459999999999996"/>
        <n v="4.1450000000000005"/>
        <n v="4.0320000000000009"/>
        <n v="4.0499999999999989"/>
        <n v="4.1500000000000004"/>
        <n v="4.0439999999999996"/>
        <n v="3.9299999999999997"/>
        <n v="4.1760000000000002"/>
        <n v="3.9159999999999995"/>
        <n v="3.9759999999999991"/>
        <n v="4.2519999999999998"/>
        <n v="4.2225000000000001"/>
        <n v="3.9319999999999995"/>
        <n v="3.9399999999999991"/>
        <n v="3.774"/>
        <n v="4.0380000000000011"/>
        <n v="3.84"/>
        <n v="3.6819999999999999"/>
        <n v="4.1579999999999995"/>
        <n v="4.1920000000000002"/>
        <n v="3.8780000000000001"/>
        <n v="4.1079999999999997"/>
        <n v="3.9880000000000004"/>
        <n v="4.1040000000000001"/>
        <n v="4.2240000000000002"/>
        <n v="3.9219999999999997"/>
        <n v="4.0340000000000007"/>
        <n v="3.8275000000000006"/>
        <n v="3.8820000000000001"/>
        <n v="4.2039999999999997"/>
        <n v="3.9200000000000004"/>
        <n v="4.1100000000000003"/>
        <n v="3.94"/>
        <n v="3.8149999999999999"/>
        <n v="3.87"/>
        <n v="4.032"/>
        <n v="3.8860000000000001"/>
        <n v="4.21"/>
        <n v="4.1139999999999999"/>
        <n v="3.9199999999999995"/>
        <n v="3.8180000000000001"/>
        <n v="4.1180000000000003"/>
        <n v="4.1349999999999998"/>
        <n v="4.0359999999999996"/>
        <n v="4.1540000000000008"/>
        <n v="4.1959999999999997"/>
        <n v="4.1399999999999997"/>
        <n v="3.9060000000000001"/>
        <n v="4.17"/>
        <n v="4.2074999999999996"/>
        <n v="3.9939999999999998"/>
        <n v="4.2125000000000004"/>
        <n v="3.9319999999999999"/>
        <n v="4.1275000000000004"/>
        <n v="4.1980000000000004"/>
        <n v="4.1740000000000004"/>
        <n v="4.3860000000000001"/>
        <n v="4.1199999999999992"/>
        <n v="4.1319999999999997"/>
        <n v="3.9940000000000007"/>
        <n v="4.0319999999999991"/>
        <n v="4.1159999999999997"/>
        <n v="4.1560000000000006"/>
        <n v="4.2275"/>
        <n v="3.9660000000000002"/>
        <n v="4.0019999999999998"/>
        <n v="3.9460000000000002"/>
        <n v="3.91"/>
        <n v="3.8760000000000003"/>
        <n v="4.0549999999999997"/>
        <n v="4.0860000000000003"/>
        <n v="4.1524999999999999"/>
        <n v="4.09"/>
        <n v="4.1940000000000008"/>
        <n v="4.1460000000000008"/>
        <n v="4.3540000000000001"/>
        <n v="4.1239999999999997"/>
        <n v="4.0600000000000005"/>
        <n v="4.2680000000000007"/>
        <n v="3.9659999999999997"/>
        <n v="3.9279999999999999"/>
        <n v="4.0225"/>
        <n v="4.0150000000000006"/>
        <n v="4.0200000000000005"/>
        <n v="3.9239999999999995"/>
        <n v="3.7939999999999996"/>
        <n v="4.274"/>
        <n v="3.9780000000000002"/>
        <n v="3.9900000000000007"/>
        <n v="4.2939999999999996"/>
        <n v="4.1639999999999997"/>
        <n v="3.9260000000000006"/>
        <n v="4.3000000000000007"/>
        <n v="4.0260000000000007"/>
        <n v="4.1479999999999997"/>
        <n v="4.1379999999999999"/>
        <n v="4.1059999999999999"/>
        <n v="3.8740000000000001"/>
        <n v="3.8025000000000002"/>
        <n v="4.2879999999999994"/>
        <n v="3.9619999999999997"/>
        <n v="4.0699999999999994"/>
        <n v="4.2080000000000002"/>
        <n v="4.0149999999999997"/>
        <n v="3.7659999999999996"/>
        <n v="3.9125000000000005"/>
        <n v="3.8540000000000001"/>
        <n v="4.1875"/>
        <n v="3.7339999999999995"/>
        <n v="3.944"/>
        <n v="4.2399999999999993"/>
        <n v="3.8239999999999994"/>
        <n v="4.0650000000000004"/>
        <n v="4.1019999999999994"/>
        <n v="4.096000000000001"/>
        <n v="4.2149999999999999"/>
        <n v="3.99"/>
        <n v="3.875"/>
        <n v="3.8079999999999998"/>
        <n v="3.8600000000000003"/>
        <n v="3.968"/>
        <n v="4.0140000000000002"/>
        <n v="4.2359999999999998"/>
        <n v="3.9275000000000002"/>
        <n v="4.0179999999999989"/>
        <n v="4.0339999999999998"/>
        <n v="3.9620000000000006"/>
        <n v="4.07"/>
        <n v="4.0960000000000001"/>
        <n v="3.9379999999999997"/>
        <n v="4.0279999999999996"/>
        <n v="4.2919999999999998"/>
        <n v="3.9020000000000001"/>
        <n v="4.29"/>
        <n v="3.742"/>
        <n v="4.0879999999999992"/>
        <n v="3.8479999999999999"/>
        <n v="4.1440000000000001"/>
        <n v="4.2460000000000004"/>
        <n v="4.298"/>
        <n v="4.1039999999999992"/>
        <n v="4.3259999999999996"/>
        <n v="4.1099999999999994"/>
        <n v="4.153999999999999"/>
        <n v="3.9119999999999999"/>
        <n v="4.0040000000000004"/>
        <n v="4.0949999999999998"/>
        <n v="3.9799999999999995"/>
        <n v="3.95"/>
        <n v="4.0539999999999994"/>
        <n v="4.0780000000000003"/>
        <n v="4.2539999999999996"/>
        <n v="3.9649999999999999"/>
        <n v="3.6840000000000002"/>
        <n v="4.2099999999999991"/>
        <n v="4.3959999999999999"/>
        <n v="4.0179999999999998"/>
        <n v="4.2439999999999998"/>
        <n v="3.8579999999999997"/>
        <n v="4.0980000000000008"/>
        <n v="3.7920000000000003"/>
        <n v="3.9874999999999998"/>
        <n v="3.9474999999999998"/>
        <n v="3.69"/>
        <n v="4.3159999999999998"/>
        <n v="4.24"/>
        <n v="3.86"/>
        <n v="3.8679999999999999"/>
        <n v="4.024"/>
        <n v="4.13"/>
        <n v="3.8575000000000004"/>
        <n v="3.97"/>
        <n v="3.778"/>
        <n v="3.9039999999999999"/>
        <n v="3.9224999999999994"/>
        <n v="3.746"/>
        <n v="3.8660000000000005"/>
        <n v="3.9879999999999995"/>
        <n v="3.786"/>
        <n v="4.22"/>
        <n v="4.08"/>
        <n v="4.0999999999999996"/>
        <n v="3.7679999999999998"/>
        <n v="4.0819999999999999"/>
        <n v="3.8774999999999999"/>
        <n v="4.1519999999999992"/>
        <n v="4.0400000000000009"/>
        <n v="3.9819999999999993"/>
        <n v="3.9259999999999997"/>
        <n v="3.6500000000000004"/>
        <n v="3.9824999999999995"/>
        <n v="4.2039999999999988"/>
        <n v="4.2925000000000004"/>
        <n v="3.6859999999999999"/>
        <n v="3.996"/>
        <n v="3.9820000000000002"/>
        <n v="3.9099999999999993"/>
        <n v="3.9399999999999995"/>
        <n v="3.8739999999999997"/>
        <n v="3.9520000000000004"/>
        <n v="3.6366666666666667"/>
        <n v="3.8639999999999999"/>
        <n v="3.9480000000000004"/>
        <n v="3.9300000000000006"/>
        <n v="4.2140000000000004"/>
        <n v="3.9359999999999999"/>
        <n v="4.2379999999999995"/>
        <n v="3.8200000000000003"/>
        <n v="4.2219999999999995"/>
        <n v="4.3220000000000001"/>
        <n v="3.8439999999999999"/>
        <n v="4.1960000000000006"/>
        <n v="4.1179999999999994"/>
        <n v="3.9979999999999998"/>
        <n v="4.3420000000000005"/>
        <n v="4.0540000000000003"/>
        <n v="4.2075000000000005"/>
        <n v="4.0025000000000004"/>
        <n v="4.1025"/>
        <n v="3.8324999999999996"/>
        <n v="3.7425000000000002"/>
        <n v="3.7980000000000005"/>
        <n v="4.05"/>
        <n v="3.8250000000000002"/>
        <n v="4.3940000000000001"/>
        <n v="3.9579999999999997"/>
        <n v="3.8359999999999999"/>
        <n v="3.7924999999999995"/>
        <n v="4.0940000000000003"/>
        <n v="4.2250000000000005"/>
        <n v="4.1020000000000003"/>
        <n v="4.2750000000000004"/>
        <n v="4.0579999999999998"/>
        <n v="3.7560000000000002"/>
        <n v="3.7759999999999998"/>
        <n v="4.1359999999999992"/>
        <n v="3.9539999999999997"/>
        <n v="4.085"/>
        <n v="3.83"/>
        <n v="3.8260000000000005"/>
        <n v="4.3379999999999992"/>
        <n v="3.8980000000000006"/>
        <n v="3.9525000000000001"/>
        <n v="4.2580000000000009"/>
        <n v="4.0459999999999994"/>
        <n v="3.7640000000000002"/>
        <n v="3.8459999999999992"/>
        <n v="4.0950000000000006"/>
        <n v="3.8"/>
        <n v="3.9175"/>
        <n v="3.8379999999999996"/>
        <n v="4.1550000000000002"/>
        <n v="4.1259999999999994"/>
        <n v="3.8140000000000001"/>
        <n v="4.0520000000000005"/>
        <n v="4.12"/>
        <n v="4.2560000000000002"/>
        <n v="3.9899999999999998"/>
        <n v="3.8940000000000006"/>
        <n v="4.1325000000000003"/>
        <n v="3.9599999999999995"/>
        <n v="3.6274999999999999"/>
        <n v="4.1480000000000006"/>
        <n v="3.9140000000000001"/>
        <n v="4.0180000000000007"/>
        <n v="3.9725000000000001"/>
        <n v="4.0939999999999994"/>
        <n v="3.6074999999999999"/>
        <n v="4.3650000000000002"/>
        <n v="3.9174999999999995"/>
        <n v="4.18"/>
        <n v="4.3079999999999998"/>
        <n v="4.0975000000000001"/>
        <n v="3.9059999999999997"/>
        <n v="4.125"/>
        <n v="4.1224999999999996"/>
        <n v="4.1739999999999995"/>
        <n v="3.8460000000000001"/>
        <n v="4.0880000000000001"/>
        <n v="3.8440000000000003"/>
        <n v="4.0119999999999996"/>
        <n v="4.2620000000000005"/>
        <n v="4.2360000000000007"/>
        <n v="4.242"/>
        <n v="4.0350000000000001"/>
        <n v="4.1840000000000002"/>
        <n v="3.9024999999999999"/>
        <n v="4.1539999999999999"/>
        <n v="3.9999999999999991"/>
        <n v="4.3049999999999997"/>
        <n v="4.016"/>
        <n v="3.8979999999999997"/>
        <n v="3.7960000000000003"/>
        <n v="3.8240000000000003"/>
        <n v="4.0375000000000005"/>
        <n v="4.0659999999999998"/>
        <n v="3.9240000000000008"/>
        <n v="4.306"/>
        <n v="4.072000000000001"/>
        <n v="4.2780000000000005"/>
        <n v="4.056"/>
        <n v="4.1260000000000003"/>
        <n v="4.25"/>
        <n v="4.2279999999999998"/>
        <n v="4.45"/>
        <n v="3.7180000000000009"/>
        <n v="4.3019999999999996"/>
        <n v="4.1779999999999999"/>
        <n v="4.1599999999999993"/>
        <n v="4.1859999999999999"/>
        <n v="4.2960000000000003"/>
        <n v="3.8920000000000003"/>
        <n v="3.8520000000000003"/>
        <n v="4.1160000000000005"/>
        <n v="3.8533333333333335"/>
        <n v="3.9499999999999993"/>
        <n v="4.4000000000000004"/>
        <n v="3.9250000000000003"/>
        <n v="3.8160000000000003"/>
        <n v="4.0900000000000007"/>
        <n v="4.0874999999999995"/>
        <n v="3.6700000000000004"/>
        <n v="3.9859999999999998"/>
        <n v="4.4560000000000004"/>
        <n v="4.1775000000000002"/>
        <n v="4.3"/>
        <n v="3.76"/>
        <n v="4.3339999999999996"/>
        <n v="3.6680000000000001"/>
        <n v="4.0120000000000005"/>
        <n v="3.964"/>
        <n v="3.6100000000000003"/>
        <n v="4.0774999999999997"/>
        <n v="4.3719999999999999"/>
        <n v="4.0460000000000003"/>
        <n v="4.169999999999999"/>
        <n v="3.8540000000000005"/>
        <n v="4.1079999999999988"/>
        <n v="4.0875000000000004"/>
        <n v="4.1000000000000005"/>
        <n v="4.2200000000000006"/>
        <n v="4.2559999999999993"/>
        <n v="4.1819999999999995"/>
        <n v="3.9325000000000001"/>
        <n v="3.7800000000000002"/>
        <n v="3.8939999999999997"/>
        <n v="4.1360000000000001"/>
        <n v="4.1833333333333336"/>
        <n v="4.1050000000000004"/>
        <n v="3.8800000000000003"/>
        <n v="3.92"/>
        <n v="4.2300000000000004"/>
        <n v="4.0274999999999999"/>
        <n v="3.8224999999999998"/>
        <n v="3.8419999999999996"/>
        <n v="3.9079999999999999"/>
        <n v="4.3025000000000002"/>
        <n v="4.2119999999999997"/>
        <n v="3.85"/>
        <n v="3.8420000000000001"/>
        <n v="4.1280000000000001"/>
        <n v="3.8350000000000004"/>
        <n v="3.98"/>
        <n v="4.1674999999999995"/>
        <n v="4.1800000000000006"/>
        <n v="3.7320000000000002"/>
        <n v="3.7860000000000005"/>
        <n v="3.9849999999999999"/>
        <n v="4.0374999999999996"/>
        <n v="4.16"/>
        <n v="4.2059999999999995"/>
        <n v="3.9339999999999997"/>
        <n v="4.008"/>
        <n v="4.0839999999999996"/>
        <n v="3.7875000000000001"/>
        <n v="4.49"/>
        <n v="3.8959999999999995"/>
        <n v="4.4750000000000005"/>
        <n v="3.9839999999999995"/>
        <n v="4.2720000000000002"/>
        <n v="4.088000000000001"/>
        <n v="4.0175000000000001"/>
        <n v="3.6640000000000001"/>
        <n v="3.6119999999999997"/>
        <n v="4.2050000000000001"/>
        <n v="4.2900000000000009"/>
        <n v="4.28"/>
        <n v="3.8319999999999999"/>
        <n v="3.8525"/>
        <n v="3.6979999999999995"/>
      </sharedItems>
      <fieldGroup base="15">
        <rangePr startNum="3.6074999999999999" endNum="4.49" groupInterval="0.1"/>
        <groupItems count="11">
          <s v="&lt;3.6075"/>
          <s v="3.6075-3.7075"/>
          <s v="3.7075-3.8075"/>
          <s v="3.8075-3.9075"/>
          <s v="3.9075-4.0075"/>
          <s v="4.0075-4.1075"/>
          <s v="4.1075-4.2075"/>
          <s v="4.2075-4.3075"/>
          <s v="4.3075-4.4075"/>
          <s v="4.4075-4.5075"/>
          <s v="&gt;4.5075"/>
        </groupItems>
      </fieldGroup>
    </cacheField>
    <cacheField name="Round Overall Effectiveness" numFmtId="0">
      <sharedItems containsSemiMixedTypes="0" containsString="0" containsNumber="1" minValue="3.61" maxValue="4.49"/>
    </cacheField>
    <cacheField name="Overall Engagement" numFmtId="0">
      <sharedItems containsSemiMixedTypes="0" containsString="0" containsNumber="1" minValue="3.4939999999999998" maxValue="4.5179999999999998"/>
    </cacheField>
    <cacheField name="Engagement (Gamification %)" numFmtId="2">
      <sharedItems containsSemiMixedTypes="0" containsString="0" containsNumber="1" minValue="75" maxValue="99.9"/>
    </cacheField>
    <cacheField name="Engagement (Non-Gamification %)" numFmtId="2">
      <sharedItems containsSemiMixedTypes="0" containsString="0" containsNumber="1" minValue="60" maxValue="89.584100000000007"/>
    </cacheField>
    <cacheField name="Motivation (Gamification %)" numFmtId="2">
      <sharedItems containsSemiMixedTypes="0" containsString="0" containsNumber="1" minValue="70" maxValue="90"/>
    </cacheField>
    <cacheField name="Motivation (Non-Gamification %)" numFmtId="2">
      <sharedItems containsSemiMixedTypes="0" containsString="0" containsNumber="1" minValue="55" maxValue="78.123547000000002"/>
    </cacheField>
    <cacheField name="Participation (Gamification %)" numFmtId="2">
      <sharedItems containsSemiMixedTypes="0" containsString="0" containsNumber="1" minValue="80" maxValue="99.9"/>
    </cacheField>
    <cacheField name="Participation (Non-Gamification %)" numFmtId="2">
      <sharedItems containsSemiMixedTypes="0" containsString="0" containsNumber="1" minValue="65" maxValue="95"/>
    </cacheField>
    <cacheField name="Learning Outcomes (Gamification %)" numFmtId="2">
      <sharedItems containsSemiMixedTypes="0" containsString="0" containsNumber="1" minValue="65" maxValue="89.214500000000001"/>
    </cacheField>
    <cacheField name="Learning Outcomes (Non-Gamification %)" numFmtId="2">
      <sharedItems containsSemiMixedTypes="0" containsString="0" containsNumber="1" minValue="50" maxValue="97"/>
    </cacheField>
    <cacheField name="Engagement Lift" numFmtId="2">
      <sharedItems containsSemiMixedTypes="0" containsString="0" containsNumber="1" minValue="-14.575531000000012" maxValue="37.357807040000004"/>
    </cacheField>
    <cacheField name="Motivation Lift" numFmtId="2">
      <sharedItems containsSemiMixedTypes="0" containsString="0" containsNumber="1" minValue="-5" maxValue="33.053687710000005"/>
    </cacheField>
    <cacheField name="Participation Lift" numFmtId="2">
      <sharedItems containsSemiMixedTypes="0" containsString="0" containsNumber="1" minValue="-12.852400000000003" maxValue="32.53566828000001"/>
    </cacheField>
    <cacheField name="Learning Outcomes Lift" numFmtId="2">
      <sharedItems containsSemiMixedTypes="0" containsString="0" containsNumber="1" minValue="-14.876310000000004" maxValue="30.813363039999999"/>
    </cacheField>
    <cacheField name="Performance Tier" numFmtId="2">
      <sharedItems count="3">
        <s v="Medium"/>
        <s v="Low"/>
        <s v="High"/>
      </sharedItems>
    </cacheField>
    <cacheField name="Best Method (Effectiveness)" numFmtId="0">
      <sharedItems count="5">
        <s v="Experiments"/>
        <s v="Group Projects"/>
        <s v="Case Studies"/>
        <s v="Online Tutorials"/>
        <s v="Lectures"/>
      </sharedItems>
    </cacheField>
    <cacheField name="Best Method (Engagement)" numFmtId="0">
      <sharedItems count="5">
        <s v="Experiments"/>
        <s v="Case Studies"/>
        <s v="Lectures"/>
        <s v="Online Tutorials"/>
        <s v="Group Projects"/>
      </sharedItems>
    </cacheField>
    <cacheField name="Teachers Count - Best Method" numFmtId="0">
      <sharedItems containsSemiMixedTypes="0" containsString="0" containsNumber="1" containsInteger="1" minValue="3" maxValue="3"/>
    </cacheField>
    <cacheField name="Example Teacher - Best Method" numFmtId="0">
      <sharedItems/>
    </cacheField>
  </cacheFields>
  <extLst>
    <ext xmlns:x14="http://schemas.microsoft.com/office/spreadsheetml/2009/9/main" uri="{725AE2AE-9491-48be-B2B4-4EB974FC3084}">
      <x14:pivotCacheDefinition pivotCacheId="12334824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hta Saha" refreshedDate="46217.491581365743" createdVersion="8" refreshedVersion="8" minRefreshableVersion="3" recordCount="15" xr:uid="{064C4577-EE73-4F53-BC80-F95FB6804B0D}">
  <cacheSource type="worksheet">
    <worksheetSource name="Table4"/>
  </cacheSource>
  <cacheFields count="8">
    <cacheField name="Teacher ID" numFmtId="0">
      <sharedItems/>
    </cacheField>
    <cacheField name="Teacher Name" numFmtId="0">
      <sharedItems/>
    </cacheField>
    <cacheField name="Specialization" numFmtId="0">
      <sharedItems/>
    </cacheField>
    <cacheField name="Teaching Method" numFmtId="0">
      <sharedItems count="5">
        <s v="Lectures"/>
        <s v="Experiments"/>
        <s v="Online Tutorials"/>
        <s v="Group Projects"/>
        <s v="Case Studies"/>
      </sharedItems>
    </cacheField>
    <cacheField name="Subject" numFmtId="0">
      <sharedItems/>
    </cacheField>
    <cacheField name="Experience (Years)" numFmtId="0">
      <sharedItems containsSemiMixedTypes="0" containsString="0" containsNumber="1" containsInteger="1" minValue="6" maxValue="15"/>
    </cacheField>
    <cacheField name="Performance Tier" numFmtId="0">
      <sharedItems/>
    </cacheField>
    <cacheField name="Experience Band" numFmtId="0">
      <sharedItems count="3">
        <s v="Senior"/>
        <s v="Mid"/>
        <s v="Junior"/>
      </sharedItems>
    </cacheField>
  </cacheFields>
  <extLst>
    <ext xmlns:x14="http://schemas.microsoft.com/office/spreadsheetml/2009/9/main" uri="{725AE2AE-9491-48be-B2B4-4EB974FC3084}">
      <x14:pivotCacheDefinition pivotCacheId="67217154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hta Saha" refreshedDate="46217.491581365743" createdVersion="8" refreshedVersion="8" minRefreshableVersion="3" recordCount="4" xr:uid="{C02E43F2-7943-4842-BEB9-805A530BCD2A}">
  <cacheSource type="worksheet">
    <worksheetSource name="Table5"/>
  </cacheSource>
  <cacheFields count="3">
    <cacheField name="Metric" numFmtId="0">
      <sharedItems count="4">
        <s v="Engagement"/>
        <s v="Motivation"/>
        <s v="Participation"/>
        <s v="Learning Outcomes"/>
      </sharedItems>
    </cacheField>
    <cacheField name="Gamification Impact (%)" numFmtId="2">
      <sharedItems containsSemiMixedTypes="0" containsString="0" containsNumber="1" minValue="73.63" maxValue="90.32"/>
    </cacheField>
    <cacheField name="Non-Gamification Impact (%)" numFmtId="2">
      <sharedItems containsSemiMixedTypes="0" containsString="0" containsNumber="1" minValue="60.52" maxValue="75.510000000000005"/>
    </cacheField>
  </cacheFields>
  <extLst>
    <ext xmlns:x14="http://schemas.microsoft.com/office/spreadsheetml/2009/9/main" uri="{725AE2AE-9491-48be-B2B4-4EB974FC3084}">
      <x14:pivotCacheDefinition pivotCacheId="18975773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s v="STU0001"/>
    <s v="Garima Sinha"/>
    <x v="0"/>
    <n v="22"/>
    <x v="0"/>
    <n v="4.04"/>
    <n v="3.81"/>
    <n v="4.1500000000000004"/>
    <n v="4.16"/>
    <n v="4.03"/>
    <n v="3.65"/>
    <n v="3.98"/>
    <n v="4.01"/>
    <n v="4.24"/>
    <n v="4.18"/>
    <x v="0"/>
    <n v="4.04"/>
    <n v="4.0120000000000005"/>
    <n v="91.665353280000005"/>
    <n v="64.472586280000002"/>
    <n v="75.446229990000006"/>
    <n v="66.947884400000007"/>
    <n v="80.535501749999995"/>
    <n v="78.052880979999998"/>
    <n v="74.805507469999995"/>
    <n v="54.760030229999998"/>
    <n v="27.192767000000003"/>
    <n v="8.4983455899999996"/>
    <n v="2.4826207699999969"/>
    <n v="20.045477239999997"/>
    <x v="0"/>
    <x v="0"/>
    <x v="0"/>
    <n v="3"/>
    <s v="Prof. Rahul Singh"/>
  </r>
  <r>
    <s v="STU0002"/>
    <s v="Anamika Sinha"/>
    <x v="0"/>
    <n v="29"/>
    <x v="1"/>
    <n v="3.58"/>
    <n v="3.86"/>
    <n v="3.95"/>
    <n v="3.73"/>
    <n v="3.8"/>
    <n v="4.13"/>
    <n v="4.42"/>
    <n v="3.65"/>
    <n v="4.2300000000000004"/>
    <n v="4.33"/>
    <x v="1"/>
    <n v="3.78"/>
    <n v="4.1519999999999992"/>
    <n v="87.654193460000002"/>
    <n v="67.820685659999995"/>
    <n v="77.648152760000002"/>
    <n v="67.762033419999995"/>
    <n v="90.721900270000006"/>
    <n v="73.554424710000006"/>
    <n v="67.865059930000001"/>
    <n v="59.274791329999999"/>
    <n v="19.833507800000007"/>
    <n v="9.8861193400000076"/>
    <n v="17.16747556"/>
    <n v="8.5902686000000017"/>
    <x v="1"/>
    <x v="1"/>
    <x v="1"/>
    <n v="3"/>
    <s v="Dr. Rohan Dutta"/>
  </r>
  <r>
    <s v="STU0003"/>
    <s v="Deveesh Iyer"/>
    <x v="1"/>
    <n v="23"/>
    <x v="2"/>
    <n v="4.17"/>
    <n v="4.58"/>
    <n v="4.3"/>
    <n v="4.24"/>
    <n v="3.86"/>
    <n v="4.28"/>
    <n v="4.04"/>
    <n v="4.1399999999999997"/>
    <n v="3.89"/>
    <n v="4.09"/>
    <x v="2"/>
    <n v="4.2300000000000004"/>
    <n v="4.0880000000000001"/>
    <n v="87.049486520000002"/>
    <n v="73.833676740000001"/>
    <n v="75.678608949999997"/>
    <n v="68.029196159999998"/>
    <n v="94.535746309999993"/>
    <n v="71.574285459999999"/>
    <n v="67.194050880000006"/>
    <n v="50"/>
    <n v="13.215809780000001"/>
    <n v="7.6494127899999995"/>
    <n v="22.961460849999995"/>
    <n v="17.194050880000006"/>
    <x v="2"/>
    <x v="2"/>
    <x v="2"/>
    <n v="3"/>
    <s v="Prof. Rajesh Mukherjee"/>
  </r>
  <r>
    <s v="STU0004"/>
    <s v="Aditya Chatterjee"/>
    <x v="1"/>
    <n v="26"/>
    <x v="3"/>
    <n v="3.48"/>
    <n v="3.86"/>
    <n v="3.58"/>
    <n v="3.62"/>
    <n v="3.61"/>
    <n v="3.82"/>
    <n v="4.2699999999999996"/>
    <n v="4.12"/>
    <n v="4.0199999999999996"/>
    <n v="4.18"/>
    <x v="3"/>
    <n v="3.63"/>
    <n v="4.0819999999999999"/>
    <n v="85.713902700000006"/>
    <n v="70.380426999999997"/>
    <n v="76.472089890000007"/>
    <n v="60.393160709999997"/>
    <n v="93.241402170000001"/>
    <n v="75.730622420000003"/>
    <n v="76.560149409999994"/>
    <n v="64.492761169999994"/>
    <n v="15.333475700000008"/>
    <n v="16.07892918000001"/>
    <n v="17.510779749999998"/>
    <n v="12.06738824"/>
    <x v="1"/>
    <x v="2"/>
    <x v="1"/>
    <n v="3"/>
    <s v="Prof. Rajesh Mukherjee"/>
  </r>
  <r>
    <s v="STU0005"/>
    <s v="Jatin Nair"/>
    <x v="1"/>
    <n v="25"/>
    <x v="2"/>
    <n v="3.79"/>
    <n v="4.29"/>
    <n v="4.1500000000000004"/>
    <n v="3.89"/>
    <n v="3.76"/>
    <n v="4.43"/>
    <n v="3.91"/>
    <n v="3.59"/>
    <n v="4.46"/>
    <n v="4.25"/>
    <x v="4"/>
    <n v="3.98"/>
    <n v="4.1280000000000001"/>
    <n v="93.12175637"/>
    <n v="68.620500980000003"/>
    <n v="77.653629089999995"/>
    <n v="66.811238650000007"/>
    <n v="90.971236309999995"/>
    <n v="79.839091310000001"/>
    <n v="74.383354449999999"/>
    <n v="65.949048860000005"/>
    <n v="24.501255389999997"/>
    <n v="10.842390439999988"/>
    <n v="11.132144999999994"/>
    <n v="8.4343055899999939"/>
    <x v="0"/>
    <x v="2"/>
    <x v="0"/>
    <n v="3"/>
    <s v="Prof. Rajesh Mukherjee"/>
  </r>
  <r>
    <s v="STU0006"/>
    <s v="Alka Rathi"/>
    <x v="0"/>
    <n v="20"/>
    <x v="0"/>
    <n v="4.21"/>
    <n v="4.32"/>
    <n v="4.51"/>
    <n v="4.0199999999999996"/>
    <n v="3.59"/>
    <n v="3.88"/>
    <n v="4.3499999999999996"/>
    <n v="3.59"/>
    <n v="4.0599999999999996"/>
    <n v="4.13"/>
    <x v="5"/>
    <n v="4.13"/>
    <n v="4.0019999999999998"/>
    <n v="91.202608589999997"/>
    <n v="77.368115180000004"/>
    <n v="70"/>
    <n v="65.027168689999996"/>
    <n v="93.457185719999998"/>
    <n v="83.671175930000004"/>
    <n v="77.504628969999999"/>
    <n v="50"/>
    <n v="13.834493409999993"/>
    <n v="4.9728313100000037"/>
    <n v="9.7860097899999943"/>
    <n v="27.504628969999999"/>
    <x v="0"/>
    <x v="1"/>
    <x v="1"/>
    <n v="3"/>
    <s v="Dr. Rohan Dutta"/>
  </r>
  <r>
    <s v="STU0007"/>
    <s v="Vippul Anand"/>
    <x v="1"/>
    <n v="20"/>
    <x v="0"/>
    <n v="4.03"/>
    <n v="4.2699999999999996"/>
    <n v="4.66"/>
    <n v="3.82"/>
    <n v="3.87"/>
    <n v="4.4800000000000004"/>
    <n v="3.49"/>
    <n v="4.4800000000000004"/>
    <n v="3.81"/>
    <n v="4.1100000000000003"/>
    <x v="5"/>
    <n v="4.13"/>
    <n v="4.0739999999999998"/>
    <n v="78.806084679999998"/>
    <n v="65.087842980000005"/>
    <n v="74.683539510000003"/>
    <n v="60.436103039999999"/>
    <n v="94.145564179999994"/>
    <n v="71.491548039999998"/>
    <n v="67.209314149999997"/>
    <n v="52.915449979999998"/>
    <n v="13.718241699999993"/>
    <n v="14.247436470000004"/>
    <n v="22.654016139999996"/>
    <n v="14.293864169999999"/>
    <x v="0"/>
    <x v="1"/>
    <x v="2"/>
    <n v="3"/>
    <s v="Dr. Rohan Dutta"/>
  </r>
  <r>
    <s v="STU0008"/>
    <s v="Sanjay Lall"/>
    <x v="1"/>
    <n v="27"/>
    <x v="3"/>
    <n v="4.0199999999999996"/>
    <n v="4.47"/>
    <n v="4.3099999999999996"/>
    <n v="3.86"/>
    <n v="4.26"/>
    <n v="5.14"/>
    <n v="3.91"/>
    <n v="4.04"/>
    <n v="4.2"/>
    <n v="4.09"/>
    <x v="6"/>
    <n v="4.18"/>
    <n v="4.2759999999999998"/>
    <n v="80.045044959999998"/>
    <n v="60"/>
    <n v="81.150110040000001"/>
    <n v="75"/>
    <n v="80"/>
    <n v="74.297456819999994"/>
    <n v="72.593604130000003"/>
    <n v="57.801526729999999"/>
    <n v="20.045044959999998"/>
    <n v="6.1501100400000013"/>
    <n v="5.7025431800000064"/>
    <n v="14.792077400000004"/>
    <x v="0"/>
    <x v="2"/>
    <x v="2"/>
    <n v="3"/>
    <s v="Prof. Rajesh Mukherjee"/>
  </r>
  <r>
    <s v="STU0009"/>
    <s v="Shweta Iyengar"/>
    <x v="0"/>
    <n v="30"/>
    <x v="1"/>
    <n v="3.79"/>
    <n v="3.87"/>
    <n v="3.75"/>
    <n v="3.85"/>
    <n v="4.05"/>
    <n v="4.46"/>
    <n v="4.5"/>
    <n v="3.88"/>
    <n v="4.55"/>
    <n v="4.49"/>
    <x v="7"/>
    <n v="3.86"/>
    <n v="4.3760000000000003"/>
    <n v="84.226793729999997"/>
    <n v="69.953556890000002"/>
    <n v="70"/>
    <n v="63.358897419999998"/>
    <n v="88.499793220000001"/>
    <n v="79.561852569999999"/>
    <n v="69.863281580000006"/>
    <n v="69.679202419999996"/>
    <n v="14.273236839999996"/>
    <n v="6.6411025800000019"/>
    <n v="8.9379406500000016"/>
    <n v="0.18407916000001023"/>
    <x v="1"/>
    <x v="3"/>
    <x v="0"/>
    <n v="3"/>
    <s v="Prof. Kavita Rao"/>
  </r>
  <r>
    <s v="STU0010"/>
    <s v="Dhruv Jain"/>
    <x v="1"/>
    <n v="30"/>
    <x v="1"/>
    <n v="4.3099999999999996"/>
    <n v="4.2699999999999996"/>
    <n v="3.29"/>
    <n v="4.28"/>
    <n v="4.2300000000000004"/>
    <n v="3.87"/>
    <n v="3.85"/>
    <n v="4.05"/>
    <n v="4.5999999999999996"/>
    <n v="3.71"/>
    <x v="8"/>
    <n v="4.08"/>
    <n v="4.016"/>
    <n v="89.602269509999999"/>
    <n v="66.597591859999994"/>
    <n v="77.567887429999999"/>
    <n v="68.086795670000001"/>
    <n v="99.9"/>
    <n v="76.946860009999995"/>
    <n v="70.401646209999996"/>
    <n v="60.821486470000004"/>
    <n v="23.004677650000005"/>
    <n v="9.4810917599999982"/>
    <n v="22.953139990000011"/>
    <n v="9.580159739999992"/>
    <x v="0"/>
    <x v="4"/>
    <x v="0"/>
    <n v="3"/>
    <s v="Prof. Vikram Gupta"/>
  </r>
  <r>
    <s v="STU0011"/>
    <s v="Devika Dasari"/>
    <x v="0"/>
    <n v="27"/>
    <x v="3"/>
    <n v="3.91"/>
    <n v="3.93"/>
    <n v="4.08"/>
    <n v="3.65"/>
    <n v="4.12"/>
    <n v="3.66"/>
    <n v="4.33"/>
    <n v="4.05"/>
    <n v="4.78"/>
    <n v="4.1399999999999997"/>
    <x v="9"/>
    <n v="3.94"/>
    <n v="4.1920000000000002"/>
    <n v="91.396171170000002"/>
    <n v="68.689777309999997"/>
    <n v="70"/>
    <n v="60.844100160000004"/>
    <n v="95.907413899999995"/>
    <n v="79.423690019999995"/>
    <n v="72.160361469999998"/>
    <n v="51.529862919999999"/>
    <n v="22.706393860000006"/>
    <n v="9.1558998399999965"/>
    <n v="16.483723879999999"/>
    <n v="20.630498549999999"/>
    <x v="0"/>
    <x v="3"/>
    <x v="0"/>
    <n v="3"/>
    <s v="Prof. Kavita Rao"/>
  </r>
  <r>
    <s v="STU0012"/>
    <s v="Ishan Kathuria"/>
    <x v="1"/>
    <n v="21"/>
    <x v="0"/>
    <n v="4.66"/>
    <n v="4.28"/>
    <n v="4.18"/>
    <n v="4.01"/>
    <n v="3.93"/>
    <n v="4.0599999999999996"/>
    <n v="4.09"/>
    <n v="3.51"/>
    <n v="4.3"/>
    <n v="4.3099999999999996"/>
    <x v="10"/>
    <n v="4.21"/>
    <n v="4.0539999999999994"/>
    <n v="78.267945229999995"/>
    <n v="79.35764795"/>
    <n v="74.445449670000002"/>
    <n v="73.167360130000006"/>
    <n v="95.395274659999998"/>
    <n v="75.139835730000001"/>
    <n v="73.560245069999993"/>
    <n v="59.764703019999999"/>
    <n v="-1.0897027200000053"/>
    <n v="1.2780895399999963"/>
    <n v="20.255438929999997"/>
    <n v="13.795542049999995"/>
    <x v="2"/>
    <x v="4"/>
    <x v="3"/>
    <n v="3"/>
    <s v="Prof. Vikram Gupta"/>
  </r>
  <r>
    <s v="STU0013"/>
    <s v="Gaurav Pillai"/>
    <x v="1"/>
    <n v="20"/>
    <x v="0"/>
    <n v="3.99"/>
    <n v="4.7"/>
    <n v="3.85"/>
    <n v="4.1500000000000004"/>
    <n v="3.55"/>
    <n v="3.92"/>
    <n v="4.13"/>
    <s v="N/A"/>
    <n v="4.51"/>
    <n v="4.04"/>
    <x v="11"/>
    <n v="4.05"/>
    <n v="4.1500000000000004"/>
    <n v="87.21558417"/>
    <n v="70.434878269999999"/>
    <n v="73.375498250000007"/>
    <n v="69.797155380000007"/>
    <n v="80.246712900000006"/>
    <n v="80.552681649999997"/>
    <n v="68.592786599999997"/>
    <n v="50"/>
    <n v="16.780705900000001"/>
    <n v="3.5783428700000002"/>
    <n v="-0.30596874999999102"/>
    <n v="18.592786599999997"/>
    <x v="0"/>
    <x v="2"/>
    <x v="0"/>
    <n v="3"/>
    <s v="Prof. Rajesh Mukherjee"/>
  </r>
  <r>
    <s v="STU0014"/>
    <s v="Ira Ggrover"/>
    <x v="0"/>
    <n v="26"/>
    <x v="3"/>
    <n v="3.82"/>
    <n v="4.12"/>
    <n v="4.1100000000000003"/>
    <n v="4.08"/>
    <n v="3.65"/>
    <n v="3.91"/>
    <n v="4.55"/>
    <n v="4.07"/>
    <n v="4.16"/>
    <n v="4.09"/>
    <x v="12"/>
    <n v="3.96"/>
    <n v="4.1560000000000006"/>
    <n v="81.453963520000002"/>
    <n v="62.267088459999997"/>
    <n v="82.207744039999994"/>
    <n v="70.302207850000002"/>
    <n v="85.587294139999997"/>
    <n v="84.887672670000001"/>
    <n v="70.837715549999999"/>
    <n v="53.719754000000002"/>
    <n v="19.186875060000006"/>
    <n v="11.905536189999992"/>
    <n v="0.69962146999999675"/>
    <n v="17.117961549999997"/>
    <x v="0"/>
    <x v="2"/>
    <x v="1"/>
    <n v="3"/>
    <s v="Prof. Rajesh Mukherjee"/>
  </r>
  <r>
    <s v="STU0015"/>
    <s v="Karan Dhawan"/>
    <x v="1"/>
    <n v="23"/>
    <x v="2"/>
    <n v="4.26"/>
    <n v="4.1500000000000004"/>
    <n v="3.94"/>
    <n v="3.86"/>
    <n v="4.55"/>
    <n v="4.5999999999999996"/>
    <n v="3.72"/>
    <n v="3.89"/>
    <n v="4.18"/>
    <n v="3.48"/>
    <x v="13"/>
    <n v="4.1500000000000004"/>
    <n v="3.9740000000000002"/>
    <n v="80.564782260000001"/>
    <n v="69.490667639999998"/>
    <n v="78.645091960000002"/>
    <n v="66.10962705"/>
    <n v="99.9"/>
    <n v="77.837270880000005"/>
    <n v="66.016498479999996"/>
    <n v="61.749554009999997"/>
    <n v="11.074114620000003"/>
    <n v="12.535464910000002"/>
    <n v="22.06272912"/>
    <n v="4.2669444699999985"/>
    <x v="0"/>
    <x v="3"/>
    <x v="2"/>
    <n v="3"/>
    <s v="Prof. Kavita Rao"/>
  </r>
  <r>
    <s v="STU0016"/>
    <s v="Sudha Rao"/>
    <x v="0"/>
    <n v="30"/>
    <x v="1"/>
    <s v="N/A"/>
    <n v="4.24"/>
    <n v="3.73"/>
    <n v="4.22"/>
    <n v="3.99"/>
    <n v="3.58"/>
    <n v="4.1900000000000004"/>
    <n v="4.04"/>
    <n v="3.81"/>
    <n v="4.22"/>
    <x v="14"/>
    <n v="4.05"/>
    <n v="3.968"/>
    <n v="95.246557999999993"/>
    <n v="65.319337930000003"/>
    <n v="70"/>
    <n v="68.874663479999995"/>
    <n v="92.0097588"/>
    <n v="77.401859490000007"/>
    <n v="67.648610180000006"/>
    <n v="61.878284430000001"/>
    <n v="29.92722006999999"/>
    <n v="1.1253365200000047"/>
    <n v="14.607899309999993"/>
    <n v="5.7703257500000049"/>
    <x v="0"/>
    <x v="2"/>
    <x v="3"/>
    <n v="3"/>
    <s v="Prof. Rajesh Mukherjee"/>
  </r>
  <r>
    <s v="STU0017"/>
    <s v="Anil Mukherjee"/>
    <x v="1"/>
    <n v="24"/>
    <x v="2"/>
    <n v="4.1900000000000004"/>
    <n v="4.42"/>
    <n v="4.18"/>
    <n v="4.21"/>
    <n v="3.42"/>
    <n v="4.2"/>
    <n v="4.57"/>
    <n v="4.32"/>
    <n v="4.1399999999999997"/>
    <n v="3.94"/>
    <x v="15"/>
    <n v="4.08"/>
    <n v="4.234"/>
    <n v="75"/>
    <n v="68.987092140000001"/>
    <n v="75.584455680000005"/>
    <n v="64.66537744"/>
    <n v="96.335242530000002"/>
    <n v="73.336466610000002"/>
    <n v="72.236646449999995"/>
    <n v="60.115408289999998"/>
    <n v="6.0129078599999985"/>
    <n v="10.919078240000005"/>
    <n v="22.99877592"/>
    <n v="12.121238159999997"/>
    <x v="0"/>
    <x v="2"/>
    <x v="1"/>
    <n v="3"/>
    <s v="Prof. Rajesh Mukherjee"/>
  </r>
  <r>
    <s v="STU0018"/>
    <s v="Renu Kumari"/>
    <x v="0"/>
    <n v="20"/>
    <x v="0"/>
    <n v="4.7699999999999996"/>
    <n v="3.91"/>
    <n v="4.16"/>
    <n v="3.89"/>
    <n v="3.83"/>
    <n v="4.07"/>
    <n v="3.96"/>
    <n v="4.1100000000000003"/>
    <n v="3.38"/>
    <n v="4.6900000000000004"/>
    <x v="16"/>
    <n v="4.1100000000000003"/>
    <n v="4.0419999999999998"/>
    <n v="80.250771259999993"/>
    <n v="75.746034769999994"/>
    <n v="82.716875560000005"/>
    <n v="72.128401539999999"/>
    <n v="85.200885420000006"/>
    <n v="80.113230239999993"/>
    <n v="71.28658978"/>
    <n v="62.62283652"/>
    <n v="4.5047364899999991"/>
    <n v="10.588474020000007"/>
    <n v="5.0876551800000129"/>
    <n v="8.66375326"/>
    <x v="0"/>
    <x v="4"/>
    <x v="3"/>
    <n v="3"/>
    <s v="Prof. Vikram Gupta"/>
  </r>
  <r>
    <s v="STU0019"/>
    <s v="Shailesh Quresshi"/>
    <x v="1"/>
    <n v="21"/>
    <x v="0"/>
    <n v="3.94"/>
    <n v="4.53"/>
    <n v="3.98"/>
    <n v="3.49"/>
    <n v="3.86"/>
    <n v="3.74"/>
    <n v="4.13"/>
    <n v="4.26"/>
    <n v="4.54"/>
    <n v="4.24"/>
    <x v="17"/>
    <n v="3.96"/>
    <n v="4.1819999999999995"/>
    <n v="95.091433670000001"/>
    <n v="67.156055350000003"/>
    <n v="74.449300949999994"/>
    <n v="63.150566120000001"/>
    <n v="99.9"/>
    <n v="73.898048029999998"/>
    <n v="70.937344499999995"/>
    <n v="54.261797700000002"/>
    <n v="27.935378319999998"/>
    <n v="11.298734829999994"/>
    <n v="26.001951970000007"/>
    <n v="16.675546799999992"/>
    <x v="0"/>
    <x v="2"/>
    <x v="0"/>
    <n v="3"/>
    <s v="Prof. Rajesh Mukherjee"/>
  </r>
  <r>
    <s v="STU0020"/>
    <s v="Ishita Malhotra"/>
    <x v="0"/>
    <n v="26"/>
    <x v="3"/>
    <n v="4.45"/>
    <n v="4.2"/>
    <n v="3.42"/>
    <n v="4.04"/>
    <n v="4.5"/>
    <s v="N/A"/>
    <n v="4.2300000000000004"/>
    <n v="4.1500000000000004"/>
    <n v="3.65"/>
    <n v="3.78"/>
    <x v="18"/>
    <n v="4.12"/>
    <n v="3.9525000000000001"/>
    <n v="98.118804010000005"/>
    <n v="67.144920499999998"/>
    <n v="87.167290390000005"/>
    <n v="62.460245520000001"/>
    <n v="84.123701780000005"/>
    <n v="68.975103439999998"/>
    <n v="74.679737070000002"/>
    <n v="62.953719939999999"/>
    <n v="30.973883510000007"/>
    <n v="24.707044870000004"/>
    <n v="15.148598340000007"/>
    <n v="11.726017130000002"/>
    <x v="0"/>
    <x v="3"/>
    <x v="1"/>
    <n v="3"/>
    <s v="Prof. Kavita Rao"/>
  </r>
  <r>
    <s v="STU0021"/>
    <s v="Pritam Bedi"/>
    <x v="1"/>
    <n v="20"/>
    <x v="0"/>
    <n v="4.54"/>
    <n v="4.51"/>
    <n v="4.0599999999999996"/>
    <n v="4.4800000000000004"/>
    <n v="3.81"/>
    <n v="3.82"/>
    <n v="3.71"/>
    <n v="3.85"/>
    <n v="4.25"/>
    <n v="3.96"/>
    <x v="19"/>
    <n v="4.28"/>
    <n v="3.9180000000000001"/>
    <n v="91.229112270000002"/>
    <n v="64.401921680000001"/>
    <n v="83.111886780000006"/>
    <n v="71.098371999999998"/>
    <n v="92.681232570000006"/>
    <n v="76.904634909999999"/>
    <n v="75.124816559999999"/>
    <n v="57.803730459999997"/>
    <n v="26.827190590000001"/>
    <n v="12.013514780000008"/>
    <n v="15.776597660000007"/>
    <n v="17.321086100000002"/>
    <x v="2"/>
    <x v="4"/>
    <x v="0"/>
    <n v="3"/>
    <s v="Prof. Vikram Gupta"/>
  </r>
  <r>
    <s v="STU0022"/>
    <s v="Vipull Kathuria"/>
    <x v="1"/>
    <n v="24"/>
    <x v="2"/>
    <s v="N/A"/>
    <n v="4.22"/>
    <n v="3.83"/>
    <n v="3.77"/>
    <n v="4.7300000000000004"/>
    <n v="3.73"/>
    <n v="4.5"/>
    <n v="4.08"/>
    <n v="3.91"/>
    <n v="3.99"/>
    <x v="20"/>
    <n v="4.1399999999999997"/>
    <n v="4.0419999999999998"/>
    <n v="91.488793630000004"/>
    <n v="67.981841110000005"/>
    <n v="78.171675429999993"/>
    <n v="67.032847250000003"/>
    <n v="87.880431470000005"/>
    <n v="84.05463555"/>
    <n v="74.195987070000001"/>
    <n v="57.84925982"/>
    <n v="23.506952519999999"/>
    <n v="11.13882817999999"/>
    <n v="3.8257959200000045"/>
    <n v="16.346727250000001"/>
    <x v="0"/>
    <x v="3"/>
    <x v="1"/>
    <n v="3"/>
    <s v="Prof. Kavita Rao"/>
  </r>
  <r>
    <s v="STU0023"/>
    <s v="Usha Balan"/>
    <x v="0"/>
    <n v="28"/>
    <x v="3"/>
    <n v="3.88"/>
    <n v="4.04"/>
    <n v="3.98"/>
    <n v="4.1500000000000004"/>
    <n v="4.0599999999999996"/>
    <n v="4.3099999999999996"/>
    <n v="3.68"/>
    <n v="4.2"/>
    <n v="3.75"/>
    <n v="4.92"/>
    <x v="21"/>
    <n v="4.0199999999999996"/>
    <n v="4.1719999999999997"/>
    <n v="84.404177259999997"/>
    <n v="62.822724460000003"/>
    <n v="73.330048149999996"/>
    <n v="64.651730029999996"/>
    <n v="99.255977329999993"/>
    <n v="69.438640079999999"/>
    <n v="71.378401859999997"/>
    <n v="50"/>
    <n v="21.581452799999994"/>
    <n v="8.6783181200000001"/>
    <n v="29.817337249999994"/>
    <n v="21.378401859999997"/>
    <x v="0"/>
    <x v="0"/>
    <x v="3"/>
    <n v="3"/>
    <s v="Prof. Rahul Singh"/>
  </r>
  <r>
    <s v="STU0024"/>
    <s v="Seema Verma"/>
    <x v="0"/>
    <n v="20"/>
    <x v="0"/>
    <n v="3.85"/>
    <n v="3.7"/>
    <n v="4.1900000000000004"/>
    <n v="3.99"/>
    <n v="4.2300000000000004"/>
    <n v="3.88"/>
    <n v="4.46"/>
    <s v="N/A"/>
    <n v="4.2"/>
    <n v="4.2699999999999996"/>
    <x v="22"/>
    <n v="3.99"/>
    <n v="4.2024999999999997"/>
    <n v="85.768657259999998"/>
    <n v="73.651689039999994"/>
    <n v="76.950234440000003"/>
    <n v="69.501881119999993"/>
    <n v="82.095925100000002"/>
    <n v="81.816794290000004"/>
    <n v="66.827223250000003"/>
    <n v="58.502323740000001"/>
    <n v="12.116968220000004"/>
    <n v="7.4483533200000096"/>
    <n v="0.27913080999999806"/>
    <n v="8.3248995100000016"/>
    <x v="0"/>
    <x v="3"/>
    <x v="1"/>
    <n v="3"/>
    <s v="Prof. Kavita Rao"/>
  </r>
  <r>
    <s v="STU0025"/>
    <s v="Neetuu Jain"/>
    <x v="1"/>
    <n v="20"/>
    <x v="0"/>
    <n v="4.18"/>
    <n v="4.4800000000000004"/>
    <n v="4.0199999999999996"/>
    <n v="4.42"/>
    <n v="4.5599999999999996"/>
    <n v="3.7"/>
    <n v="4.33"/>
    <n v="4.2300000000000004"/>
    <n v="4.05"/>
    <n v="4.08"/>
    <x v="23"/>
    <n v="4.33"/>
    <n v="4.0780000000000003"/>
    <n v="85.890560269999995"/>
    <n v="60"/>
    <n v="80.665877519999995"/>
    <n v="73.938607200000007"/>
    <n v="91.269685910000007"/>
    <n v="84.105181090000002"/>
    <n v="78.74034872"/>
    <n v="61.033969290000002"/>
    <n v="25.890560269999995"/>
    <n v="6.7272703199999881"/>
    <n v="7.1645048200000048"/>
    <n v="17.706379429999998"/>
    <x v="2"/>
    <x v="3"/>
    <x v="1"/>
    <n v="3"/>
    <s v="Prof. Kavita Rao"/>
  </r>
  <r>
    <s v="STU0026"/>
    <s v="Tanvi Khosla"/>
    <x v="0"/>
    <n v="30"/>
    <x v="1"/>
    <n v="4.2300000000000004"/>
    <n v="4.34"/>
    <n v="3.94"/>
    <n v="3.66"/>
    <n v="4.6399999999999997"/>
    <n v="4.55"/>
    <n v="3.98"/>
    <n v="3.88"/>
    <n v="4.3499999999999996"/>
    <n v="4.12"/>
    <x v="24"/>
    <n v="4.16"/>
    <n v="4.1760000000000002"/>
    <n v="78.016351999999998"/>
    <n v="63.744302220000002"/>
    <n v="70.803684070000003"/>
    <n v="59.628201850000004"/>
    <n v="81.564761469999993"/>
    <n v="84.558017879999994"/>
    <n v="75.848272159999993"/>
    <n v="55.060473999999999"/>
    <n v="14.272049779999996"/>
    <n v="11.175482219999999"/>
    <n v="-2.9932564100000008"/>
    <n v="20.787798159999994"/>
    <x v="0"/>
    <x v="3"/>
    <x v="2"/>
    <n v="3"/>
    <s v="Prof. Kavita Rao"/>
  </r>
  <r>
    <s v="STU0027"/>
    <s v="Saurabh Kaur"/>
    <x v="1"/>
    <n v="28"/>
    <x v="3"/>
    <n v="3.97"/>
    <n v="4.09"/>
    <n v="3.56"/>
    <n v="4.6100000000000003"/>
    <n v="4.1399999999999997"/>
    <n v="4.03"/>
    <n v="3.75"/>
    <n v="4.43"/>
    <n v="3.9"/>
    <n v="3.79"/>
    <x v="25"/>
    <n v="4.07"/>
    <n v="3.9799999999999995"/>
    <n v="80.531329229999997"/>
    <n v="69.548489349999997"/>
    <n v="77.2793736"/>
    <n v="66.641511350000002"/>
    <n v="80"/>
    <n v="79.635200879999999"/>
    <n v="73.282151780000007"/>
    <n v="53.409700749999999"/>
    <n v="10.98283988"/>
    <n v="10.637862249999998"/>
    <n v="0.3647991200000007"/>
    <n v="19.872451030000008"/>
    <x v="0"/>
    <x v="0"/>
    <x v="4"/>
    <n v="3"/>
    <s v="Prof. Rahul Singh"/>
  </r>
  <r>
    <s v="STU0028"/>
    <s v="Ramesh Chadha"/>
    <x v="1"/>
    <n v="30"/>
    <x v="1"/>
    <n v="4.58"/>
    <n v="3.96"/>
    <n v="4.26"/>
    <n v="3.94"/>
    <n v="4.3499999999999996"/>
    <n v="4.54"/>
    <n v="4.2"/>
    <n v="4.3499999999999996"/>
    <n v="4.3600000000000003"/>
    <n v="4.71"/>
    <x v="26"/>
    <n v="4.22"/>
    <n v="4.4320000000000004"/>
    <n v="86.069954929999994"/>
    <n v="73.541631539999997"/>
    <n v="70.436095390000006"/>
    <n v="66.054767850000005"/>
    <n v="98.806944029999997"/>
    <n v="83.058811599999999"/>
    <n v="66.315981010000002"/>
    <n v="62.650614400000002"/>
    <n v="12.528323389999997"/>
    <n v="4.3813275400000009"/>
    <n v="15.748132429999998"/>
    <n v="3.6653666099999995"/>
    <x v="2"/>
    <x v="4"/>
    <x v="3"/>
    <n v="3"/>
    <s v="Prof. Vikram Gupta"/>
  </r>
  <r>
    <s v="STU0029"/>
    <s v="Krishna Mukherjee"/>
    <x v="1"/>
    <n v="23"/>
    <x v="2"/>
    <n v="3.99"/>
    <n v="4.6100000000000003"/>
    <s v="N/A"/>
    <n v="4.46"/>
    <s v="N/A"/>
    <n v="3.87"/>
    <n v="4.1900000000000004"/>
    <n v="3.73"/>
    <n v="3.86"/>
    <n v="4.59"/>
    <x v="27"/>
    <n v="4.3499999999999996"/>
    <n v="4.048"/>
    <n v="77.830275709999995"/>
    <n v="75.687532570000002"/>
    <n v="78.576517749999994"/>
    <n v="72.397237590000003"/>
    <n v="92.180650630000002"/>
    <n v="76.075625180000003"/>
    <n v="73.901631230000007"/>
    <n v="66.156974829999996"/>
    <n v="2.1427431399999932"/>
    <n v="6.1792801599999905"/>
    <n v="16.105025449999999"/>
    <n v="7.7446564000000109"/>
    <x v="2"/>
    <x v="2"/>
    <x v="3"/>
    <n v="3"/>
    <s v="Prof. Rajesh Mukherjee"/>
  </r>
  <r>
    <s v="STU0030"/>
    <s v="Anupama Sahani"/>
    <x v="0"/>
    <n v="20"/>
    <x v="0"/>
    <n v="4.26"/>
    <n v="4.08"/>
    <n v="3.75"/>
    <n v="4.6100000000000003"/>
    <n v="4.3"/>
    <n v="4"/>
    <n v="3.85"/>
    <n v="3.8"/>
    <n v="4.4400000000000004"/>
    <n v="4"/>
    <x v="28"/>
    <n v="4.2"/>
    <n v="4.0179999999999998"/>
    <n v="75"/>
    <n v="73.415563950000006"/>
    <n v="84.114769120000005"/>
    <n v="67.515852350000003"/>
    <n v="89.666777030000006"/>
    <n v="77.50044905"/>
    <n v="70.095182070000007"/>
    <n v="53.497259390000004"/>
    <n v="1.5844360499999937"/>
    <n v="16.598916770000002"/>
    <n v="12.166327980000005"/>
    <n v="16.597922680000003"/>
    <x v="2"/>
    <x v="0"/>
    <x v="0"/>
    <n v="3"/>
    <s v="Prof. Rahul Singh"/>
  </r>
  <r>
    <s v="STU0031"/>
    <s v="Pooja Tripathi"/>
    <x v="0"/>
    <n v="24"/>
    <x v="2"/>
    <n v="4.2300000000000004"/>
    <n v="3.88"/>
    <n v="3.25"/>
    <n v="3.61"/>
    <n v="4.47"/>
    <n v="4.1500000000000004"/>
    <n v="3.73"/>
    <n v="4.51"/>
    <n v="3.2"/>
    <n v="4.41"/>
    <x v="29"/>
    <n v="3.89"/>
    <n v="4"/>
    <n v="94.822873599999994"/>
    <n v="78.176471000000006"/>
    <n v="76.858711189999994"/>
    <n v="68.459489750000003"/>
    <n v="87.552001369999999"/>
    <n v="78.827724040000007"/>
    <n v="76.138774150000003"/>
    <n v="64.53831701"/>
    <n v="16.646402599999988"/>
    <n v="8.3992214399999909"/>
    <n v="8.7242773299999925"/>
    <n v="11.600457140000003"/>
    <x v="1"/>
    <x v="3"/>
    <x v="4"/>
    <n v="3"/>
    <s v="Prof. Kavita Rao"/>
  </r>
  <r>
    <s v="STU0032"/>
    <s v="Yash Rana"/>
    <x v="1"/>
    <n v="23"/>
    <x v="2"/>
    <n v="4.22"/>
    <n v="3.93"/>
    <n v="4.38"/>
    <n v="4.1399999999999997"/>
    <n v="3.47"/>
    <n v="3.98"/>
    <n v="3.76"/>
    <n v="3.35"/>
    <n v="4.03"/>
    <n v="3.84"/>
    <x v="30"/>
    <n v="4.03"/>
    <n v="3.7920000000000003"/>
    <n v="90.361917039999994"/>
    <n v="64.212671110000002"/>
    <n v="81.375180200000003"/>
    <n v="56.871590179999998"/>
    <n v="91.307878689999995"/>
    <n v="79.879860140000005"/>
    <n v="72.683469130000006"/>
    <n v="50"/>
    <n v="26.149245929999992"/>
    <n v="24.503590020000004"/>
    <n v="11.42801854999999"/>
    <n v="22.683469130000006"/>
    <x v="0"/>
    <x v="1"/>
    <x v="0"/>
    <n v="3"/>
    <s v="Dr. Rohan Dutta"/>
  </r>
  <r>
    <s v="STU0033"/>
    <s v="Diya Narayan"/>
    <x v="0"/>
    <n v="28"/>
    <x v="3"/>
    <n v="4.7300000000000004"/>
    <n v="3.82"/>
    <n v="3.71"/>
    <n v="3.72"/>
    <n v="4.54"/>
    <n v="4.53"/>
    <n v="3.58"/>
    <n v="4.03"/>
    <n v="3.82"/>
    <n v="4.49"/>
    <x v="31"/>
    <n v="4.0999999999999996"/>
    <n v="4.0900000000000007"/>
    <n v="86.028271000000004"/>
    <n v="62.513459599999997"/>
    <n v="73.315255239999999"/>
    <n v="67.23914714"/>
    <n v="87.620922030000003"/>
    <n v="73.734891869999998"/>
    <n v="71.977678010000005"/>
    <n v="55.807803300000003"/>
    <n v="23.514811400000006"/>
    <n v="6.076108099999999"/>
    <n v="13.886030160000004"/>
    <n v="16.169874710000002"/>
    <x v="0"/>
    <x v="4"/>
    <x v="2"/>
    <n v="3"/>
    <s v="Prof. Vikram Gupta"/>
  </r>
  <r>
    <s v="STU0034"/>
    <s v="Saurabh Chopra"/>
    <x v="1"/>
    <n v="20"/>
    <x v="0"/>
    <n v="4.22"/>
    <n v="4.49"/>
    <n v="3.66"/>
    <n v="4.42"/>
    <n v="4.24"/>
    <n v="4.42"/>
    <n v="3.55"/>
    <n v="4.3899999999999997"/>
    <n v="3.98"/>
    <n v="4.26"/>
    <x v="32"/>
    <n v="4.21"/>
    <n v="4.12"/>
    <n v="86.904041800000002"/>
    <n v="65.280095900000006"/>
    <n v="83.772282230000002"/>
    <n v="71.515390679999996"/>
    <n v="80.939950670000002"/>
    <n v="77.022811939999997"/>
    <n v="69.866920809999996"/>
    <n v="54.11724925"/>
    <n v="21.623945899999995"/>
    <n v="12.256891550000006"/>
    <n v="3.9171387300000049"/>
    <n v="15.749671559999996"/>
    <x v="2"/>
    <x v="2"/>
    <x v="2"/>
    <n v="3"/>
    <s v="Prof. Rajesh Mukherjee"/>
  </r>
  <r>
    <s v="STU0035"/>
    <s v="Mukesh Kukreja"/>
    <x v="1"/>
    <n v="21"/>
    <x v="0"/>
    <n v="3.71"/>
    <n v="4.13"/>
    <n v="4.13"/>
    <n v="4.4000000000000004"/>
    <n v="4.51"/>
    <n v="3.72"/>
    <n v="4.12"/>
    <n v="4.17"/>
    <n v="3.6"/>
    <n v="4.01"/>
    <x v="33"/>
    <n v="4.18"/>
    <n v="3.9239999999999995"/>
    <n v="86.081716249999999"/>
    <n v="69.868300840000003"/>
    <n v="79.433423570000002"/>
    <n v="71.062247310000004"/>
    <n v="83.676283060000003"/>
    <n v="74.725147609999993"/>
    <n v="73.418354249999993"/>
    <n v="57.569532189999997"/>
    <n v="16.213415409999996"/>
    <n v="8.3711762599999986"/>
    <n v="8.9511354500000095"/>
    <n v="15.848822059999996"/>
    <x v="0"/>
    <x v="3"/>
    <x v="4"/>
    <n v="3"/>
    <s v="Prof. Kavita Rao"/>
  </r>
  <r>
    <s v="STU0036"/>
    <s v="Kavya Bansal"/>
    <x v="0"/>
    <n v="30"/>
    <x v="1"/>
    <n v="4.2699999999999996"/>
    <s v="3.56%"/>
    <n v="3.94"/>
    <n v="3.85"/>
    <n v="4.07"/>
    <n v="4.12"/>
    <n v="4.0599999999999996"/>
    <n v="4.41"/>
    <n v="4.12"/>
    <n v="3.95"/>
    <x v="34"/>
    <n v="4.03"/>
    <n v="4.1319999999999997"/>
    <n v="78.528705560000006"/>
    <n v="68.237020029999996"/>
    <n v="82.225165059999995"/>
    <n v="67.456678519999997"/>
    <n v="96.678157560000002"/>
    <n v="74.040904710000007"/>
    <n v="71.25295362"/>
    <n v="58.83731229"/>
    <n v="10.291685530000009"/>
    <n v="14.768486539999998"/>
    <n v="22.637252849999996"/>
    <n v="12.41564133"/>
    <x v="0"/>
    <x v="4"/>
    <x v="4"/>
    <n v="3"/>
    <s v="Prof. Vikram Gupta"/>
  </r>
  <r>
    <s v="STU0037"/>
    <s v="Advik Tyagi"/>
    <x v="1"/>
    <n v="25"/>
    <x v="2"/>
    <n v="3.99"/>
    <n v="3.74"/>
    <n v="3.9"/>
    <n v="4.16"/>
    <n v="3.79"/>
    <n v="3.43"/>
    <n v="4.4800000000000004"/>
    <n v="3.54"/>
    <n v="4.09"/>
    <n v="3.83"/>
    <x v="35"/>
    <n v="3.92"/>
    <n v="3.8739999999999997"/>
    <n v="87.852590890000002"/>
    <n v="71.484289430000004"/>
    <n v="79.510799039999995"/>
    <n v="63.737842430000001"/>
    <n v="87.059123009999993"/>
    <n v="67.632326950000007"/>
    <n v="71.282053700000006"/>
    <n v="70"/>
    <n v="16.368301459999998"/>
    <n v="15.772956609999994"/>
    <n v="19.426796059999987"/>
    <n v="1.2820537000000058"/>
    <x v="0"/>
    <x v="0"/>
    <x v="1"/>
    <n v="3"/>
    <s v="Prof. Rahul Singh"/>
  </r>
  <r>
    <s v="STU0038"/>
    <s v="Sunita Sethi"/>
    <x v="0"/>
    <n v="24"/>
    <x v="2"/>
    <n v="4.28"/>
    <n v="4.13"/>
    <n v="4.25"/>
    <n v="3.76"/>
    <n v="4.2"/>
    <n v="3.6"/>
    <n v="4.4800000000000004"/>
    <n v="4.0199999999999996"/>
    <n v="4.6900000000000004"/>
    <n v="3.84"/>
    <x v="36"/>
    <n v="4.12"/>
    <n v="4.1259999999999994"/>
    <n v="86.524516890000001"/>
    <n v="61.020121099999997"/>
    <n v="70"/>
    <n v="74.282686389999995"/>
    <n v="87.878844150000006"/>
    <n v="74.149972570000003"/>
    <n v="68.332400449999994"/>
    <n v="55.99698137"/>
    <n v="25.504395790000004"/>
    <n v="-4.282686389999995"/>
    <n v="13.728871580000003"/>
    <n v="12.335419079999994"/>
    <x v="0"/>
    <x v="4"/>
    <x v="0"/>
    <n v="3"/>
    <s v="Prof. Vikram Gupta"/>
  </r>
  <r>
    <s v="STU0039"/>
    <s v="Charul Dasari"/>
    <x v="0"/>
    <n v="22"/>
    <x v="0"/>
    <n v="3.43"/>
    <n v="4.3600000000000003"/>
    <n v="3.87"/>
    <n v="4.1100000000000003"/>
    <n v="4.28"/>
    <n v="3.78"/>
    <n v="4.0599999999999996"/>
    <n v="3.44"/>
    <n v="3.96"/>
    <n v="4.5999999999999996"/>
    <x v="37"/>
    <n v="4.01"/>
    <n v="3.9679999999999991"/>
    <n v="99.9"/>
    <n v="62.542192960000001"/>
    <n v="84.37815028"/>
    <n v="75"/>
    <n v="89.667792840000004"/>
    <n v="77.486759070000005"/>
    <n v="74.178111119999997"/>
    <n v="62.470672100000002"/>
    <n v="37.357807040000004"/>
    <n v="9.3781502799999998"/>
    <n v="12.181033769999999"/>
    <n v="11.707439019999995"/>
    <x v="0"/>
    <x v="2"/>
    <x v="3"/>
    <n v="3"/>
    <s v="Prof. Rajesh Mukherjee"/>
  </r>
  <r>
    <s v="STU0040"/>
    <s v="Ashok Kathuria"/>
    <x v="1"/>
    <n v="27"/>
    <x v="3"/>
    <n v="4.03"/>
    <n v="4.18"/>
    <n v="3.99"/>
    <n v="4.3"/>
    <n v="3.88"/>
    <n v="4.41"/>
    <n v="4.2"/>
    <n v="4.2300000000000004"/>
    <n v="3.88"/>
    <n v="3.58"/>
    <x v="8"/>
    <n v="4.08"/>
    <n v="4.0599999999999996"/>
    <n v="87.065629380000004"/>
    <n v="74.430480700000004"/>
    <n v="73.820604680000002"/>
    <n v="64.461986749999994"/>
    <n v="99.9"/>
    <n v="83.296212130000001"/>
    <n v="72.309090260000005"/>
    <n v="52.408817020000001"/>
    <n v="12.63514868"/>
    <n v="9.3586179300000083"/>
    <n v="16.603787870000005"/>
    <n v="19.900273240000004"/>
    <x v="0"/>
    <x v="0"/>
    <x v="2"/>
    <n v="3"/>
    <s v="Prof. Rahul Singh"/>
  </r>
  <r>
    <s v="STU0041"/>
    <s v="Abhishek Ganguly"/>
    <x v="1"/>
    <n v="25"/>
    <x v="2"/>
    <n v="3.72"/>
    <n v="4.2699999999999996"/>
    <n v="3.86"/>
    <n v="4.16"/>
    <n v="3.44"/>
    <n v="4.38"/>
    <n v="3.62"/>
    <n v="3.8"/>
    <n v="4.3899999999999997"/>
    <n v="3.62"/>
    <x v="38"/>
    <n v="3.89"/>
    <n v="3.9620000000000006"/>
    <n v="86.819791109999997"/>
    <n v="70.773139889999996"/>
    <n v="71.401748519999998"/>
    <n v="62.753369399999997"/>
    <n v="98.326877109999998"/>
    <n v="75.026828640000005"/>
    <n v="66.864579989999996"/>
    <n v="52.060562519999998"/>
    <n v="16.046651220000001"/>
    <n v="8.6483791200000013"/>
    <n v="23.300048469999993"/>
    <n v="14.804017469999998"/>
    <x v="1"/>
    <x v="2"/>
    <x v="0"/>
    <n v="3"/>
    <s v="Prof. Rajesh Mukherjee"/>
  </r>
  <r>
    <s v="STU0042"/>
    <s v="Tanya Walia"/>
    <x v="0"/>
    <n v="25"/>
    <x v="2"/>
    <n v="4.3499999999999996"/>
    <n v="4.0599999999999996"/>
    <n v="4.0599999999999996"/>
    <n v="3.42"/>
    <n v="4.37"/>
    <n v="3.95"/>
    <n v="4.04"/>
    <n v="3.65"/>
    <n v="3.87"/>
    <n v="3.91"/>
    <x v="39"/>
    <n v="4.05"/>
    <n v="3.8840000000000003"/>
    <n v="86.148160649999994"/>
    <n v="64.885632529999995"/>
    <n v="82.370762369999994"/>
    <n v="67.296148610000003"/>
    <n v="88.946745089999993"/>
    <n v="74.990346349999996"/>
    <n v="76.062193339999993"/>
    <n v="50"/>
    <n v="21.262528119999999"/>
    <n v="15.074613759999991"/>
    <n v="13.956398739999997"/>
    <n v="26.062193339999993"/>
    <x v="0"/>
    <x v="3"/>
    <x v="1"/>
    <n v="3"/>
    <s v="Prof. Kavita Rao"/>
  </r>
  <r>
    <s v="STU0043"/>
    <s v="Madhavi Bhargava"/>
    <x v="0"/>
    <n v="28"/>
    <x v="3"/>
    <n v="3.98"/>
    <n v="4.08"/>
    <n v="3.8"/>
    <n v="4.46"/>
    <n v="3.89"/>
    <n v="4.16"/>
    <n v="3.89"/>
    <n v="4.08"/>
    <n v="4"/>
    <n v="4"/>
    <x v="40"/>
    <n v="4.04"/>
    <n v="4.0260000000000007"/>
    <n v="84.039018859999999"/>
    <n v="64.410989060000006"/>
    <n v="76.055999720000003"/>
    <n v="66.309070439999999"/>
    <n v="80"/>
    <n v="80.458758169999996"/>
    <n v="69.538645500000001"/>
    <n v="53.650755109999999"/>
    <n v="19.628029799999993"/>
    <n v="9.7469292800000034"/>
    <n v="-0.45875816999999586"/>
    <n v="15.887890390000003"/>
    <x v="0"/>
    <x v="0"/>
    <x v="2"/>
    <n v="3"/>
    <s v="Prof. Rahul Singh"/>
  </r>
  <r>
    <s v="STU0044"/>
    <s v="Ishaan Sinha"/>
    <x v="1"/>
    <n v="30"/>
    <x v="1"/>
    <n v="4.34"/>
    <s v="N/A"/>
    <n v="4.1900000000000004"/>
    <n v="3.9"/>
    <n v="4.03"/>
    <n v="4.33"/>
    <n v="3.77"/>
    <n v="4.13"/>
    <n v="4.24"/>
    <n v="3.87"/>
    <x v="41"/>
    <n v="4.12"/>
    <n v="4.0679999999999996"/>
    <n v="93.484336099999993"/>
    <n v="71.639472839999996"/>
    <n v="70"/>
    <n v="74.684443999999999"/>
    <n v="87.768307100000001"/>
    <n v="73.930160040000004"/>
    <n v="72.489525810000004"/>
    <n v="58.888346749999997"/>
    <n v="21.844863259999997"/>
    <n v="-4.6844439999999992"/>
    <n v="13.838147059999997"/>
    <n v="13.601179060000007"/>
    <x v="0"/>
    <x v="4"/>
    <x v="2"/>
    <n v="3"/>
    <s v="Prof. Vikram Gupta"/>
  </r>
  <r>
    <s v="STU0045"/>
    <s v="Rudra Tandon"/>
    <x v="1"/>
    <n v="28"/>
    <x v="3"/>
    <n v="4.2300000000000004"/>
    <n v="3.74"/>
    <n v="4.05"/>
    <n v="3.95"/>
    <n v="4.2699999999999996"/>
    <n v="3.98"/>
    <n v="4.78"/>
    <n v="4.3899999999999997"/>
    <s v="N/A"/>
    <n v="4.07"/>
    <x v="11"/>
    <n v="4.05"/>
    <n v="4.3049999999999997"/>
    <n v="87.436674580000002"/>
    <n v="67.814593209999998"/>
    <n v="78.551042640000006"/>
    <n v="60.167187300000002"/>
    <n v="88.196512659999996"/>
    <n v="81.935166080000002"/>
    <n v="72.541781349999994"/>
    <n v="69.989938370000004"/>
    <n v="19.622081370000004"/>
    <n v="18.383855340000004"/>
    <n v="6.2613465799999943"/>
    <n v="2.5518429799999893"/>
    <x v="0"/>
    <x v="3"/>
    <x v="1"/>
    <n v="3"/>
    <s v="Prof. Kavita Rao"/>
  </r>
  <r>
    <s v="STU0046"/>
    <s v="Sanjay Dasgupta"/>
    <x v="1"/>
    <n v="28"/>
    <x v="3"/>
    <n v="4.29"/>
    <n v="3.67"/>
    <n v="4.08"/>
    <n v="4.41"/>
    <n v="4.6399999999999997"/>
    <n v="4.5599999999999996"/>
    <n v="3.81"/>
    <n v="4.0999999999999996"/>
    <n v="3.75"/>
    <n v="4.37"/>
    <x v="42"/>
    <n v="4.22"/>
    <n v="4.1180000000000003"/>
    <n v="80.510269100000002"/>
    <n v="67.732183079999999"/>
    <n v="78.418237020000007"/>
    <n v="59.116166139999997"/>
    <n v="92.778458000000001"/>
    <n v="76.384545579999994"/>
    <n v="70.786566120000003"/>
    <n v="56.92335783"/>
    <n v="12.778086020000003"/>
    <n v="19.302070880000009"/>
    <n v="16.393912420000007"/>
    <n v="13.863208290000003"/>
    <x v="2"/>
    <x v="3"/>
    <x v="2"/>
    <n v="3"/>
    <s v="Prof. Kavita Rao"/>
  </r>
  <r>
    <s v="STU0047"/>
    <s v="Yash Nandakumar"/>
    <x v="1"/>
    <n v="26"/>
    <x v="3"/>
    <n v="4.2"/>
    <n v="4.0199999999999996"/>
    <n v="4.32"/>
    <n v="4.09"/>
    <n v="3.69"/>
    <n v="3.33"/>
    <n v="3.65"/>
    <n v="4.3600000000000003"/>
    <n v="4.49"/>
    <n v="4.28"/>
    <x v="43"/>
    <n v="4.0599999999999996"/>
    <n v="4.0220000000000002"/>
    <n v="81.486248200000006"/>
    <n v="61.726329880000002"/>
    <n v="72.710268720000002"/>
    <n v="69.009967329999995"/>
    <n v="96.183340169999994"/>
    <n v="83.993429019999994"/>
    <n v="65"/>
    <n v="56.827854309999999"/>
    <n v="19.759918320000004"/>
    <n v="3.700301390000007"/>
    <n v="12.18991115"/>
    <n v="8.1721456900000007"/>
    <x v="0"/>
    <x v="1"/>
    <x v="0"/>
    <n v="3"/>
    <s v="Dr. Rohan Dutta"/>
  </r>
  <r>
    <s v="STU0048"/>
    <s v="Sameer Shukla"/>
    <x v="1"/>
    <n v="23"/>
    <x v="2"/>
    <n v="3.96"/>
    <n v="3.79"/>
    <n v="3.82"/>
    <n v="3.52"/>
    <n v="4.17"/>
    <n v="3.65"/>
    <n v="4.43"/>
    <n v="4.1500000000000004"/>
    <s v="N/A"/>
    <n v="3.95"/>
    <x v="44"/>
    <n v="3.85"/>
    <n v="4.0449999999999999"/>
    <n v="91.113290820000003"/>
    <n v="68.983937909999995"/>
    <n v="78.801563950000002"/>
    <n v="62.374892619999997"/>
    <n v="87.847807270000004"/>
    <n v="80.821265049999994"/>
    <n v="78.562931930000005"/>
    <n v="56.262502789999999"/>
    <n v="22.129352910000009"/>
    <n v="16.426671330000005"/>
    <n v="7.0265422200000103"/>
    <n v="22.300429140000006"/>
    <x v="1"/>
    <x v="3"/>
    <x v="1"/>
    <n v="3"/>
    <s v="Prof. Kavita Rao"/>
  </r>
  <r>
    <s v="STU0049"/>
    <s v="Pankaj Kumari"/>
    <x v="1"/>
    <n v="27"/>
    <x v="3"/>
    <n v="4.4000000000000004"/>
    <n v="3.57"/>
    <n v="4.6900000000000004"/>
    <n v="4.55"/>
    <n v="3.65"/>
    <n v="3.6"/>
    <n v="3.96"/>
    <n v="3.72"/>
    <n v="3.97"/>
    <n v="3.22"/>
    <x v="45"/>
    <n v="4.17"/>
    <n v="3.6940000000000004"/>
    <n v="82.054217159999993"/>
    <n v="67.440007420000001"/>
    <n v="81.12432742"/>
    <n v="66.108572480000007"/>
    <n v="87.422110040000007"/>
    <n v="72.453875150000002"/>
    <n v="69.965875740000001"/>
    <n v="66.242100100000002"/>
    <n v="14.614209739999993"/>
    <n v="15.015754939999994"/>
    <n v="14.968234890000005"/>
    <n v="3.7237756399999995"/>
    <x v="0"/>
    <x v="1"/>
    <x v="0"/>
    <n v="3"/>
    <s v="Dr. Rohan Dutta"/>
  </r>
  <r>
    <s v="STU0050"/>
    <s v="Pranav Lall"/>
    <x v="1"/>
    <n v="23"/>
    <x v="2"/>
    <n v="4.1100000000000003"/>
    <n v="3.7"/>
    <n v="4.25"/>
    <n v="3.67"/>
    <n v="3.94"/>
    <n v="4.2699999999999996"/>
    <n v="4.29"/>
    <n v="3.95"/>
    <n v="3.54"/>
    <n v="4.21"/>
    <x v="46"/>
    <n v="3.93"/>
    <n v="4.0519999999999996"/>
    <n v="83.904247420000004"/>
    <n v="70.290253849999999"/>
    <n v="79.483993839999997"/>
    <n v="61.226161390000001"/>
    <n v="88.559779610000007"/>
    <n v="73.872914539999996"/>
    <n v="66.926739100000006"/>
    <n v="62.41410621"/>
    <n v="13.613993570000005"/>
    <n v="18.257832449999995"/>
    <n v="14.68686507000001"/>
    <n v="4.5126328900000061"/>
    <x v="0"/>
    <x v="1"/>
    <x v="1"/>
    <n v="3"/>
    <s v="Dr. Rohan Dutta"/>
  </r>
  <r>
    <s v="STU0051"/>
    <s v="Nareesh Singh"/>
    <x v="1"/>
    <n v="24"/>
    <x v="2"/>
    <n v="3.86"/>
    <n v="4.37"/>
    <n v="3.88"/>
    <n v="4.38"/>
    <n v="3.9"/>
    <n v="4.25"/>
    <n v="3.97"/>
    <n v="4.47"/>
    <n v="4.3499999999999996"/>
    <n v="3.77"/>
    <x v="47"/>
    <n v="4.08"/>
    <n v="4.1619999999999999"/>
    <n v="75.528219660000005"/>
    <n v="65.433492999999999"/>
    <n v="80.448598169999997"/>
    <n v="67.222315649999999"/>
    <n v="97.825954370000005"/>
    <n v="78.924018239999995"/>
    <n v="74.554995149999996"/>
    <n v="63.098733279999998"/>
    <n v="10.094726660000006"/>
    <n v="13.226282519999998"/>
    <n v="18.90193613000001"/>
    <n v="11.456261869999999"/>
    <x v="0"/>
    <x v="0"/>
    <x v="4"/>
    <n v="3"/>
    <s v="Prof. Rahul Singh"/>
  </r>
  <r>
    <s v="STU0052"/>
    <s v="Sunita Bhargav"/>
    <x v="0"/>
    <n v="27"/>
    <x v="3"/>
    <n v="4.49"/>
    <n v="4.3099999999999996"/>
    <n v="3.51"/>
    <n v="4.09"/>
    <n v="3.88"/>
    <n v="3.62"/>
    <n v="3.48"/>
    <n v="4.08"/>
    <n v="4.24"/>
    <n v="4.18"/>
    <x v="48"/>
    <n v="4.0599999999999996"/>
    <n v="3.9200000000000004"/>
    <n v="82.152879690000006"/>
    <n v="66.241278660000006"/>
    <n v="70"/>
    <n v="73.364003569999994"/>
    <n v="91.468118419999996"/>
    <n v="76.60530799"/>
    <n v="72.715040939999994"/>
    <n v="62.583030970000003"/>
    <n v="15.91160103"/>
    <n v="-3.3640035699999942"/>
    <n v="14.862810429999996"/>
    <n v="10.132009969999991"/>
    <x v="0"/>
    <x v="4"/>
    <x v="0"/>
    <n v="3"/>
    <s v="Prof. Vikram Gupta"/>
  </r>
  <r>
    <s v="STU0053"/>
    <s v="Sameer Goswami"/>
    <x v="1"/>
    <n v="22"/>
    <x v="0"/>
    <n v="3.89"/>
    <n v="3.79"/>
    <n v="3.77"/>
    <n v="3.95"/>
    <n v="4.45"/>
    <n v="4.04"/>
    <n v="3.84"/>
    <n v="4.33"/>
    <n v="3.97"/>
    <n v="4.2699999999999996"/>
    <x v="49"/>
    <n v="3.97"/>
    <n v="4.09"/>
    <n v="85.498718940000003"/>
    <n v="60"/>
    <n v="70"/>
    <n v="60.334076039999999"/>
    <n v="87.590461910000002"/>
    <n v="85"/>
    <n v="70.686306110000004"/>
    <n v="54.414958310000003"/>
    <n v="25.498718940000003"/>
    <n v="9.6659239600000006"/>
    <n v="2.5904619100000019"/>
    <n v="16.271347800000001"/>
    <x v="0"/>
    <x v="3"/>
    <x v="4"/>
    <n v="3"/>
    <s v="Prof. Kavita Rao"/>
  </r>
  <r>
    <s v="STU0054"/>
    <s v="Rajeev Malhotra"/>
    <x v="1"/>
    <n v="27"/>
    <x v="3"/>
    <n v="4.34"/>
    <n v="4.32"/>
    <n v="4.07"/>
    <n v="3.85"/>
    <n v="4.13"/>
    <n v="4.41"/>
    <n v="3.91"/>
    <n v="3.18"/>
    <n v="3.79"/>
    <n v="4.01"/>
    <x v="50"/>
    <n v="4.1399999999999997"/>
    <n v="3.8599999999999994"/>
    <n v="77.998938100000004"/>
    <n v="72.784214719999994"/>
    <n v="70"/>
    <n v="68.66334698"/>
    <n v="90.970167480000001"/>
    <n v="76.932413359999998"/>
    <n v="69.228959399999994"/>
    <n v="57.362748250000003"/>
    <n v="5.2147233800000095"/>
    <n v="1.33665302"/>
    <n v="14.037754120000002"/>
    <n v="11.866211149999991"/>
    <x v="0"/>
    <x v="4"/>
    <x v="2"/>
    <n v="3"/>
    <s v="Prof. Vikram Gupta"/>
  </r>
  <r>
    <s v="STU0055"/>
    <s v="Tushar Tyagi"/>
    <x v="1"/>
    <n v="29"/>
    <x v="1"/>
    <n v="3.96"/>
    <n v="4.34"/>
    <n v="3.89"/>
    <n v="4.53"/>
    <n v="4.12"/>
    <n v="4.12"/>
    <n v="4.3"/>
    <n v="4.1399999999999997"/>
    <n v="4.4800000000000004"/>
    <n v="3.89"/>
    <x v="51"/>
    <n v="4.17"/>
    <n v="4.1859999999999999"/>
    <n v="84.963885149999996"/>
    <n v="65.080778640000005"/>
    <n v="82.128057609999999"/>
    <n v="74.491400339999998"/>
    <n v="83.801138230000007"/>
    <n v="77.477000959999998"/>
    <n v="69.607568200000003"/>
    <n v="58.296394300000003"/>
    <n v="19.88310650999999"/>
    <n v="7.6366572700000006"/>
    <n v="6.3241372700000085"/>
    <n v="11.3111739"/>
    <x v="0"/>
    <x v="0"/>
    <x v="0"/>
    <n v="3"/>
    <s v="Prof. Rahul Singh"/>
  </r>
  <r>
    <s v="STU0056"/>
    <s v="Girish Shukla"/>
    <x v="1"/>
    <n v="30"/>
    <x v="1"/>
    <n v="4.34"/>
    <n v="3.75"/>
    <n v="3.71"/>
    <n v="4.12"/>
    <n v="4.09"/>
    <n v="4.1500000000000004"/>
    <n v="4.3899999999999997"/>
    <n v="3.92"/>
    <n v="4.1900000000000004"/>
    <n v="3.76"/>
    <x v="52"/>
    <n v="4"/>
    <n v="4.081999999999999"/>
    <n v="88.756395359999999"/>
    <n v="68.753352500000005"/>
    <n v="71.29835362"/>
    <n v="59.557335109999997"/>
    <n v="87.734711610000005"/>
    <n v="75.773467839999995"/>
    <n v="71.013021910000006"/>
    <n v="50.724176970000002"/>
    <n v="20.003042859999994"/>
    <n v="11.741018510000004"/>
    <n v="11.96124377000001"/>
    <n v="20.288844940000004"/>
    <x v="0"/>
    <x v="4"/>
    <x v="1"/>
    <n v="3"/>
    <s v="Prof. Vikram Gupta"/>
  </r>
  <r>
    <s v="STU0057"/>
    <s v="Suresh Agrawal"/>
    <x v="1"/>
    <n v="24"/>
    <x v="2"/>
    <n v="4.3899999999999997"/>
    <n v="4.53"/>
    <n v="4.18"/>
    <n v="4.01"/>
    <n v="4.05"/>
    <n v="4.46"/>
    <n v="3.68"/>
    <n v="4.2699999999999996"/>
    <n v="3.64"/>
    <n v="3.68"/>
    <x v="53"/>
    <n v="4.2300000000000004"/>
    <n v="3.9460000000000002"/>
    <n v="84.420705620000007"/>
    <n v="64.832089310000001"/>
    <n v="74.765103730000007"/>
    <n v="62.860506489999999"/>
    <n v="91.428688399999999"/>
    <n v="81.518074010000007"/>
    <n v="65"/>
    <n v="56.847077749999997"/>
    <n v="19.588616310000006"/>
    <n v="11.904597240000008"/>
    <n v="9.9106143899999921"/>
    <n v="8.1529222500000031"/>
    <x v="2"/>
    <x v="2"/>
    <x v="2"/>
    <n v="3"/>
    <s v="Prof. Rajesh Mukherjee"/>
  </r>
  <r>
    <s v="STU0058"/>
    <s v="Tanya Puri"/>
    <x v="0"/>
    <n v="27"/>
    <x v="3"/>
    <n v="4.28"/>
    <n v="3.9"/>
    <n v="3.76"/>
    <n v="3.87"/>
    <n v="3.95"/>
    <n v="4"/>
    <n v="4.1900000000000004"/>
    <n v="4.01"/>
    <n v="4.09"/>
    <n v="3.6"/>
    <x v="54"/>
    <n v="3.95"/>
    <n v="3.9780000000000002"/>
    <n v="88.180918430000006"/>
    <n v="70.899862690000006"/>
    <n v="76.905058870000005"/>
    <n v="67.81233297"/>
    <n v="94.459757100000004"/>
    <n v="79.208640040000006"/>
    <n v="71.156047700000002"/>
    <n v="53.613749400000003"/>
    <n v="17.281055739999999"/>
    <n v="9.0927259000000049"/>
    <n v="15.251117059999999"/>
    <n v="17.542298299999999"/>
    <x v="0"/>
    <x v="4"/>
    <x v="1"/>
    <n v="3"/>
    <s v="Prof. Vikram Gupta"/>
  </r>
  <r>
    <s v="STU0059"/>
    <s v="Shailesh Chatterjee"/>
    <x v="1"/>
    <n v="24"/>
    <x v="2"/>
    <n v="4.16"/>
    <n v="4.21"/>
    <s v="N/A"/>
    <s v="N/A"/>
    <n v="3.64"/>
    <n v="4.18"/>
    <n v="3.99"/>
    <n v="4.2699999999999996"/>
    <n v="3.92"/>
    <n v="3.57"/>
    <x v="55"/>
    <n v="4"/>
    <n v="3.9859999999999998"/>
    <n v="93.914913560000002"/>
    <n v="74.920639140000006"/>
    <n v="85.018022430000002"/>
    <n v="58.364017169999997"/>
    <n v="90.459137569999996"/>
    <n v="74.571905810000004"/>
    <n v="70.773818660000003"/>
    <n v="60.229879740000001"/>
    <n v="18.994274419999996"/>
    <n v="26.654005260000005"/>
    <n v="15.887231759999992"/>
    <n v="10.543938920000002"/>
    <x v="0"/>
    <x v="2"/>
    <x v="4"/>
    <n v="3"/>
    <s v="Prof. Rajesh Mukherjee"/>
  </r>
  <r>
    <s v="STU0060"/>
    <s v="Zara Kumar"/>
    <x v="0"/>
    <n v="24"/>
    <x v="2"/>
    <n v="3.77"/>
    <n v="3.38"/>
    <n v="4.16"/>
    <n v="3.61"/>
    <n v="3.66"/>
    <n v="3.42"/>
    <n v="3.69"/>
    <n v="4.2300000000000004"/>
    <n v="3.63"/>
    <n v="3.49"/>
    <x v="56"/>
    <n v="3.72"/>
    <n v="3.6920000000000002"/>
    <n v="92.891452020000003"/>
    <n v="65.308723060000005"/>
    <n v="80.390400369999995"/>
    <n v="56.306195600000002"/>
    <n v="91.784682750000002"/>
    <n v="79.468379409999997"/>
    <n v="78.111419900000001"/>
    <n v="50"/>
    <n v="27.582728959999997"/>
    <n v="24.084204769999992"/>
    <n v="12.316303340000005"/>
    <n v="28.111419900000001"/>
    <x v="1"/>
    <x v="1"/>
    <x v="4"/>
    <n v="3"/>
    <s v="Dr. Rohan Dutta"/>
  </r>
  <r>
    <s v="STU0061"/>
    <s v="Aditi Kumar"/>
    <x v="0"/>
    <n v="28"/>
    <x v="3"/>
    <n v="4.58"/>
    <n v="4.26"/>
    <n v="3.56"/>
    <n v="3.71"/>
    <n v="4.3499999999999996"/>
    <n v="3.89"/>
    <n v="3.78"/>
    <n v="4.0999999999999996"/>
    <n v="3.84"/>
    <s v="N/A"/>
    <x v="57"/>
    <n v="4.09"/>
    <n v="3.9024999999999999"/>
    <n v="94.97159954"/>
    <n v="62.645941350000001"/>
    <n v="70.831173370000002"/>
    <n v="60.341314969999999"/>
    <n v="91.749324729999998"/>
    <n v="67.882877879999995"/>
    <n v="74.355155980000006"/>
    <n v="64.023091359999995"/>
    <n v="32.325658189999999"/>
    <n v="10.489858400000003"/>
    <n v="23.866446850000003"/>
    <n v="10.332064620000011"/>
    <x v="0"/>
    <x v="4"/>
    <x v="4"/>
    <n v="3"/>
    <s v="Prof. Vikram Gupta"/>
  </r>
  <r>
    <s v="STU0062"/>
    <s v="Renu Ahmed"/>
    <x v="0"/>
    <n v="27"/>
    <x v="3"/>
    <n v="3.65"/>
    <n v="4.21"/>
    <n v="4.45"/>
    <n v="3.72"/>
    <n v="3.99"/>
    <n v="4.01"/>
    <n v="4.1100000000000003"/>
    <n v="4.53"/>
    <n v="4.32"/>
    <n v="3.72"/>
    <x v="58"/>
    <n v="4"/>
    <n v="4.1379999999999999"/>
    <n v="78.997678219999997"/>
    <n v="60.891462490000002"/>
    <n v="82.253444689999995"/>
    <n v="69.533885499999997"/>
    <n v="90.632492450000001"/>
    <n v="70.421590780000002"/>
    <n v="72.977603599999995"/>
    <n v="50.789428839999999"/>
    <n v="18.106215729999995"/>
    <n v="12.719559189999998"/>
    <n v="20.210901669999998"/>
    <n v="22.188174759999995"/>
    <x v="0"/>
    <x v="1"/>
    <x v="4"/>
    <n v="3"/>
    <s v="Dr. Rohan Dutta"/>
  </r>
  <r>
    <s v="STU0063"/>
    <s v="Ananya Sanyal"/>
    <x v="0"/>
    <n v="25"/>
    <x v="2"/>
    <n v="3.57"/>
    <n v="3.8"/>
    <n v="4.2300000000000004"/>
    <n v="4.4000000000000004"/>
    <s v="N/A"/>
    <s v="N/A"/>
    <n v="4.3899999999999997"/>
    <n v="4.04"/>
    <n v="4.38"/>
    <n v="3.27"/>
    <x v="59"/>
    <n v="4"/>
    <n v="4.0199999999999996"/>
    <n v="81.935078300000001"/>
    <n v="66.754267519999999"/>
    <n v="70"/>
    <n v="69.876094499999994"/>
    <n v="89.886267970000006"/>
    <n v="79.540892249999999"/>
    <n v="69.29349302"/>
    <n v="55.019534700000001"/>
    <n v="15.180810780000002"/>
    <n v="0.12390550000000644"/>
    <n v="10.345375720000007"/>
    <n v="14.273958319999998"/>
    <x v="0"/>
    <x v="0"/>
    <x v="1"/>
    <n v="3"/>
    <s v="Prof. Rahul Singh"/>
  </r>
  <r>
    <s v="STU0064"/>
    <s v="Naveen Khatri"/>
    <x v="1"/>
    <n v="21"/>
    <x v="0"/>
    <n v="3.81"/>
    <n v="4.2"/>
    <n v="4.2"/>
    <s v="N/A"/>
    <n v="3.73"/>
    <n v="4.25"/>
    <n v="3.88"/>
    <n v="3.77"/>
    <n v="4.0599999999999996"/>
    <n v="3.96"/>
    <x v="60"/>
    <n v="3.99"/>
    <n v="3.9839999999999995"/>
    <n v="80.363971199999995"/>
    <n v="69.83375126"/>
    <n v="80.733785690000005"/>
    <n v="63.035432159999999"/>
    <n v="96.819542949999999"/>
    <n v="66.161941459999994"/>
    <n v="69.371790669999996"/>
    <n v="62.049484649999997"/>
    <n v="10.530219939999995"/>
    <n v="17.698353530000006"/>
    <n v="30.657601490000005"/>
    <n v="7.3223060199999992"/>
    <x v="0"/>
    <x v="2"/>
    <x v="2"/>
    <n v="3"/>
    <s v="Prof. Rajesh Mukherjee"/>
  </r>
  <r>
    <s v="STU0065"/>
    <s v="Harshita Malhotra"/>
    <x v="0"/>
    <n v="30"/>
    <x v="1"/>
    <n v="4.05"/>
    <n v="4.21"/>
    <n v="4.1399999999999997"/>
    <n v="3.42"/>
    <n v="4.0599999999999996"/>
    <n v="4.04"/>
    <n v="4.29"/>
    <n v="3.79"/>
    <n v="4.41"/>
    <n v="4.18"/>
    <x v="61"/>
    <n v="3.98"/>
    <n v="4.1420000000000003"/>
    <n v="80.995594100000005"/>
    <n v="74.412028969999994"/>
    <n v="76.065119069999994"/>
    <n v="66.523816569999994"/>
    <n v="83.919777830000001"/>
    <n v="77.535356989999997"/>
    <n v="76.047177590000004"/>
    <n v="64.584935779999995"/>
    <n v="6.5835651300000109"/>
    <n v="9.5413025000000005"/>
    <n v="6.3844208400000042"/>
    <n v="11.462241810000009"/>
    <x v="0"/>
    <x v="2"/>
    <x v="0"/>
    <n v="3"/>
    <s v="Prof. Rajesh Mukherjee"/>
  </r>
  <r>
    <s v="STU0066"/>
    <s v="Falgguni Bose"/>
    <x v="1"/>
    <n v="26"/>
    <x v="3"/>
    <n v="3.67"/>
    <n v="3.67"/>
    <n v="4.17"/>
    <n v="4.4400000000000004"/>
    <n v="4.3600000000000003"/>
    <n v="3.9"/>
    <n v="4"/>
    <n v="3.9"/>
    <n v="4.4800000000000004"/>
    <n v="3.98"/>
    <x v="62"/>
    <n v="4.0599999999999996"/>
    <n v="4.0520000000000005"/>
    <n v="75"/>
    <n v="69.078029749999999"/>
    <n v="87.73329536"/>
    <n v="63.479515990000003"/>
    <n v="89.758142379999995"/>
    <n v="85"/>
    <n v="79.861566319999994"/>
    <n v="61.683911520000002"/>
    <n v="5.9219702500000011"/>
    <n v="24.253779369999997"/>
    <n v="4.7581423799999953"/>
    <n v="18.177654799999992"/>
    <x v="0"/>
    <x v="0"/>
    <x v="0"/>
    <n v="3"/>
    <s v="Prof. Rahul Singh"/>
  </r>
  <r>
    <s v="STU0067"/>
    <s v="Bhavana Ramesh"/>
    <x v="0"/>
    <n v="29"/>
    <x v="1"/>
    <n v="4.03"/>
    <n v="4.0999999999999996"/>
    <n v="3.86"/>
    <n v="4.17"/>
    <n v="4.1399999999999997"/>
    <n v="3.92"/>
    <n v="4.49"/>
    <n v="3.9"/>
    <n v="4.47"/>
    <n v="4.66"/>
    <x v="63"/>
    <n v="4.0599999999999996"/>
    <n v="4.2880000000000003"/>
    <n v="77.010678920000004"/>
    <n v="72.195932810000002"/>
    <n v="76.654049540000003"/>
    <n v="75"/>
    <n v="90.301474749999997"/>
    <n v="78.791074989999998"/>
    <n v="70.072312460000006"/>
    <n v="67.300395019999996"/>
    <n v="4.8147461100000015"/>
    <n v="1.6540495400000026"/>
    <n v="11.510399759999999"/>
    <n v="2.7719174400000099"/>
    <x v="0"/>
    <x v="0"/>
    <x v="3"/>
    <n v="3"/>
    <s v="Prof. Rahul Singh"/>
  </r>
  <r>
    <s v="STU0068"/>
    <s v="Shraddha Ekbote"/>
    <x v="0"/>
    <n v="30"/>
    <x v="1"/>
    <n v="3.96"/>
    <n v="3.73"/>
    <n v="3.69"/>
    <n v="4.09"/>
    <n v="3.88"/>
    <n v="4.0999999999999996"/>
    <n v="4.21"/>
    <n v="4.45"/>
    <n v="4.05"/>
    <n v="3.88"/>
    <x v="64"/>
    <n v="3.87"/>
    <n v="4.1379999999999999"/>
    <n v="88.602067779999999"/>
    <n v="60.388466510000001"/>
    <n v="79.565696119999998"/>
    <n v="55"/>
    <n v="92.8851674"/>
    <n v="79.137572379999995"/>
    <n v="70.625473670000005"/>
    <n v="61.52468829"/>
    <n v="28.213601269999998"/>
    <n v="24.565696119999998"/>
    <n v="13.747595020000006"/>
    <n v="9.1007853800000049"/>
    <x v="1"/>
    <x v="0"/>
    <x v="4"/>
    <n v="3"/>
    <s v="Prof. Rahul Singh"/>
  </r>
  <r>
    <s v="STU0069"/>
    <s v="Meera Gulati"/>
    <x v="0"/>
    <n v="20"/>
    <x v="0"/>
    <n v="4.1399999999999997"/>
    <n v="3.43"/>
    <n v="3.75"/>
    <s v="N/A"/>
    <s v="N/A"/>
    <n v="4.07"/>
    <n v="3.96"/>
    <n v="3.45"/>
    <n v="3.64"/>
    <n v="3.82"/>
    <x v="65"/>
    <n v="3.77"/>
    <n v="3.7880000000000003"/>
    <n v="88.327443130000006"/>
    <n v="74.055900370000003"/>
    <n v="76.723352410000004"/>
    <n v="66.645394400000001"/>
    <n v="89.393448149999998"/>
    <n v="82.031214680000005"/>
    <n v="67.390280579999995"/>
    <n v="50"/>
    <n v="14.271542760000003"/>
    <n v="10.077958010000003"/>
    <n v="7.3622334699999925"/>
    <n v="17.390280579999995"/>
    <x v="1"/>
    <x v="4"/>
    <x v="2"/>
    <n v="3"/>
    <s v="Prof. Vikram Gupta"/>
  </r>
  <r>
    <s v="STU0070"/>
    <s v="Preeti Oswal"/>
    <x v="0"/>
    <n v="29"/>
    <x v="1"/>
    <n v="3.76"/>
    <n v="3.98"/>
    <n v="3.67"/>
    <n v="3.92"/>
    <n v="3.78"/>
    <n v="4.13"/>
    <n v="4.24"/>
    <n v="4.51"/>
    <n v="3.84"/>
    <n v="3.95"/>
    <x v="66"/>
    <n v="3.82"/>
    <n v="4.1339999999999995"/>
    <n v="78.708773429999994"/>
    <n v="68.573515169999993"/>
    <n v="74.220830590000006"/>
    <n v="63.618805270000003"/>
    <n v="95.231104909999999"/>
    <n v="77.13362592"/>
    <n v="67.761979679999996"/>
    <n v="55.291787300000003"/>
    <n v="10.135258260000001"/>
    <n v="10.602025320000003"/>
    <n v="18.097478989999999"/>
    <n v="12.470192379999993"/>
    <x v="1"/>
    <x v="2"/>
    <x v="4"/>
    <n v="3"/>
    <s v="Prof. Rajesh Mukherjee"/>
  </r>
  <r>
    <s v="STU0071"/>
    <s v="Krishna Joshhi"/>
    <x v="1"/>
    <n v="25"/>
    <x v="2"/>
    <n v="3.9"/>
    <s v="N/A"/>
    <n v="4.32"/>
    <n v="3.89"/>
    <n v="4.62"/>
    <n v="4.01"/>
    <n v="3.94"/>
    <n v="3.9"/>
    <n v="4.21"/>
    <n v="4.01"/>
    <x v="67"/>
    <n v="4.18"/>
    <n v="4.0140000000000002"/>
    <n v="78.769742600000001"/>
    <n v="60"/>
    <n v="70.537634409999995"/>
    <n v="68.846735480000007"/>
    <n v="99.9"/>
    <n v="84.894565450000002"/>
    <n v="68.692248300000003"/>
    <n v="62.792671720000001"/>
    <n v="18.769742600000001"/>
    <n v="1.6908989299999888"/>
    <n v="15.005434550000004"/>
    <n v="5.8995765800000015"/>
    <x v="0"/>
    <x v="3"/>
    <x v="0"/>
    <n v="3"/>
    <s v="Prof. Kavita Rao"/>
  </r>
  <r>
    <s v="STU0072"/>
    <s v="Sarika Dhawan"/>
    <x v="0"/>
    <n v="22"/>
    <x v="0"/>
    <n v="4.5"/>
    <n v="3.57"/>
    <n v="3.69"/>
    <n v="4.1900000000000004"/>
    <n v="3.56"/>
    <n v="4.1900000000000004"/>
    <n v="3.66"/>
    <n v="4.3"/>
    <n v="4.25"/>
    <n v="4.3499999999999996"/>
    <x v="68"/>
    <n v="3.9"/>
    <n v="4.1500000000000004"/>
    <n v="91.69913536"/>
    <n v="69.161639440000002"/>
    <n v="71.438795150000004"/>
    <n v="75"/>
    <n v="86.894176270000003"/>
    <n v="71.875031100000001"/>
    <n v="68.783270759999994"/>
    <n v="58.573415570000002"/>
    <n v="22.537495919999998"/>
    <n v="-3.5612048499999958"/>
    <n v="15.019145170000002"/>
    <n v="10.209855189999992"/>
    <x v="0"/>
    <x v="4"/>
    <x v="3"/>
    <n v="3"/>
    <s v="Prof. Vikram Gupta"/>
  </r>
  <r>
    <s v="STU0073"/>
    <s v="Shailesh Bhateja"/>
    <x v="1"/>
    <n v="25"/>
    <x v="2"/>
    <n v="3.82"/>
    <n v="3.82"/>
    <n v="4.3"/>
    <s v="N/A"/>
    <n v="3.87"/>
    <n v="3.7"/>
    <n v="4.4800000000000004"/>
    <n v="3.92"/>
    <n v="4.33"/>
    <n v="3.81"/>
    <x v="69"/>
    <n v="3.95"/>
    <n v="4.048"/>
    <n v="83.147748050000004"/>
    <n v="60.275464309999997"/>
    <n v="77.158492390000006"/>
    <n v="61.349363320000002"/>
    <n v="80"/>
    <n v="70.354850639999995"/>
    <n v="66.087244729999995"/>
    <n v="55.034495679999999"/>
    <n v="22.872283740000007"/>
    <n v="15.809129070000004"/>
    <n v="9.6451493600000049"/>
    <n v="11.052749049999996"/>
    <x v="0"/>
    <x v="1"/>
    <x v="1"/>
    <n v="3"/>
    <s v="Dr. Rohan Dutta"/>
  </r>
  <r>
    <s v="STU0074"/>
    <s v="Renu Yadav"/>
    <x v="0"/>
    <n v="23"/>
    <x v="2"/>
    <n v="3.88"/>
    <n v="3.89"/>
    <n v="3.94"/>
    <n v="3.81"/>
    <n v="4.07"/>
    <n v="4.1900000000000004"/>
    <n v="4.59"/>
    <n v="3.98"/>
    <n v="4.01"/>
    <n v="3.91"/>
    <x v="70"/>
    <n v="3.92"/>
    <n v="4.136000000000001"/>
    <n v="85.264815769999998"/>
    <n v="61.952929040000001"/>
    <n v="76.48745169"/>
    <n v="75"/>
    <n v="94.750628509999999"/>
    <n v="73.117462470000007"/>
    <n v="68.443154530000001"/>
    <n v="59.037464219999997"/>
    <n v="23.311886729999998"/>
    <n v="1.4874516900000003"/>
    <n v="21.633166039999992"/>
    <n v="9.4056903100000042"/>
    <x v="0"/>
    <x v="3"/>
    <x v="1"/>
    <n v="3"/>
    <s v="Prof. Kavita Rao"/>
  </r>
  <r>
    <s v="STU0075"/>
    <s v="Jyoti Taalwar"/>
    <x v="0"/>
    <n v="21"/>
    <x v="0"/>
    <n v="4.13"/>
    <s v="N/A"/>
    <n v="4.13"/>
    <s v="N/A"/>
    <n v="3.92"/>
    <n v="4.18"/>
    <n v="3.64"/>
    <n v="3.97"/>
    <s v="N/A"/>
    <n v="3.86"/>
    <x v="63"/>
    <n v="4.0599999999999996"/>
    <n v="3.9125000000000001"/>
    <n v="85.409182189999996"/>
    <n v="60"/>
    <n v="76.301867529999996"/>
    <n v="75"/>
    <n v="87.022648200000006"/>
    <n v="82.488243030000007"/>
    <n v="65"/>
    <n v="52.672248330000002"/>
    <n v="25.409182189999996"/>
    <n v="1.3018675299999956"/>
    <n v="4.5344051699999994"/>
    <n v="12.327751669999998"/>
    <x v="0"/>
    <x v="4"/>
    <x v="2"/>
    <n v="3"/>
    <s v="Prof. Vikram Gupta"/>
  </r>
  <r>
    <s v="STU0076"/>
    <s v="Sunil Singh"/>
    <x v="1"/>
    <n v="22"/>
    <x v="0"/>
    <n v="3.88"/>
    <n v="3.89"/>
    <n v="4.2"/>
    <n v="3.96"/>
    <n v="3.81"/>
    <n v="4.1100000000000003"/>
    <n v="4.05"/>
    <n v="4.09"/>
    <n v="4.28"/>
    <n v="3.4"/>
    <x v="71"/>
    <n v="3.95"/>
    <n v="3.9859999999999998"/>
    <n v="78.043869790000002"/>
    <n v="67.481604050000001"/>
    <n v="70"/>
    <n v="75"/>
    <n v="84.059531640000003"/>
    <n v="80.380540150000002"/>
    <n v="66.462426429999994"/>
    <n v="53.93636678"/>
    <n v="10.562265740000001"/>
    <n v="-5"/>
    <n v="3.6789914900000014"/>
    <n v="12.526059649999993"/>
    <x v="0"/>
    <x v="1"/>
    <x v="0"/>
    <n v="3"/>
    <s v="Dr. Rohan Dutta"/>
  </r>
  <r>
    <s v="STU0077"/>
    <s v="Meenakshi Ramesh"/>
    <x v="0"/>
    <n v="29"/>
    <x v="1"/>
    <n v="4.74"/>
    <n v="4.4000000000000004"/>
    <n v="4.32"/>
    <n v="4.03"/>
    <n v="4.53"/>
    <n v="3.93"/>
    <n v="3.79"/>
    <n v="4.12"/>
    <n v="4.68"/>
    <n v="4.05"/>
    <x v="72"/>
    <n v="4.4000000000000004"/>
    <n v="4.1139999999999999"/>
    <n v="75"/>
    <n v="70.153291519999996"/>
    <n v="77.102862880000004"/>
    <n v="57.609852429999997"/>
    <n v="87.15389442"/>
    <n v="77.81273582"/>
    <n v="70.982307719999994"/>
    <n v="57.649865699999999"/>
    <n v="4.8467084800000038"/>
    <n v="19.493010450000007"/>
    <n v="9.3411586"/>
    <n v="13.332442019999995"/>
    <x v="2"/>
    <x v="4"/>
    <x v="0"/>
    <n v="3"/>
    <s v="Prof. Vikram Gupta"/>
  </r>
  <r>
    <s v="STU0078"/>
    <s v="Anil Oberooi"/>
    <x v="1"/>
    <n v="27"/>
    <x v="3"/>
    <n v="3.83"/>
    <n v="4.25"/>
    <n v="3.91"/>
    <n v="4.53"/>
    <n v="4.6500000000000004"/>
    <n v="4.13"/>
    <n v="4.0199999999999996"/>
    <n v="4.07"/>
    <n v="4.42"/>
    <n v="3.63"/>
    <x v="73"/>
    <n v="4.2300000000000004"/>
    <n v="4.0540000000000003"/>
    <n v="80.122592190000006"/>
    <n v="68.794073470000001"/>
    <n v="76.942867809999996"/>
    <n v="66.287795079999995"/>
    <n v="90.453057270000002"/>
    <n v="76.551725739999995"/>
    <n v="65"/>
    <n v="50"/>
    <n v="11.328518720000005"/>
    <n v="10.655072730000001"/>
    <n v="13.901331530000007"/>
    <n v="15"/>
    <x v="2"/>
    <x v="3"/>
    <x v="0"/>
    <n v="3"/>
    <s v="Prof. Kavita Rao"/>
  </r>
  <r>
    <s v="STU0079"/>
    <s v="Sidddharth Bose"/>
    <x v="1"/>
    <n v="26"/>
    <x v="3"/>
    <n v="4.3899999999999997"/>
    <n v="3.45"/>
    <n v="4.09"/>
    <n v="3.82"/>
    <n v="4.12"/>
    <n v="3.84"/>
    <n v="4.1399999999999997"/>
    <n v="4.28"/>
    <n v="4.07"/>
    <n v="3.5"/>
    <x v="74"/>
    <n v="3.97"/>
    <n v="3.9659999999999997"/>
    <n v="90.204115959999996"/>
    <n v="64.261713830000005"/>
    <n v="78.165766509999997"/>
    <n v="65.042364919999997"/>
    <n v="80"/>
    <n v="74.471553950000001"/>
    <n v="65"/>
    <n v="58.760234009999998"/>
    <n v="25.942402129999991"/>
    <n v="13.12340159"/>
    <n v="5.5284460499999994"/>
    <n v="6.2397659900000022"/>
    <x v="0"/>
    <x v="4"/>
    <x v="4"/>
    <n v="3"/>
    <s v="Prof. Vikram Gupta"/>
  </r>
  <r>
    <s v="STU0080"/>
    <s v="Rohan Rao"/>
    <x v="1"/>
    <n v="24"/>
    <x v="2"/>
    <n v="4.43"/>
    <n v="3.79"/>
    <n v="3.93"/>
    <n v="4.37"/>
    <n v="3.59"/>
    <n v="3.8"/>
    <n v="4.28"/>
    <n v="4.1900000000000004"/>
    <n v="4.05"/>
    <n v="3.85"/>
    <x v="21"/>
    <n v="4.0199999999999996"/>
    <n v="4.0340000000000007"/>
    <n v="76.284101629999995"/>
    <n v="69.330561070000002"/>
    <n v="82.775417230000002"/>
    <n v="60.543894459999997"/>
    <n v="94.389537099999998"/>
    <n v="79.157114649999997"/>
    <n v="69.692409429999998"/>
    <n v="56.333680700000002"/>
    <n v="6.9535405599999933"/>
    <n v="22.231522770000005"/>
    <n v="15.232422450000001"/>
    <n v="13.358728729999996"/>
    <x v="0"/>
    <x v="4"/>
    <x v="1"/>
    <n v="3"/>
    <s v="Prof. Vikram Gupta"/>
  </r>
  <r>
    <s v="STU0081"/>
    <s v="Tanvi Mannwani"/>
    <x v="0"/>
    <n v="30"/>
    <x v="1"/>
    <n v="4.2699999999999996"/>
    <n v="3.84"/>
    <n v="3.79"/>
    <n v="4.05"/>
    <n v="4.41"/>
    <n v="4.66"/>
    <n v="4.84"/>
    <n v="3.76"/>
    <n v="3.87"/>
    <n v="4.67"/>
    <x v="75"/>
    <n v="4.07"/>
    <n v="4.3599999999999994"/>
    <n v="75"/>
    <n v="67.998358179999997"/>
    <n v="82.458932630000007"/>
    <n v="58.102996470000001"/>
    <n v="85.489588179999998"/>
    <n v="79.931124690000004"/>
    <n v="73.493302479999997"/>
    <n v="60.079438189999998"/>
    <n v="7.0016418200000032"/>
    <n v="24.355936160000006"/>
    <n v="5.5584634899999941"/>
    <n v="13.413864289999999"/>
    <x v="0"/>
    <x v="3"/>
    <x v="1"/>
    <n v="3"/>
    <s v="Prof. Kavita Rao"/>
  </r>
  <r>
    <s v="STU0082"/>
    <s v="Yash Trrivedi"/>
    <x v="1"/>
    <n v="23"/>
    <x v="2"/>
    <n v="4.22"/>
    <n v="4.01"/>
    <n v="4.67"/>
    <n v="3.92"/>
    <n v="3.91"/>
    <n v="3.17"/>
    <n v="4.62"/>
    <n v="3.93"/>
    <n v="3.67"/>
    <n v="4.47"/>
    <x v="76"/>
    <n v="4.1500000000000004"/>
    <n v="3.972"/>
    <n v="75"/>
    <n v="69.698421550000006"/>
    <n v="72.11824421"/>
    <n v="73.763444120000003"/>
    <n v="85.931419399999996"/>
    <n v="77.295504219999998"/>
    <n v="70.06065692"/>
    <n v="50"/>
    <n v="5.3015784499999938"/>
    <n v="-1.6451999100000023"/>
    <n v="8.6359151799999978"/>
    <n v="20.06065692"/>
    <x v="0"/>
    <x v="1"/>
    <x v="1"/>
    <n v="3"/>
    <s v="Dr. Rohan Dutta"/>
  </r>
  <r>
    <s v="STU0083"/>
    <s v="Neha Khossla"/>
    <x v="0"/>
    <n v="27"/>
    <x v="3"/>
    <n v="3.71"/>
    <n v="3.97"/>
    <s v="N/A"/>
    <s v="N/A"/>
    <n v="3.54"/>
    <n v="3.75"/>
    <n v="4.1900000000000004"/>
    <n v="3.99"/>
    <n v="4.0599999999999996"/>
    <n v="4.12"/>
    <x v="77"/>
    <n v="3.74"/>
    <n v="4.0220000000000002"/>
    <n v="80.433093589999999"/>
    <n v="63.38311633"/>
    <n v="72.520845789999996"/>
    <n v="65.653037920000003"/>
    <n v="90.268743069999999"/>
    <n v="72.570810649999999"/>
    <n v="67.801749459999996"/>
    <n v="61.470168409999999"/>
    <n v="17.049977259999999"/>
    <n v="6.8678078699999929"/>
    <n v="17.697932420000001"/>
    <n v="6.3315810499999969"/>
    <x v="1"/>
    <x v="2"/>
    <x v="1"/>
    <n v="3"/>
    <s v="Prof. Rajesh Mukherjee"/>
  </r>
  <r>
    <s v="STU0084"/>
    <s v="Ramesh Ahuja"/>
    <x v="1"/>
    <n v="27"/>
    <x v="3"/>
    <n v="4.25"/>
    <n v="3.94"/>
    <n v="4.5999999999999996"/>
    <n v="4.28"/>
    <n v="4.28"/>
    <n v="3.9"/>
    <n v="3.9"/>
    <n v="4.1500000000000004"/>
    <n v="4.3099999999999996"/>
    <s v="N/A"/>
    <x v="78"/>
    <n v="4.2699999999999996"/>
    <n v="4.0649999999999995"/>
    <n v="97.013962629999995"/>
    <n v="74.171056789999994"/>
    <n v="81.231958980000002"/>
    <n v="58.040417900000001"/>
    <n v="83.29725612"/>
    <n v="79.864202140000003"/>
    <n v="71.595814660000002"/>
    <n v="63.263308379999998"/>
    <n v="22.84290584"/>
    <n v="23.19154108"/>
    <n v="3.4330539799999968"/>
    <n v="8.332506280000004"/>
    <x v="2"/>
    <x v="1"/>
    <x v="0"/>
    <n v="3"/>
    <s v="Dr. Rohan Dutta"/>
  </r>
  <r>
    <s v="STU0085"/>
    <s v="Mahesh Tripathi"/>
    <x v="1"/>
    <n v="28"/>
    <x v="3"/>
    <n v="4.5999999999999996"/>
    <n v="4.43"/>
    <n v="4.28"/>
    <n v="4.3099999999999996"/>
    <n v="3.8"/>
    <n v="3.59"/>
    <n v="4.3600000000000003"/>
    <n v="3.94"/>
    <n v="4.04"/>
    <n v="3.86"/>
    <x v="79"/>
    <n v="4.28"/>
    <n v="3.9579999999999997"/>
    <n v="99.9"/>
    <n v="69.952336040000006"/>
    <n v="81.80300269"/>
    <n v="75"/>
    <n v="99.9"/>
    <n v="74.144986939999995"/>
    <n v="66.085497059999994"/>
    <n v="52.548786720000003"/>
    <n v="29.94766396"/>
    <n v="6.8030026899999996"/>
    <n v="25.75501306000001"/>
    <n v="13.536710339999992"/>
    <x v="2"/>
    <x v="4"/>
    <x v="1"/>
    <n v="3"/>
    <s v="Prof. Vikram Gupta"/>
  </r>
  <r>
    <s v="STU0086"/>
    <s v="Advik Nair"/>
    <x v="1"/>
    <n v="27"/>
    <x v="3"/>
    <n v="4.2699999999999996"/>
    <n v="3.67"/>
    <n v="4.29"/>
    <n v="3.95"/>
    <n v="3.97"/>
    <n v="3.84"/>
    <n v="3.83"/>
    <n v="4.13"/>
    <n v="3.46"/>
    <s v="N/A"/>
    <x v="80"/>
    <n v="4.03"/>
    <n v="3.8150000000000004"/>
    <n v="83.511167380000003"/>
    <n v="67.052209079999997"/>
    <n v="75.218729830000001"/>
    <n v="70.321547949999996"/>
    <n v="87.965677869999993"/>
    <n v="70.107767050000007"/>
    <n v="73.058640150000002"/>
    <n v="66.232228599999999"/>
    <n v="16.458958300000006"/>
    <n v="4.8971818800000051"/>
    <n v="17.857910819999987"/>
    <n v="6.8264115500000031"/>
    <x v="0"/>
    <x v="1"/>
    <x v="4"/>
    <n v="3"/>
    <s v="Dr. Rohan Dutta"/>
  </r>
  <r>
    <s v="STU0087"/>
    <s v="Kiran Nathani"/>
    <x v="1"/>
    <n v="24"/>
    <x v="2"/>
    <n v="4.43"/>
    <n v="3.78"/>
    <n v="4.29"/>
    <n v="4.1500000000000004"/>
    <s v="N/A"/>
    <n v="3.9"/>
    <n v="4.1100000000000003"/>
    <n v="3.92"/>
    <n v="4.16"/>
    <n v="4.49"/>
    <x v="81"/>
    <n v="4.16"/>
    <n v="4.1159999999999997"/>
    <n v="99.9"/>
    <n v="73.935320919999995"/>
    <n v="71.088720510000002"/>
    <n v="65.646588980000004"/>
    <n v="91.808935590000004"/>
    <n v="76.459147639999998"/>
    <n v="67.941009269999995"/>
    <n v="64.566891060000003"/>
    <n v="25.96467908000001"/>
    <n v="5.4421315299999975"/>
    <n v="15.349787950000007"/>
    <n v="3.3741182099999918"/>
    <x v="0"/>
    <x v="4"/>
    <x v="3"/>
    <n v="3"/>
    <s v="Prof. Vikram Gupta"/>
  </r>
  <r>
    <s v="STU0088"/>
    <s v="Ananya Mehta"/>
    <x v="0"/>
    <n v="26"/>
    <x v="3"/>
    <n v="4.0999999999999996"/>
    <n v="3.82"/>
    <s v="N/A"/>
    <n v="4.34"/>
    <n v="4.54"/>
    <n v="4.28"/>
    <n v="4.1100000000000003"/>
    <n v="4.2699999999999996"/>
    <n v="4.25"/>
    <n v="3.84"/>
    <x v="28"/>
    <n v="4.2"/>
    <n v="4.1500000000000004"/>
    <n v="81.551186639999997"/>
    <n v="67.937079760000003"/>
    <n v="70"/>
    <n v="68.923177589999995"/>
    <n v="80"/>
    <n v="69.219796130000006"/>
    <n v="78.137538890000002"/>
    <n v="55.203547069999999"/>
    <n v="13.614106879999994"/>
    <n v="1.0768224100000054"/>
    <n v="10.780203869999994"/>
    <n v="22.933991820000003"/>
    <x v="2"/>
    <x v="3"/>
    <x v="2"/>
    <n v="3"/>
    <s v="Prof. Kavita Rao"/>
  </r>
  <r>
    <s v="STU0089"/>
    <s v="Alok Sharmma"/>
    <x v="1"/>
    <n v="23"/>
    <x v="2"/>
    <n v="3.89"/>
    <n v="4.96"/>
    <n v="4.45"/>
    <n v="4.0199999999999996"/>
    <n v="4.0999999999999996"/>
    <n v="3.9"/>
    <s v="N/A"/>
    <n v="3.92"/>
    <n v="3.7"/>
    <n v="4.49"/>
    <x v="82"/>
    <n v="4.28"/>
    <n v="4.0024999999999995"/>
    <n v="87.665213559999998"/>
    <n v="61.763752709999999"/>
    <n v="70.620979399999996"/>
    <n v="63.547469120000002"/>
    <n v="93.686743879999995"/>
    <n v="85"/>
    <n v="78.073006109999994"/>
    <n v="51.535776949999999"/>
    <n v="25.901460849999999"/>
    <n v="7.0735102799999936"/>
    <n v="8.6867438799999945"/>
    <n v="26.537229159999995"/>
    <x v="2"/>
    <x v="2"/>
    <x v="3"/>
    <n v="3"/>
    <s v="Prof. Rajesh Mukherjee"/>
  </r>
  <r>
    <s v="STU0090"/>
    <s v="Poonam Kukrreja"/>
    <x v="1"/>
    <n v="30"/>
    <x v="1"/>
    <n v="4.3"/>
    <n v="4.07"/>
    <n v="4.28"/>
    <n v="4.29"/>
    <n v="4.1399999999999997"/>
    <n v="4.13"/>
    <n v="3.76"/>
    <n v="4.1500000000000004"/>
    <n v="3.76"/>
    <n v="3.86"/>
    <x v="83"/>
    <n v="4.22"/>
    <n v="3.9319999999999999"/>
    <n v="79.530072200000006"/>
    <n v="65.577188199999995"/>
    <n v="90"/>
    <n v="61.721940930000002"/>
    <n v="93.827790460000003"/>
    <n v="76.732324629999994"/>
    <n v="69.280088269999993"/>
    <n v="64.31074993"/>
    <n v="13.952884000000012"/>
    <n v="28.278059069999998"/>
    <n v="17.095465830000009"/>
    <n v="4.9693383399999931"/>
    <x v="2"/>
    <x v="4"/>
    <x v="4"/>
    <n v="3"/>
    <s v="Prof. Vikram Gupta"/>
  </r>
  <r>
    <s v="STU0091"/>
    <s v="Madhavi Josshi"/>
    <x v="0"/>
    <n v="20"/>
    <x v="0"/>
    <n v="3.95"/>
    <n v="3.36"/>
    <n v="3.9"/>
    <n v="3.82"/>
    <n v="4"/>
    <n v="3.99"/>
    <n v="4.67"/>
    <n v="4.04"/>
    <n v="3.91"/>
    <n v="4.12"/>
    <x v="84"/>
    <n v="3.81"/>
    <n v="4.1459999999999999"/>
    <n v="84.741194419999999"/>
    <n v="66.628453359999995"/>
    <n v="76.19578765"/>
    <n v="63.489579089999999"/>
    <n v="89.207243239999997"/>
    <n v="75.603720429999996"/>
    <n v="66.554182499999996"/>
    <n v="63.381572949999999"/>
    <n v="18.112741060000005"/>
    <n v="12.70620856"/>
    <n v="13.603522810000001"/>
    <n v="3.1726095499999971"/>
    <x v="1"/>
    <x v="3"/>
    <x v="1"/>
    <n v="3"/>
    <s v="Prof. Kavita Rao"/>
  </r>
  <r>
    <s v="STU0092"/>
    <s v="Myra Kumar"/>
    <x v="0"/>
    <n v="27"/>
    <x v="3"/>
    <n v="4.28"/>
    <n v="3.88"/>
    <n v="4.1500000000000004"/>
    <n v="4.18"/>
    <s v="N/A"/>
    <n v="3.75"/>
    <n v="3.98"/>
    <n v="3.75"/>
    <n v="3.83"/>
    <n v="3.9"/>
    <x v="85"/>
    <n v="4.12"/>
    <n v="3.8420000000000001"/>
    <n v="87.702766199999999"/>
    <n v="80"/>
    <n v="79.521272310000001"/>
    <n v="61.56147696"/>
    <n v="90.141073390000003"/>
    <n v="84.904944229999998"/>
    <n v="73.819191900000007"/>
    <n v="61.549062040000003"/>
    <n v="7.7027661999999992"/>
    <n v="17.95979535"/>
    <n v="5.2361291600000044"/>
    <n v="12.270129860000004"/>
    <x v="0"/>
    <x v="4"/>
    <x v="1"/>
    <n v="3"/>
    <s v="Prof. Vikram Gupta"/>
  </r>
  <r>
    <s v="STU0093"/>
    <s v="Sanjeev Kohir"/>
    <x v="1"/>
    <n v="28"/>
    <x v="3"/>
    <n v="4.45"/>
    <n v="4.34"/>
    <n v="4.33"/>
    <n v="3.68"/>
    <n v="4.1100000000000003"/>
    <n v="3.54"/>
    <n v="4.13"/>
    <n v="4.3899999999999997"/>
    <n v="4.09"/>
    <n v="4.34"/>
    <x v="86"/>
    <n v="4.18"/>
    <n v="4.0979999999999999"/>
    <n v="87.283196950000004"/>
    <n v="71.902798320000002"/>
    <n v="83.148344140000006"/>
    <n v="58.364104949999998"/>
    <n v="88.559232710000003"/>
    <n v="78.146097069999996"/>
    <n v="69.881402899999998"/>
    <n v="50"/>
    <n v="15.380398630000002"/>
    <n v="24.784239190000008"/>
    <n v="10.413135640000007"/>
    <n v="19.881402899999998"/>
    <x v="0"/>
    <x v="4"/>
    <x v="4"/>
    <n v="3"/>
    <s v="Prof. Vikram Gupta"/>
  </r>
  <r>
    <s v="STU0094"/>
    <s v="Zara Anand"/>
    <x v="0"/>
    <n v="25"/>
    <x v="2"/>
    <n v="3.93"/>
    <n v="4.12"/>
    <n v="3.63"/>
    <n v="4.26"/>
    <n v="3.92"/>
    <n v="4.18"/>
    <n v="4.16"/>
    <n v="3.99"/>
    <n v="4.12"/>
    <n v="3.93"/>
    <x v="87"/>
    <n v="3.97"/>
    <n v="4.0759999999999996"/>
    <n v="84.079311320000002"/>
    <n v="73.197278339999997"/>
    <n v="85.521745550000006"/>
    <n v="61.405052320000003"/>
    <n v="90.746474329999998"/>
    <n v="74.70661681"/>
    <n v="74.090382149999996"/>
    <n v="62.13442439"/>
    <n v="10.882032980000005"/>
    <n v="24.116693230000003"/>
    <n v="16.039857519999998"/>
    <n v="11.955957759999997"/>
    <x v="0"/>
    <x v="0"/>
    <x v="2"/>
    <n v="3"/>
    <s v="Prof. Rahul Singh"/>
  </r>
  <r>
    <s v="STU0095"/>
    <s v="Manish Duggal"/>
    <x v="1"/>
    <n v="23"/>
    <x v="2"/>
    <n v="4.2"/>
    <n v="3.67"/>
    <n v="3.7"/>
    <n v="3.84"/>
    <n v="3.97"/>
    <n v="4.1900000000000004"/>
    <n v="3.76"/>
    <n v="4.43"/>
    <n v="4.05"/>
    <n v="3.41"/>
    <x v="88"/>
    <n v="3.88"/>
    <n v="3.968"/>
    <n v="85.083320839999999"/>
    <n v="72.332552590000006"/>
    <n v="79.329478629999997"/>
    <n v="71.754218890000004"/>
    <n v="82.093254549999997"/>
    <n v="79.940226789999997"/>
    <n v="70.144217249999997"/>
    <n v="55.772493740000002"/>
    <n v="12.750768249999993"/>
    <n v="7.5752597399999928"/>
    <n v="2.1530277600000005"/>
    <n v="14.371723509999995"/>
    <x v="1"/>
    <x v="4"/>
    <x v="4"/>
    <n v="3"/>
    <s v="Prof. Vikram Gupta"/>
  </r>
  <r>
    <s v="STU0096"/>
    <s v="Swati Saini"/>
    <x v="1"/>
    <n v="29"/>
    <x v="1"/>
    <n v="3.81"/>
    <n v="3.87"/>
    <n v="3.85"/>
    <n v="3.95"/>
    <n v="3.92"/>
    <n v="3.86"/>
    <n v="4.53"/>
    <n v="4.4400000000000004"/>
    <n v="3.68"/>
    <n v="4.45"/>
    <x v="89"/>
    <n v="3.88"/>
    <n v="4.1920000000000002"/>
    <n v="79.673274559999996"/>
    <n v="62.108291360000003"/>
    <n v="79.730035849999993"/>
    <n v="60.487736720000001"/>
    <n v="96.775996550000002"/>
    <n v="75.974966190000004"/>
    <n v="74.319503089999998"/>
    <n v="55.165272389999998"/>
    <n v="17.564983199999993"/>
    <n v="19.242299129999992"/>
    <n v="20.801030359999999"/>
    <n v="19.154230699999999"/>
    <x v="1"/>
    <x v="0"/>
    <x v="1"/>
    <n v="3"/>
    <s v="Prof. Rahul Singh"/>
  </r>
  <r>
    <s v="STU0097"/>
    <s v="Yogeshh Sahani"/>
    <x v="1"/>
    <n v="26"/>
    <x v="3"/>
    <n v="4.2699999999999996"/>
    <n v="3.47"/>
    <n v="4.63"/>
    <n v="3.96"/>
    <n v="3.7"/>
    <s v="N/A"/>
    <n v="4.78"/>
    <n v="4.17"/>
    <n v="4.17"/>
    <n v="3.83"/>
    <x v="90"/>
    <n v="4.01"/>
    <n v="4.2374999999999998"/>
    <n v="81.401309420000004"/>
    <n v="73.642970980000001"/>
    <n v="70"/>
    <n v="66.279692749999995"/>
    <n v="94.607816970000002"/>
    <n v="74.181024019999995"/>
    <n v="77.844570039999994"/>
    <n v="50"/>
    <n v="7.7583384400000028"/>
    <n v="3.7203072500000047"/>
    <n v="20.426792950000006"/>
    <n v="27.844570039999994"/>
    <x v="0"/>
    <x v="1"/>
    <x v="1"/>
    <n v="3"/>
    <s v="Dr. Rohan Dutta"/>
  </r>
  <r>
    <s v="STU0098"/>
    <s v="Ramesh Bhargava"/>
    <x v="1"/>
    <n v="23"/>
    <x v="2"/>
    <n v="3.97"/>
    <n v="3.79"/>
    <n v="4.03"/>
    <n v="4.08"/>
    <n v="4.33"/>
    <n v="3.75"/>
    <s v="N/A"/>
    <n v="4.1500000000000004"/>
    <n v="4"/>
    <n v="3.99"/>
    <x v="91"/>
    <n v="4.04"/>
    <n v="3.9725000000000001"/>
    <n v="83.375007420000003"/>
    <n v="74.779325389999997"/>
    <n v="78.460337069999994"/>
    <n v="74.946423569999993"/>
    <n v="93.018851799999993"/>
    <n v="83.948619370000003"/>
    <n v="73.603913649999996"/>
    <n v="61.877733020000001"/>
    <n v="8.5956820300000061"/>
    <n v="3.513913500000001"/>
    <n v="9.0702324299999901"/>
    <n v="11.726180629999995"/>
    <x v="0"/>
    <x v="3"/>
    <x v="4"/>
    <n v="3"/>
    <s v="Prof. Kavita Rao"/>
  </r>
  <r>
    <s v="STU0099"/>
    <s v="Seema Kohli"/>
    <x v="0"/>
    <n v="23"/>
    <x v="2"/>
    <n v="3.8"/>
    <n v="4.3"/>
    <n v="4.2"/>
    <n v="4.28"/>
    <n v="3.71"/>
    <n v="4.7300000000000004"/>
    <n v="3.5"/>
    <n v="3.67"/>
    <n v="4.3499999999999996"/>
    <n v="4.49"/>
    <x v="92"/>
    <n v="4.0599999999999996"/>
    <n v="4.1480000000000006"/>
    <n v="79.139252909999996"/>
    <n v="75.969781519999998"/>
    <n v="71.086762100000001"/>
    <n v="61.07474122"/>
    <n v="87.303813950000006"/>
    <n v="75.189164329999997"/>
    <n v="67.840313269999996"/>
    <n v="69.715055199999995"/>
    <n v="3.1694713899999982"/>
    <n v="10.012020880000001"/>
    <n v="12.114649620000009"/>
    <n v="-1.874741929999999"/>
    <x v="0"/>
    <x v="2"/>
    <x v="2"/>
    <n v="3"/>
    <s v="Prof. Rajesh Mukherjee"/>
  </r>
  <r>
    <s v="STU0100"/>
    <s v="Siddharth Chatterjee"/>
    <x v="1"/>
    <n v="22"/>
    <x v="0"/>
    <n v="3.98"/>
    <n v="4.5199999999999996"/>
    <n v="3.71"/>
    <n v="4.08"/>
    <n v="3.97"/>
    <n v="4.58"/>
    <n v="4.3099999999999996"/>
    <n v="4.2699999999999996"/>
    <n v="3.95"/>
    <n v="4.5199999999999996"/>
    <x v="39"/>
    <n v="4.05"/>
    <n v="4.3259999999999996"/>
    <n v="81.756660609999997"/>
    <n v="61.209392039999997"/>
    <n v="79.692439469999997"/>
    <n v="64.349131529999994"/>
    <n v="86.249097129999996"/>
    <n v="83.750592380000001"/>
    <n v="69.673099129999997"/>
    <n v="66.499358650000005"/>
    <n v="20.54726857"/>
    <n v="15.343307940000003"/>
    <n v="2.4985047499999951"/>
    <n v="3.1737404799999922"/>
    <x v="0"/>
    <x v="2"/>
    <x v="2"/>
    <n v="3"/>
    <s v="Prof. Rajesh Mukherjee"/>
  </r>
  <r>
    <s v="STU0101"/>
    <s v="Ashok Israni"/>
    <x v="1"/>
    <n v="24"/>
    <x v="2"/>
    <n v="4"/>
    <n v="3.97"/>
    <n v="3.71"/>
    <s v="4.31%"/>
    <n v="4.32"/>
    <n v="4.0599999999999996"/>
    <n v="4.09"/>
    <n v="4.22"/>
    <n v="4.04"/>
    <n v="4.34"/>
    <x v="59"/>
    <n v="4"/>
    <n v="4.1499999999999995"/>
    <n v="92.266531819999997"/>
    <n v="68.323577900000004"/>
    <n v="87.157744039999997"/>
    <n v="56.734073209999998"/>
    <n v="91.895896899999997"/>
    <n v="78.873114909999998"/>
    <n v="69.029636229999994"/>
    <n v="63.151932369999997"/>
    <n v="23.942953919999994"/>
    <n v="30.423670829999999"/>
    <n v="13.022781989999999"/>
    <n v="5.8777038599999969"/>
    <x v="0"/>
    <x v="3"/>
    <x v="3"/>
    <n v="3"/>
    <s v="Prof. Kavita Rao"/>
  </r>
  <r>
    <s v="STU0102"/>
    <s v="Priya Bose"/>
    <x v="1"/>
    <n v="21"/>
    <x v="0"/>
    <n v="4.05"/>
    <n v="3.85"/>
    <n v="3.69"/>
    <n v="4.3899999999999997"/>
    <n v="3.44"/>
    <n v="4.05"/>
    <n v="4.09"/>
    <n v="3.93"/>
    <n v="4.1100000000000003"/>
    <n v="3.98"/>
    <x v="93"/>
    <n v="3.88"/>
    <n v="4.032"/>
    <n v="90.779485809999997"/>
    <n v="75.455114969999997"/>
    <n v="83.667133120000003"/>
    <n v="70.634968639999997"/>
    <n v="83.515075330000002"/>
    <n v="75.462677720000002"/>
    <n v="71.575505710000002"/>
    <n v="60.940352169999997"/>
    <n v="15.32437084"/>
    <n v="13.032164480000006"/>
    <n v="8.0523976099999999"/>
    <n v="10.635153540000005"/>
    <x v="1"/>
    <x v="0"/>
    <x v="0"/>
    <n v="3"/>
    <s v="Prof. Rahul Singh"/>
  </r>
  <r>
    <s v="STU0103"/>
    <s v="Vvikram Rastogi"/>
    <x v="1"/>
    <n v="22"/>
    <x v="0"/>
    <n v="4.6100000000000003"/>
    <n v="3.75"/>
    <n v="3.68"/>
    <n v="3.86"/>
    <n v="3.97"/>
    <n v="3.73"/>
    <n v="4.0999999999999996"/>
    <n v="4.09"/>
    <n v="3.79"/>
    <n v="4.5599999999999996"/>
    <x v="94"/>
    <n v="3.97"/>
    <n v="4.0540000000000003"/>
    <n v="83.871956519999998"/>
    <n v="70.623763350000004"/>
    <n v="77.039927120000002"/>
    <n v="69.520921099999995"/>
    <n v="80.380406629999996"/>
    <n v="77.400701850000004"/>
    <n v="71.071759929999999"/>
    <n v="64.641627720000002"/>
    <n v="13.248193169999993"/>
    <n v="7.5190060200000062"/>
    <n v="2.9797047799999916"/>
    <n v="6.4301322099999965"/>
    <x v="0"/>
    <x v="4"/>
    <x v="3"/>
    <n v="3"/>
    <s v="Prof. Vikram Gupta"/>
  </r>
  <r>
    <s v="STU0104"/>
    <s v="Ekta Rasttogi"/>
    <x v="0"/>
    <n v="25"/>
    <x v="2"/>
    <n v="4.4000000000000004"/>
    <n v="3.42"/>
    <n v="4.58"/>
    <n v="4.37"/>
    <n v="4.07"/>
    <n v="4.4800000000000004"/>
    <n v="3.73"/>
    <n v="4"/>
    <n v="3.94"/>
    <n v="4.32"/>
    <x v="95"/>
    <n v="4.17"/>
    <n v="4.0940000000000003"/>
    <n v="93.825192049999998"/>
    <n v="77.291070189999999"/>
    <n v="70.714188609999994"/>
    <n v="63.798457300000003"/>
    <n v="99.03176139"/>
    <n v="71.460718229999998"/>
    <n v="72.485347739999995"/>
    <n v="53.1673215"/>
    <n v="16.534121859999999"/>
    <n v="6.9157313099999911"/>
    <n v="27.571043160000002"/>
    <n v="19.318026239999995"/>
    <x v="0"/>
    <x v="1"/>
    <x v="2"/>
    <n v="3"/>
    <s v="Dr. Rohan Dutta"/>
  </r>
  <r>
    <s v="STU0105"/>
    <s v="Kavyya Deshmukh"/>
    <x v="1"/>
    <n v="22"/>
    <x v="0"/>
    <s v="N/A"/>
    <n v="4.26"/>
    <n v="3.84"/>
    <s v="N/A"/>
    <n v="4.0999999999999996"/>
    <s v="N/A"/>
    <n v="4.5"/>
    <n v="3.93"/>
    <n v="4.1399999999999997"/>
    <n v="4.17"/>
    <x v="96"/>
    <n v="4.07"/>
    <n v="4.1850000000000005"/>
    <n v="75"/>
    <n v="67.107567360000004"/>
    <n v="83.479061700000003"/>
    <n v="63.039089240000003"/>
    <n v="97.740679959999994"/>
    <n v="83.325862479999998"/>
    <n v="71.41395335"/>
    <n v="58.978411280000003"/>
    <n v="7.8924326399999956"/>
    <n v="20.43997246"/>
    <n v="14.414817479999996"/>
    <n v="12.435542069999997"/>
    <x v="0"/>
    <x v="2"/>
    <x v="1"/>
    <n v="3"/>
    <s v="Prof. Rajesh Mukherjee"/>
  </r>
  <r>
    <s v="STU0106"/>
    <s v="Hema Menon"/>
    <x v="0"/>
    <n v="29"/>
    <x v="1"/>
    <n v="4.1399999999999997"/>
    <n v="4.21"/>
    <n v="4.0599999999999996"/>
    <n v="3.92"/>
    <n v="4.4800000000000004"/>
    <n v="3.91"/>
    <n v="3.65"/>
    <n v="4.1399999999999997"/>
    <n v="3.63"/>
    <s v="N/A"/>
    <x v="97"/>
    <n v="4.16"/>
    <n v="3.8324999999999996"/>
    <n v="75"/>
    <n v="72.210884840000006"/>
    <n v="70"/>
    <n v="65.809091620000004"/>
    <n v="80"/>
    <n v="76.701076299999997"/>
    <n v="65.143377839999999"/>
    <n v="57.082847909999998"/>
    <n v="2.7891151599999944"/>
    <n v="4.1909083799999962"/>
    <n v="3.2989237000000031"/>
    <n v="8.0605299300000013"/>
    <x v="0"/>
    <x v="3"/>
    <x v="4"/>
    <n v="3"/>
    <s v="Prof. Kavita Rao"/>
  </r>
  <r>
    <s v="STU0107"/>
    <s v="Sandeep Kukreja"/>
    <x v="1"/>
    <n v="27"/>
    <x v="3"/>
    <n v="4.3499999999999996"/>
    <n v="3.71"/>
    <n v="4.12"/>
    <n v="4.1500000000000004"/>
    <n v="3.8"/>
    <n v="4.1500000000000004"/>
    <n v="4.03"/>
    <s v="N/A"/>
    <n v="3.77"/>
    <n v="4.04"/>
    <x v="98"/>
    <n v="4.03"/>
    <n v="3.9974999999999996"/>
    <n v="75"/>
    <n v="68.219302020000001"/>
    <n v="82.411869050000007"/>
    <n v="57.306776990000003"/>
    <n v="94.986806349999995"/>
    <n v="77.564174019999996"/>
    <n v="69.215678969999999"/>
    <n v="61.562754740000003"/>
    <n v="6.7806979799999993"/>
    <n v="25.105092060000004"/>
    <n v="17.422632329999999"/>
    <n v="7.6529242299999964"/>
    <x v="0"/>
    <x v="4"/>
    <x v="2"/>
    <n v="3"/>
    <s v="Prof. Vikram Gupta"/>
  </r>
  <r>
    <s v="STU0108"/>
    <s v="Riya Yadav"/>
    <x v="0"/>
    <n v="23"/>
    <x v="2"/>
    <n v="4.62"/>
    <n v="4.26"/>
    <n v="4.62"/>
    <n v="4.3499999999999996"/>
    <n v="4.32"/>
    <n v="3.7"/>
    <n v="3.69"/>
    <n v="4.03"/>
    <n v="3.52"/>
    <n v="3.86"/>
    <x v="99"/>
    <n v="4.43"/>
    <n v="3.7600000000000002"/>
    <n v="97.128600410000004"/>
    <n v="70.816280800000001"/>
    <n v="80.857295109999995"/>
    <n v="62.691631719999997"/>
    <n v="86.842312609999993"/>
    <n v="79.195138569999997"/>
    <n v="72.452581620000004"/>
    <n v="57.294561819999998"/>
    <n v="26.312319610000003"/>
    <n v="18.165663389999999"/>
    <n v="7.6471740399999959"/>
    <n v="15.158019800000005"/>
    <x v="2"/>
    <x v="4"/>
    <x v="4"/>
    <n v="3"/>
    <s v="Prof. Vikram Gupta"/>
  </r>
  <r>
    <s v="STU0109"/>
    <s v="Rohit Puri"/>
    <x v="1"/>
    <n v="20"/>
    <x v="0"/>
    <n v="4.4000000000000004"/>
    <n v="3.82"/>
    <n v="4.22"/>
    <n v="4.45"/>
    <n v="3.25"/>
    <n v="4.04"/>
    <s v="N/A"/>
    <n v="4.2300000000000004"/>
    <n v="4.5199999999999996"/>
    <n v="3.27"/>
    <x v="30"/>
    <n v="4.03"/>
    <n v="4.0149999999999997"/>
    <n v="97.165370229999994"/>
    <n v="69.954533999999995"/>
    <n v="73.190204379999997"/>
    <n v="57.422164170000002"/>
    <n v="80.581252599999999"/>
    <n v="74.738913210000007"/>
    <n v="72.420314590000004"/>
    <n v="56.808086119999999"/>
    <n v="27.210836229999998"/>
    <n v="15.768040209999995"/>
    <n v="5.8423393899999922"/>
    <n v="15.612228470000005"/>
    <x v="0"/>
    <x v="0"/>
    <x v="0"/>
    <n v="3"/>
    <s v="Prof. Rahul Singh"/>
  </r>
  <r>
    <s v="STU0110"/>
    <s v="Divya Dasari"/>
    <x v="1"/>
    <n v="20"/>
    <x v="0"/>
    <n v="4"/>
    <n v="3.98"/>
    <n v="3.79"/>
    <s v=" 3.1 "/>
    <n v="3.62"/>
    <n v="3.98"/>
    <n v="3.58"/>
    <n v="4.59"/>
    <n v="3.63"/>
    <n v="4.41"/>
    <x v="100"/>
    <n v="3.85"/>
    <n v="4.0380000000000003"/>
    <n v="90.504890130000007"/>
    <n v="72.293583670000004"/>
    <n v="84.762243179999999"/>
    <n v="68.896664619999996"/>
    <n v="81.244570730000007"/>
    <n v="73.377073629999998"/>
    <n v="71.741102780000006"/>
    <n v="56.279986839999999"/>
    <n v="18.211306460000003"/>
    <n v="15.865578560000003"/>
    <n v="7.8674971000000085"/>
    <n v="15.461115940000006"/>
    <x v="1"/>
    <x v="4"/>
    <x v="4"/>
    <n v="3"/>
    <s v="Prof. Vikram Gupta"/>
  </r>
  <r>
    <s v="STU0111"/>
    <s v="Simran Aggrawal"/>
    <x v="0"/>
    <n v="27"/>
    <x v="3"/>
    <n v="4.16"/>
    <n v="3.6"/>
    <n v="4.18"/>
    <n v="4.1100000000000003"/>
    <n v="3.94"/>
    <n v="3.81"/>
    <n v="3.97"/>
    <n v="3.59"/>
    <n v="4.59"/>
    <n v="3.69"/>
    <x v="101"/>
    <n v="4"/>
    <n v="3.9300000000000006"/>
    <n v="78.562246979999998"/>
    <n v="70.462360889999999"/>
    <n v="75.336569569999995"/>
    <n v="61.223084309999997"/>
    <n v="97.755472600000004"/>
    <n v="75.859706950000003"/>
    <n v="65.550063780000002"/>
    <n v="58.965367399999998"/>
    <n v="8.0998860899999983"/>
    <n v="14.113485259999997"/>
    <n v="21.895765650000001"/>
    <n v="6.584696380000004"/>
    <x v="0"/>
    <x v="1"/>
    <x v="0"/>
    <n v="3"/>
    <s v="Dr. Rohan Dutta"/>
  </r>
  <r>
    <s v="STU0112"/>
    <s v="Kavya Chatterjee"/>
    <x v="0"/>
    <n v="23"/>
    <x v="2"/>
    <n v="3.9"/>
    <n v="3.96"/>
    <n v="3.56"/>
    <n v="4.7300000000000004"/>
    <n v="3.95"/>
    <n v="3.75"/>
    <n v="3.43"/>
    <n v="3.63"/>
    <n v="3.94"/>
    <n v="4.34"/>
    <x v="102"/>
    <n v="4.0199999999999996"/>
    <n v="3.8179999999999992"/>
    <n v="88.339541299999993"/>
    <n v="65.975786549999995"/>
    <n v="77.768687020000002"/>
    <n v="66.401459990000006"/>
    <n v="80.908874900000001"/>
    <n v="73.554537159999995"/>
    <n v="72.804343209999999"/>
    <n v="66.230151149999998"/>
    <n v="22.363754749999998"/>
    <n v="11.367227029999995"/>
    <n v="7.3543377400000054"/>
    <n v="6.5741920600000014"/>
    <x v="0"/>
    <x v="0"/>
    <x v="3"/>
    <n v="3"/>
    <s v="Prof. Rahul Singh"/>
  </r>
  <r>
    <s v="STU0113"/>
    <s v="Anirudh Chopra"/>
    <x v="1"/>
    <n v="26"/>
    <x v="3"/>
    <n v="3.76"/>
    <n v="3.52"/>
    <n v="4.0199999999999996"/>
    <n v="3.56"/>
    <n v="3.6"/>
    <s v="N/A"/>
    <n v="3.78"/>
    <n v="4.1900000000000004"/>
    <n v="3.92"/>
    <n v="4.2"/>
    <x v="103"/>
    <n v="3.69"/>
    <n v="4.0225"/>
    <n v="75"/>
    <n v="60"/>
    <n v="80.258653649999999"/>
    <n v="62.77020589"/>
    <n v="94.679254349999994"/>
    <n v="79.572679809999997"/>
    <n v="67.807920210000006"/>
    <n v="57.073870759999998"/>
    <n v="15"/>
    <n v="17.48844776"/>
    <n v="15.106574539999997"/>
    <n v="10.734049450000008"/>
    <x v="1"/>
    <x v="1"/>
    <x v="3"/>
    <n v="3"/>
    <s v="Dr. Rohan Dutta"/>
  </r>
  <r>
    <s v="STU0114"/>
    <s v="Chandan Jjain"/>
    <x v="1"/>
    <n v="25"/>
    <x v="2"/>
    <n v="4.4000000000000004"/>
    <n v="3.93"/>
    <n v="4.08"/>
    <n v="4.22"/>
    <n v="4.5999999999999996"/>
    <n v="4.34"/>
    <n v="4.49"/>
    <n v="4.38"/>
    <n v="4.3899999999999997"/>
    <n v="3.48"/>
    <x v="104"/>
    <n v="4.25"/>
    <n v="4.2160000000000002"/>
    <n v="85.640322409999996"/>
    <n v="65.794366740000001"/>
    <n v="82.215766810000005"/>
    <n v="67.725019459999999"/>
    <n v="93.733221090000001"/>
    <n v="77.489880009999993"/>
    <n v="76.210308220000002"/>
    <n v="50"/>
    <n v="19.845955669999995"/>
    <n v="14.490747350000007"/>
    <n v="16.243341080000008"/>
    <n v="26.210308220000002"/>
    <x v="2"/>
    <x v="3"/>
    <x v="1"/>
    <n v="3"/>
    <s v="Prof. Kavita Rao"/>
  </r>
  <r>
    <s v="STU0115"/>
    <s v="Sneha Bhateja"/>
    <x v="0"/>
    <n v="22"/>
    <x v="0"/>
    <n v="4.37"/>
    <n v="3.74"/>
    <n v="3.9"/>
    <n v="3.94"/>
    <n v="4.26"/>
    <n v="4.5"/>
    <n v="3.56"/>
    <n v="3.56"/>
    <n v="4.03"/>
    <n v="3.96"/>
    <x v="40"/>
    <n v="4.04"/>
    <n v="3.9220000000000006"/>
    <n v="81.879815219999998"/>
    <n v="73.555382179999995"/>
    <n v="76.417470960000003"/>
    <n v="66.009149410000006"/>
    <n v="88.132050239999998"/>
    <n v="70.706037010000003"/>
    <n v="72.277194690000002"/>
    <n v="57.843837729999997"/>
    <n v="8.3244330400000024"/>
    <n v="10.408321549999997"/>
    <n v="17.426013229999995"/>
    <n v="14.433356960000005"/>
    <x v="0"/>
    <x v="4"/>
    <x v="2"/>
    <n v="3"/>
    <s v="Prof. Vikram Gupta"/>
  </r>
  <r>
    <s v="STU0116"/>
    <s v="Anshul Oberooi"/>
    <x v="1"/>
    <n v="25"/>
    <x v="2"/>
    <n v="4.4800000000000004"/>
    <n v="3.97"/>
    <n v="4.0599999999999996"/>
    <s v="N/A"/>
    <n v="4.07"/>
    <n v="4.29"/>
    <n v="4.5999999999999996"/>
    <n v="3.93"/>
    <n v="4.22"/>
    <n v="3.93"/>
    <x v="105"/>
    <n v="4.1500000000000004"/>
    <n v="4.194"/>
    <n v="88.292161780000001"/>
    <n v="71.572738450000003"/>
    <n v="75.833124659999996"/>
    <n v="58.076133390000003"/>
    <n v="91.443687969999999"/>
    <n v="78.991510980000001"/>
    <n v="76.881335879999995"/>
    <n v="56.269634869999997"/>
    <n v="16.719423329999998"/>
    <n v="17.756991269999993"/>
    <n v="12.452176989999998"/>
    <n v="20.611701009999997"/>
    <x v="0"/>
    <x v="4"/>
    <x v="1"/>
    <n v="3"/>
    <s v="Prof. Vikram Gupta"/>
  </r>
  <r>
    <s v="STU0117"/>
    <s v="Yogesh Marathe"/>
    <x v="1"/>
    <n v="29"/>
    <x v="1"/>
    <n v="3.8"/>
    <n v="4.1100000000000003"/>
    <n v="3.76"/>
    <n v="4.3099999999999996"/>
    <n v="4.63"/>
    <n v="3.93"/>
    <n v="4.1100000000000003"/>
    <n v="3.88"/>
    <n v="4.05"/>
    <n v="4.51"/>
    <x v="18"/>
    <n v="4.12"/>
    <n v="4.096000000000001"/>
    <n v="94.862989330000005"/>
    <n v="60"/>
    <n v="79.805978440000004"/>
    <n v="65.652456700000002"/>
    <n v="80"/>
    <n v="84.61026828"/>
    <n v="72.775631829999995"/>
    <n v="59.159786439999998"/>
    <n v="34.862989330000005"/>
    <n v="14.153521740000002"/>
    <n v="-4.6102682799999997"/>
    <n v="13.615845389999997"/>
    <x v="0"/>
    <x v="3"/>
    <x v="3"/>
    <n v="3"/>
    <s v="Prof. Kavita Rao"/>
  </r>
  <r>
    <s v="STU0118"/>
    <s v="Bhaskar Shukla"/>
    <x v="1"/>
    <n v="22"/>
    <x v="0"/>
    <n v="3.96"/>
    <n v="3.68"/>
    <n v="4.1399999999999997"/>
    <n v="4.1399999999999997"/>
    <n v="4.24"/>
    <n v="4.3499999999999996"/>
    <n v="3.45"/>
    <n v="4"/>
    <n v="4.6399999999999997"/>
    <n v="4.43"/>
    <x v="106"/>
    <n v="4.03"/>
    <n v="4.1740000000000004"/>
    <n v="80.34552884"/>
    <n v="62.739240709999997"/>
    <n v="70"/>
    <n v="71.707329759999993"/>
    <n v="90.551502450000001"/>
    <n v="73.246246720000002"/>
    <n v="68.187310510000003"/>
    <n v="57.124647430000003"/>
    <n v="17.606288130000003"/>
    <n v="-1.7073297599999933"/>
    <n v="17.305255729999999"/>
    <n v="11.06266308"/>
    <x v="0"/>
    <x v="3"/>
    <x v="0"/>
    <n v="3"/>
    <s v="Prof. Kavita Rao"/>
  </r>
  <r>
    <s v="STU0119"/>
    <s v="Riya Khatri"/>
    <x v="0"/>
    <n v="28"/>
    <x v="3"/>
    <n v="4.3499999999999996"/>
    <n v="3.91"/>
    <n v="3.8"/>
    <n v="4.24"/>
    <n v="3.95"/>
    <n v="4.1399999999999997"/>
    <n v="4.09"/>
    <s v="N/A"/>
    <n v="4.46"/>
    <n v="4.3499999999999996"/>
    <x v="107"/>
    <n v="4.05"/>
    <n v="4.26"/>
    <n v="83.449529159999997"/>
    <n v="78.852188859999998"/>
    <n v="77.382151910000005"/>
    <n v="69.692219300000005"/>
    <n v="99.9"/>
    <n v="81.456899519999993"/>
    <n v="70.929750429999999"/>
    <n v="62.309085959999997"/>
    <n v="4.597340299999999"/>
    <n v="7.6899326099999996"/>
    <n v="18.443100480000012"/>
    <n v="8.6206644700000012"/>
    <x v="0"/>
    <x v="4"/>
    <x v="0"/>
    <n v="3"/>
    <s v="Prof. Vikram Gupta"/>
  </r>
  <r>
    <s v="STU0120"/>
    <s v="Kavya Kaur"/>
    <x v="0"/>
    <n v="28"/>
    <x v="3"/>
    <n v="4.22"/>
    <n v="4.25"/>
    <n v="4.29"/>
    <n v="3.62"/>
    <n v="4.37"/>
    <n v="4.43"/>
    <n v="4.0199999999999996"/>
    <n v="4.0599999999999996"/>
    <n v="4.2699999999999996"/>
    <n v="4.17"/>
    <x v="108"/>
    <n v="4.1500000000000004"/>
    <n v="4.1899999999999995"/>
    <n v="78.393661789999996"/>
    <n v="66.027561309999996"/>
    <n v="81.932877469999994"/>
    <n v="61.224986309999998"/>
    <n v="87.221036359999999"/>
    <n v="81.589569499999996"/>
    <n v="68.536849860000004"/>
    <n v="56.961141179999998"/>
    <n v="12.36610048"/>
    <n v="20.707891159999996"/>
    <n v="5.6314668600000033"/>
    <n v="11.575708680000005"/>
    <x v="0"/>
    <x v="3"/>
    <x v="2"/>
    <n v="3"/>
    <s v="Prof. Kavita Rao"/>
  </r>
  <r>
    <s v="STU0121"/>
    <s v="Preeti Jani"/>
    <x v="0"/>
    <n v="26"/>
    <x v="3"/>
    <n v="3.56"/>
    <n v="4.3099999999999996"/>
    <n v="4.0599999999999996"/>
    <n v="4.21"/>
    <n v="4.08"/>
    <n v="4.51"/>
    <n v="3.97"/>
    <n v="3.97"/>
    <n v="4.25"/>
    <s v="N/A"/>
    <x v="109"/>
    <n v="4.04"/>
    <n v="4.1750000000000007"/>
    <n v="83.860455279999996"/>
    <n v="66.979553330000002"/>
    <n v="77.913166129999993"/>
    <n v="62.70737226"/>
    <n v="99.457873649999996"/>
    <n v="78.914597229999998"/>
    <n v="69.922667000000004"/>
    <n v="52.478717549999999"/>
    <n v="16.880901949999995"/>
    <n v="15.205793869999994"/>
    <n v="20.543276419999998"/>
    <n v="17.443949450000005"/>
    <x v="0"/>
    <x v="2"/>
    <x v="2"/>
    <n v="3"/>
    <s v="Prof. Rajesh Mukherjee"/>
  </r>
  <r>
    <s v="STU0122"/>
    <s v="Usha Raaj"/>
    <x v="0"/>
    <n v="28"/>
    <x v="3"/>
    <n v="3.77"/>
    <n v="3.74"/>
    <n v="4"/>
    <n v="3.79"/>
    <n v="4.3499999999999996"/>
    <n v="4.05"/>
    <n v="3.86"/>
    <n v="3.96"/>
    <n v="3.86"/>
    <n v="3.71"/>
    <x v="110"/>
    <n v="3.93"/>
    <n v="3.8880000000000003"/>
    <n v="77.63082679"/>
    <n v="60"/>
    <n v="83.590013170000006"/>
    <n v="58.183280850000003"/>
    <n v="98.763581790000003"/>
    <n v="82.784377719999995"/>
    <n v="74.917754189999997"/>
    <n v="55.624064230000002"/>
    <n v="17.63082679"/>
    <n v="25.406732320000003"/>
    <n v="15.979204070000009"/>
    <n v="19.293689959999995"/>
    <x v="0"/>
    <x v="3"/>
    <x v="2"/>
    <n v="3"/>
    <s v="Prof. Kavita Rao"/>
  </r>
  <r>
    <s v="STU0123"/>
    <s v="Yuvraj Narayan"/>
    <x v="1"/>
    <n v="21"/>
    <x v="0"/>
    <n v="4.43"/>
    <n v="3.93"/>
    <n v="4.1399999999999997"/>
    <n v="3.68"/>
    <n v="4.7"/>
    <n v="4.13"/>
    <n v="4.3499999999999996"/>
    <n v="4.1399999999999997"/>
    <n v="3.68"/>
    <n v="4.43"/>
    <x v="111"/>
    <n v="4.18"/>
    <n v="4.1459999999999999"/>
    <n v="85.546968449999994"/>
    <n v="73.295622719999997"/>
    <n v="70.226863249999994"/>
    <n v="68.154790640000002"/>
    <n v="89.142822809999998"/>
    <n v="73.723951659999997"/>
    <n v="75.596978210000003"/>
    <n v="60.421235729999999"/>
    <n v="12.251345729999997"/>
    <n v="2.0720726099999922"/>
    <n v="15.418871150000001"/>
    <n v="15.175742480000004"/>
    <x v="0"/>
    <x v="3"/>
    <x v="3"/>
    <n v="3"/>
    <s v="Prof. Kavita Rao"/>
  </r>
  <r>
    <s v="STU0124"/>
    <s v="Manju Narayan"/>
    <x v="1"/>
    <n v="23"/>
    <x v="2"/>
    <n v="3.76"/>
    <n v="4.4800000000000004"/>
    <n v="3.67"/>
    <n v="3.65"/>
    <n v="4.0199999999999996"/>
    <n v="3.76"/>
    <n v="4.4400000000000004"/>
    <n v="4.16"/>
    <n v="4.13"/>
    <n v="3.87"/>
    <x v="112"/>
    <n v="3.92"/>
    <n v="4.0720000000000001"/>
    <n v="99.9"/>
    <n v="67.711277359999997"/>
    <n v="82.044590529999994"/>
    <n v="62.117615110000003"/>
    <n v="87.587564920000005"/>
    <n v="81.378009180000006"/>
    <n v="71.005991600000002"/>
    <n v="63.269888520000002"/>
    <n v="32.188722640000009"/>
    <n v="19.926975419999991"/>
    <n v="6.209555739999999"/>
    <n v="7.7361030799999995"/>
    <x v="0"/>
    <x v="2"/>
    <x v="1"/>
    <n v="3"/>
    <s v="Prof. Rajesh Mukherjee"/>
  </r>
  <r>
    <s v="STU0125"/>
    <s v="Aadhya Waliia"/>
    <x v="0"/>
    <n v="23"/>
    <x v="2"/>
    <n v="3.65"/>
    <n v="3.62"/>
    <n v="4.5599999999999996"/>
    <n v="4.26"/>
    <n v="3.79"/>
    <n v="4.12"/>
    <s v="N/A"/>
    <n v="4.1100000000000003"/>
    <n v="4.7699999999999996"/>
    <n v="4.24"/>
    <x v="113"/>
    <n v="3.98"/>
    <n v="4.3100000000000005"/>
    <n v="90.633831700000002"/>
    <n v="68.235768719999996"/>
    <n v="84.545534889999999"/>
    <n v="71.394955870000004"/>
    <n v="80"/>
    <n v="85"/>
    <n v="69.989077030000004"/>
    <n v="54.039675410000001"/>
    <n v="22.398062980000006"/>
    <n v="13.150579019999995"/>
    <n v="-5"/>
    <n v="15.949401620000003"/>
    <x v="0"/>
    <x v="1"/>
    <x v="0"/>
    <n v="3"/>
    <s v="Dr. Rohan Dutta"/>
  </r>
  <r>
    <s v="STU0126"/>
    <s v="Rekha Kalra"/>
    <x v="0"/>
    <n v="29"/>
    <x v="1"/>
    <n v="4.45"/>
    <n v="4.0199999999999996"/>
    <n v="4.04"/>
    <n v="4.59"/>
    <n v="4.16"/>
    <n v="4.33"/>
    <n v="4.17"/>
    <n v="3.42"/>
    <n v="3.97"/>
    <n v="4.1900000000000004"/>
    <x v="114"/>
    <n v="4.25"/>
    <n v="4.016"/>
    <n v="94.712903179999998"/>
    <n v="66.679473400000006"/>
    <n v="76.158257579999997"/>
    <n v="68.843485909999998"/>
    <n v="84.493498369999998"/>
    <n v="80.262444700000003"/>
    <n v="72.048100509999998"/>
    <n v="69.210919700000005"/>
    <n v="28.033429779999992"/>
    <n v="7.3147716699999989"/>
    <n v="4.2310536699999943"/>
    <n v="2.8371808099999924"/>
    <x v="2"/>
    <x v="0"/>
    <x v="2"/>
    <n v="3"/>
    <s v="Prof. Rahul Singh"/>
  </r>
  <r>
    <s v="STU0127"/>
    <s v="Kiran Lamba"/>
    <x v="1"/>
    <n v="26"/>
    <x v="3"/>
    <n v="4.46"/>
    <n v="3.71"/>
    <n v="4.3"/>
    <s v="N/A"/>
    <n v="4.42"/>
    <n v="3.99"/>
    <n v="3.32"/>
    <n v="4.0599999999999996"/>
    <n v="3.48"/>
    <n v="3.98"/>
    <x v="115"/>
    <n v="4.22"/>
    <n v="3.7660000000000005"/>
    <n v="79.739079559999993"/>
    <n v="67.614747249999994"/>
    <n v="74.116830480000004"/>
    <n v="63.307747569999997"/>
    <n v="86.34307613"/>
    <n v="81.214236720000002"/>
    <n v="66.884504440000001"/>
    <n v="54.362441760000003"/>
    <n v="12.12433231"/>
    <n v="10.809082910000008"/>
    <n v="5.1288394099999977"/>
    <n v="12.522062679999998"/>
    <x v="2"/>
    <x v="4"/>
    <x v="4"/>
    <n v="3"/>
    <s v="Prof. Vikram Gupta"/>
  </r>
  <r>
    <s v="STU0128"/>
    <s v="Atharv Chatterjee"/>
    <x v="1"/>
    <n v="22"/>
    <x v="0"/>
    <n v="3.1"/>
    <n v="4.49"/>
    <n v="4.16"/>
    <n v="4.29"/>
    <n v="4.28"/>
    <n v="4.22"/>
    <n v="3.95"/>
    <n v="4.38"/>
    <n v="4.01"/>
    <n v="3.86"/>
    <x v="43"/>
    <n v="4.0599999999999996"/>
    <n v="4.0840000000000005"/>
    <n v="85.436774540000002"/>
    <n v="60"/>
    <n v="80.753416779999995"/>
    <n v="64.050823510000001"/>
    <n v="86.101359849999994"/>
    <n v="76.611816050000002"/>
    <n v="66.862879430000007"/>
    <n v="51.229871680000002"/>
    <n v="25.436774540000002"/>
    <n v="16.702593269999994"/>
    <n v="9.4895437999999928"/>
    <n v="15.633007750000004"/>
    <x v="0"/>
    <x v="2"/>
    <x v="4"/>
    <n v="3"/>
    <s v="Prof. Rajesh Mukherjee"/>
  </r>
  <r>
    <s v="STU0129"/>
    <s v="Myra Khatri"/>
    <x v="0"/>
    <n v="29"/>
    <x v="1"/>
    <n v="3.56"/>
    <n v="4.22"/>
    <n v="4.43"/>
    <n v="3.82"/>
    <n v="3.63"/>
    <n v="4.2300000000000004"/>
    <n v="4.08"/>
    <n v="3.94"/>
    <n v="3.89"/>
    <n v="3.76"/>
    <x v="116"/>
    <n v="3.93"/>
    <n v="3.9799999999999995"/>
    <n v="78.565185360000001"/>
    <n v="65.116616339999993"/>
    <n v="76.897090689999999"/>
    <n v="67.76487693"/>
    <n v="92.690855209999995"/>
    <n v="73.429272760000003"/>
    <n v="74.597231809999997"/>
    <n v="63.813843949999999"/>
    <n v="13.448569020000008"/>
    <n v="9.1322137599999991"/>
    <n v="19.261582449999992"/>
    <n v="10.783387859999998"/>
    <x v="0"/>
    <x v="1"/>
    <x v="2"/>
    <n v="3"/>
    <s v="Dr. Rohan Dutta"/>
  </r>
  <r>
    <s v="STU0130"/>
    <s v="Rekha Ramesh"/>
    <x v="0"/>
    <n v="28"/>
    <x v="3"/>
    <n v="4.22"/>
    <n v="4"/>
    <n v="3.61"/>
    <n v="3.7"/>
    <n v="4.17"/>
    <n v="4.08"/>
    <n v="4.0999999999999996"/>
    <n v="3.75"/>
    <s v="3,74"/>
    <n v="4.33"/>
    <x v="117"/>
    <n v="3.94"/>
    <n v="4.0649999999999995"/>
    <n v="81.235271370000007"/>
    <n v="60"/>
    <n v="70"/>
    <n v="75"/>
    <n v="86.337643979999996"/>
    <n v="72.098316030000007"/>
    <n v="69.526521310000007"/>
    <n v="51.51578997"/>
    <n v="21.235271370000007"/>
    <n v="-5"/>
    <n v="14.239327949999989"/>
    <n v="18.010731340000007"/>
    <x v="0"/>
    <x v="4"/>
    <x v="3"/>
    <n v="3"/>
    <s v="Prof. Vikram Gupta"/>
  </r>
  <r>
    <s v="STU0131"/>
    <s v="Anamiika Iyer"/>
    <x v="1"/>
    <n v="29"/>
    <x v="1"/>
    <n v="3.71"/>
    <n v="3.35"/>
    <n v="3.67"/>
    <n v="4.4400000000000004"/>
    <n v="3.7"/>
    <n v="3.87"/>
    <n v="3.68"/>
    <n v="4.33"/>
    <n v="4.05"/>
    <n v="4.21"/>
    <x v="118"/>
    <n v="3.77"/>
    <n v="4.0280000000000005"/>
    <n v="85.489238459999996"/>
    <n v="62.334472650000002"/>
    <n v="80.819061579999996"/>
    <n v="66.962604880000001"/>
    <n v="81.869441449999997"/>
    <n v="79.286583140000005"/>
    <n v="74.627422339999995"/>
    <n v="58.102692279999999"/>
    <n v="23.154765809999994"/>
    <n v="13.856456699999995"/>
    <n v="2.5828583099999918"/>
    <n v="16.524730059999996"/>
    <x v="1"/>
    <x v="0"/>
    <x v="4"/>
    <n v="3"/>
    <s v="Prof. Rahul Singh"/>
  </r>
  <r>
    <s v="STU0132"/>
    <s v="Nandini Bose"/>
    <x v="1"/>
    <n v="21"/>
    <x v="0"/>
    <n v="3.35"/>
    <n v="3.97"/>
    <n v="4.46"/>
    <n v="4.42"/>
    <n v="3.99"/>
    <n v="3.84"/>
    <n v="3.67"/>
    <n v="3.73"/>
    <n v="4.26"/>
    <n v="4.05"/>
    <x v="119"/>
    <n v="4.04"/>
    <n v="3.91"/>
    <n v="83.908405400000007"/>
    <n v="73.382811239999995"/>
    <n v="79.970282580000003"/>
    <n v="70.971136979999997"/>
    <n v="95.664048289999997"/>
    <n v="83.57676773"/>
    <n v="68.81539884"/>
    <n v="59.593124060000001"/>
    <n v="10.525594160000011"/>
    <n v="8.9991456000000056"/>
    <n v="12.087280559999996"/>
    <n v="9.2222747799999993"/>
    <x v="0"/>
    <x v="1"/>
    <x v="0"/>
    <n v="3"/>
    <s v="Dr. Rohan Dutta"/>
  </r>
  <r>
    <s v="STU0133"/>
    <s v="Akash Kumar"/>
    <x v="1"/>
    <n v="26"/>
    <x v="3"/>
    <n v="3.4"/>
    <n v="4.25"/>
    <n v="3.92"/>
    <s v="N/A"/>
    <n v="3.79"/>
    <n v="3.49"/>
    <n v="3.92"/>
    <n v="4.32"/>
    <n v="4.42"/>
    <n v="4.21"/>
    <x v="120"/>
    <n v="3.84"/>
    <n v="4.0720000000000001"/>
    <n v="80.935797320000006"/>
    <n v="65.618215190000001"/>
    <n v="90"/>
    <n v="63.715516620000002"/>
    <n v="81.66721253"/>
    <n v="82.925443110000003"/>
    <n v="71.117185829999997"/>
    <n v="62.126310539999999"/>
    <n v="15.317582130000005"/>
    <n v="26.284483379999998"/>
    <n v="-1.2582305800000029"/>
    <n v="8.9908752899999982"/>
    <x v="1"/>
    <x v="2"/>
    <x v="0"/>
    <n v="3"/>
    <s v="Prof. Rajesh Mukherjee"/>
  </r>
  <r>
    <s v="STU0134"/>
    <s v="Devika Rameesh"/>
    <x v="0"/>
    <n v="21"/>
    <x v="0"/>
    <n v="3.88"/>
    <n v="3.34"/>
    <n v="3.68"/>
    <n v="3.62"/>
    <n v="3.89"/>
    <n v="4.04"/>
    <n v="4.0999999999999996"/>
    <n v="4.22"/>
    <s v="N/A"/>
    <n v="3.98"/>
    <x v="121"/>
    <n v="3.68"/>
    <n v="4.085"/>
    <n v="90.172266250000007"/>
    <n v="65.009218959999998"/>
    <n v="82.859036709999998"/>
    <n v="67.454859299999995"/>
    <n v="86.233391150000003"/>
    <n v="80.724685019999995"/>
    <n v="74.123948540000001"/>
    <n v="70"/>
    <n v="25.163047290000009"/>
    <n v="15.404177410000003"/>
    <n v="5.5087061300000073"/>
    <n v="4.1239485400000007"/>
    <x v="1"/>
    <x v="3"/>
    <x v="4"/>
    <n v="3"/>
    <s v="Prof. Kavita Rao"/>
  </r>
  <r>
    <s v="STU0135"/>
    <s v="Saurabh Kher"/>
    <x v="1"/>
    <n v="24"/>
    <x v="2"/>
    <n v="3.16"/>
    <n v="4.24"/>
    <n v="4.51"/>
    <n v="4.53"/>
    <n v="4.3499999999999996"/>
    <n v="4.18"/>
    <n v="3.97"/>
    <n v="3.69"/>
    <n v="3.77"/>
    <n v="4.22"/>
    <x v="122"/>
    <n v="4.16"/>
    <n v="3.9659999999999997"/>
    <n v="93.131461020000003"/>
    <n v="73.457842729999996"/>
    <n v="70"/>
    <n v="69.262207250000003"/>
    <n v="91.383665590000007"/>
    <n v="78.178579869999993"/>
    <n v="69.309953579999998"/>
    <n v="54.644854420000001"/>
    <n v="19.673618290000007"/>
    <n v="0.737792749999997"/>
    <n v="13.205085720000014"/>
    <n v="14.665099159999997"/>
    <x v="0"/>
    <x v="0"/>
    <x v="3"/>
    <n v="3"/>
    <s v="Prof. Rahul Singh"/>
  </r>
  <r>
    <s v="STU0136"/>
    <s v="Rajendra Kumar"/>
    <x v="1"/>
    <n v="28"/>
    <x v="3"/>
    <n v="4.25"/>
    <n v="4.25"/>
    <n v="4.37"/>
    <n v="4.21"/>
    <n v="3.88"/>
    <n v="4.03"/>
    <n v="4.24"/>
    <n v="3.69"/>
    <n v="3.58"/>
    <n v="3.76"/>
    <x v="123"/>
    <n v="4.1900000000000004"/>
    <n v="3.8599999999999994"/>
    <n v="82.269599650000004"/>
    <n v="67.848530449999998"/>
    <n v="80.438034029999997"/>
    <n v="64.755455339999997"/>
    <n v="98.566274070000006"/>
    <n v="81.23645046"/>
    <n v="75.898684410000001"/>
    <n v="64.644825109999999"/>
    <n v="14.421069200000005"/>
    <n v="15.68257869"/>
    <n v="17.329823610000005"/>
    <n v="11.253859300000002"/>
    <x v="0"/>
    <x v="1"/>
    <x v="1"/>
    <n v="3"/>
    <s v="Dr. Rohan Dutta"/>
  </r>
  <r>
    <s v="STU0137"/>
    <s v="Tanvi Kohir"/>
    <x v="0"/>
    <n v="20"/>
    <x v="0"/>
    <n v="3.41"/>
    <n v="4.04"/>
    <n v="4.24"/>
    <n v="3.71"/>
    <n v="3.99"/>
    <n v="4.2300000000000004"/>
    <n v="4.26"/>
    <n v="3.96"/>
    <n v="4.42"/>
    <n v="3.92"/>
    <x v="124"/>
    <n v="3.88"/>
    <n v="4.1579999999999995"/>
    <n v="84.856100299999994"/>
    <n v="61.275485320000001"/>
    <n v="81.752542969999993"/>
    <n v="70.288108980000004"/>
    <n v="89.668311779999996"/>
    <n v="77.915398940000003"/>
    <n v="73.507412000000002"/>
    <n v="62.73240328"/>
    <n v="23.580614979999993"/>
    <n v="11.464433989999989"/>
    <n v="11.752912839999993"/>
    <n v="10.775008720000002"/>
    <x v="1"/>
    <x v="1"/>
    <x v="0"/>
    <n v="3"/>
    <s v="Dr. Rohan Dutta"/>
  </r>
  <r>
    <s v="STU0138"/>
    <s v="Prerna Chatterjee"/>
    <x v="0"/>
    <n v="26"/>
    <x v="3"/>
    <n v="4.05"/>
    <n v="4.5"/>
    <n v="3.89"/>
    <n v="4"/>
    <n v="3.92"/>
    <n v="4.42"/>
    <n v="3.86"/>
    <n v="4.05"/>
    <n v="4.22"/>
    <n v="3.98"/>
    <x v="75"/>
    <n v="4.07"/>
    <n v="4.1059999999999999"/>
    <n v="80.305808839999997"/>
    <n v="71.289224570000002"/>
    <n v="74.345784969999997"/>
    <n v="62.418456169999999"/>
    <n v="87.649681169999994"/>
    <n v="83.470184880000005"/>
    <n v="74.551782299999999"/>
    <n v="55.780609609999999"/>
    <n v="9.0165842699999956"/>
    <n v="11.927328799999998"/>
    <n v="4.1794962899999888"/>
    <n v="18.77117269"/>
    <x v="0"/>
    <x v="2"/>
    <x v="2"/>
    <n v="3"/>
    <s v="Prof. Rajesh Mukherjee"/>
  </r>
  <r>
    <s v="STU0139"/>
    <s v="Falguni Bhateja"/>
    <x v="0"/>
    <n v="23"/>
    <x v="2"/>
    <n v="4.28"/>
    <n v="3.71"/>
    <n v="4.08"/>
    <n v="3.98"/>
    <n v="4.49"/>
    <n v="4.18"/>
    <n v="3.64"/>
    <n v="3.83"/>
    <n v="4.09"/>
    <n v="3.72"/>
    <x v="125"/>
    <n v="4.1100000000000003"/>
    <n v="3.8920000000000003"/>
    <n v="86.30689898"/>
    <n v="74.824071410000002"/>
    <n v="85.650518840000004"/>
    <n v="64.582053340000002"/>
    <n v="84.93946219"/>
    <n v="77.46506814"/>
    <n v="67.243083380000002"/>
    <n v="69.1765659"/>
    <n v="11.482827569999998"/>
    <n v="21.068465500000002"/>
    <n v="7.4743940500000008"/>
    <n v="-1.9334825199999983"/>
    <x v="0"/>
    <x v="3"/>
    <x v="2"/>
    <n v="3"/>
    <s v="Prof. Kavita Rao"/>
  </r>
  <r>
    <s v="STU0140"/>
    <s v="Pooja Bose"/>
    <x v="0"/>
    <n v="22"/>
    <x v="0"/>
    <n v="4.3600000000000003"/>
    <n v="3.79"/>
    <n v="3.88"/>
    <n v="3.84"/>
    <n v="4.07"/>
    <n v="4.63"/>
    <n v="3.76"/>
    <n v="4.25"/>
    <n v="3.98"/>
    <n v="3.88"/>
    <x v="126"/>
    <n v="3.99"/>
    <n v="4.0999999999999996"/>
    <n v="94.427836659999997"/>
    <n v="67.323771350000001"/>
    <n v="79.981106949999997"/>
    <n v="69.614550690000002"/>
    <n v="97.507492360000001"/>
    <n v="80.70020753"/>
    <n v="71.905789130000002"/>
    <n v="59.053070339999998"/>
    <n v="27.104065309999996"/>
    <n v="10.366556259999996"/>
    <n v="16.80728483"/>
    <n v="12.852718790000004"/>
    <x v="0"/>
    <x v="4"/>
    <x v="2"/>
    <n v="3"/>
    <s v="Prof. Vikram Gupta"/>
  </r>
  <r>
    <s v="STU0141"/>
    <s v="Advikk Xalxo"/>
    <x v="1"/>
    <n v="28"/>
    <x v="3"/>
    <n v="3.77"/>
    <n v="4.1100000000000003"/>
    <n v="4.4400000000000004"/>
    <n v="4.55"/>
    <n v="3.65"/>
    <n v="4.91"/>
    <s v="N/A"/>
    <n v="4.32"/>
    <n v="4.08"/>
    <n v="3.67"/>
    <x v="127"/>
    <n v="4.0999999999999996"/>
    <n v="4.2450000000000001"/>
    <n v="81.091962100000003"/>
    <n v="73.226835370000003"/>
    <n v="72.941413109999999"/>
    <n v="75"/>
    <n v="82.223602080000006"/>
    <n v="70.15154081"/>
    <n v="71.840706670000003"/>
    <n v="68.745965999999996"/>
    <n v="7.8651267300000001"/>
    <n v="-2.0585868900000008"/>
    <n v="12.072061270000006"/>
    <n v="3.0947406700000073"/>
    <x v="0"/>
    <x v="0"/>
    <x v="2"/>
    <n v="3"/>
    <s v="Prof. Rahul Singh"/>
  </r>
  <r>
    <s v="STU0142"/>
    <s v="Anil Bajaj"/>
    <x v="1"/>
    <n v="27"/>
    <x v="3"/>
    <n v="4.0599999999999996"/>
    <n v="4.21"/>
    <n v="3.88"/>
    <n v="4.0999999999999996"/>
    <n v="4.78"/>
    <n v="4.29"/>
    <n v="4.2699999999999996"/>
    <n v="3.8"/>
    <n v="4.72"/>
    <n v="3.89"/>
    <x v="32"/>
    <n v="4.21"/>
    <n v="4.194"/>
    <n v="85.543475029999996"/>
    <n v="76.111300580000005"/>
    <n v="89.18502101"/>
    <n v="73.247659479999996"/>
    <n v="97.670537390000007"/>
    <n v="85"/>
    <n v="69.196137149999998"/>
    <n v="59.568981700000002"/>
    <n v="9.4321744499999909"/>
    <n v="15.937361530000004"/>
    <n v="12.670537390000007"/>
    <n v="9.6271554499999965"/>
    <x v="2"/>
    <x v="3"/>
    <x v="0"/>
    <n v="3"/>
    <s v="Prof. Kavita Rao"/>
  </r>
  <r>
    <s v="STU0143"/>
    <s v="Esha Malhotra"/>
    <x v="0"/>
    <n v="30"/>
    <x v="1"/>
    <n v="4.12"/>
    <n v="4.2300000000000004"/>
    <n v="4.41"/>
    <n v="4.04"/>
    <n v="4.32"/>
    <n v="3.79"/>
    <n v="4.32"/>
    <n v="4.22"/>
    <n v="3.82"/>
    <n v="4.1100000000000003"/>
    <x v="128"/>
    <n v="4.22"/>
    <n v="4.0519999999999996"/>
    <n v="81.633178659999999"/>
    <n v="70.759167880000007"/>
    <n v="78.079108629999993"/>
    <n v="69.349193499999998"/>
    <n v="94.081621190000007"/>
    <n v="82.199024750000007"/>
    <n v="72.547724590000001"/>
    <n v="60.93438544"/>
    <n v="10.874010779999992"/>
    <n v="8.7299151299999949"/>
    <n v="11.88259644"/>
    <n v="11.613339150000002"/>
    <x v="2"/>
    <x v="1"/>
    <x v="1"/>
    <n v="3"/>
    <s v="Dr. Rohan Dutta"/>
  </r>
  <r>
    <s v="STU0144"/>
    <s v="Dinesh Singhania"/>
    <x v="1"/>
    <n v="23"/>
    <x v="2"/>
    <n v="4.3"/>
    <n v="4.13"/>
    <n v="3.55"/>
    <n v="3.7"/>
    <n v="3.93"/>
    <n v="3.82"/>
    <n v="4.2"/>
    <n v="4.0599999999999996"/>
    <n v="4.22"/>
    <n v="4.24"/>
    <x v="129"/>
    <n v="3.92"/>
    <n v="4.1079999999999997"/>
    <n v="84.213273040000004"/>
    <n v="73.905017189999995"/>
    <n v="71.871827960000005"/>
    <n v="68.496292449999999"/>
    <n v="82.033476379999996"/>
    <n v="77.531044879999996"/>
    <n v="69.868586309999998"/>
    <n v="50"/>
    <n v="10.308255850000009"/>
    <n v="3.375535510000006"/>
    <n v="4.5024315000000001"/>
    <n v="19.868586309999998"/>
    <x v="0"/>
    <x v="4"/>
    <x v="3"/>
    <n v="3"/>
    <s v="Prof. Vikram Gupta"/>
  </r>
  <r>
    <s v="STU0145"/>
    <s v="Anshul Bedi"/>
    <x v="1"/>
    <n v="22"/>
    <x v="0"/>
    <n v="3.83"/>
    <n v="4.29"/>
    <n v="3.86"/>
    <n v="3.96"/>
    <n v="3.93"/>
    <n v="4.01"/>
    <n v="3.51"/>
    <n v="4.04"/>
    <n v="3.87"/>
    <n v="5"/>
    <x v="74"/>
    <n v="3.97"/>
    <n v="4.0860000000000003"/>
    <n v="78.43692197"/>
    <n v="71.179829229999996"/>
    <n v="78.060428999999999"/>
    <n v="67.291805640000007"/>
    <n v="99.9"/>
    <n v="80.365039460000006"/>
    <n v="72.065888240000007"/>
    <n v="60.77510667"/>
    <n v="7.2570927400000045"/>
    <n v="10.768623359999992"/>
    <n v="19.53496054"/>
    <n v="11.290781570000007"/>
    <x v="0"/>
    <x v="2"/>
    <x v="3"/>
    <n v="3"/>
    <s v="Prof. Rajesh Mukherjee"/>
  </r>
  <r>
    <s v="STU0146"/>
    <s v="Charul Goel"/>
    <x v="0"/>
    <n v="25"/>
    <x v="2"/>
    <n v="4.1500000000000004"/>
    <n v="4.1500000000000004"/>
    <n v="3.39"/>
    <n v="4.72"/>
    <n v="3.76"/>
    <n v="3.94"/>
    <n v="4.32"/>
    <n v="4.3899999999999997"/>
    <n v="3.98"/>
    <n v="4.0999999999999996"/>
    <x v="130"/>
    <n v="4.03"/>
    <n v="4.145999999999999"/>
    <n v="89.170008229999993"/>
    <n v="71.308076470000003"/>
    <n v="73.918545170000002"/>
    <n v="66.252701360000003"/>
    <n v="95.017844980000007"/>
    <n v="72.035925989999996"/>
    <n v="75.288172880000005"/>
    <n v="57.780846840000002"/>
    <n v="17.86193175999999"/>
    <n v="7.6658438099999984"/>
    <n v="22.981918990000011"/>
    <n v="17.507326040000002"/>
    <x v="0"/>
    <x v="0"/>
    <x v="4"/>
    <n v="3"/>
    <s v="Prof. Rahul Singh"/>
  </r>
  <r>
    <s v="STU0147"/>
    <s v="Sneha Das"/>
    <x v="0"/>
    <n v="22"/>
    <x v="0"/>
    <n v="3.92"/>
    <n v="3.49"/>
    <n v="3.87"/>
    <n v="4.03"/>
    <s v="N/A"/>
    <n v="3.94"/>
    <n v="4.3"/>
    <n v="3.93"/>
    <n v="3.7"/>
    <n v="4.33"/>
    <x v="131"/>
    <n v="3.83"/>
    <n v="4.0400000000000009"/>
    <n v="78.226000839999998"/>
    <n v="77.707509580000007"/>
    <n v="74.481758999999997"/>
    <n v="60.757494319999999"/>
    <n v="80.523243480000005"/>
    <n v="76.829893440000006"/>
    <n v="72.844168359999998"/>
    <n v="52.508756939999998"/>
    <n v="0.51849125999999046"/>
    <n v="13.724264679999997"/>
    <n v="3.6933500399999986"/>
    <n v="20.33541142"/>
    <x v="1"/>
    <x v="0"/>
    <x v="3"/>
    <n v="3"/>
    <s v="Prof. Rahul Singh"/>
  </r>
  <r>
    <s v="STU0148"/>
    <s v="Devika Bhateja"/>
    <x v="0"/>
    <n v="28"/>
    <x v="3"/>
    <n v="3.67"/>
    <n v="4.03"/>
    <n v="3.64"/>
    <n v="4.08"/>
    <n v="3.99"/>
    <n v="4.0599999999999996"/>
    <n v="3.97"/>
    <n v="4.18"/>
    <s v="N/A"/>
    <n v="4.1900000000000004"/>
    <x v="132"/>
    <n v="3.88"/>
    <n v="4.0999999999999996"/>
    <n v="96.753519729999994"/>
    <n v="65.960917850000001"/>
    <n v="74.478655110000005"/>
    <n v="66.619925530000003"/>
    <n v="94.132427250000006"/>
    <n v="77.714374989999996"/>
    <n v="71.59985537"/>
    <n v="65.42788607"/>
    <n v="30.792601879999992"/>
    <n v="7.8587295800000021"/>
    <n v="16.41805226000001"/>
    <n v="6.1719693000000007"/>
    <x v="1"/>
    <x v="0"/>
    <x v="3"/>
    <n v="3"/>
    <s v="Prof. Rahul Singh"/>
  </r>
  <r>
    <s v="STU0149"/>
    <s v="Arjun Vaidya"/>
    <x v="1"/>
    <n v="21"/>
    <x v="0"/>
    <n v="4"/>
    <n v="4.5199999999999996"/>
    <n v="4.46"/>
    <n v="3.98"/>
    <n v="4.0599999999999996"/>
    <n v="4.1500000000000004"/>
    <n v="3.66"/>
    <n v="4.0999999999999996"/>
    <n v="3.95"/>
    <n v="3.51"/>
    <x v="133"/>
    <n v="4.2"/>
    <n v="3.8739999999999997"/>
    <n v="94.624437279999995"/>
    <n v="72.761120919999996"/>
    <n v="87.744439259999993"/>
    <n v="61.259956090000003"/>
    <n v="82.396114679999997"/>
    <n v="80.197186970000004"/>
    <n v="66.144334720000003"/>
    <n v="69.16010172"/>
    <n v="21.863316359999999"/>
    <n v="26.48448316999999"/>
    <n v="2.1989277099999924"/>
    <n v="-3.0157669999999968"/>
    <x v="2"/>
    <x v="2"/>
    <x v="2"/>
    <n v="3"/>
    <s v="Prof. Rajesh Mukherjee"/>
  </r>
  <r>
    <s v="STU0150"/>
    <s v="Taanya Kaur"/>
    <x v="1"/>
    <n v="28"/>
    <x v="3"/>
    <n v="4.1500000000000004"/>
    <n v="3.84"/>
    <n v="3.6"/>
    <n v="3.83"/>
    <n v="4.18"/>
    <n v="4.37"/>
    <s v="N/A"/>
    <n v="4.21"/>
    <n v="4.16"/>
    <n v="4.41"/>
    <x v="134"/>
    <n v="3.92"/>
    <n v="4.2874999999999996"/>
    <n v="87.373678979999994"/>
    <n v="70.218469159999998"/>
    <n v="70"/>
    <n v="69.305569689999999"/>
    <n v="96.081286939999998"/>
    <n v="75.448570889999999"/>
    <n v="67.398668299999997"/>
    <n v="51.139518279999997"/>
    <n v="17.155209819999996"/>
    <n v="0.69443031000000133"/>
    <n v="20.632716049999999"/>
    <n v="16.25915002"/>
    <x v="0"/>
    <x v="3"/>
    <x v="3"/>
    <n v="3"/>
    <s v="Prof. Kavita Rao"/>
  </r>
  <r>
    <s v="STU0151"/>
    <s v="Charrul Uppal"/>
    <x v="1"/>
    <n v="29"/>
    <x v="1"/>
    <n v="4.41"/>
    <n v="3.68"/>
    <n v="4.21"/>
    <n v="4.12"/>
    <n v="4.13"/>
    <n v="4.32"/>
    <n v="3.85"/>
    <n v="3.72"/>
    <n v="3.97"/>
    <n v="4.2300000000000004"/>
    <x v="135"/>
    <n v="4.1100000000000003"/>
    <n v="4.0180000000000007"/>
    <n v="85.367464339999998"/>
    <n v="71.143816990000005"/>
    <n v="82.807671159999998"/>
    <n v="63.847245129999997"/>
    <n v="83.537504350000006"/>
    <n v="75.905087210000005"/>
    <n v="67.527540259999995"/>
    <n v="51.655736589999997"/>
    <n v="14.223647349999993"/>
    <n v="18.960426030000001"/>
    <n v="7.6324171400000012"/>
    <n v="15.871803669999998"/>
    <x v="0"/>
    <x v="4"/>
    <x v="2"/>
    <n v="3"/>
    <s v="Prof. Vikram Gupta"/>
  </r>
  <r>
    <s v="STU0152"/>
    <s v="Alka Jaiin"/>
    <x v="0"/>
    <n v="30"/>
    <x v="1"/>
    <n v="3.59"/>
    <n v="3.91"/>
    <n v="4.38"/>
    <n v="3.69"/>
    <n v="4.13"/>
    <n v="3.81"/>
    <n v="3.25"/>
    <n v="4.13"/>
    <n v="4"/>
    <n v="4.3099999999999996"/>
    <x v="136"/>
    <n v="3.94"/>
    <n v="3.9"/>
    <n v="82.905757859999994"/>
    <n v="70.478375369999995"/>
    <n v="80.471397609999997"/>
    <n v="56.170812820000002"/>
    <n v="80"/>
    <n v="81.953759930000004"/>
    <n v="76.435945610000005"/>
    <n v="58.082969759999997"/>
    <n v="12.427382489999999"/>
    <n v="24.300584789999995"/>
    <n v="-1.9537599300000039"/>
    <n v="18.352975850000007"/>
    <x v="0"/>
    <x v="1"/>
    <x v="3"/>
    <n v="3"/>
    <s v="Dr. Rohan Dutta"/>
  </r>
  <r>
    <s v="STU0153"/>
    <s v="Devika Saini"/>
    <x v="0"/>
    <n v="21"/>
    <x v="0"/>
    <n v="3.91"/>
    <n v="3.58"/>
    <n v="3.69"/>
    <n v="4.08"/>
    <s v="N/A"/>
    <n v="3.77"/>
    <n v="4"/>
    <n v="3.79"/>
    <n v="3.69"/>
    <n v="3.87"/>
    <x v="137"/>
    <n v="3.82"/>
    <n v="3.8239999999999994"/>
    <n v="81.9581132"/>
    <n v="62.050094039999998"/>
    <n v="71.894139379999999"/>
    <n v="70.278182670000007"/>
    <n v="93.185819690000002"/>
    <n v="75.075051070000001"/>
    <n v="79.033799689999995"/>
    <n v="66.536454550000002"/>
    <n v="19.908019160000002"/>
    <n v="1.6159567099999919"/>
    <n v="18.110768620000002"/>
    <n v="12.497345139999993"/>
    <x v="1"/>
    <x v="0"/>
    <x v="1"/>
    <n v="3"/>
    <s v="Prof. Rahul Singh"/>
  </r>
  <r>
    <s v="STU0154"/>
    <s v="Kabir Sahhgal"/>
    <x v="1"/>
    <n v="24"/>
    <x v="2"/>
    <n v="4.5999999999999996"/>
    <n v="3.89"/>
    <n v="3.98"/>
    <n v="4.3099999999999996"/>
    <n v="3.98"/>
    <n v="3.76"/>
    <n v="3.82"/>
    <n v="4.1399999999999997"/>
    <n v="3.84"/>
    <n v="4.08"/>
    <x v="13"/>
    <n v="4.1500000000000004"/>
    <n v="3.9279999999999999"/>
    <n v="87.194615089999999"/>
    <n v="72.447946400000006"/>
    <n v="84.527977430000007"/>
    <n v="64.328422309999993"/>
    <n v="94.943813809999995"/>
    <n v="71.29061514"/>
    <n v="71.366686349999995"/>
    <n v="57.263879529999997"/>
    <n v="14.746668689999993"/>
    <n v="20.199555120000014"/>
    <n v="23.653198669999995"/>
    <n v="14.102806819999998"/>
    <x v="0"/>
    <x v="4"/>
    <x v="4"/>
    <n v="3"/>
    <s v="Prof. Vikram Gupta"/>
  </r>
  <r>
    <s v="STU0155"/>
    <s v="Usha Bhargava"/>
    <x v="0"/>
    <n v="21"/>
    <x v="0"/>
    <n v="4.5"/>
    <s v="N/A"/>
    <n v="4.34"/>
    <n v="4.3899999999999997"/>
    <n v="3.85"/>
    <n v="3.93"/>
    <n v="3.86"/>
    <n v="3.71"/>
    <n v="3.98"/>
    <n v="3.97"/>
    <x v="78"/>
    <n v="4.2699999999999996"/>
    <n v="3.8899999999999997"/>
    <n v="86.532916200000003"/>
    <n v="62.901995130000003"/>
    <n v="70"/>
    <n v="73.566627010000005"/>
    <n v="91.126777279999999"/>
    <n v="73.81585887"/>
    <n v="70.767921540000003"/>
    <n v="55.864537409999997"/>
    <n v="23.630921069999999"/>
    <n v="-3.5666270100000048"/>
    <n v="17.310918409999999"/>
    <n v="14.903384130000006"/>
    <x v="2"/>
    <x v="4"/>
    <x v="0"/>
    <n v="3"/>
    <s v="Prof. Vikram Gupta"/>
  </r>
  <r>
    <s v="STU0156"/>
    <s v="Krishna Dhawan"/>
    <x v="1"/>
    <n v="25"/>
    <x v="2"/>
    <n v="4.0199999999999996"/>
    <n v="3.91"/>
    <n v="4.05"/>
    <n v="4.0199999999999996"/>
    <n v="3.35"/>
    <n v="3.82"/>
    <n v="3.43"/>
    <s v="N/A"/>
    <s v="N/A"/>
    <n v="3.8"/>
    <x v="138"/>
    <n v="3.87"/>
    <n v="3.6833333333333336"/>
    <n v="86.516388070000005"/>
    <n v="66.3917249"/>
    <n v="73.118028940000002"/>
    <n v="63.919637100000003"/>
    <n v="89.379508659999999"/>
    <n v="84.790553320000001"/>
    <n v="75.467013449999996"/>
    <n v="63.774118420000001"/>
    <n v="20.124663170000005"/>
    <n v="9.1983918399999993"/>
    <n v="4.5889553399999983"/>
    <n v="11.692895029999995"/>
    <x v="1"/>
    <x v="1"/>
    <x v="2"/>
    <n v="3"/>
    <s v="Dr. Rohan Dutta"/>
  </r>
  <r>
    <s v="STU0157"/>
    <s v="Sakshi Saini"/>
    <x v="0"/>
    <n v="22"/>
    <x v="0"/>
    <n v="3.85"/>
    <n v="4.47"/>
    <n v="4.17"/>
    <n v="3.97"/>
    <n v="3.7"/>
    <n v="3.87"/>
    <n v="3.92"/>
    <n v="3.31"/>
    <n v="4.22"/>
    <n v="3.95"/>
    <x v="139"/>
    <n v="4.03"/>
    <n v="3.8540000000000001"/>
    <n v="85.481784610000005"/>
    <n v="70.249937450000004"/>
    <n v="73.395198019999995"/>
    <n v="66.227163730000001"/>
    <n v="95.166705339999993"/>
    <n v="74.615979010000004"/>
    <n v="67.114601789999995"/>
    <n v="56.091241519999997"/>
    <n v="15.231847160000001"/>
    <n v="7.1680342899999943"/>
    <n v="20.550726329999989"/>
    <n v="11.023360269999998"/>
    <x v="0"/>
    <x v="2"/>
    <x v="0"/>
    <n v="3"/>
    <s v="Prof. Rajesh Mukherjee"/>
  </r>
  <r>
    <s v="STU0158"/>
    <s v="Rajat Yadav"/>
    <x v="1"/>
    <n v="22"/>
    <x v="0"/>
    <n v="4.37"/>
    <n v="4.04"/>
    <n v="3.3"/>
    <n v="4.07"/>
    <n v="4.76"/>
    <n v="3.88"/>
    <n v="4.08"/>
    <n v="4.0199999999999996"/>
    <n v="3.91"/>
    <n v="3.99"/>
    <x v="125"/>
    <n v="4.1100000000000003"/>
    <n v="3.9760000000000004"/>
    <n v="83.941666850000004"/>
    <n v="69.994123729999998"/>
    <n v="70.0312184"/>
    <n v="67.190813539999994"/>
    <n v="91.184334410000005"/>
    <n v="82.766668199999998"/>
    <n v="65.638310950000005"/>
    <n v="55.206648010000002"/>
    <n v="13.947543120000006"/>
    <n v="2.8404048600000067"/>
    <n v="8.4176662100000073"/>
    <n v="10.431662940000002"/>
    <x v="0"/>
    <x v="3"/>
    <x v="1"/>
    <n v="3"/>
    <s v="Prof. Kavita Rao"/>
  </r>
  <r>
    <s v="STU0159"/>
    <s v="Kavya Ghosh"/>
    <x v="0"/>
    <n v="24"/>
    <x v="2"/>
    <n v="3.61"/>
    <n v="4.18"/>
    <n v="3.39"/>
    <n v="3.95"/>
    <n v="4.3"/>
    <n v="4.33"/>
    <n v="3.97"/>
    <n v="4.63"/>
    <n v="3.8"/>
    <n v="4.5"/>
    <x v="140"/>
    <n v="3.89"/>
    <n v="4.2460000000000004"/>
    <n v="90.330020489999995"/>
    <n v="64.56933257"/>
    <n v="79.934705730000005"/>
    <n v="69.433572330000004"/>
    <n v="90.128236849999993"/>
    <n v="85"/>
    <n v="73.65202755"/>
    <n v="58.579985129999997"/>
    <n v="25.760687919999995"/>
    <n v="10.501133400000001"/>
    <n v="5.1282368499999933"/>
    <n v="15.072042420000002"/>
    <x v="1"/>
    <x v="3"/>
    <x v="4"/>
    <n v="3"/>
    <s v="Prof. Kavita Rao"/>
  </r>
  <r>
    <s v="STU0160"/>
    <s v="Hema Dhanwade"/>
    <x v="0"/>
    <n v="22"/>
    <x v="0"/>
    <n v="4.34"/>
    <n v="4.08"/>
    <n v="3.92"/>
    <n v="4.51"/>
    <n v="4.2"/>
    <n v="4.46"/>
    <n v="3.84"/>
    <n v="3.8"/>
    <s v="N/A"/>
    <n v="4.18"/>
    <x v="141"/>
    <n v="4.21"/>
    <n v="4.07"/>
    <n v="91.885192680000003"/>
    <n v="60"/>
    <n v="70"/>
    <n v="61.450680820000002"/>
    <n v="93.825520109999999"/>
    <n v="85"/>
    <n v="76.251117390000005"/>
    <n v="53.939248419999998"/>
    <n v="31.885192680000003"/>
    <n v="8.5493191799999977"/>
    <n v="8.8255201099999994"/>
    <n v="22.311868970000006"/>
    <x v="2"/>
    <x v="0"/>
    <x v="2"/>
    <n v="3"/>
    <s v="Prof. Rahul Singh"/>
  </r>
  <r>
    <s v="STU0161"/>
    <s v="Reyansh Rao"/>
    <x v="1"/>
    <n v="23"/>
    <x v="2"/>
    <n v="4.12"/>
    <n v="4.21"/>
    <n v="3.94"/>
    <n v="4.2699999999999996"/>
    <n v="4.03"/>
    <n v="4.28"/>
    <n v="4.07"/>
    <n v="3.26"/>
    <n v="3.89"/>
    <n v="4.54"/>
    <x v="142"/>
    <n v="4.1100000000000003"/>
    <n v="4.0080000000000009"/>
    <n v="76.288659499999994"/>
    <n v="64.494677850000002"/>
    <n v="79.857006929999997"/>
    <n v="68.454356730000001"/>
    <n v="88.162290409999997"/>
    <n v="80.877185900000001"/>
    <n v="74.696826040000005"/>
    <n v="51.637114709999999"/>
    <n v="11.793981649999992"/>
    <n v="11.402650199999997"/>
    <n v="7.2851045099999965"/>
    <n v="23.059711330000006"/>
    <x v="0"/>
    <x v="0"/>
    <x v="3"/>
    <n v="3"/>
    <s v="Prof. Rahul Singh"/>
  </r>
  <r>
    <s v="STU0162"/>
    <s v="Rahul Agarwal"/>
    <x v="1"/>
    <n v="29"/>
    <x v="1"/>
    <n v="3.77"/>
    <n v="3.65"/>
    <n v="4.2"/>
    <n v="4.1100000000000003"/>
    <n v="3.94"/>
    <n v="4.3600000000000003"/>
    <n v="3.37"/>
    <n v="4.04"/>
    <n v="3.97"/>
    <n v="3.79"/>
    <x v="46"/>
    <n v="3.93"/>
    <n v="3.9060000000000001"/>
    <n v="85.832829320000002"/>
    <n v="63.451296259999999"/>
    <n v="77.163394049999994"/>
    <n v="57.285886640000001"/>
    <n v="92.789067779999996"/>
    <n v="69.467395409999995"/>
    <n v="74.818571559999995"/>
    <n v="59.366540639999997"/>
    <n v="22.381533060000002"/>
    <n v="19.877507409999993"/>
    <n v="23.321672370000002"/>
    <n v="15.452030919999999"/>
    <x v="0"/>
    <x v="1"/>
    <x v="2"/>
    <n v="3"/>
    <s v="Dr. Rohan Dutta"/>
  </r>
  <r>
    <s v="STU0163"/>
    <s v="Vikas Meher"/>
    <x v="1"/>
    <n v="29"/>
    <x v="1"/>
    <n v="3.9"/>
    <n v="4.22"/>
    <n v="4.4000000000000004"/>
    <n v="3.95"/>
    <n v="3.13"/>
    <n v="4.32"/>
    <n v="3.7"/>
    <n v="4.41"/>
    <n v="4.51"/>
    <n v="3.77"/>
    <x v="143"/>
    <n v="3.92"/>
    <n v="4.1419999999999995"/>
    <n v="75"/>
    <n v="74.191244310000002"/>
    <n v="70"/>
    <n v="59.668114060000001"/>
    <n v="83.982186600000006"/>
    <n v="81.074048989999994"/>
    <n v="69.972631899999996"/>
    <n v="66.997141060000004"/>
    <n v="0.80875568999999814"/>
    <n v="10.331885939999999"/>
    <n v="2.9081376100000114"/>
    <n v="2.975490839999992"/>
    <x v="0"/>
    <x v="1"/>
    <x v="0"/>
    <n v="3"/>
    <s v="Dr. Rohan Dutta"/>
  </r>
  <r>
    <s v="STU0164"/>
    <s v="Keshav Mukherjee"/>
    <x v="1"/>
    <n v="25"/>
    <x v="2"/>
    <n v="3.87"/>
    <n v="3.66"/>
    <n v="4.1399999999999997"/>
    <n v="3.67"/>
    <n v="3.75"/>
    <n v="4"/>
    <n v="4.1900000000000004"/>
    <n v="3.97"/>
    <n v="4.38"/>
    <n v="3.44"/>
    <x v="144"/>
    <n v="3.82"/>
    <n v="3.9960000000000009"/>
    <n v="80.445408319999999"/>
    <n v="70.112944959999993"/>
    <n v="80.080595500000001"/>
    <n v="66.474027699999994"/>
    <n v="87.027775599999998"/>
    <n v="85"/>
    <n v="67.528348870000002"/>
    <n v="64.233054100000004"/>
    <n v="10.332463360000006"/>
    <n v="13.606567800000008"/>
    <n v="2.0277755999999982"/>
    <n v="3.2952947699999982"/>
    <x v="1"/>
    <x v="1"/>
    <x v="0"/>
    <n v="3"/>
    <s v="Dr. Rohan Dutta"/>
  </r>
  <r>
    <s v="STU0165"/>
    <s v="Sakshi Lall"/>
    <x v="0"/>
    <n v="28"/>
    <x v="3"/>
    <n v="4.22"/>
    <n v="4.28"/>
    <n v="3.89"/>
    <n v="4.03"/>
    <n v="4.17"/>
    <n v="4.46"/>
    <n v="4.37"/>
    <n v="4.26"/>
    <n v="4.18"/>
    <n v="3.72"/>
    <x v="145"/>
    <n v="4.12"/>
    <n v="4.1979999999999995"/>
    <n v="81.399019499999994"/>
    <n v="60.172979230000003"/>
    <n v="71.935692529999997"/>
    <n v="70.157111490000005"/>
    <n v="87.334788540000005"/>
    <n v="75.039760380000004"/>
    <n v="69.955961180000003"/>
    <n v="69.021732349999994"/>
    <n v="21.226040269999991"/>
    <n v="1.7785810399999917"/>
    <n v="12.295028160000001"/>
    <n v="0.93422883000000922"/>
    <x v="0"/>
    <x v="2"/>
    <x v="2"/>
    <n v="3"/>
    <s v="Prof. Rajesh Mukherjee"/>
  </r>
  <r>
    <s v="STU0166"/>
    <s v="Rekha Ganguly"/>
    <x v="0"/>
    <n v="23"/>
    <x v="2"/>
    <n v="3.94"/>
    <n v="4.08"/>
    <n v="3.49"/>
    <n v="4.1900000000000004"/>
    <n v="4"/>
    <n v="3.73"/>
    <s v="N/A"/>
    <n v="3.57"/>
    <n v="3.96"/>
    <n v="4"/>
    <x v="136"/>
    <n v="3.94"/>
    <n v="3.8149999999999999"/>
    <n v="83.111294889999996"/>
    <n v="63.980648479999999"/>
    <n v="75.792509949999996"/>
    <n v="68.500586699999999"/>
    <n v="93.081434439999995"/>
    <n v="65.229461810000004"/>
    <n v="72.810185820000001"/>
    <n v="64.638923500000004"/>
    <n v="19.130646409999997"/>
    <n v="7.2919232499999964"/>
    <n v="27.851972629999992"/>
    <n v="8.1712623199999967"/>
    <x v="0"/>
    <x v="0"/>
    <x v="3"/>
    <n v="3"/>
    <s v="Prof. Rahul Singh"/>
  </r>
  <r>
    <s v="STU0167"/>
    <s v="Avni Pandey"/>
    <x v="0"/>
    <n v="23"/>
    <x v="2"/>
    <n v="3.94"/>
    <n v="4.0199999999999996"/>
    <n v="4.79"/>
    <s v="N/A"/>
    <n v="3.79"/>
    <n v="4.0999999999999996"/>
    <n v="4.12"/>
    <n v="4.21"/>
    <n v="3.72"/>
    <n v="3.65"/>
    <x v="146"/>
    <n v="4.1399999999999997"/>
    <n v="3.9599999999999995"/>
    <n v="84.311992259999997"/>
    <n v="75.343547939999993"/>
    <n v="76.98518661"/>
    <n v="64.161263759999997"/>
    <n v="92.650708019999996"/>
    <n v="85"/>
    <n v="65"/>
    <n v="62.165580120000001"/>
    <n v="8.9684443200000032"/>
    <n v="12.823922850000002"/>
    <n v="7.6507080199999962"/>
    <n v="2.8344198799999987"/>
    <x v="0"/>
    <x v="1"/>
    <x v="4"/>
    <n v="3"/>
    <s v="Dr. Rohan Dutta"/>
  </r>
  <r>
    <s v="STU0168"/>
    <s v="Rudra Duggal"/>
    <x v="1"/>
    <n v="25"/>
    <x v="2"/>
    <n v="4.3600000000000003"/>
    <n v="4.04"/>
    <n v="4.53"/>
    <n v="3.54"/>
    <n v="3.71"/>
    <n v="4.3899999999999997"/>
    <n v="3.84"/>
    <n v="3.71"/>
    <n v="3.88"/>
    <n v="3.81"/>
    <x v="147"/>
    <n v="4.04"/>
    <n v="3.9259999999999997"/>
    <n v="93.57099504"/>
    <n v="63.61889223"/>
    <n v="83.213938209999995"/>
    <n v="56.929064769999997"/>
    <n v="84.134326299999998"/>
    <n v="76.916155660000001"/>
    <n v="71.926923790000004"/>
    <n v="50"/>
    <n v="29.95210281"/>
    <n v="26.284873439999998"/>
    <n v="7.2181706399999968"/>
    <n v="21.926923790000004"/>
    <x v="0"/>
    <x v="1"/>
    <x v="2"/>
    <n v="3"/>
    <s v="Dr. Rohan Dutta"/>
  </r>
  <r>
    <s v="STU0169"/>
    <s v="Rajat Lall"/>
    <x v="1"/>
    <n v="27"/>
    <x v="3"/>
    <n v="3.92"/>
    <n v="4.1500000000000004"/>
    <n v="4.6500000000000004"/>
    <n v="3.97"/>
    <n v="4.08"/>
    <s v="N/A"/>
    <n v="3.55"/>
    <n v="4.17"/>
    <n v="3.77"/>
    <n v="4.1900000000000004"/>
    <x v="148"/>
    <n v="4.1500000000000004"/>
    <n v="3.92"/>
    <n v="84.141466399999999"/>
    <n v="78.461478400000004"/>
    <n v="72.802066960000005"/>
    <n v="68.298338979999997"/>
    <n v="99.9"/>
    <n v="74.639370540000002"/>
    <n v="65"/>
    <n v="60.599092589999998"/>
    <n v="5.6799879999999945"/>
    <n v="4.5037279800000078"/>
    <n v="25.260629460000004"/>
    <n v="4.4009074100000021"/>
    <x v="0"/>
    <x v="1"/>
    <x v="3"/>
    <n v="3"/>
    <s v="Dr. Rohan Dutta"/>
  </r>
  <r>
    <s v="STU0170"/>
    <s v="Anupama Mukherjee"/>
    <x v="0"/>
    <n v="22"/>
    <x v="0"/>
    <n v="3.87"/>
    <n v="4.0999999999999996"/>
    <n v="4.3"/>
    <n v="4.6500000000000004"/>
    <n v="4.0599999999999996"/>
    <n v="3.97"/>
    <n v="3.81"/>
    <n v="3.68"/>
    <n v="4.67"/>
    <n v="3.79"/>
    <x v="149"/>
    <n v="4.2"/>
    <n v="3.9840000000000004"/>
    <n v="86.370312209999994"/>
    <n v="74.037704730000002"/>
    <n v="76.135645010000005"/>
    <n v="64.268718820000004"/>
    <n v="81.264458469999994"/>
    <n v="79.597225800000004"/>
    <n v="77.992151649999997"/>
    <n v="50.908587519999998"/>
    <n v="12.332607479999993"/>
    <n v="11.866926190000001"/>
    <n v="1.66723266999999"/>
    <n v="27.083564129999999"/>
    <x v="0"/>
    <x v="0"/>
    <x v="0"/>
    <n v="3"/>
    <s v="Prof. Rahul Singh"/>
  </r>
  <r>
    <s v="STU0171"/>
    <s v="Bhavana Marwah"/>
    <x v="0"/>
    <n v="25"/>
    <x v="2"/>
    <n v="4.4400000000000004"/>
    <n v="4.2300000000000004"/>
    <n v="3.6"/>
    <n v="4.21"/>
    <n v="4.22"/>
    <n v="3.88"/>
    <n v="4.38"/>
    <n v="4.1399999999999997"/>
    <n v="3.53"/>
    <n v="3.92"/>
    <x v="150"/>
    <n v="4.1399999999999997"/>
    <n v="3.9699999999999998"/>
    <n v="84.560327189999995"/>
    <n v="69.070561530000006"/>
    <n v="76.631235489999995"/>
    <n v="67.728060619999994"/>
    <n v="95.410822490000001"/>
    <n v="85"/>
    <n v="71.291920899999994"/>
    <n v="62.12483967"/>
    <n v="15.489765659999989"/>
    <n v="8.9031748700000009"/>
    <n v="10.410822490000001"/>
    <n v="9.1670812299999938"/>
    <x v="0"/>
    <x v="4"/>
    <x v="1"/>
    <n v="3"/>
    <s v="Prof. Vikram Gupta"/>
  </r>
  <r>
    <s v="STU0172"/>
    <s v="Varun Das"/>
    <x v="1"/>
    <n v="26"/>
    <x v="3"/>
    <n v="3.79"/>
    <n v="4.04"/>
    <n v="4.26"/>
    <n v="3.57"/>
    <n v="3.87"/>
    <n v="4.4400000000000004"/>
    <n v="3.92"/>
    <n v="3.8"/>
    <n v="3.99"/>
    <n v="4.22"/>
    <x v="151"/>
    <n v="3.91"/>
    <n v="4.0739999999999998"/>
    <n v="80.748358069999995"/>
    <n v="80"/>
    <n v="70"/>
    <n v="63.476688179999996"/>
    <n v="87.713670780000001"/>
    <n v="83.111586990000006"/>
    <n v="68.279577059999994"/>
    <n v="62.34372329"/>
    <n v="0.74835806999999477"/>
    <n v="6.5233118200000035"/>
    <n v="4.6020837899999947"/>
    <n v="5.9358537699999943"/>
    <x v="0"/>
    <x v="1"/>
    <x v="2"/>
    <n v="3"/>
    <s v="Dr. Rohan Dutta"/>
  </r>
  <r>
    <s v="STU0173"/>
    <s v="Kavita Dewan"/>
    <x v="0"/>
    <n v="25"/>
    <x v="2"/>
    <n v="3.83"/>
    <n v="4.18"/>
    <n v="3.65"/>
    <n v="3.9"/>
    <n v="4.03"/>
    <n v="3.85"/>
    <n v="3.87"/>
    <n v="3.68"/>
    <n v="4.33"/>
    <n v="4.1399999999999997"/>
    <x v="70"/>
    <n v="3.92"/>
    <n v="3.9740000000000002"/>
    <n v="94.883574390000007"/>
    <n v="70.207143889999998"/>
    <n v="75.299082220000003"/>
    <n v="73.97692936"/>
    <n v="94.744477840000002"/>
    <n v="85"/>
    <n v="71.701559380000006"/>
    <n v="69.227719089999994"/>
    <n v="24.676430500000009"/>
    <n v="1.3221528600000028"/>
    <n v="9.7444778400000018"/>
    <n v="2.4738402900000125"/>
    <x v="0"/>
    <x v="2"/>
    <x v="0"/>
    <n v="3"/>
    <s v="Prof. Rajesh Mukherjee"/>
  </r>
  <r>
    <s v="STU0174"/>
    <s v="Tanya Israni"/>
    <x v="0"/>
    <n v="22"/>
    <x v="0"/>
    <n v="3.91"/>
    <n v="4.3499999999999996"/>
    <n v="4.2300000000000004"/>
    <n v="4.3"/>
    <n v="4.0599999999999996"/>
    <n v="3.69"/>
    <n v="4.21"/>
    <n v="3.83"/>
    <n v="3.9"/>
    <n v="3.49"/>
    <x v="152"/>
    <n v="4.17"/>
    <n v="3.8240000000000003"/>
    <n v="83.094271250000006"/>
    <n v="64.492443530000003"/>
    <n v="78.019413520000001"/>
    <n v="67.837452350000007"/>
    <n v="89.934420320000001"/>
    <n v="76.941657820000003"/>
    <n v="69.326993860000002"/>
    <n v="53.554494949999999"/>
    <n v="18.601827720000003"/>
    <n v="10.181961169999994"/>
    <n v="12.992762499999998"/>
    <n v="15.772498910000003"/>
    <x v="0"/>
    <x v="2"/>
    <x v="1"/>
    <n v="3"/>
    <s v="Prof. Rajesh Mukherjee"/>
  </r>
  <r>
    <s v="STU0175"/>
    <s v="Varun Datta"/>
    <x v="1"/>
    <n v="30"/>
    <x v="1"/>
    <n v="4.45"/>
    <n v="3.97"/>
    <s v="N/A"/>
    <n v="4.2300000000000004"/>
    <n v="4.18"/>
    <n v="4.49"/>
    <s v="4,6"/>
    <n v="3.76"/>
    <n v="4.4800000000000004"/>
    <n v="4.33"/>
    <x v="153"/>
    <n v="4.21"/>
    <n v="4.2650000000000006"/>
    <n v="91.261103599999998"/>
    <n v="65.008711989999995"/>
    <n v="74.157482369999997"/>
    <n v="71.24109009"/>
    <n v="81.385764839999993"/>
    <n v="80.769353159999994"/>
    <n v="77.482465259999998"/>
    <n v="52.774391569999999"/>
    <n v="26.252391610000004"/>
    <n v="2.9163922799999966"/>
    <n v="0.6164116799999988"/>
    <n v="24.708073689999999"/>
    <x v="2"/>
    <x v="4"/>
    <x v="2"/>
    <n v="3"/>
    <s v="Prof. Vikram Gupta"/>
  </r>
  <r>
    <s v="STU0176"/>
    <s v="Sudha Agrawal"/>
    <x v="0"/>
    <n v="25"/>
    <x v="2"/>
    <n v="3.99"/>
    <n v="4.53"/>
    <n v="3.53"/>
    <n v="3.66"/>
    <n v="4.26"/>
    <n v="4.55"/>
    <n v="3.98"/>
    <n v="3.65"/>
    <n v="3.41"/>
    <n v="4.13"/>
    <x v="154"/>
    <n v="3.99"/>
    <n v="3.944"/>
    <n v="84.979553780000003"/>
    <n v="66.490627869999997"/>
    <n v="79.154959939999998"/>
    <n v="67.367067739999996"/>
    <n v="94.978111659999996"/>
    <n v="81.775970999999998"/>
    <n v="76.116478839999999"/>
    <n v="55.368677480000002"/>
    <n v="18.488925910000006"/>
    <n v="11.787892200000002"/>
    <n v="13.202140659999998"/>
    <n v="20.747801359999997"/>
    <x v="0"/>
    <x v="2"/>
    <x v="2"/>
    <n v="3"/>
    <s v="Prof. Rajesh Mukherjee"/>
  </r>
  <r>
    <s v="STU0177"/>
    <s v="Kavya Nagar"/>
    <x v="0"/>
    <n v="27"/>
    <x v="3"/>
    <n v="4.0999999999999996"/>
    <n v="4.03"/>
    <s v="N/A"/>
    <n v="3.74"/>
    <n v="4.9800000000000004"/>
    <n v="4.9000000000000004"/>
    <n v="3.81"/>
    <n v="4.08"/>
    <n v="3.88"/>
    <n v="3.92"/>
    <x v="155"/>
    <n v="4.21"/>
    <n v="4.1180000000000003"/>
    <n v="82.473481309999997"/>
    <n v="73.08138769"/>
    <n v="75.516795590000001"/>
    <n v="62.172823630000003"/>
    <n v="88.675771019999999"/>
    <n v="79.434682330000001"/>
    <n v="72.739820609999995"/>
    <n v="59.379049639999998"/>
    <n v="9.3920936199999971"/>
    <n v="13.343971959999998"/>
    <n v="9.241088689999998"/>
    <n v="13.360770969999997"/>
    <x v="2"/>
    <x v="3"/>
    <x v="2"/>
    <n v="3"/>
    <s v="Prof. Kavita Rao"/>
  </r>
  <r>
    <s v="STU0178"/>
    <s v="Bhavana Kukreja"/>
    <x v="0"/>
    <n v="22"/>
    <x v="0"/>
    <n v="4.0999999999999996"/>
    <n v="3.74"/>
    <n v="3.75"/>
    <n v="3.99"/>
    <n v="4.0199999999999996"/>
    <n v="4.43"/>
    <n v="3.9"/>
    <n v="4.05"/>
    <n v="4.41"/>
    <n v="4.01"/>
    <x v="134"/>
    <n v="3.92"/>
    <n v="4.1599999999999993"/>
    <n v="75"/>
    <n v="74.122847340000007"/>
    <n v="81.461375709999999"/>
    <n v="66.956338669999994"/>
    <n v="85.094939490000002"/>
    <n v="77.524857240000003"/>
    <n v="74.898949459999997"/>
    <n v="50"/>
    <n v="0.87715265999999303"/>
    <n v="14.505037040000005"/>
    <n v="7.5700822499999987"/>
    <n v="24.898949459999997"/>
    <x v="0"/>
    <x v="4"/>
    <x v="2"/>
    <n v="3"/>
    <s v="Prof. Vikram Gupta"/>
  </r>
  <r>
    <s v="STU0179"/>
    <s v="Surbhi Maarwah"/>
    <x v="1"/>
    <n v="29"/>
    <x v="1"/>
    <n v="3.82"/>
    <n v="4.29"/>
    <n v="3.84"/>
    <n v="3.96"/>
    <n v="4.2"/>
    <n v="4.25"/>
    <n v="4.4400000000000004"/>
    <n v="3.88"/>
    <n v="3.89"/>
    <n v="4.1399999999999997"/>
    <x v="21"/>
    <n v="4.0199999999999996"/>
    <n v="4.12"/>
    <n v="75"/>
    <n v="70.819245370000004"/>
    <n v="70.864420580000001"/>
    <n v="60.218045009999997"/>
    <n v="80.906584120000005"/>
    <n v="80.955772069999995"/>
    <n v="65.65707587"/>
    <n v="63.485246220000001"/>
    <n v="4.1807546299999956"/>
    <n v="10.646375570000004"/>
    <n v="-4.9187949999989655E-2"/>
    <n v="2.1718296499999994"/>
    <x v="0"/>
    <x v="2"/>
    <x v="1"/>
    <n v="3"/>
    <s v="Prof. Rajesh Mukherjee"/>
  </r>
  <r>
    <s v="STU0180"/>
    <s v="Anirudh Jindal"/>
    <x v="1"/>
    <n v="29"/>
    <x v="1"/>
    <n v="3.61"/>
    <n v="4.47"/>
    <n v="3.58"/>
    <n v="4.05"/>
    <n v="3.95"/>
    <n v="3.82"/>
    <n v="4.41"/>
    <n v="3.3"/>
    <n v="3.82"/>
    <n v="3.76"/>
    <x v="156"/>
    <n v="3.93"/>
    <n v="3.8220000000000001"/>
    <n v="92.095652869999995"/>
    <n v="63.926077069999998"/>
    <n v="83.647232250000002"/>
    <n v="63.693205319999997"/>
    <n v="90.660394210000007"/>
    <n v="73.359782820000007"/>
    <n v="73.279249710000002"/>
    <n v="57.656059310000003"/>
    <n v="28.169575799999997"/>
    <n v="19.954026930000005"/>
    <n v="17.30061139"/>
    <n v="15.623190399999999"/>
    <x v="0"/>
    <x v="2"/>
    <x v="1"/>
    <n v="3"/>
    <s v="Prof. Rajesh Mukherjee"/>
  </r>
  <r>
    <s v="STU0181"/>
    <s v="Ajay Singhania"/>
    <x v="1"/>
    <n v="27"/>
    <x v="3"/>
    <n v="4.3"/>
    <n v="4.5"/>
    <s v="N/A"/>
    <n v="4.0999999999999996"/>
    <n v="3.61"/>
    <n v="3.93"/>
    <n v="4.13"/>
    <n v="4.08"/>
    <n v="4.49"/>
    <n v="3.42"/>
    <x v="157"/>
    <n v="4.13"/>
    <n v="4.0100000000000007"/>
    <n v="88.574790199999995"/>
    <n v="67.117018079999994"/>
    <n v="83.707873190000001"/>
    <n v="72.990214739999999"/>
    <n v="96.303126719999995"/>
    <n v="72.05736856"/>
    <n v="71.155118130000005"/>
    <n v="62.901040109999997"/>
    <n v="21.457772120000001"/>
    <n v="10.717658450000002"/>
    <n v="24.245758159999994"/>
    <n v="8.2540780200000086"/>
    <x v="0"/>
    <x v="2"/>
    <x v="0"/>
    <n v="3"/>
    <s v="Prof. Rajesh Mukherjee"/>
  </r>
  <r>
    <s v="STU0182"/>
    <s v="Siddharth Patel"/>
    <x v="1"/>
    <n v="21"/>
    <x v="0"/>
    <n v="3.53"/>
    <n v="4.37"/>
    <n v="4.1100000000000003"/>
    <n v="4.55"/>
    <n v="4.43"/>
    <n v="4.07"/>
    <n v="3.74"/>
    <n v="4.37"/>
    <n v="3.83"/>
    <n v="3.67"/>
    <x v="158"/>
    <n v="4.2"/>
    <n v="3.9359999999999999"/>
    <n v="89.795153159999998"/>
    <n v="72.405145349999998"/>
    <n v="90"/>
    <n v="68.596407900000003"/>
    <n v="99.9"/>
    <n v="82.397292190000002"/>
    <n v="70.001469020000002"/>
    <n v="54.630869310000001"/>
    <n v="17.39000781"/>
    <n v="21.403592099999997"/>
    <n v="17.502707810000004"/>
    <n v="15.37059971"/>
    <x v="0"/>
    <x v="0"/>
    <x v="4"/>
    <n v="3"/>
    <s v="Prof. Rahul Singh"/>
  </r>
  <r>
    <s v="STU0183"/>
    <s v="Rakesh Yerramsetti"/>
    <x v="1"/>
    <n v="30"/>
    <x v="1"/>
    <n v="4.4400000000000004"/>
    <n v="4.09"/>
    <n v="4"/>
    <n v="4.08"/>
    <n v="3.98"/>
    <n v="3.66"/>
    <n v="3.96"/>
    <n v="4.42"/>
    <n v="3.94"/>
    <n v="3.73"/>
    <x v="145"/>
    <n v="4.12"/>
    <n v="3.9419999999999993"/>
    <n v="83.967966989999994"/>
    <n v="68.761229560000004"/>
    <n v="78.458342799999997"/>
    <n v="60.93354377"/>
    <n v="90.890170909999995"/>
    <n v="78.619723309999998"/>
    <n v="66.191992830000004"/>
    <n v="56.23805265"/>
    <n v="15.20673742999999"/>
    <n v="17.524799029999997"/>
    <n v="12.270447599999997"/>
    <n v="9.9539401800000036"/>
    <x v="0"/>
    <x v="4"/>
    <x v="4"/>
    <n v="3"/>
    <s v="Prof. Vikram Gupta"/>
  </r>
  <r>
    <s v="STU0184"/>
    <s v="Rajat Saxxena"/>
    <x v="1"/>
    <n v="21"/>
    <x v="0"/>
    <n v="4.3899999999999997"/>
    <n v="3.86"/>
    <n v="4.08"/>
    <n v="4.49"/>
    <n v="4.05"/>
    <n v="4.3499999999999996"/>
    <n v="4.09"/>
    <n v="3.93"/>
    <n v="4.3899999999999997"/>
    <n v="3.96"/>
    <x v="159"/>
    <n v="4.17"/>
    <n v="4.1440000000000001"/>
    <n v="88.128469260000003"/>
    <n v="60.537388030000002"/>
    <n v="72.530670799999996"/>
    <n v="62.540465390000001"/>
    <n v="99.9"/>
    <n v="75.031686989999997"/>
    <n v="68.088839840000006"/>
    <n v="58.288879170000001"/>
    <n v="27.59108123"/>
    <n v="9.9902054099999944"/>
    <n v="24.868313010000008"/>
    <n v="9.7999606700000044"/>
    <x v="0"/>
    <x v="0"/>
    <x v="0"/>
    <n v="3"/>
    <s v="Prof. Rahul Singh"/>
  </r>
  <r>
    <s v="STU0185"/>
    <s v="Sameer Sahani"/>
    <x v="1"/>
    <n v="20"/>
    <x v="0"/>
    <n v="3.86"/>
    <n v="4.62"/>
    <n v="4.92"/>
    <n v="4.53"/>
    <n v="4"/>
    <n v="3.98"/>
    <n v="3.79"/>
    <n v="4.22"/>
    <n v="3.6"/>
    <n v="4.12"/>
    <x v="160"/>
    <n v="4.3899999999999997"/>
    <n v="3.9419999999999993"/>
    <n v="78.638241780000001"/>
    <n v="64.402135299999998"/>
    <n v="78.412952829999995"/>
    <n v="71.449884929999996"/>
    <n v="99.9"/>
    <n v="77.451795290000007"/>
    <n v="69.284391909999997"/>
    <n v="62.600599289999998"/>
    <n v="14.236106480000004"/>
    <n v="6.9630678999999986"/>
    <n v="22.448204709999999"/>
    <n v="6.6837926199999984"/>
    <x v="2"/>
    <x v="1"/>
    <x v="4"/>
    <n v="3"/>
    <s v="Dr. Rohan Dutta"/>
  </r>
  <r>
    <s v="STU0186"/>
    <s v="Ajay Bhatt"/>
    <x v="1"/>
    <n v="23"/>
    <x v="2"/>
    <n v="3.71"/>
    <n v="4.05"/>
    <n v="4.1399999999999997"/>
    <s v="N/A"/>
    <n v="4.1399999999999997"/>
    <n v="3.94"/>
    <n v="3.96"/>
    <n v="4.03"/>
    <n v="4.2"/>
    <n v="4.68"/>
    <x v="37"/>
    <n v="4.01"/>
    <n v="4.1619999999999999"/>
    <n v="85.867891009999994"/>
    <n v="72.243142539999994"/>
    <n v="77.727792489999999"/>
    <n v="63.354199889999997"/>
    <n v="84.359922639999994"/>
    <n v="73.244905900000006"/>
    <n v="68.060146320000001"/>
    <n v="52.003853280000001"/>
    <n v="13.62474847"/>
    <n v="14.373592600000002"/>
    <n v="11.115016739999987"/>
    <n v="16.05629304"/>
    <x v="0"/>
    <x v="1"/>
    <x v="3"/>
    <n v="3"/>
    <s v="Dr. Rohan Dutta"/>
  </r>
  <r>
    <s v="STU0187"/>
    <s v="Nareshh Vaidya"/>
    <x v="1"/>
    <n v="28"/>
    <x v="3"/>
    <n v="3.95"/>
    <n v="4.7699999999999996"/>
    <n v="3.95"/>
    <n v="3.81"/>
    <s v="N/A"/>
    <n v="3.92"/>
    <n v="4.32"/>
    <n v="4.6100000000000003"/>
    <n v="4.2699999999999996"/>
    <n v="4.07"/>
    <x v="161"/>
    <n v="4.12"/>
    <n v="4.2380000000000004"/>
    <n v="83.979177640000003"/>
    <n v="60"/>
    <n v="70"/>
    <n v="70.886956100000006"/>
    <n v="92.631706960000002"/>
    <n v="76.873491529999995"/>
    <n v="65"/>
    <n v="52.9710356"/>
    <n v="23.979177640000003"/>
    <n v="-0.88695610000000613"/>
    <n v="15.758215430000007"/>
    <n v="12.0289644"/>
    <x v="0"/>
    <x v="2"/>
    <x v="4"/>
    <n v="3"/>
    <s v="Prof. Rajesh Mukherjee"/>
  </r>
  <r>
    <s v="STU0188"/>
    <s v="Aditi Kalra"/>
    <x v="0"/>
    <n v="24"/>
    <x v="2"/>
    <n v="4.29"/>
    <n v="3.93"/>
    <n v="3.67"/>
    <n v="3.89"/>
    <n v="4.33"/>
    <n v="3.66"/>
    <n v="3.75"/>
    <n v="3.97"/>
    <n v="4.01"/>
    <n v="3.49"/>
    <x v="21"/>
    <n v="4.0199999999999996"/>
    <n v="3.7760000000000007"/>
    <n v="81.493159910000003"/>
    <n v="70.52169791"/>
    <n v="72.488995410000001"/>
    <n v="63.017484430000003"/>
    <n v="99.9"/>
    <n v="74.659179179999995"/>
    <n v="75.937661390000002"/>
    <n v="59.654566780000003"/>
    <n v="10.971462000000002"/>
    <n v="9.4715109799999979"/>
    <n v="25.24082082000001"/>
    <n v="16.283094609999999"/>
    <x v="0"/>
    <x v="3"/>
    <x v="0"/>
    <n v="3"/>
    <s v="Prof. Kavita Rao"/>
  </r>
  <r>
    <s v="STU0189"/>
    <s v="Sunil Chandra"/>
    <x v="1"/>
    <n v="23"/>
    <x v="2"/>
    <n v="4.04"/>
    <n v="3.76"/>
    <n v="4.24"/>
    <n v="4.18"/>
    <n v="4.4400000000000004"/>
    <n v="4.25"/>
    <n v="3.72"/>
    <n v="3.77"/>
    <n v="4.33"/>
    <n v="3.99"/>
    <x v="162"/>
    <n v="4.13"/>
    <n v="4.0120000000000005"/>
    <n v="75"/>
    <n v="71.6565777"/>
    <n v="71.53568568"/>
    <n v="68.11198263"/>
    <n v="90.913713360000003"/>
    <n v="78.288133889999997"/>
    <n v="66.054471620000001"/>
    <n v="57.96555489"/>
    <n v="3.3434223000000003"/>
    <n v="3.4237030500000003"/>
    <n v="12.625579470000005"/>
    <n v="8.0889167300000011"/>
    <x v="0"/>
    <x v="3"/>
    <x v="0"/>
    <n v="3"/>
    <s v="Prof. Kavita Rao"/>
  </r>
  <r>
    <s v="STU0190"/>
    <s v="Pranav Puri"/>
    <x v="1"/>
    <n v="21"/>
    <x v="0"/>
    <n v="3.75"/>
    <n v="4.07"/>
    <n v="4.37"/>
    <n v="3.93"/>
    <n v="3.85"/>
    <n v="3.62"/>
    <n v="4.43"/>
    <n v="4.28"/>
    <n v="4.2"/>
    <n v="3.57"/>
    <x v="163"/>
    <n v="3.99"/>
    <n v="4.0200000000000005"/>
    <n v="90.132737289999994"/>
    <n v="71.418915130000002"/>
    <n v="70"/>
    <n v="73.171813869999994"/>
    <n v="87.080196099999995"/>
    <n v="77.435490799999997"/>
    <n v="70.01586519"/>
    <n v="54.271774809999997"/>
    <n v="18.713822159999992"/>
    <n v="-3.171813869999994"/>
    <n v="9.6447052999999983"/>
    <n v="15.744090380000003"/>
    <x v="0"/>
    <x v="1"/>
    <x v="1"/>
    <n v="3"/>
    <s v="Dr. Rohan Dutta"/>
  </r>
  <r>
    <s v="STU0191"/>
    <s v="Divya Sanyal"/>
    <x v="1"/>
    <n v="24"/>
    <x v="2"/>
    <n v="4.34"/>
    <n v="4.47"/>
    <n v="3.7"/>
    <n v="3.66"/>
    <n v="3.99"/>
    <n v="4.1900000000000004"/>
    <n v="4.32"/>
    <n v="4.0599999999999996"/>
    <n v="3.89"/>
    <n v="4.25"/>
    <x v="164"/>
    <n v="4.03"/>
    <n v="4.1420000000000003"/>
    <n v="89.889769720000004"/>
    <n v="67.679992440000007"/>
    <n v="85.315805690000005"/>
    <n v="72.578693470000005"/>
    <n v="85.200475109999999"/>
    <n v="82.696912310000002"/>
    <n v="72.348058839999993"/>
    <n v="50"/>
    <n v="22.209777279999997"/>
    <n v="12.73711222"/>
    <n v="2.5035627999999974"/>
    <n v="22.348058839999993"/>
    <x v="0"/>
    <x v="2"/>
    <x v="1"/>
    <n v="3"/>
    <s v="Prof. Rajesh Mukherjee"/>
  </r>
  <r>
    <s v="STU0192"/>
    <s v="Tanvi Dubey"/>
    <x v="0"/>
    <n v="29"/>
    <x v="1"/>
    <n v="4.18"/>
    <n v="4.37"/>
    <n v="3.74"/>
    <n v="3.94"/>
    <n v="4.3499999999999996"/>
    <n v="4.0999999999999996"/>
    <n v="4.41"/>
    <n v="4.29"/>
    <n v="3.91"/>
    <n v="4.33"/>
    <x v="165"/>
    <n v="4.12"/>
    <n v="4.2080000000000002"/>
    <n v="84.562561650000006"/>
    <n v="63.820042719999996"/>
    <n v="84.197783819999998"/>
    <n v="65.139584810000002"/>
    <n v="83.848184660000001"/>
    <n v="72.844035419999997"/>
    <n v="75.486611030000006"/>
    <n v="63.537459900000002"/>
    <n v="20.74251893000001"/>
    <n v="19.058199009999996"/>
    <n v="11.004149240000004"/>
    <n v="11.949151130000004"/>
    <x v="0"/>
    <x v="2"/>
    <x v="1"/>
    <n v="3"/>
    <s v="Prof. Rajesh Mukherjee"/>
  </r>
  <r>
    <s v="STU0193"/>
    <s v="Shraddha Datta"/>
    <x v="0"/>
    <n v="28"/>
    <x v="3"/>
    <n v="3.95"/>
    <n v="4.1399999999999997"/>
    <n v="4.6100000000000003"/>
    <n v="3.65"/>
    <n v="4.46"/>
    <n v="3.99"/>
    <n v="4.2"/>
    <n v="4.32"/>
    <n v="4.22"/>
    <n v="4.26"/>
    <x v="97"/>
    <n v="4.16"/>
    <n v="4.1980000000000004"/>
    <n v="88.973415329999995"/>
    <n v="60"/>
    <n v="80.855168649999996"/>
    <n v="67.409837859999996"/>
    <n v="99.9"/>
    <n v="79.988002129999998"/>
    <n v="70.728341909999997"/>
    <n v="50.13113405"/>
    <n v="28.973415329999995"/>
    <n v="13.44533079"/>
    <n v="19.911997870000008"/>
    <n v="20.597207859999997"/>
    <x v="0"/>
    <x v="1"/>
    <x v="4"/>
    <n v="3"/>
    <s v="Dr. Rohan Dutta"/>
  </r>
  <r>
    <s v="STU0194"/>
    <s v="Mahesh Kaur"/>
    <x v="1"/>
    <n v="24"/>
    <x v="2"/>
    <n v="4.37"/>
    <n v="4.18"/>
    <n v="3.73"/>
    <n v="4.2300000000000004"/>
    <n v="4.2699999999999996"/>
    <n v="4.16"/>
    <n v="4.0599999999999996"/>
    <n v="4.5"/>
    <n v="3.87"/>
    <n v="3.93"/>
    <x v="166"/>
    <n v="4.16"/>
    <n v="4.1040000000000001"/>
    <n v="84.47847702"/>
    <n v="63.797427550000002"/>
    <n v="75.758497680000005"/>
    <n v="69.976062499999998"/>
    <n v="95.53001845"/>
    <n v="76.362793300000007"/>
    <n v="67.171906840000005"/>
    <n v="57.428532920000002"/>
    <n v="20.681049469999998"/>
    <n v="5.7824351800000073"/>
    <n v="19.167225149999993"/>
    <n v="9.7433739200000034"/>
    <x v="0"/>
    <x v="4"/>
    <x v="4"/>
    <n v="3"/>
    <s v="Prof. Vikram Gupta"/>
  </r>
  <r>
    <s v="STU0195"/>
    <s v="Anil Bhasin"/>
    <x v="1"/>
    <n v="26"/>
    <x v="3"/>
    <n v="3.79"/>
    <n v="4.78"/>
    <n v="3.83"/>
    <n v="4.4400000000000004"/>
    <n v="4.1500000000000004"/>
    <n v="3.78"/>
    <n v="3.75"/>
    <n v="4.5599999999999996"/>
    <n v="4.5999999999999996"/>
    <n v="3.38"/>
    <x v="158"/>
    <n v="4.2"/>
    <n v="4.0139999999999993"/>
    <n v="80.412048990000002"/>
    <n v="68.261750599999999"/>
    <n v="73.403357009999993"/>
    <n v="70.45372261"/>
    <n v="82.5062724"/>
    <n v="65.62613125"/>
    <n v="69.312364209999998"/>
    <n v="61.917138559999998"/>
    <n v="12.150298390000003"/>
    <n v="2.9496343999999937"/>
    <n v="16.88014115"/>
    <n v="7.3952256500000004"/>
    <x v="0"/>
    <x v="2"/>
    <x v="0"/>
    <n v="3"/>
    <s v="Prof. Rajesh Mukherjee"/>
  </r>
  <r>
    <s v="STU0196"/>
    <s v="Akash Taalwar"/>
    <x v="1"/>
    <n v="26"/>
    <x v="3"/>
    <n v="3.72"/>
    <n v="4.75"/>
    <n v="4.13"/>
    <n v="4.3099999999999996"/>
    <s v="N/A"/>
    <n v="3.86"/>
    <n v="3.92"/>
    <n v="4.53"/>
    <n v="3.63"/>
    <n v="4.07"/>
    <x v="167"/>
    <n v="4.2300000000000004"/>
    <n v="4.0019999999999998"/>
    <n v="87.235277150000002"/>
    <n v="64.964181550000006"/>
    <n v="74.771487989999997"/>
    <n v="66.364151030000002"/>
    <n v="86.029331470000002"/>
    <n v="71.581697309999996"/>
    <n v="70.469780670000006"/>
    <n v="54.756365879999997"/>
    <n v="22.271095599999995"/>
    <n v="8.407336959999995"/>
    <n v="14.447634160000007"/>
    <n v="15.713414790000009"/>
    <x v="2"/>
    <x v="2"/>
    <x v="4"/>
    <n v="3"/>
    <s v="Prof. Rajesh Mukherjee"/>
  </r>
  <r>
    <s v="STU0197"/>
    <s v="Sameer Ahuja"/>
    <x v="1"/>
    <n v="22"/>
    <x v="0"/>
    <n v="3.63"/>
    <n v="4.46"/>
    <n v="3.93"/>
    <n v="4.1500000000000004"/>
    <n v="3.66"/>
    <n v="3.88"/>
    <n v="3.59"/>
    <n v="3.91"/>
    <n v="3.3"/>
    <n v="3.8"/>
    <x v="168"/>
    <n v="3.97"/>
    <n v="3.6960000000000002"/>
    <n v="90.023566509999995"/>
    <n v="70.751348829999998"/>
    <n v="80.576995629999999"/>
    <n v="59.506390250000003"/>
    <n v="84.653444230000005"/>
    <n v="74.391411390000002"/>
    <n v="70.653773380000004"/>
    <n v="57.263426559999999"/>
    <n v="19.272217679999997"/>
    <n v="21.070605379999996"/>
    <n v="10.262032840000003"/>
    <n v="13.390346820000005"/>
    <x v="0"/>
    <x v="2"/>
    <x v="4"/>
    <n v="3"/>
    <s v="Prof. Rajesh Mukherjee"/>
  </r>
  <r>
    <s v="STU0198"/>
    <s v="Aadhya Vohra"/>
    <x v="0"/>
    <n v="22"/>
    <x v="0"/>
    <n v="3.8"/>
    <n v="4.1500000000000004"/>
    <n v="3.84"/>
    <n v="3.5"/>
    <n v="4.1399999999999997"/>
    <n v="3.74"/>
    <n v="3.6"/>
    <n v="4.05"/>
    <n v="4.07"/>
    <n v="4.5199999999999996"/>
    <x v="140"/>
    <n v="3.89"/>
    <n v="3.996"/>
    <n v="82.014821999999995"/>
    <n v="60"/>
    <n v="83.51531233"/>
    <n v="61.494882429999997"/>
    <n v="91.878940439999994"/>
    <n v="78.370627979999995"/>
    <n v="67.628413960000003"/>
    <n v="55.677062970000001"/>
    <n v="22.014821999999995"/>
    <n v="22.020429900000003"/>
    <n v="13.508312459999999"/>
    <n v="11.951350990000002"/>
    <x v="1"/>
    <x v="2"/>
    <x v="3"/>
    <n v="3"/>
    <s v="Prof. Rajesh Mukherjee"/>
  </r>
  <r>
    <s v="STU0199"/>
    <s v="Athharv Barua"/>
    <x v="1"/>
    <n v="28"/>
    <x v="3"/>
    <n v="4.92"/>
    <n v="4.49"/>
    <n v="3.73"/>
    <n v="4.09"/>
    <n v="3.33"/>
    <n v="4.0199999999999996"/>
    <n v="3.91"/>
    <n v="3.68"/>
    <n v="4.13"/>
    <s v="N/A"/>
    <x v="16"/>
    <n v="4.1100000000000003"/>
    <n v="3.9349999999999996"/>
    <n v="83.611801"/>
    <n v="66.984752970000002"/>
    <n v="82.291154309999996"/>
    <n v="71.890393720000006"/>
    <n v="99.9"/>
    <n v="76.422145839999999"/>
    <n v="69.626700940000006"/>
    <n v="67.177268859999998"/>
    <n v="16.627048029999997"/>
    <n v="10.40076058999999"/>
    <n v="23.477854160000007"/>
    <n v="2.4494320800000082"/>
    <x v="0"/>
    <x v="4"/>
    <x v="0"/>
    <n v="3"/>
    <s v="Prof. Vikram Gupta"/>
  </r>
  <r>
    <s v="STU0200"/>
    <s v="Usha Bhatt"/>
    <x v="0"/>
    <n v="21"/>
    <x v="0"/>
    <n v="4.24"/>
    <n v="4.2"/>
    <n v="3.95"/>
    <n v="3.88"/>
    <n v="3.74"/>
    <n v="3.78"/>
    <n v="3.77"/>
    <n v="3.69"/>
    <n v="4.33"/>
    <n v="3.99"/>
    <x v="169"/>
    <n v="4"/>
    <n v="3.9120000000000004"/>
    <n v="80.391038039999998"/>
    <n v="76.162504190000007"/>
    <n v="74.377735139999999"/>
    <n v="73.822588960000004"/>
    <n v="93.276271039999997"/>
    <n v="76.247894900000006"/>
    <n v="69.200942139999995"/>
    <n v="50"/>
    <n v="4.2285338499999909"/>
    <n v="0.55514617999999416"/>
    <n v="17.028376139999992"/>
    <n v="19.200942139999995"/>
    <x v="0"/>
    <x v="4"/>
    <x v="0"/>
    <n v="3"/>
    <s v="Prof. Vikram Gupta"/>
  </r>
  <r>
    <s v="STU0201"/>
    <s v="Diya Saxena"/>
    <x v="0"/>
    <n v="28"/>
    <x v="3"/>
    <n v="4.3"/>
    <n v="4.07"/>
    <n v="3.66"/>
    <n v="4.0199999999999996"/>
    <n v="3.68"/>
    <s v="N/A"/>
    <n v="3.75"/>
    <n v="4.16"/>
    <n v="4.1100000000000003"/>
    <n v="3.63"/>
    <x v="170"/>
    <n v="3.95"/>
    <n v="3.9124999999999996"/>
    <n v="90.991873909999995"/>
    <n v="65.201839340000006"/>
    <n v="70"/>
    <n v="67.723875509999999"/>
    <n v="89.937282909999993"/>
    <n v="78.580782360000001"/>
    <n v="65"/>
    <n v="58.482632520000003"/>
    <n v="25.790034569999989"/>
    <n v="2.2761244900000008"/>
    <n v="11.356500549999993"/>
    <n v="6.5173674799999972"/>
    <x v="0"/>
    <x v="4"/>
    <x v="4"/>
    <n v="3"/>
    <s v="Prof. Vikram Gupta"/>
  </r>
  <r>
    <s v="STU0202"/>
    <s v="Ravi Mahapatra"/>
    <x v="1"/>
    <n v="30"/>
    <x v="1"/>
    <n v="4.01"/>
    <n v="4.1100000000000003"/>
    <n v="4.3099999999999996"/>
    <n v="4.25"/>
    <n v="4.2"/>
    <n v="4.01"/>
    <n v="4.21"/>
    <n v="3.99"/>
    <n v="3.92"/>
    <n v="4.38"/>
    <x v="111"/>
    <n v="4.18"/>
    <n v="4.1019999999999994"/>
    <n v="94.562070289999994"/>
    <n v="67.919486190000001"/>
    <n v="85.414079340000001"/>
    <n v="70.769649180000002"/>
    <n v="96.713516589999998"/>
    <n v="73.255885140000004"/>
    <n v="68.064838739999999"/>
    <n v="60.820444969999997"/>
    <n v="26.642584099999993"/>
    <n v="14.644430159999999"/>
    <n v="23.457631449999994"/>
    <n v="7.2443937700000021"/>
    <x v="0"/>
    <x v="1"/>
    <x v="3"/>
    <n v="3"/>
    <s v="Dr. Rohan Dutta"/>
  </r>
  <r>
    <s v="STU0203"/>
    <s v="Ashwin Hooda"/>
    <x v="1"/>
    <n v="27"/>
    <x v="3"/>
    <n v="3.69"/>
    <n v="4.09"/>
    <n v="3.59"/>
    <n v="4.24"/>
    <n v="3.94"/>
    <n v="4.3"/>
    <n v="4.1100000000000003"/>
    <n v="3.9"/>
    <n v="4.32"/>
    <n v="3.67"/>
    <x v="171"/>
    <n v="3.91"/>
    <n v="4.0600000000000005"/>
    <n v="81.194732200000004"/>
    <n v="80"/>
    <n v="78.273943380000006"/>
    <n v="66.985173369999998"/>
    <n v="99.478283509999997"/>
    <n v="77.063816239999994"/>
    <n v="68.533067790000004"/>
    <n v="50"/>
    <n v="1.1947322000000042"/>
    <n v="11.288770010000007"/>
    <n v="22.414467270000003"/>
    <n v="18.533067790000004"/>
    <x v="0"/>
    <x v="0"/>
    <x v="0"/>
    <n v="3"/>
    <s v="Prof. Rahul Singh"/>
  </r>
  <r>
    <s v="STU0204"/>
    <s v="Jyoti Rathi"/>
    <x v="0"/>
    <n v="21"/>
    <x v="0"/>
    <n v="3.65"/>
    <n v="4.01"/>
    <n v="3.89"/>
    <n v="4.34"/>
    <n v="3.49"/>
    <n v="4.1900000000000004"/>
    <n v="3.91"/>
    <n v="3.9"/>
    <n v="3.87"/>
    <n v="3.78"/>
    <x v="172"/>
    <n v="3.88"/>
    <n v="3.9300000000000006"/>
    <n v="85.337027550000002"/>
    <n v="75.321914039999996"/>
    <n v="80.751964650000005"/>
    <n v="69.031172819999995"/>
    <n v="84.330848189999998"/>
    <n v="80.597787289999999"/>
    <n v="65.343708789999994"/>
    <n v="50"/>
    <n v="10.015113510000006"/>
    <n v="11.72079183000001"/>
    <n v="3.7330608999999981"/>
    <n v="15.343708789999994"/>
    <x v="1"/>
    <x v="0"/>
    <x v="2"/>
    <n v="3"/>
    <s v="Prof. Rahul Singh"/>
  </r>
  <r>
    <s v="STU0205"/>
    <s v="Deepali Menon"/>
    <x v="0"/>
    <n v="30"/>
    <x v="1"/>
    <n v="3.73"/>
    <n v="4.16"/>
    <n v="4.2699999999999996"/>
    <n v="4.0599999999999996"/>
    <s v="N/A"/>
    <n v="4.54"/>
    <n v="4.17"/>
    <n v="3.65"/>
    <s v="N/A"/>
    <n v="3.67"/>
    <x v="173"/>
    <n v="4.0599999999999996"/>
    <n v="4.0075000000000003"/>
    <n v="85.458773170000001"/>
    <n v="70.653345540000004"/>
    <n v="73.407889019999999"/>
    <n v="67.592665499999995"/>
    <n v="99.9"/>
    <n v="84.610771839999998"/>
    <n v="72.595919019999997"/>
    <n v="56.584915909999999"/>
    <n v="14.805427629999997"/>
    <n v="5.8152235200000035"/>
    <n v="15.289228160000008"/>
    <n v="16.011003109999997"/>
    <x v="0"/>
    <x v="1"/>
    <x v="2"/>
    <n v="3"/>
    <s v="Dr. Rohan Dutta"/>
  </r>
  <r>
    <s v="STU0206"/>
    <s v="Anshul Ahuja"/>
    <x v="1"/>
    <n v="28"/>
    <x v="3"/>
    <n v="4.0999999999999996"/>
    <n v="4.2"/>
    <n v="3.87"/>
    <n v="3.72"/>
    <n v="4.32"/>
    <n v="3.99"/>
    <n v="3.81"/>
    <n v="4.26"/>
    <n v="4.2699999999999996"/>
    <n v="4.25"/>
    <x v="40"/>
    <n v="4.04"/>
    <n v="4.1159999999999997"/>
    <n v="81.171503439999995"/>
    <n v="65.956043589999993"/>
    <n v="70"/>
    <n v="64.333356859999995"/>
    <n v="91.500725040000006"/>
    <n v="78.886869090000005"/>
    <n v="67.107257739999994"/>
    <n v="70"/>
    <n v="15.215459850000002"/>
    <n v="5.666643140000005"/>
    <n v="12.613855950000001"/>
    <n v="-2.8927422600000057"/>
    <x v="0"/>
    <x v="3"/>
    <x v="0"/>
    <n v="3"/>
    <s v="Prof. Kavita Rao"/>
  </r>
  <r>
    <s v="STU0207"/>
    <s v="Kiara Pradhan"/>
    <x v="0"/>
    <n v="25"/>
    <x v="2"/>
    <n v="4.25"/>
    <n v="3.59"/>
    <n v="3.92"/>
    <n v="4.47"/>
    <n v="4.2"/>
    <n v="4.1399999999999997"/>
    <n v="4.25"/>
    <n v="4.2300000000000004"/>
    <n v="4.25"/>
    <n v="4.5"/>
    <x v="174"/>
    <n v="4.09"/>
    <n v="4.274"/>
    <n v="87.754539789999995"/>
    <n v="61.38054108"/>
    <n v="82.73368232"/>
    <n v="65.822374449999998"/>
    <n v="89.312035789999996"/>
    <n v="83.186745959999996"/>
    <n v="74.857822709999994"/>
    <n v="64.382629890000004"/>
    <n v="26.373998709999995"/>
    <n v="16.911307870000002"/>
    <n v="6.1252898299999998"/>
    <n v="10.47519281999999"/>
    <x v="0"/>
    <x v="0"/>
    <x v="3"/>
    <n v="3"/>
    <s v="Prof. Rahul Singh"/>
  </r>
  <r>
    <s v="STU0208"/>
    <s v="Nisha Chauhan"/>
    <x v="0"/>
    <n v="26"/>
    <x v="3"/>
    <n v="3.9"/>
    <n v="4.1399999999999997"/>
    <n v="3.9"/>
    <n v="4.1900000000000004"/>
    <n v="3.73"/>
    <n v="3.68"/>
    <n v="3.21"/>
    <n v="2.96"/>
    <n v="3.7"/>
    <n v="3.92"/>
    <x v="87"/>
    <n v="3.97"/>
    <n v="3.4939999999999998"/>
    <n v="84.156447420000006"/>
    <n v="73.179023090000001"/>
    <n v="81.373337179999993"/>
    <n v="61.716651749999997"/>
    <n v="89.276915770000002"/>
    <n v="74.638605769999998"/>
    <n v="77.432950230000003"/>
    <n v="59.735841000000001"/>
    <n v="10.977424330000005"/>
    <n v="19.656685429999996"/>
    <n v="14.638310000000004"/>
    <n v="17.697109230000002"/>
    <x v="0"/>
    <x v="0"/>
    <x v="3"/>
    <n v="3"/>
    <s v="Prof. Rahul Singh"/>
  </r>
  <r>
    <s v="STU0209"/>
    <s v="Rohan Dhanwade"/>
    <x v="1"/>
    <n v="24"/>
    <x v="2"/>
    <n v="3.91"/>
    <s v="4,37"/>
    <n v="4.33"/>
    <n v="4.1500000000000004"/>
    <n v="4.22"/>
    <n v="4.0599999999999996"/>
    <n v="4.38"/>
    <n v="3.29"/>
    <n v="3.68"/>
    <n v="4.04"/>
    <x v="175"/>
    <n v="4.1500000000000004"/>
    <n v="3.8899999999999997"/>
    <n v="79.760589150000001"/>
    <n v="72.908185119999999"/>
    <n v="78.543117199999998"/>
    <n v="59.271720420000001"/>
    <n v="92.089285410000002"/>
    <n v="73.963232640000001"/>
    <n v="70.780723820000006"/>
    <n v="51.465626700000001"/>
    <n v="6.8524040300000024"/>
    <n v="19.271396779999996"/>
    <n v="18.126052770000001"/>
    <n v="19.315097120000004"/>
    <x v="0"/>
    <x v="1"/>
    <x v="1"/>
    <n v="3"/>
    <s v="Dr. Rohan Dutta"/>
  </r>
  <r>
    <s v="STU0210"/>
    <s v="Girish Ganguly"/>
    <x v="1"/>
    <n v="30"/>
    <x v="1"/>
    <n v="3.96"/>
    <n v="3.71"/>
    <n v="4.26"/>
    <n v="4.41"/>
    <n v="4.1100000000000003"/>
    <n v="3.83"/>
    <n v="4.2699999999999996"/>
    <n v="4.0999999999999996"/>
    <n v="3.92"/>
    <n v="4.59"/>
    <x v="176"/>
    <n v="4.09"/>
    <n v="4.1419999999999995"/>
    <n v="84.855911680000006"/>
    <n v="69.921018239999995"/>
    <n v="73.382733040000005"/>
    <n v="65.642790329999997"/>
    <n v="92.882880779999994"/>
    <n v="78.314792080000004"/>
    <n v="67.339512810000002"/>
    <n v="55.782162659999997"/>
    <n v="14.93489344000001"/>
    <n v="7.7399427100000082"/>
    <n v="14.56808869999999"/>
    <n v="11.557350150000005"/>
    <x v="0"/>
    <x v="0"/>
    <x v="3"/>
    <n v="3"/>
    <s v="Prof. Rahul Singh"/>
  </r>
  <r>
    <s v="STU0211"/>
    <s v="Sandeep Ahmed"/>
    <x v="1"/>
    <n v="30"/>
    <x v="1"/>
    <n v="3.9"/>
    <n v="4"/>
    <n v="4.47"/>
    <n v="4.41"/>
    <n v="4.1900000000000004"/>
    <n v="3.78"/>
    <n v="4.09"/>
    <n v="3.97"/>
    <s v="N/A"/>
    <n v="3.66"/>
    <x v="177"/>
    <n v="4.1900000000000004"/>
    <n v="3.875"/>
    <n v="92.479264729999997"/>
    <n v="70.24382842"/>
    <n v="73.660501670000002"/>
    <n v="72.235612040000007"/>
    <n v="82.228348940000004"/>
    <n v="73.542073810000005"/>
    <n v="67.388828660000001"/>
    <n v="56.091679929999998"/>
    <n v="22.235436309999997"/>
    <n v="1.4248896299999956"/>
    <n v="8.6862751299999985"/>
    <n v="11.297148730000004"/>
    <x v="0"/>
    <x v="1"/>
    <x v="1"/>
    <n v="3"/>
    <s v="Dr. Rohan Dutta"/>
  </r>
  <r>
    <s v="STU0212"/>
    <s v="Aatharv Shukla"/>
    <x v="1"/>
    <n v="20"/>
    <x v="0"/>
    <n v="4.01"/>
    <n v="3.59"/>
    <n v="4.0599999999999996"/>
    <n v="4.7"/>
    <s v="4.29%"/>
    <n v="4.0999999999999996"/>
    <n v="4.1399999999999997"/>
    <n v="3.95"/>
    <n v="4.16"/>
    <n v="3.93"/>
    <x v="176"/>
    <n v="4.09"/>
    <n v="4.0559999999999992"/>
    <n v="75"/>
    <n v="72.316748090000004"/>
    <n v="81.192079509999999"/>
    <n v="67.190934429999999"/>
    <n v="86.63065813"/>
    <n v="76.110341669999997"/>
    <n v="77.665023230000003"/>
    <n v="53.663354380000001"/>
    <n v="2.6832519099999956"/>
    <n v="14.001145080000001"/>
    <n v="10.520316460000004"/>
    <n v="24.001668850000001"/>
    <x v="0"/>
    <x v="0"/>
    <x v="0"/>
    <n v="3"/>
    <s v="Prof. Rahul Singh"/>
  </r>
  <r>
    <s v="STU0213"/>
    <s v="Pritaam Vohra"/>
    <x v="1"/>
    <n v="30"/>
    <x v="1"/>
    <n v="4.21"/>
    <n v="3.65"/>
    <n v="3.75"/>
    <n v="4.46"/>
    <n v="3.92"/>
    <n v="3.91"/>
    <n v="4.1900000000000004"/>
    <n v="4.22"/>
    <n v="4.08"/>
    <n v="4.16"/>
    <x v="101"/>
    <n v="4"/>
    <n v="4.1120000000000001"/>
    <n v="93.033923169999994"/>
    <n v="72.202705269999996"/>
    <n v="73.130546109999997"/>
    <n v="68.594059659999999"/>
    <n v="91.823899780000005"/>
    <n v="81.984049150000004"/>
    <n v="71.321374030000001"/>
    <n v="57.319026780000002"/>
    <n v="20.831217899999999"/>
    <n v="4.5364864499999982"/>
    <n v="9.8398506300000008"/>
    <n v="14.00234725"/>
    <x v="0"/>
    <x v="0"/>
    <x v="4"/>
    <n v="3"/>
    <s v="Prof. Rahul Singh"/>
  </r>
  <r>
    <s v="STU0214"/>
    <s v="Sanchit Kapadia"/>
    <x v="1"/>
    <n v="20"/>
    <x v="0"/>
    <n v="3.97"/>
    <n v="4.4400000000000004"/>
    <n v="3.83"/>
    <n v="4.5"/>
    <n v="3.99"/>
    <n v="4.29"/>
    <n v="4.63"/>
    <n v="3.33"/>
    <n v="3.99"/>
    <n v="3.92"/>
    <x v="178"/>
    <n v="4.1500000000000004"/>
    <n v="4.0320000000000009"/>
    <n v="83.761449170000006"/>
    <n v="73.903689200000002"/>
    <n v="70"/>
    <n v="55.277154959999997"/>
    <n v="85.336364630000006"/>
    <n v="77.966070529999996"/>
    <n v="68.138830150000004"/>
    <n v="70"/>
    <n v="9.8577599700000036"/>
    <n v="14.722845040000003"/>
    <n v="7.3702941000000095"/>
    <n v="-1.861169849999996"/>
    <x v="0"/>
    <x v="0"/>
    <x v="1"/>
    <n v="3"/>
    <s v="Prof. Rahul Singh"/>
  </r>
  <r>
    <s v="STU0215"/>
    <s v="Krishna Paul"/>
    <x v="1"/>
    <n v="20"/>
    <x v="0"/>
    <n v="4.6900000000000004"/>
    <n v="4.0199999999999996"/>
    <n v="4.5"/>
    <n v="4.51"/>
    <n v="4.05"/>
    <n v="4.55"/>
    <n v="4.3099999999999996"/>
    <n v="3.57"/>
    <n v="3.88"/>
    <n v="3.72"/>
    <x v="179"/>
    <n v="4.3499999999999996"/>
    <n v="4.0059999999999993"/>
    <n v="86.245571530000007"/>
    <n v="68.750883729999998"/>
    <n v="71.138585070000005"/>
    <n v="65.942212359999999"/>
    <n v="86.001749860000004"/>
    <n v="85"/>
    <n v="68.742426100000003"/>
    <n v="50"/>
    <n v="17.494687800000008"/>
    <n v="5.1963727100000057"/>
    <n v="1.0017498600000039"/>
    <n v="18.742426100000003"/>
    <x v="2"/>
    <x v="4"/>
    <x v="2"/>
    <n v="3"/>
    <s v="Prof. Vikram Gupta"/>
  </r>
  <r>
    <s v="STU0216"/>
    <s v="Rajendra Sanyal"/>
    <x v="1"/>
    <n v="28"/>
    <x v="3"/>
    <n v="3.83"/>
    <n v="3.83"/>
    <n v="4.5599999999999996"/>
    <n v="4.3099999999999996"/>
    <n v="4.09"/>
    <n v="3.73"/>
    <n v="4.05"/>
    <n v="3.56"/>
    <n v="4.3"/>
    <n v="3.8"/>
    <x v="180"/>
    <n v="4.12"/>
    <n v="3.8880000000000003"/>
    <n v="81.586771970000001"/>
    <n v="60.004607030000003"/>
    <n v="75.089527509999996"/>
    <n v="64.664229719999994"/>
    <n v="86.652203180000001"/>
    <n v="74.8047988"/>
    <n v="69.386514349999999"/>
    <n v="59.60072005"/>
    <n v="21.582164939999998"/>
    <n v="10.425297790000002"/>
    <n v="11.84740438"/>
    <n v="9.7857942999999992"/>
    <x v="0"/>
    <x v="1"/>
    <x v="0"/>
    <n v="3"/>
    <s v="Dr. Rohan Dutta"/>
  </r>
  <r>
    <s v="STU0217"/>
    <s v="Ashok Ahuja"/>
    <x v="1"/>
    <n v="25"/>
    <x v="2"/>
    <n v="3.49"/>
    <n v="3.73"/>
    <n v="4.13"/>
    <n v="3.93"/>
    <n v="4.5"/>
    <n v="3.97"/>
    <n v="3.85"/>
    <n v="3.46"/>
    <n v="4.1399999999999997"/>
    <n v="3.74"/>
    <x v="12"/>
    <n v="3.96"/>
    <n v="3.8320000000000007"/>
    <n v="82.288507339999995"/>
    <n v="77.079798120000007"/>
    <n v="70"/>
    <n v="69.319751960000005"/>
    <n v="87.810209709999995"/>
    <n v="71.688164659999998"/>
    <n v="67.138495699999993"/>
    <n v="52.62442051"/>
    <n v="5.2087092199999887"/>
    <n v="0.68024803999999506"/>
    <n v="16.122045049999997"/>
    <n v="14.514075189999993"/>
    <x v="0"/>
    <x v="3"/>
    <x v="0"/>
    <n v="3"/>
    <s v="Prof. Kavita Rao"/>
  </r>
  <r>
    <s v="STU0218"/>
    <s v="Sai Balan"/>
    <x v="0"/>
    <n v="23"/>
    <x v="2"/>
    <n v="3.77"/>
    <n v="4.0599999999999996"/>
    <n v="3.97"/>
    <n v="4.4400000000000004"/>
    <s v="N/A"/>
    <n v="4.51"/>
    <n v="4.21"/>
    <n v="3.39"/>
    <n v="4.0599999999999996"/>
    <n v="3.95"/>
    <x v="181"/>
    <n v="4.0599999999999996"/>
    <n v="4.0239999999999991"/>
    <n v="88.896593289999998"/>
    <n v="65.218197180000004"/>
    <n v="70.263144409999995"/>
    <n v="62.83333184"/>
    <n v="93.679423630000002"/>
    <n v="85"/>
    <n v="76.293393649999999"/>
    <n v="53.09498439"/>
    <n v="23.678396109999994"/>
    <n v="7.4298125699999957"/>
    <n v="8.6794236300000023"/>
    <n v="23.198409259999998"/>
    <x v="0"/>
    <x v="0"/>
    <x v="2"/>
    <n v="3"/>
    <s v="Prof. Rahul Singh"/>
  </r>
  <r>
    <s v="STU0219"/>
    <s v="Kiara Raj"/>
    <x v="0"/>
    <n v="26"/>
    <x v="3"/>
    <n v="4.5"/>
    <n v="4.49"/>
    <n v="4.04"/>
    <n v="4.05"/>
    <n v="4.26"/>
    <n v="3.99"/>
    <n v="3.99"/>
    <n v="3.89"/>
    <n v="3.94"/>
    <n v="3.9"/>
    <x v="182"/>
    <n v="4.2699999999999996"/>
    <n v="3.9420000000000002"/>
    <n v="89.333140229999998"/>
    <n v="65.900417469999994"/>
    <n v="70"/>
    <n v="69.941239719999999"/>
    <n v="99.08038569"/>
    <n v="84.001188540000001"/>
    <n v="71.207294640000001"/>
    <n v="50.103714689999997"/>
    <n v="23.432722760000004"/>
    <n v="5.876028000000133E-2"/>
    <n v="15.079197149999999"/>
    <n v="21.103579950000004"/>
    <x v="2"/>
    <x v="4"/>
    <x v="2"/>
    <n v="3"/>
    <s v="Prof. Vikram Gupta"/>
  </r>
  <r>
    <s v="STU0220"/>
    <s v="Monika Bansal"/>
    <x v="0"/>
    <n v="23"/>
    <x v="2"/>
    <s v="N/A"/>
    <n v="3.85"/>
    <n v="3.57"/>
    <n v="4.55"/>
    <n v="4.21"/>
    <n v="4.33"/>
    <n v="3.88"/>
    <n v="4.5199999999999996"/>
    <n v="4.0999999999999996"/>
    <n v="4.51"/>
    <x v="14"/>
    <n v="4.05"/>
    <n v="4.2679999999999989"/>
    <n v="87.025054150000003"/>
    <n v="60"/>
    <n v="75.070424650000007"/>
    <n v="55.85854338"/>
    <n v="96.337171409999996"/>
    <n v="85"/>
    <n v="67.44768723"/>
    <n v="50"/>
    <n v="27.025054150000003"/>
    <n v="19.211881270000006"/>
    <n v="11.337171409999996"/>
    <n v="17.44768723"/>
    <x v="0"/>
    <x v="0"/>
    <x v="4"/>
    <n v="3"/>
    <s v="Prof. Rahul Singh"/>
  </r>
  <r>
    <s v="STU0221"/>
    <s v="Manish Sharma"/>
    <x v="1"/>
    <n v="21"/>
    <x v="0"/>
    <n v="4.08"/>
    <n v="4.18"/>
    <n v="3.73"/>
    <n v="3.83"/>
    <n v="4.01"/>
    <n v="4.0599999999999996"/>
    <n v="3.96"/>
    <n v="4.18"/>
    <n v="4.3600000000000003"/>
    <n v="3.67"/>
    <x v="183"/>
    <n v="3.97"/>
    <n v="4.0459999999999994"/>
    <n v="84.419188120000001"/>
    <n v="60"/>
    <n v="70"/>
    <n v="65.484841180000004"/>
    <n v="89.789359250000004"/>
    <n v="85"/>
    <n v="71.643594609999994"/>
    <n v="60.142575780000001"/>
    <n v="24.419188120000001"/>
    <n v="4.5151588199999964"/>
    <n v="4.789359250000004"/>
    <n v="11.501018829999992"/>
    <x v="0"/>
    <x v="2"/>
    <x v="0"/>
    <n v="3"/>
    <s v="Prof. Rajesh Mukherjee"/>
  </r>
  <r>
    <s v="STU0222"/>
    <s v="Deepak Kumar"/>
    <x v="1"/>
    <n v="21"/>
    <x v="0"/>
    <n v="4.07"/>
    <n v="4.1900000000000004"/>
    <n v="4.0999999999999996"/>
    <n v="3.91"/>
    <n v="3.87"/>
    <n v="4.25"/>
    <n v="3.62"/>
    <n v="4.4400000000000004"/>
    <n v="4.37"/>
    <n v="3.72"/>
    <x v="30"/>
    <n v="4.03"/>
    <n v="4.08"/>
    <n v="89.865038479999996"/>
    <n v="60.821949850000003"/>
    <n v="70"/>
    <n v="69.779954939999996"/>
    <n v="81.504229330000001"/>
    <n v="78.490661380000006"/>
    <n v="72.479346590000006"/>
    <n v="64.601657369999998"/>
    <n v="29.043088629999993"/>
    <n v="0.2200450600000039"/>
    <n v="3.0135679499999952"/>
    <n v="7.8776892200000077"/>
    <x v="0"/>
    <x v="2"/>
    <x v="4"/>
    <n v="3"/>
    <s v="Prof. Rajesh Mukherjee"/>
  </r>
  <r>
    <s v="STU0223"/>
    <s v="Aditi Narayan"/>
    <x v="0"/>
    <n v="26"/>
    <x v="3"/>
    <n v="4.01"/>
    <n v="4.04"/>
    <n v="3.85"/>
    <n v="3.77"/>
    <n v="3.97"/>
    <n v="3.61"/>
    <n v="4.24"/>
    <n v="4.32"/>
    <n v="3.8"/>
    <n v="3.47"/>
    <x v="184"/>
    <n v="3.93"/>
    <n v="3.8879999999999995"/>
    <n v="82.168582529999995"/>
    <n v="67.205210280000003"/>
    <n v="78.809719290000004"/>
    <n v="62.367041729999997"/>
    <n v="90.796812090000003"/>
    <n v="74.000027880000005"/>
    <n v="71.094154860000003"/>
    <n v="67.667721560000004"/>
    <n v="14.963372249999992"/>
    <n v="16.442677560000007"/>
    <n v="16.796784209999998"/>
    <n v="3.4264332999999993"/>
    <x v="0"/>
    <x v="2"/>
    <x v="4"/>
    <n v="3"/>
    <s v="Prof. Rajesh Mukherjee"/>
  </r>
  <r>
    <s v="STU0224"/>
    <s v="Harshita Nair"/>
    <x v="0"/>
    <n v="27"/>
    <x v="3"/>
    <n v="4.1500000000000004"/>
    <n v="4.18"/>
    <n v="4.01"/>
    <n v="3.75"/>
    <s v="N/A"/>
    <n v="4.29"/>
    <n v="4.0599999999999996"/>
    <n v="4.51"/>
    <n v="4.05"/>
    <n v="4.4800000000000004"/>
    <x v="185"/>
    <n v="4.0199999999999996"/>
    <n v="4.2780000000000005"/>
    <n v="84.67655542"/>
    <n v="68.131714239999994"/>
    <n v="82.740466679999997"/>
    <n v="72.009457670000003"/>
    <n v="87.815135560000002"/>
    <n v="66.800371040000002"/>
    <n v="70.457384930000003"/>
    <n v="60.99453089"/>
    <n v="16.544841180000006"/>
    <n v="10.731009009999994"/>
    <n v="21.01476452"/>
    <n v="9.4628540400000034"/>
    <x v="0"/>
    <x v="2"/>
    <x v="4"/>
    <n v="3"/>
    <s v="Prof. Rajesh Mukherjee"/>
  </r>
  <r>
    <s v="STU0225"/>
    <s v="Bhavna Ghosh"/>
    <x v="0"/>
    <n v="30"/>
    <x v="1"/>
    <n v="4.1399999999999997"/>
    <s v="N/A"/>
    <n v="4.32"/>
    <n v="3.67"/>
    <n v="3.93"/>
    <n v="4.42"/>
    <n v="3.52"/>
    <n v="4.0199999999999996"/>
    <n v="4.0199999999999996"/>
    <n v="4.1500000000000004"/>
    <x v="186"/>
    <n v="4.0199999999999996"/>
    <n v="4.0259999999999998"/>
    <n v="82.840585110000006"/>
    <n v="69.048073919999993"/>
    <n v="80.88701141"/>
    <n v="68.511928459999993"/>
    <n v="86.505445100000003"/>
    <n v="78.591462460000002"/>
    <n v="65.946060599999996"/>
    <n v="60.146838410000001"/>
    <n v="13.792511190000013"/>
    <n v="12.375082950000007"/>
    <n v="7.9139826400000004"/>
    <n v="5.7992221899999947"/>
    <x v="0"/>
    <x v="1"/>
    <x v="2"/>
    <n v="3"/>
    <s v="Dr. Rohan Dutta"/>
  </r>
  <r>
    <s v="STU0226"/>
    <s v="Bhavana Ahmed"/>
    <x v="0"/>
    <n v="24"/>
    <x v="2"/>
    <n v="3.87"/>
    <n v="4.21"/>
    <n v="3.97"/>
    <n v="3.96"/>
    <n v="4.09"/>
    <n v="4.0199999999999996"/>
    <n v="3.87"/>
    <n v="4.26"/>
    <n v="3.59"/>
    <n v="4.45"/>
    <x v="187"/>
    <n v="4.0199999999999996"/>
    <n v="4.0379999999999994"/>
    <n v="82.288291630000003"/>
    <n v="64.44685106"/>
    <n v="75.051744659999997"/>
    <n v="66.868430689999997"/>
    <n v="82.732921039999994"/>
    <n v="78.203869589999996"/>
    <n v="70.288324759999995"/>
    <n v="63.585956690000003"/>
    <n v="17.841440570000003"/>
    <n v="8.1833139700000004"/>
    <n v="4.5290514499999972"/>
    <n v="6.7023680699999915"/>
    <x v="0"/>
    <x v="2"/>
    <x v="3"/>
    <n v="3"/>
    <s v="Prof. Rajesh Mukherjee"/>
  </r>
  <r>
    <s v="STU0227"/>
    <s v="Rudra Choubey"/>
    <x v="1"/>
    <n v="30"/>
    <x v="1"/>
    <n v="3.86"/>
    <n v="3.99"/>
    <n v="3.12"/>
    <n v="4.22"/>
    <n v="4.43"/>
    <n v="4.24"/>
    <n v="4.2699999999999996"/>
    <n v="4.07"/>
    <n v="4.74"/>
    <n v="3.69"/>
    <x v="188"/>
    <n v="3.92"/>
    <n v="4.202"/>
    <n v="85.343022980000001"/>
    <n v="61.33786362"/>
    <n v="80.234636109999997"/>
    <n v="66.483022770000005"/>
    <n v="82.872128919999994"/>
    <n v="82.218704169999995"/>
    <n v="69.07511581"/>
    <n v="50"/>
    <n v="24.00515936"/>
    <n v="13.751613339999992"/>
    <n v="0.65342474999999922"/>
    <n v="19.07511581"/>
    <x v="0"/>
    <x v="3"/>
    <x v="0"/>
    <n v="3"/>
    <s v="Prof. Kavita Rao"/>
  </r>
  <r>
    <s v="STU0228"/>
    <s v="Kabirr Dasari"/>
    <x v="1"/>
    <n v="29"/>
    <x v="1"/>
    <n v="3.94"/>
    <n v="4.54"/>
    <n v="4.09"/>
    <n v="3.72"/>
    <n v="3.68"/>
    <n v="4.3099999999999996"/>
    <n v="3.87"/>
    <n v="4.01"/>
    <n v="4.16"/>
    <n v="4.12"/>
    <x v="154"/>
    <n v="3.99"/>
    <n v="4.0940000000000003"/>
    <n v="82.397869389999997"/>
    <n v="79.383048079999995"/>
    <n v="79.590918310000006"/>
    <n v="69.859038499999997"/>
    <n v="94.059761710000004"/>
    <n v="81.224553319999998"/>
    <n v="72.396336969999993"/>
    <n v="58.009448710000001"/>
    <n v="3.0148213100000021"/>
    <n v="9.7318798100000095"/>
    <n v="12.835208390000005"/>
    <n v="14.386888259999992"/>
    <x v="0"/>
    <x v="2"/>
    <x v="2"/>
    <n v="3"/>
    <s v="Prof. Rajesh Mukherjee"/>
  </r>
  <r>
    <s v="STU0229"/>
    <s v="Ashhwin Iyer"/>
    <x v="1"/>
    <n v="26"/>
    <x v="3"/>
    <n v="3.74"/>
    <n v="3.98"/>
    <n v="3.65"/>
    <n v="3.6"/>
    <n v="4"/>
    <n v="3.94"/>
    <n v="3.89"/>
    <n v="3.56"/>
    <n v="4.1100000000000003"/>
    <n v="3.96"/>
    <x v="189"/>
    <n v="3.79"/>
    <n v="3.8920000000000003"/>
    <n v="75.773156950000001"/>
    <n v="61.443256920000003"/>
    <n v="84.445422879999995"/>
    <n v="68.739205269999999"/>
    <n v="85.093166179999997"/>
    <n v="81.172712399999995"/>
    <n v="70.621270060000001"/>
    <n v="66.909858569999997"/>
    <n v="14.329900029999997"/>
    <n v="15.706217609999996"/>
    <n v="3.9204537800000026"/>
    <n v="3.7114114900000033"/>
    <x v="1"/>
    <x v="3"/>
    <x v="0"/>
    <n v="3"/>
    <s v="Prof. Kavita Rao"/>
  </r>
  <r>
    <s v="STU0230"/>
    <s v="Harshita Lamba"/>
    <x v="0"/>
    <n v="30"/>
    <x v="1"/>
    <n v="4.38"/>
    <n v="4.34"/>
    <n v="4.5"/>
    <n v="4.21"/>
    <n v="3.94"/>
    <n v="3.88"/>
    <n v="4.22"/>
    <n v="4.0599999999999996"/>
    <n v="4.42"/>
    <n v="4.08"/>
    <x v="190"/>
    <n v="4.2699999999999996"/>
    <n v="4.1319999999999997"/>
    <n v="92.356135460000004"/>
    <n v="69.035594509999996"/>
    <n v="70"/>
    <n v="65.648643140000004"/>
    <n v="91.008646959999993"/>
    <n v="82.183533949999998"/>
    <n v="66.752572790000002"/>
    <n v="60.922009959999997"/>
    <n v="23.320540950000009"/>
    <n v="4.3513568599999957"/>
    <n v="8.8251130099999955"/>
    <n v="5.8305628300000052"/>
    <x v="2"/>
    <x v="1"/>
    <x v="0"/>
    <n v="3"/>
    <s v="Dr. Rohan Dutta"/>
  </r>
  <r>
    <s v="STU0231"/>
    <s v="Avni Hooda"/>
    <x v="0"/>
    <n v="26"/>
    <x v="3"/>
    <n v="3.46"/>
    <n v="3.99"/>
    <n v="4.03"/>
    <n v="4.3600000000000003"/>
    <n v="4.05"/>
    <n v="3.4"/>
    <n v="4.03"/>
    <n v="3.89"/>
    <n v="4.28"/>
    <n v="3.88"/>
    <x v="191"/>
    <n v="3.98"/>
    <n v="3.8959999999999999"/>
    <n v="82.355349869999998"/>
    <n v="72.253007569999994"/>
    <n v="73.81440345"/>
    <n v="68.287176209999998"/>
    <n v="99.393762409999994"/>
    <n v="79.024106459999999"/>
    <n v="69.49281028"/>
    <n v="67.436531099999996"/>
    <n v="10.102342300000004"/>
    <n v="5.527227240000002"/>
    <n v="20.369655949999995"/>
    <n v="2.0562791800000042"/>
    <x v="0"/>
    <x v="0"/>
    <x v="0"/>
    <n v="3"/>
    <s v="Prof. Rahul Singh"/>
  </r>
  <r>
    <s v="STU0232"/>
    <s v="Sai Bhargava"/>
    <x v="0"/>
    <n v="29"/>
    <x v="1"/>
    <n v="3.8"/>
    <n v="4.01"/>
    <n v="4.49"/>
    <n v="3.98"/>
    <n v="3.67"/>
    <n v="4.0599999999999996"/>
    <n v="4.6500000000000004"/>
    <n v="4.2699999999999996"/>
    <n v="4.1399999999999997"/>
    <n v="4.21"/>
    <x v="192"/>
    <n v="3.99"/>
    <n v="4.266"/>
    <n v="95.719510749999998"/>
    <n v="75.909041020000004"/>
    <n v="70"/>
    <n v="60.836695200000001"/>
    <n v="80"/>
    <n v="84.055806450000006"/>
    <n v="72.533170819999995"/>
    <n v="55.26673392"/>
    <n v="19.810469729999994"/>
    <n v="9.1633047999999988"/>
    <n v="-4.0558064500000057"/>
    <n v="17.266436899999995"/>
    <x v="0"/>
    <x v="1"/>
    <x v="1"/>
    <n v="3"/>
    <s v="Dr. Rohan Dutta"/>
  </r>
  <r>
    <s v="STU0233"/>
    <s v="Chetan Tripathi"/>
    <x v="1"/>
    <n v="23"/>
    <x v="2"/>
    <n v="4.0999999999999996"/>
    <n v="4.43"/>
    <n v="4.66"/>
    <n v="4.22"/>
    <n v="4.0599999999999996"/>
    <n v="4.41"/>
    <n v="3.91"/>
    <n v="4.17"/>
    <n v="4.62"/>
    <n v="3.79"/>
    <x v="193"/>
    <n v="4.29"/>
    <n v="4.18"/>
    <n v="75.773145459999995"/>
    <n v="76.406340839999999"/>
    <n v="73.566826539999994"/>
    <n v="56.160130590000001"/>
    <n v="83.226124850000005"/>
    <n v="77.40610787"/>
    <n v="75.535278570000003"/>
    <n v="53.862244939999997"/>
    <n v="-0.63319538000000364"/>
    <n v="17.406695949999992"/>
    <n v="5.8200169800000054"/>
    <n v="21.673033630000006"/>
    <x v="2"/>
    <x v="1"/>
    <x v="0"/>
    <n v="3"/>
    <s v="Dr. Rohan Dutta"/>
  </r>
  <r>
    <s v="STU0234"/>
    <s v="Saurabh Hegde"/>
    <x v="1"/>
    <n v="25"/>
    <x v="2"/>
    <n v="4.09"/>
    <n v="4.29"/>
    <n v="4.29"/>
    <n v="3.91"/>
    <n v="4.24"/>
    <n v="3.68"/>
    <n v="4.4000000000000004"/>
    <n v="4.38"/>
    <n v="4.2699999999999996"/>
    <n v="4.12"/>
    <x v="194"/>
    <n v="4.16"/>
    <n v="4.17"/>
    <n v="86.004465350000004"/>
    <n v="66.585501590000007"/>
    <n v="73.913586539999997"/>
    <n v="66.299697269999996"/>
    <n v="86.950475769999997"/>
    <n v="74.53101384"/>
    <n v="68.879243979999998"/>
    <n v="53.608794340000003"/>
    <n v="19.418963759999997"/>
    <n v="7.6138892700000014"/>
    <n v="12.419461929999997"/>
    <n v="15.270449639999995"/>
    <x v="0"/>
    <x v="2"/>
    <x v="1"/>
    <n v="3"/>
    <s v="Prof. Rajesh Mukherjee"/>
  </r>
  <r>
    <s v="STU0235"/>
    <s v="Sunita Joshi"/>
    <x v="0"/>
    <n v="20"/>
    <x v="0"/>
    <n v="4.17"/>
    <n v="4.0199999999999996"/>
    <n v="3.8"/>
    <n v="4.1100000000000003"/>
    <n v="4.21"/>
    <n v="3.81"/>
    <n v="4.01"/>
    <n v="4.04"/>
    <n v="4.18"/>
    <n v="4.4400000000000004"/>
    <x v="62"/>
    <n v="4.0599999999999996"/>
    <n v="4.0960000000000001"/>
    <n v="92.016264109999995"/>
    <n v="80"/>
    <n v="85.791305739999999"/>
    <n v="69.061064090000002"/>
    <n v="80"/>
    <n v="78.409910920000002"/>
    <n v="68.645409520000001"/>
    <n v="50"/>
    <n v="12.016264109999995"/>
    <n v="16.730241649999996"/>
    <n v="1.5900890799999985"/>
    <n v="18.645409520000001"/>
    <x v="0"/>
    <x v="3"/>
    <x v="3"/>
    <n v="3"/>
    <s v="Prof. Kavita Rao"/>
  </r>
  <r>
    <s v="STU0236"/>
    <s v="Pratik Rathi"/>
    <x v="1"/>
    <n v="20"/>
    <x v="0"/>
    <n v="3.63"/>
    <n v="4.1500000000000004"/>
    <n v="3.5"/>
    <n v="4.07"/>
    <n v="4.28"/>
    <n v="4.7"/>
    <n v="4.07"/>
    <n v="3.81"/>
    <n v="4.38"/>
    <n v="4.0599999999999996"/>
    <x v="195"/>
    <n v="3.93"/>
    <n v="4.2039999999999997"/>
    <n v="85.115088360000001"/>
    <n v="65.314799320000006"/>
    <n v="83.857208999999997"/>
    <n v="69.106279130000004"/>
    <n v="95.095628590000004"/>
    <n v="78.854456799999994"/>
    <n v="65"/>
    <n v="50.890751629999997"/>
    <n v="19.800289039999996"/>
    <n v="14.750929869999993"/>
    <n v="16.24117179000001"/>
    <n v="14.109248370000003"/>
    <x v="0"/>
    <x v="3"/>
    <x v="2"/>
    <n v="3"/>
    <s v="Prof. Kavita Rao"/>
  </r>
  <r>
    <s v="STU0237"/>
    <s v="Jatin Manwani"/>
    <x v="1"/>
    <n v="24"/>
    <x v="2"/>
    <n v="3.7"/>
    <n v="4.55"/>
    <n v="4.6100000000000003"/>
    <n v="3.5"/>
    <n v="4.5199999999999996"/>
    <n v="4.05"/>
    <n v="4.3499999999999996"/>
    <n v="3.63"/>
    <n v="4.3600000000000003"/>
    <n v="4.29"/>
    <x v="111"/>
    <n v="4.18"/>
    <n v="4.1359999999999992"/>
    <n v="91.66310824"/>
    <n v="65.595411080000005"/>
    <n v="76.092566329999997"/>
    <n v="60.193912869999998"/>
    <n v="93.120716790000003"/>
    <n v="85"/>
    <n v="72.633790059999995"/>
    <n v="61.424800689999998"/>
    <n v="26.067697159999994"/>
    <n v="15.898653459999998"/>
    <n v="8.120716790000003"/>
    <n v="11.208989369999998"/>
    <x v="0"/>
    <x v="1"/>
    <x v="0"/>
    <n v="3"/>
    <s v="Dr. Rohan Dutta"/>
  </r>
  <r>
    <s v="STU0238"/>
    <s v="Pritam Hegde"/>
    <x v="1"/>
    <n v="21"/>
    <x v="0"/>
    <n v="3.94"/>
    <n v="4.0599999999999996"/>
    <n v="4.55"/>
    <s v="N/A"/>
    <n v="4.6500000000000004"/>
    <n v="4.45"/>
    <n v="4.3600000000000003"/>
    <n v="3.82"/>
    <n v="3.96"/>
    <n v="3.76"/>
    <x v="196"/>
    <n v="4.3"/>
    <n v="4.07"/>
    <n v="87.508720150000002"/>
    <n v="75.643950419999996"/>
    <n v="70"/>
    <n v="73.172561049999999"/>
    <n v="95.588173569999995"/>
    <n v="83.680823540000006"/>
    <n v="74.913554959999999"/>
    <n v="55.478216639999999"/>
    <n v="11.864769730000006"/>
    <n v="-3.1725610499999988"/>
    <n v="11.907350029999989"/>
    <n v="19.43533832"/>
    <x v="2"/>
    <x v="3"/>
    <x v="2"/>
    <n v="3"/>
    <s v="Prof. Kavita Rao"/>
  </r>
  <r>
    <s v="STU0239"/>
    <s v="Divya Rrao"/>
    <x v="1"/>
    <n v="21"/>
    <x v="0"/>
    <n v="3.59"/>
    <n v="4.03"/>
    <n v="3.71"/>
    <n v="4.3099999999999996"/>
    <n v="4.49"/>
    <n v="4.2300000000000004"/>
    <n v="4.2300000000000004"/>
    <n v="4.24"/>
    <n v="4.4800000000000004"/>
    <n v="3.46"/>
    <x v="197"/>
    <n v="4.03"/>
    <n v="4.1280000000000001"/>
    <n v="80.177421359999997"/>
    <n v="74.961046600000003"/>
    <n v="74.958754420000005"/>
    <n v="68.596965479999994"/>
    <n v="82.225604410000003"/>
    <n v="74.478538479999997"/>
    <n v="67.511450859999997"/>
    <n v="60.248254109999998"/>
    <n v="5.2163747599999937"/>
    <n v="6.3617889400000109"/>
    <n v="7.7470659300000051"/>
    <n v="7.2631967499999988"/>
    <x v="0"/>
    <x v="3"/>
    <x v="0"/>
    <n v="3"/>
    <s v="Prof. Kavita Rao"/>
  </r>
  <r>
    <s v="STU0240"/>
    <s v="Ishaan Ahuja"/>
    <x v="1"/>
    <n v="21"/>
    <x v="0"/>
    <n v="3.94"/>
    <n v="4.28"/>
    <n v="4.24"/>
    <n v="4.1500000000000004"/>
    <n v="4.13"/>
    <n v="3.63"/>
    <n v="4.16"/>
    <n v="4.21"/>
    <n v="3.73"/>
    <n v="4.12"/>
    <x v="198"/>
    <n v="4.1500000000000004"/>
    <n v="3.97"/>
    <n v="85.805062340000006"/>
    <n v="72.534881170000006"/>
    <n v="88.724679379999998"/>
    <n v="61.99321054"/>
    <n v="92.914847300000005"/>
    <n v="79.486691919999998"/>
    <n v="68.89648803"/>
    <n v="60.051692959999997"/>
    <n v="13.270181170000001"/>
    <n v="26.731468839999998"/>
    <n v="13.428155380000007"/>
    <n v="8.8447950700000035"/>
    <x v="0"/>
    <x v="2"/>
    <x v="4"/>
    <n v="3"/>
    <s v="Prof. Rajesh Mukherjee"/>
  </r>
  <r>
    <s v="STU0241"/>
    <s v="Usha Rawat"/>
    <x v="0"/>
    <n v="30"/>
    <x v="1"/>
    <n v="4.26"/>
    <n v="4"/>
    <n v="3.96"/>
    <n v="4.28"/>
    <n v="4.1900000000000004"/>
    <n v="4.18"/>
    <n v="3.82"/>
    <n v="3.5"/>
    <n v="4.0199999999999996"/>
    <n v="3.96"/>
    <x v="199"/>
    <n v="4.1399999999999997"/>
    <n v="3.8959999999999999"/>
    <n v="90.182664200000005"/>
    <n v="74.36544404"/>
    <n v="76.17817119"/>
    <n v="75"/>
    <n v="99.9"/>
    <n v="85"/>
    <n v="65.539464769999995"/>
    <n v="62.135893379999999"/>
    <n v="15.817220160000005"/>
    <n v="1.1781711900000005"/>
    <n v="14.900000000000006"/>
    <n v="3.4035713899999962"/>
    <x v="0"/>
    <x v="0"/>
    <x v="2"/>
    <n v="3"/>
    <s v="Prof. Rahul Singh"/>
  </r>
  <r>
    <s v="STU0242"/>
    <s v="Esha Kaur"/>
    <x v="0"/>
    <n v="22"/>
    <x v="0"/>
    <n v="4.25"/>
    <n v="4.18"/>
    <n v="3.81"/>
    <n v="4.3499999999999996"/>
    <n v="3.94"/>
    <n v="3.83"/>
    <n v="4.13"/>
    <n v="4.05"/>
    <n v="3.76"/>
    <n v="4.25"/>
    <x v="200"/>
    <n v="4.1100000000000003"/>
    <n v="4.0039999999999996"/>
    <n v="75.87921833"/>
    <n v="69.434238559999997"/>
    <n v="77.217792000000003"/>
    <n v="68.990551740000001"/>
    <n v="95.347232669999997"/>
    <n v="76.398142949999993"/>
    <n v="77.497587940000003"/>
    <n v="61.429701540000003"/>
    <n v="6.4449797700000033"/>
    <n v="8.2272402600000021"/>
    <n v="18.949089720000003"/>
    <n v="16.067886399999999"/>
    <x v="0"/>
    <x v="0"/>
    <x v="3"/>
    <n v="3"/>
    <s v="Prof. Rahul Singh"/>
  </r>
  <r>
    <s v="STU0243"/>
    <s v="Gaaurav Mukherjee"/>
    <x v="1"/>
    <n v="22"/>
    <x v="0"/>
    <n v="4.17"/>
    <n v="4.13"/>
    <n v="4.09"/>
    <n v="3.89"/>
    <n v="4.57"/>
    <n v="4.26"/>
    <n v="4.09"/>
    <n v="4.26"/>
    <n v="3.65"/>
    <n v="4.33"/>
    <x v="152"/>
    <n v="4.17"/>
    <n v="4.1179999999999994"/>
    <n v="97.546615489999994"/>
    <n v="63.434898259999997"/>
    <n v="74.226256789999994"/>
    <n v="62.254904830000001"/>
    <n v="89.021165589999995"/>
    <n v="65"/>
    <n v="76.436769260000005"/>
    <n v="52.662892069999998"/>
    <n v="34.111717229999996"/>
    <n v="11.971351959999993"/>
    <n v="24.021165589999995"/>
    <n v="23.773877190000007"/>
    <x v="0"/>
    <x v="3"/>
    <x v="3"/>
    <n v="3"/>
    <s v="Prof. Kavita Rao"/>
  </r>
  <r>
    <s v="STU0244"/>
    <s v="Divya Agarwal"/>
    <x v="1"/>
    <n v="27"/>
    <x v="3"/>
    <n v="4.16"/>
    <n v="3.99"/>
    <n v="4.26"/>
    <n v="4.05"/>
    <n v="3.7"/>
    <n v="3.59"/>
    <n v="4.57"/>
    <n v="4.3899999999999997"/>
    <n v="4.1100000000000003"/>
    <n v="3.9"/>
    <x v="139"/>
    <n v="4.03"/>
    <n v="4.1120000000000001"/>
    <n v="83.344916679999997"/>
    <n v="78.272604759999993"/>
    <n v="83.332403900000003"/>
    <n v="75"/>
    <n v="83.518831300000002"/>
    <n v="78.309067200000001"/>
    <n v="67.865038720000001"/>
    <n v="56.414930869999999"/>
    <n v="5.0723119200000042"/>
    <n v="8.3324039000000027"/>
    <n v="5.209764100000001"/>
    <n v="11.450107850000002"/>
    <x v="0"/>
    <x v="1"/>
    <x v="1"/>
    <n v="3"/>
    <s v="Dr. Rohan Dutta"/>
  </r>
  <r>
    <s v="STU0245"/>
    <s v="Aadhya Mehta"/>
    <x v="0"/>
    <n v="30"/>
    <x v="1"/>
    <n v="4.26"/>
    <n v="4.41"/>
    <n v="4.1900000000000004"/>
    <n v="3.76"/>
    <n v="4.53"/>
    <n v="4.1399999999999997"/>
    <n v="4.1500000000000004"/>
    <n v="4.25"/>
    <n v="4.1500000000000004"/>
    <n v="4.29"/>
    <x v="2"/>
    <n v="4.2300000000000004"/>
    <n v="4.1959999999999997"/>
    <n v="89.521651489999996"/>
    <n v="75.158267940000002"/>
    <n v="81.228836650000005"/>
    <n v="74.113316949999998"/>
    <n v="90.919157870000006"/>
    <n v="83.999343920000001"/>
    <n v="66.601245719999994"/>
    <n v="52.857003939999998"/>
    <n v="14.363383549999995"/>
    <n v="7.1155197000000072"/>
    <n v="6.9198139500000053"/>
    <n v="13.744241779999996"/>
    <x v="2"/>
    <x v="3"/>
    <x v="3"/>
    <n v="3"/>
    <s v="Prof. Kavita Rao"/>
  </r>
  <r>
    <s v="STU0246"/>
    <s v="Preeti Malhotra"/>
    <x v="0"/>
    <n v="29"/>
    <x v="1"/>
    <n v="3.72"/>
    <n v="3.76"/>
    <n v="3.82"/>
    <n v="3.75"/>
    <n v="4.32"/>
    <n v="3.8"/>
    <n v="4.32"/>
    <n v="4.21"/>
    <n v="3.65"/>
    <n v="4.2699999999999996"/>
    <x v="201"/>
    <n v="3.87"/>
    <n v="4.05"/>
    <n v="95.822804129999994"/>
    <n v="66.054595230000004"/>
    <n v="79.924984159999994"/>
    <n v="68.658870190000002"/>
    <n v="86.665440380000007"/>
    <n v="82.320874059999994"/>
    <n v="66.806075440000001"/>
    <n v="52.225083699999999"/>
    <n v="29.768208899999991"/>
    <n v="11.266113969999992"/>
    <n v="4.3445663200000126"/>
    <n v="14.580991740000002"/>
    <x v="1"/>
    <x v="3"/>
    <x v="1"/>
    <n v="3"/>
    <s v="Prof. Kavita Rao"/>
  </r>
  <r>
    <s v="STU0247"/>
    <s v="Vandana Mukherjee"/>
    <x v="0"/>
    <n v="28"/>
    <x v="3"/>
    <n v="3.66"/>
    <s v="N/A"/>
    <n v="4.32"/>
    <n v="3.12"/>
    <n v="4.1100000000000003"/>
    <n v="3.75"/>
    <n v="3.7"/>
    <n v="3.95"/>
    <n v="4.37"/>
    <n v="3.85"/>
    <x v="202"/>
    <n v="3.8"/>
    <n v="3.9240000000000004"/>
    <n v="82.927173150000002"/>
    <n v="64.011066450000001"/>
    <n v="72.876398660000007"/>
    <n v="68.196279880000006"/>
    <n v="88.702910099999997"/>
    <n v="77.694670560000006"/>
    <n v="65.681245309999994"/>
    <n v="60.6583921"/>
    <n v="18.9161067"/>
    <n v="4.6801187800000008"/>
    <n v="11.008239539999991"/>
    <n v="5.0228532099999939"/>
    <x v="1"/>
    <x v="1"/>
    <x v="0"/>
    <n v="3"/>
    <s v="Dr. Rohan Dutta"/>
  </r>
  <r>
    <s v="STU0248"/>
    <s v="Aarav Bhargava"/>
    <x v="1"/>
    <n v="24"/>
    <x v="2"/>
    <n v="4.17"/>
    <n v="4.3"/>
    <n v="4.18"/>
    <n v="4.72"/>
    <n v="4.07"/>
    <n v="3.94"/>
    <n v="4.4400000000000004"/>
    <n v="4.03"/>
    <n v="4.18"/>
    <n v="2.8"/>
    <x v="203"/>
    <n v="4.29"/>
    <n v="3.8780000000000001"/>
    <n v="86.042076219999998"/>
    <n v="69.033263270000006"/>
    <n v="70"/>
    <n v="61.106882079999998"/>
    <n v="91.173245269999995"/>
    <n v="79.914533390000003"/>
    <n v="70.513044140000005"/>
    <n v="50.868980190000002"/>
    <n v="17.008812949999992"/>
    <n v="8.8931179200000017"/>
    <n v="11.258711879999993"/>
    <n v="19.644063950000003"/>
    <x v="2"/>
    <x v="0"/>
    <x v="1"/>
    <n v="3"/>
    <s v="Prof. Rahul Singh"/>
  </r>
  <r>
    <s v="STU0249"/>
    <s v="Shwetta Nair"/>
    <x v="1"/>
    <n v="30"/>
    <x v="1"/>
    <n v="4.05"/>
    <n v="4.29"/>
    <n v="3.5"/>
    <n v="3.93"/>
    <n v="4.01"/>
    <n v="3.51"/>
    <n v="4.45"/>
    <n v="3.92"/>
    <n v="4.37"/>
    <n v="4.0199999999999996"/>
    <x v="12"/>
    <n v="3.96"/>
    <n v="4.0540000000000003"/>
    <n v="82.222360739999999"/>
    <n v="70.330292330000006"/>
    <n v="78.284239560000003"/>
    <n v="65.236681070000003"/>
    <n v="89.305933100000004"/>
    <n v="78.122443259999997"/>
    <n v="73.794719000000001"/>
    <n v="69.47478898"/>
    <n v="11.892068409999993"/>
    <n v="13.04755849"/>
    <n v="11.183489840000007"/>
    <n v="4.319930020000001"/>
    <x v="0"/>
    <x v="2"/>
    <x v="1"/>
    <n v="3"/>
    <s v="Prof. Rajesh Mukherjee"/>
  </r>
  <r>
    <s v="STU0250"/>
    <s v="Sonali Choudhary"/>
    <x v="0"/>
    <n v="20"/>
    <x v="0"/>
    <n v="4.07"/>
    <n v="4.33"/>
    <n v="4.03"/>
    <n v="3.75"/>
    <n v="3.63"/>
    <n v="3.78"/>
    <n v="3.8"/>
    <n v="4.38"/>
    <n v="4.54"/>
    <n v="4.66"/>
    <x v="204"/>
    <n v="3.96"/>
    <n v="4.2320000000000002"/>
    <n v="81.159908680000001"/>
    <n v="72.692875670000006"/>
    <n v="70"/>
    <n v="58.75351371"/>
    <n v="98.06828582"/>
    <n v="79.169200529999998"/>
    <n v="66.955602650000003"/>
    <n v="50"/>
    <n v="8.4670330099999944"/>
    <n v="11.24648629"/>
    <n v="18.899085290000002"/>
    <n v="16.955602650000003"/>
    <x v="0"/>
    <x v="2"/>
    <x v="3"/>
    <n v="3"/>
    <s v="Prof. Rajesh Mukherjee"/>
  </r>
  <r>
    <s v="STU0251"/>
    <s v="Mahesh Manwani"/>
    <x v="1"/>
    <n v="25"/>
    <x v="2"/>
    <n v="3.92"/>
    <n v="4.4000000000000004"/>
    <n v="4.25"/>
    <n v="4.18"/>
    <n v="4.13"/>
    <n v="4.43"/>
    <n v="4.7699999999999996"/>
    <n v="4.05"/>
    <n v="4.0999999999999996"/>
    <n v="4.21"/>
    <x v="111"/>
    <n v="4.18"/>
    <n v="4.3120000000000003"/>
    <n v="96.012965609999995"/>
    <n v="79.695458979999998"/>
    <n v="75.857291559999993"/>
    <n v="66.812782220000003"/>
    <n v="87.450800720000004"/>
    <n v="84.485642380000002"/>
    <n v="71.296326809999996"/>
    <n v="62.999236359999998"/>
    <n v="16.317506629999997"/>
    <n v="9.0445093399999905"/>
    <n v="2.9651583400000021"/>
    <n v="8.2970904499999989"/>
    <x v="0"/>
    <x v="2"/>
    <x v="1"/>
    <n v="3"/>
    <s v="Prof. Rajesh Mukherjee"/>
  </r>
  <r>
    <s v="STU0252"/>
    <s v="Rajat Kukreja"/>
    <x v="1"/>
    <n v="23"/>
    <x v="2"/>
    <n v="4.22"/>
    <n v="4.12"/>
    <n v="4"/>
    <n v="3.88"/>
    <n v="4.3499999999999996"/>
    <n v="4.3"/>
    <n v="3.97"/>
    <s v="N/A"/>
    <n v="3.92"/>
    <n v="3.6"/>
    <x v="142"/>
    <n v="4.1100000000000003"/>
    <n v="3.9474999999999998"/>
    <n v="88.501714070000006"/>
    <n v="64.892120520000006"/>
    <n v="85.806535819999993"/>
    <n v="69.914267910000007"/>
    <n v="97.018342180000005"/>
    <n v="76.48421372"/>
    <n v="70.523508280000001"/>
    <n v="70"/>
    <n v="23.60959355"/>
    <n v="15.892267909999987"/>
    <n v="20.534128460000005"/>
    <n v="0.52350828000000149"/>
    <x v="0"/>
    <x v="3"/>
    <x v="2"/>
    <n v="3"/>
    <s v="Prof. Kavita Rao"/>
  </r>
  <r>
    <s v="STU0253"/>
    <s v="Poonam Nair"/>
    <x v="1"/>
    <n v="24"/>
    <x v="2"/>
    <n v="3.9"/>
    <n v="4.29"/>
    <n v="4.5599999999999996"/>
    <n v="3.97"/>
    <n v="3.63"/>
    <n v="4.2300000000000004"/>
    <n v="3.77"/>
    <n v="4.07"/>
    <n v="3.94"/>
    <n v="3.65"/>
    <x v="205"/>
    <n v="4.07"/>
    <n v="3.9319999999999999"/>
    <n v="84.430602530000002"/>
    <n v="64.585493700000001"/>
    <n v="79.817658140000006"/>
    <n v="63.255859200000003"/>
    <n v="99.283428760000007"/>
    <n v="84.802668310000001"/>
    <n v="68.866711949999996"/>
    <n v="58.914265139999998"/>
    <n v="19.845108830000001"/>
    <n v="16.561798940000003"/>
    <n v="14.480760450000005"/>
    <n v="9.9524468099999979"/>
    <x v="0"/>
    <x v="1"/>
    <x v="2"/>
    <n v="3"/>
    <s v="Dr. Rohan Dutta"/>
  </r>
  <r>
    <s v="STU0254"/>
    <s v="Deepali Rawat"/>
    <x v="0"/>
    <n v="23"/>
    <x v="2"/>
    <n v="4.12"/>
    <n v="4.47"/>
    <n v="4.17"/>
    <n v="4.29"/>
    <n v="3.99"/>
    <n v="3.9"/>
    <n v="3.95"/>
    <n v="3.28"/>
    <n v="4.3499999999999996"/>
    <n v="3.95"/>
    <x v="206"/>
    <n v="4.21"/>
    <n v="3.8860000000000001"/>
    <n v="80.291750780000001"/>
    <n v="62.56430787"/>
    <n v="79.200702269999994"/>
    <n v="68.795083599999998"/>
    <n v="92.704640999999995"/>
    <n v="74.664957869999995"/>
    <n v="78.115144720000004"/>
    <n v="57.138502510000002"/>
    <n v="17.727442910000001"/>
    <n v="10.405618669999996"/>
    <n v="18.03968313"/>
    <n v="20.976642210000001"/>
    <x v="2"/>
    <x v="2"/>
    <x v="0"/>
    <n v="3"/>
    <s v="Prof. Rajesh Mukherjee"/>
  </r>
  <r>
    <s v="STU0255"/>
    <s v="Naresh Malhotra"/>
    <x v="1"/>
    <n v="24"/>
    <x v="2"/>
    <n v="4.17"/>
    <n v="4.3"/>
    <s v="N/A"/>
    <n v="3.64"/>
    <n v="3.95"/>
    <n v="3.93"/>
    <n v="3.76"/>
    <n v="4.0599999999999996"/>
    <n v="4.3099999999999996"/>
    <n v="4.1900000000000004"/>
    <x v="207"/>
    <n v="4.0199999999999996"/>
    <n v="4.05"/>
    <n v="79.849247149999997"/>
    <n v="60"/>
    <n v="80.743906499999994"/>
    <n v="60.729870310000003"/>
    <n v="90.388610569999997"/>
    <n v="79.919010830000005"/>
    <n v="71.234707909999997"/>
    <n v="50.991094879999999"/>
    <n v="19.849247149999997"/>
    <n v="20.014036189999992"/>
    <n v="10.469599739999992"/>
    <n v="20.243613029999999"/>
    <x v="0"/>
    <x v="2"/>
    <x v="0"/>
    <n v="3"/>
    <s v="Prof. Rajesh Mukherjee"/>
  </r>
  <r>
    <s v="STU0256"/>
    <s v="Surbhi Pillai"/>
    <x v="1"/>
    <n v="20"/>
    <x v="0"/>
    <n v="3.51"/>
    <n v="3.43"/>
    <n v="4.26"/>
    <n v="3.62"/>
    <n v="4.01"/>
    <n v="3.76"/>
    <n v="4.2699999999999996"/>
    <n v="4.07"/>
    <n v="3.95"/>
    <n v="3.77"/>
    <x v="208"/>
    <n v="3.77"/>
    <n v="3.964"/>
    <n v="88.096102419999994"/>
    <n v="74.659273279999994"/>
    <n v="76.348455150000007"/>
    <n v="63.416233759999997"/>
    <n v="85.178608310000001"/>
    <n v="74.476800499999996"/>
    <n v="77.016459839999996"/>
    <n v="58.360179049999999"/>
    <n v="13.43682914"/>
    <n v="12.932221390000009"/>
    <n v="10.701807810000005"/>
    <n v="18.656280789999997"/>
    <x v="1"/>
    <x v="1"/>
    <x v="1"/>
    <n v="3"/>
    <s v="Dr. Rohan Dutta"/>
  </r>
  <r>
    <s v="STU0257"/>
    <s v="Anil Sharma"/>
    <x v="1"/>
    <n v="24"/>
    <x v="2"/>
    <s v="N/A"/>
    <n v="4.1500000000000004"/>
    <n v="3.88"/>
    <n v="4.1399999999999997"/>
    <n v="3.48"/>
    <n v="4.3899999999999997"/>
    <n v="3.87"/>
    <n v="4.3"/>
    <n v="4.32"/>
    <n v="3.55"/>
    <x v="209"/>
    <n v="3.91"/>
    <n v="4.0860000000000003"/>
    <n v="90.301153720000002"/>
    <n v="60"/>
    <n v="78.591262909999998"/>
    <n v="67.17955336"/>
    <n v="80.017010540000001"/>
    <n v="83.360720819999997"/>
    <n v="70.530277429999998"/>
    <n v="50"/>
    <n v="30.301153720000002"/>
    <n v="11.411709549999998"/>
    <n v="-3.3437102799999963"/>
    <n v="20.530277429999998"/>
    <x v="0"/>
    <x v="2"/>
    <x v="2"/>
    <n v="3"/>
    <s v="Prof. Rajesh Mukherjee"/>
  </r>
  <r>
    <s v="STU0258"/>
    <s v="Rajendra Sahani"/>
    <x v="1"/>
    <n v="28"/>
    <x v="3"/>
    <n v="4.12"/>
    <n v="4.16"/>
    <n v="4.2"/>
    <n v="3.83"/>
    <n v="3.72"/>
    <n v="4.7699999999999996"/>
    <n v="4.22"/>
    <n v="4.1399999999999997"/>
    <n v="3.68"/>
    <n v="4.42"/>
    <x v="90"/>
    <n v="4.01"/>
    <n v="4.2459999999999996"/>
    <n v="82.409180480000003"/>
    <n v="76.564967480000007"/>
    <n v="87.638453080000005"/>
    <n v="68.892725319999997"/>
    <n v="88.306307910000001"/>
    <n v="78.632381210000005"/>
    <n v="77.214439189999993"/>
    <n v="58.523568160000004"/>
    <n v="5.8442129999999963"/>
    <n v="18.745727760000008"/>
    <n v="9.6739266999999955"/>
    <n v="18.69087102999999"/>
    <x v="0"/>
    <x v="1"/>
    <x v="2"/>
    <n v="3"/>
    <s v="Dr. Rohan Dutta"/>
  </r>
  <r>
    <s v="STU0259"/>
    <s v="Gaurav Bansal"/>
    <x v="1"/>
    <n v="29"/>
    <x v="1"/>
    <n v="3.56"/>
    <n v="4.84"/>
    <n v="4.4400000000000004"/>
    <n v="3.74"/>
    <n v="3.63"/>
    <n v="4.24"/>
    <n v="3.78"/>
    <n v="3.84"/>
    <n v="4.32"/>
    <n v="4.1399999999999997"/>
    <x v="40"/>
    <n v="4.04"/>
    <n v="4.0640000000000001"/>
    <n v="80.287980289999993"/>
    <n v="73.048442460000004"/>
    <n v="70"/>
    <n v="70.107858809999996"/>
    <n v="99.9"/>
    <n v="83.791991929999995"/>
    <n v="68.074934900000002"/>
    <n v="50"/>
    <n v="7.2395378299999891"/>
    <n v="-0.1078588099999962"/>
    <n v="16.108008070000011"/>
    <n v="18.074934900000002"/>
    <x v="0"/>
    <x v="2"/>
    <x v="0"/>
    <n v="3"/>
    <s v="Prof. Rajesh Mukherjee"/>
  </r>
  <r>
    <s v="STU0260"/>
    <s v="Sudha Chadha"/>
    <x v="0"/>
    <n v="26"/>
    <x v="3"/>
    <n v="3.88"/>
    <n v="3.57"/>
    <n v="4.0199999999999996"/>
    <n v="3.8"/>
    <n v="4"/>
    <n v="4.28"/>
    <n v="4.45"/>
    <n v="4.18"/>
    <n v="4.1500000000000004"/>
    <n v="3.89"/>
    <x v="210"/>
    <n v="3.85"/>
    <n v="4.1900000000000004"/>
    <n v="92.857113949999999"/>
    <n v="73.730983170000002"/>
    <n v="75.901536059999998"/>
    <n v="57.358433580000003"/>
    <n v="96.787803190000005"/>
    <n v="79.294871000000001"/>
    <n v="69.228269479999994"/>
    <n v="50"/>
    <n v="19.126130779999997"/>
    <n v="18.543102479999995"/>
    <n v="17.492932190000005"/>
    <n v="19.228269479999994"/>
    <x v="1"/>
    <x v="1"/>
    <x v="1"/>
    <n v="3"/>
    <s v="Dr. Rohan Dutta"/>
  </r>
  <r>
    <s v="STU0261"/>
    <s v="Yuvraj Sharmma"/>
    <x v="1"/>
    <n v="25"/>
    <x v="2"/>
    <n v="3.81"/>
    <n v="4.17"/>
    <n v="3.82"/>
    <n v="3.68"/>
    <n v="4.07"/>
    <n v="4.12"/>
    <n v="4.18"/>
    <n v="4.28"/>
    <n v="4.59"/>
    <n v="4.3499999999999996"/>
    <x v="171"/>
    <n v="3.91"/>
    <n v="4.3040000000000003"/>
    <n v="84.762193150000002"/>
    <n v="64.287854820000007"/>
    <n v="72.208736680000001"/>
    <n v="55"/>
    <n v="96.166271370000004"/>
    <n v="84.695728720000005"/>
    <n v="77.911966739999997"/>
    <n v="50.985540139999998"/>
    <n v="20.474338329999995"/>
    <n v="17.208736680000001"/>
    <n v="11.470542649999999"/>
    <n v="26.926426599999999"/>
    <x v="0"/>
    <x v="2"/>
    <x v="0"/>
    <n v="3"/>
    <s v="Prof. Rajesh Mukherjee"/>
  </r>
  <r>
    <s v="STU0262"/>
    <s v="Ishann Kalra"/>
    <x v="1"/>
    <n v="21"/>
    <x v="0"/>
    <n v="3.38"/>
    <n v="4.17"/>
    <n v="4.01"/>
    <n v="4.51"/>
    <n v="3.82"/>
    <n v="4.25"/>
    <n v="3.9"/>
    <n v="4.1900000000000004"/>
    <n v="4.38"/>
    <n v="4.1500000000000004"/>
    <x v="191"/>
    <n v="3.98"/>
    <n v="4.1739999999999995"/>
    <n v="84.151229020000002"/>
    <n v="71.003091339999997"/>
    <n v="87.164596509999996"/>
    <n v="65.064070689999994"/>
    <n v="84.345495360000001"/>
    <n v="76.352271610000003"/>
    <n v="71.975214730000005"/>
    <n v="58.957387359999998"/>
    <n v="13.148137680000005"/>
    <n v="22.100525820000001"/>
    <n v="7.9932237499999985"/>
    <n v="13.017827370000006"/>
    <x v="0"/>
    <x v="0"/>
    <x v="0"/>
    <n v="3"/>
    <s v="Prof. Rahul Singh"/>
  </r>
  <r>
    <s v="STU0263"/>
    <s v="Shailesh Sahani"/>
    <x v="1"/>
    <n v="30"/>
    <x v="1"/>
    <n v="4.26"/>
    <n v="3.7"/>
    <n v="4.34"/>
    <n v="4.45"/>
    <s v="4,44"/>
    <n v="4.32"/>
    <n v="4.17"/>
    <n v="3.74"/>
    <n v="4.0599999999999996"/>
    <n v="3.82"/>
    <x v="211"/>
    <n v="4.1900000000000004"/>
    <n v="4.0220000000000002"/>
    <n v="87.885438129999997"/>
    <n v="73.92711894"/>
    <n v="77.766549650000002"/>
    <n v="67.849650350000005"/>
    <n v="99.9"/>
    <n v="83.540350590000003"/>
    <n v="65.045274809999995"/>
    <n v="62.374693659999998"/>
    <n v="13.958319189999997"/>
    <n v="9.9168992999999972"/>
    <n v="16.359649410000003"/>
    <n v="2.6705811499999967"/>
    <x v="0"/>
    <x v="0"/>
    <x v="2"/>
    <n v="3"/>
    <s v="Prof. Rahul Singh"/>
  </r>
  <r>
    <s v="STU0264"/>
    <s v="Ishiita Chauhan"/>
    <x v="1"/>
    <n v="23"/>
    <x v="2"/>
    <n v="4.1900000000000004"/>
    <n v="3.75"/>
    <n v="3.42"/>
    <n v="3.91"/>
    <n v="3.4"/>
    <n v="4.1500000000000004"/>
    <n v="3.92"/>
    <n v="4.07"/>
    <n v="4.46"/>
    <n v="3.76"/>
    <x v="212"/>
    <n v="3.73"/>
    <n v="4.0720000000000001"/>
    <n v="88.596177690000005"/>
    <n v="63.125025909999998"/>
    <n v="73.848816459999995"/>
    <n v="70.198055659999994"/>
    <n v="99.9"/>
    <n v="77.732817920000002"/>
    <n v="77.584531769999998"/>
    <n v="59.818881619999999"/>
    <n v="25.471151780000007"/>
    <n v="3.6507608000000005"/>
    <n v="22.167182080000003"/>
    <n v="17.765650149999999"/>
    <x v="1"/>
    <x v="4"/>
    <x v="0"/>
    <n v="3"/>
    <s v="Prof. Vikram Gupta"/>
  </r>
  <r>
    <s v="STU0265"/>
    <s v="Ravi Grover"/>
    <x v="1"/>
    <n v="20"/>
    <x v="0"/>
    <n v="4.2"/>
    <n v="3.59"/>
    <n v="3.93"/>
    <n v="3.94"/>
    <n v="4.0599999999999996"/>
    <n v="3.85"/>
    <n v="4.9000000000000004"/>
    <n v="3.97"/>
    <n v="4.1100000000000003"/>
    <n v="3.89"/>
    <x v="213"/>
    <n v="3.94"/>
    <n v="4.1440000000000001"/>
    <n v="91.122484779999994"/>
    <n v="73.904884359999997"/>
    <n v="70"/>
    <n v="61.852370180000001"/>
    <n v="99.9"/>
    <n v="69.969356480000002"/>
    <n v="66.266599400000004"/>
    <n v="58.984773869999998"/>
    <n v="17.217600419999997"/>
    <n v="8.1476298199999988"/>
    <n v="29.930643520000004"/>
    <n v="7.2818255300000061"/>
    <x v="0"/>
    <x v="4"/>
    <x v="1"/>
    <n v="3"/>
    <s v="Prof. Vikram Gupta"/>
  </r>
  <r>
    <s v="STU0266"/>
    <s v="Saanvi Dasgupta"/>
    <x v="0"/>
    <n v="27"/>
    <x v="3"/>
    <n v="4.5"/>
    <n v="4.04"/>
    <n v="4.17"/>
    <n v="3.84"/>
    <n v="4.6500000000000004"/>
    <n v="3.67"/>
    <n v="4.34"/>
    <n v="4.18"/>
    <n v="3.82"/>
    <n v="4.22"/>
    <x v="214"/>
    <n v="4.24"/>
    <n v="4.0459999999999994"/>
    <n v="96.776441779999999"/>
    <n v="72.387218570000002"/>
    <n v="86.180224089999996"/>
    <n v="64.974992049999997"/>
    <n v="86.300323140000003"/>
    <n v="78.478232969999993"/>
    <n v="65"/>
    <n v="60.77828324"/>
    <n v="24.389223209999997"/>
    <n v="21.205232039999999"/>
    <n v="7.8220901700000098"/>
    <n v="4.2217167599999996"/>
    <x v="2"/>
    <x v="3"/>
    <x v="1"/>
    <n v="3"/>
    <s v="Prof. Kavita Rao"/>
  </r>
  <r>
    <s v="STU0267"/>
    <s v="Monika Hooda"/>
    <x v="0"/>
    <n v="20"/>
    <x v="0"/>
    <n v="3.42"/>
    <n v="4.22"/>
    <n v="4.1500000000000004"/>
    <n v="3.61"/>
    <n v="3.72"/>
    <n v="4"/>
    <n v="3.89"/>
    <n v="4.1399999999999997"/>
    <n v="3.59"/>
    <n v="3.77"/>
    <x v="215"/>
    <n v="3.82"/>
    <n v="3.8780000000000001"/>
    <n v="85.389548559999994"/>
    <n v="70.264323329999996"/>
    <n v="70"/>
    <n v="65.198609189999999"/>
    <n v="99.9"/>
    <n v="74.625216609999995"/>
    <n v="73.184775950000002"/>
    <n v="61.697594070000001"/>
    <n v="15.125225229999998"/>
    <n v="4.8013908100000009"/>
    <n v="25.27478339000001"/>
    <n v="11.487181880000001"/>
    <x v="1"/>
    <x v="2"/>
    <x v="4"/>
    <n v="3"/>
    <s v="Prof. Rajesh Mukherjee"/>
  </r>
  <r>
    <s v="STU0268"/>
    <s v="Tushar Saxena"/>
    <x v="1"/>
    <n v="20"/>
    <x v="0"/>
    <s v="3.91%"/>
    <n v="3.99"/>
    <n v="3.96"/>
    <n v="4.4400000000000004"/>
    <n v="3.87"/>
    <n v="4.32"/>
    <n v="3.78"/>
    <n v="4.3"/>
    <n v="3.98"/>
    <n v="3.99"/>
    <x v="216"/>
    <n v="4.07"/>
    <n v="4.0739999999999998"/>
    <n v="86.612911690000004"/>
    <n v="65.615338629999997"/>
    <n v="70"/>
    <n v="68.739499289999998"/>
    <n v="99.9"/>
    <n v="70.071486239999999"/>
    <n v="74.989589230000007"/>
    <n v="57.000298229999999"/>
    <n v="20.997573060000008"/>
    <n v="1.2605007100000023"/>
    <n v="29.828513760000007"/>
    <n v="17.989291000000009"/>
    <x v="0"/>
    <x v="0"/>
    <x v="2"/>
    <n v="3"/>
    <s v="Prof. Rahul Singh"/>
  </r>
  <r>
    <s v="STU0269"/>
    <s v="Monika Bedi"/>
    <x v="0"/>
    <n v="24"/>
    <x v="2"/>
    <s v="N/A"/>
    <n v="4.3899999999999997"/>
    <n v="4.0199999999999996"/>
    <n v="3.97"/>
    <n v="4.2699999999999996"/>
    <n v="3.87"/>
    <n v="4.09"/>
    <n v="4.58"/>
    <n v="4.6500000000000004"/>
    <n v="3.72"/>
    <x v="81"/>
    <n v="4.16"/>
    <n v="4.1819999999999995"/>
    <n v="92.837682569999998"/>
    <n v="72.090782660000002"/>
    <n v="70"/>
    <n v="68.404025270000005"/>
    <n v="96.402398070000004"/>
    <n v="76.645968719999999"/>
    <n v="67.821528389999997"/>
    <n v="66.254633200000001"/>
    <n v="20.746899909999996"/>
    <n v="1.5959747299999947"/>
    <n v="19.756429350000005"/>
    <n v="1.5668951899999968"/>
    <x v="0"/>
    <x v="2"/>
    <x v="0"/>
    <n v="3"/>
    <s v="Prof. Rajesh Mukherjee"/>
  </r>
  <r>
    <s v="STU0270"/>
    <s v="Ananya Bhateja"/>
    <x v="0"/>
    <n v="27"/>
    <x v="3"/>
    <n v="4.16"/>
    <n v="3.8"/>
    <n v="3.98"/>
    <n v="4.42"/>
    <n v="4"/>
    <n v="3.91"/>
    <n v="4.17"/>
    <n v="3.92"/>
    <n v="4.3899999999999997"/>
    <n v="3.99"/>
    <x v="75"/>
    <n v="4.07"/>
    <n v="4.0760000000000005"/>
    <n v="86.693210750000006"/>
    <n v="67.325655990000001"/>
    <n v="71.40562018"/>
    <n v="65.435390859999998"/>
    <n v="85.231307240000007"/>
    <n v="75.275513450000005"/>
    <n v="69.060719280000001"/>
    <n v="55.38578588"/>
    <n v="19.367554760000004"/>
    <n v="5.9702293200000014"/>
    <n v="9.9557937900000013"/>
    <n v="13.6749334"/>
    <x v="0"/>
    <x v="0"/>
    <x v="0"/>
    <n v="3"/>
    <s v="Prof. Rahul Singh"/>
  </r>
  <r>
    <s v="STU0271"/>
    <s v="Omkkar Sanyal"/>
    <x v="1"/>
    <n v="25"/>
    <x v="2"/>
    <n v="3.99"/>
    <n v="3.62"/>
    <n v="4.34"/>
    <n v="4.2300000000000004"/>
    <n v="4.33"/>
    <n v="3.88"/>
    <n v="3.67"/>
    <n v="4.09"/>
    <n v="3.97"/>
    <n v="4.13"/>
    <x v="217"/>
    <n v="4.0999999999999996"/>
    <n v="3.9480000000000004"/>
    <n v="87.73404884"/>
    <n v="61.212600879999997"/>
    <n v="87.754112469999995"/>
    <n v="71.928416889999994"/>
    <n v="99.9"/>
    <n v="74.164457510000005"/>
    <n v="66.326534710000004"/>
    <n v="52.861772530000003"/>
    <n v="26.521447960000003"/>
    <n v="15.825695580000001"/>
    <n v="25.73554249"/>
    <n v="13.464762180000001"/>
    <x v="0"/>
    <x v="1"/>
    <x v="3"/>
    <n v="3"/>
    <s v="Dr. Rohan Dutta"/>
  </r>
  <r>
    <s v="STU0272"/>
    <s v="Shweta Pandey"/>
    <x v="0"/>
    <n v="25"/>
    <x v="2"/>
    <n v="3.91"/>
    <n v="4.4000000000000004"/>
    <n v="4.46"/>
    <n v="4.5199999999999996"/>
    <n v="4.1100000000000003"/>
    <n v="4"/>
    <n v="4.26"/>
    <n v="4.62"/>
    <n v="4.18"/>
    <n v="3.84"/>
    <x v="19"/>
    <n v="4.28"/>
    <n v="4.18"/>
    <n v="84.915205130000004"/>
    <n v="67.162198680000003"/>
    <n v="73.678706989999995"/>
    <n v="57.939585540000003"/>
    <n v="82.935167320000005"/>
    <n v="74.997605460000003"/>
    <n v="75.292239600000002"/>
    <n v="50.873859330000002"/>
    <n v="17.753006450000001"/>
    <n v="15.739121449999992"/>
    <n v="7.9375618600000024"/>
    <n v="24.41838027"/>
    <x v="2"/>
    <x v="0"/>
    <x v="4"/>
    <n v="3"/>
    <s v="Prof. Rahul Singh"/>
  </r>
  <r>
    <s v="STU0273"/>
    <s v="Zara Mehta"/>
    <x v="0"/>
    <n v="26"/>
    <x v="3"/>
    <n v="4.4800000000000004"/>
    <n v="3.8"/>
    <n v="3.96"/>
    <n v="4.6399999999999997"/>
    <n v="3.6"/>
    <n v="4.04"/>
    <n v="4.1100000000000003"/>
    <n v="4.1100000000000003"/>
    <n v="3.75"/>
    <n v="4.3600000000000003"/>
    <x v="218"/>
    <n v="4.0999999999999996"/>
    <n v="4.0739999999999998"/>
    <n v="84.327987710000002"/>
    <n v="72.349585110000007"/>
    <n v="76.443271030000005"/>
    <n v="55"/>
    <n v="99.301056880000004"/>
    <n v="81.776062809999999"/>
    <n v="70.081998089999999"/>
    <n v="52.458410809999997"/>
    <n v="11.978402599999995"/>
    <n v="21.443271030000005"/>
    <n v="17.524994070000005"/>
    <n v="17.623587280000002"/>
    <x v="0"/>
    <x v="0"/>
    <x v="3"/>
    <n v="3"/>
    <s v="Prof. Rahul Singh"/>
  </r>
  <r>
    <s v="STU0274"/>
    <s v="Rajat Vaidya"/>
    <x v="1"/>
    <n v="24"/>
    <x v="2"/>
    <n v="3.8"/>
    <n v="3.9"/>
    <n v="4.4000000000000004"/>
    <n v="4.63"/>
    <n v="4.05"/>
    <n v="3.56"/>
    <n v="3.98"/>
    <n v="4.3600000000000003"/>
    <n v="4.2699999999999996"/>
    <n v="4.41"/>
    <x v="166"/>
    <n v="4.16"/>
    <n v="4.1160000000000005"/>
    <n v="85.966330670000005"/>
    <n v="67.805398719999999"/>
    <n v="70"/>
    <n v="63.596183439999997"/>
    <n v="85.601506999999998"/>
    <n v="75.795547839999998"/>
    <n v="72.742102310000007"/>
    <n v="55.216836039999997"/>
    <n v="18.160931950000005"/>
    <n v="6.4038165600000028"/>
    <n v="9.8059591600000005"/>
    <n v="17.52526627000001"/>
    <x v="0"/>
    <x v="0"/>
    <x v="3"/>
    <n v="3"/>
    <s v="Prof. Rahul Singh"/>
  </r>
  <r>
    <s v="STU0275"/>
    <s v="Chandan Dewan"/>
    <x v="1"/>
    <n v="22"/>
    <x v="0"/>
    <n v="3.76"/>
    <n v="3.67"/>
    <n v="4.01"/>
    <n v="4.38"/>
    <n v="4.5999999999999996"/>
    <n v="4.12"/>
    <n v="4.05"/>
    <n v="4.01"/>
    <n v="4.4400000000000004"/>
    <n v="3.81"/>
    <x v="15"/>
    <n v="4.08"/>
    <n v="4.0860000000000003"/>
    <n v="87.890633919999999"/>
    <n v="67.793072249999994"/>
    <n v="87.737325929999997"/>
    <n v="70.734904889999996"/>
    <n v="98.525082209999994"/>
    <n v="76.141582740000004"/>
    <n v="71.075713789999995"/>
    <n v="54.260694049999998"/>
    <n v="20.097561670000005"/>
    <n v="17.002421040000002"/>
    <n v="22.38349946999999"/>
    <n v="16.815019739999997"/>
    <x v="0"/>
    <x v="3"/>
    <x v="0"/>
    <n v="3"/>
    <s v="Prof. Kavita Rao"/>
  </r>
  <r>
    <s v="STU0276"/>
    <s v="Simran Verma"/>
    <x v="0"/>
    <n v="24"/>
    <x v="2"/>
    <s v="N/A"/>
    <n v="4.4800000000000004"/>
    <n v="4.5199999999999996"/>
    <n v="3.87"/>
    <n v="3.99"/>
    <n v="3.8"/>
    <n v="4.55"/>
    <n v="3.67"/>
    <n v="3.83"/>
    <n v="4.1100000000000003"/>
    <x v="219"/>
    <n v="4.22"/>
    <n v="3.992"/>
    <n v="92.534958869999997"/>
    <n v="75.318497609999994"/>
    <n v="86.220466090000002"/>
    <n v="70.733598299999997"/>
    <n v="94.187725150000006"/>
    <n v="82.649415779999998"/>
    <n v="71.244173040000007"/>
    <n v="56.996307010000002"/>
    <n v="17.216461260000003"/>
    <n v="15.486867790000005"/>
    <n v="11.538309370000007"/>
    <n v="14.247866030000004"/>
    <x v="2"/>
    <x v="1"/>
    <x v="1"/>
    <n v="3"/>
    <s v="Dr. Rohan Dutta"/>
  </r>
  <r>
    <s v="STU0277"/>
    <s v="Pratik Hooda"/>
    <x v="1"/>
    <n v="29"/>
    <x v="1"/>
    <n v="4.1900000000000004"/>
    <n v="3.76"/>
    <s v="N/A"/>
    <n v="4.28"/>
    <n v="3.73"/>
    <n v="3.52"/>
    <n v="3.72"/>
    <n v="4.38"/>
    <n v="3.84"/>
    <n v="3.88"/>
    <x v="220"/>
    <n v="3.99"/>
    <n v="3.8679999999999999"/>
    <n v="83.818159949999995"/>
    <n v="70.912866919999999"/>
    <n v="75.588305039999995"/>
    <n v="65.720728159999993"/>
    <n v="93.367671950000002"/>
    <n v="78.58963799"/>
    <n v="66.405415349999998"/>
    <n v="63.845409940000003"/>
    <n v="12.905293029999996"/>
    <n v="9.8675768800000014"/>
    <n v="14.778033960000002"/>
    <n v="2.5600054099999952"/>
    <x v="0"/>
    <x v="0"/>
    <x v="4"/>
    <n v="3"/>
    <s v="Prof. Rahul Singh"/>
  </r>
  <r>
    <s v="STU0278"/>
    <s v="Anil Xalxo"/>
    <x v="1"/>
    <n v="29"/>
    <x v="1"/>
    <n v="4.93"/>
    <n v="4.42"/>
    <n v="3.65"/>
    <n v="3.56"/>
    <n v="4.01"/>
    <s v="N/A"/>
    <n v="4.26"/>
    <n v="3.88"/>
    <n v="4.37"/>
    <n v="4.49"/>
    <x v="142"/>
    <n v="4.1100000000000003"/>
    <n v="4.25"/>
    <n v="87.814733649999994"/>
    <n v="65.601391320000005"/>
    <n v="81.998370499999993"/>
    <n v="61.261939929999997"/>
    <n v="87.941890049999998"/>
    <n v="85"/>
    <n v="68.432578660000004"/>
    <n v="62.250073950000001"/>
    <n v="22.213342329999989"/>
    <n v="20.736430569999996"/>
    <n v="2.9418900499999978"/>
    <n v="6.1825047100000035"/>
    <x v="0"/>
    <x v="4"/>
    <x v="3"/>
    <n v="3"/>
    <s v="Prof. Vikram Gupta"/>
  </r>
  <r>
    <s v="STU0279"/>
    <s v="Varun Bedi"/>
    <x v="1"/>
    <n v="22"/>
    <x v="0"/>
    <s v="N/A"/>
    <n v="3.64"/>
    <n v="3.97"/>
    <n v="3.59"/>
    <n v="4.3"/>
    <n v="4.05"/>
    <n v="3.77"/>
    <n v="4.21"/>
    <n v="4.54"/>
    <n v="4.16"/>
    <x v="221"/>
    <n v="3.88"/>
    <n v="4.1459999999999999"/>
    <n v="75"/>
    <n v="62.394700360000002"/>
    <n v="73.643673550000003"/>
    <n v="64.837821730000002"/>
    <n v="80.45988681"/>
    <n v="69.89230551"/>
    <n v="72.741396640000005"/>
    <n v="55.97343721"/>
    <n v="12.605299639999998"/>
    <n v="8.8058518200000009"/>
    <n v="10.567581300000001"/>
    <n v="16.767959430000005"/>
    <x v="1"/>
    <x v="3"/>
    <x v="0"/>
    <n v="3"/>
    <s v="Prof. Kavita Rao"/>
  </r>
  <r>
    <s v="STU0280"/>
    <s v="Yogesh Bhargav"/>
    <x v="1"/>
    <n v="23"/>
    <x v="2"/>
    <n v="3.77"/>
    <n v="4.47"/>
    <n v="3.87"/>
    <n v="3.63"/>
    <n v="3.3"/>
    <n v="4.17"/>
    <n v="3.88"/>
    <n v="4.26"/>
    <n v="4.28"/>
    <n v="4.46"/>
    <x v="222"/>
    <n v="3.81"/>
    <n v="4.21"/>
    <n v="78.671681399999997"/>
    <n v="72.753417170000006"/>
    <n v="85.974836080000003"/>
    <n v="63.956963199999997"/>
    <n v="99.9"/>
    <n v="85"/>
    <n v="72.542051189999995"/>
    <n v="63.383653330000001"/>
    <n v="5.9182642299999912"/>
    <n v="22.017872880000006"/>
    <n v="14.900000000000006"/>
    <n v="9.1583978599999938"/>
    <x v="1"/>
    <x v="2"/>
    <x v="3"/>
    <n v="3"/>
    <s v="Prof. Rajesh Mukherjee"/>
  </r>
  <r>
    <s v="STU0281"/>
    <s v="Vishnu Kaushik"/>
    <x v="1"/>
    <n v="26"/>
    <x v="3"/>
    <n v="3.95"/>
    <n v="4.4000000000000004"/>
    <n v="4.0199999999999996"/>
    <n v="3.54"/>
    <n v="3.39"/>
    <n v="3.79"/>
    <n v="4.7"/>
    <n v="3.83"/>
    <n v="3.92"/>
    <n v="3.86"/>
    <x v="223"/>
    <n v="3.86"/>
    <n v="4.0200000000000005"/>
    <n v="81.735729190000001"/>
    <n v="72.945927569999995"/>
    <n v="73.985982649999997"/>
    <n v="60.209880230000003"/>
    <n v="88.040478370000002"/>
    <n v="85"/>
    <n v="70.877610390000001"/>
    <n v="56.194554539999999"/>
    <n v="8.7898016200000058"/>
    <n v="13.776102419999994"/>
    <n v="3.0404783700000024"/>
    <n v="14.683055850000002"/>
    <x v="1"/>
    <x v="2"/>
    <x v="1"/>
    <n v="3"/>
    <s v="Prof. Rajesh Mukherjee"/>
  </r>
  <r>
    <s v="STU0282"/>
    <s v="Shivam Goswami"/>
    <x v="1"/>
    <n v="21"/>
    <x v="0"/>
    <n v="3.46"/>
    <n v="4.37"/>
    <n v="3.76"/>
    <n v="4.3600000000000003"/>
    <n v="3.89"/>
    <n v="4.09"/>
    <n v="4.4800000000000004"/>
    <n v="4.2"/>
    <n v="3.66"/>
    <n v="3.83"/>
    <x v="224"/>
    <n v="3.97"/>
    <n v="4.0519999999999996"/>
    <n v="80.985835190000003"/>
    <n v="68.909693230000002"/>
    <n v="77.562044369999995"/>
    <n v="70.441568320000002"/>
    <n v="83.855680559999996"/>
    <n v="80.706186509999995"/>
    <n v="65"/>
    <n v="56.011898250000002"/>
    <n v="12.076141960000001"/>
    <n v="7.1204760499999935"/>
    <n v="3.1494940500000013"/>
    <n v="8.9881017499999984"/>
    <x v="0"/>
    <x v="2"/>
    <x v="1"/>
    <n v="3"/>
    <s v="Prof. Rajesh Mukherjee"/>
  </r>
  <r>
    <s v="STU0283"/>
    <s v="Naveen Tyagi"/>
    <x v="1"/>
    <n v="30"/>
    <x v="1"/>
    <n v="3.41"/>
    <n v="4.05"/>
    <n v="3.85"/>
    <n v="4.2300000000000004"/>
    <n v="4.6399999999999997"/>
    <n v="4.26"/>
    <n v="4.1900000000000004"/>
    <n v="4.21"/>
    <n v="3.7"/>
    <n v="4.2699999999999996"/>
    <x v="147"/>
    <n v="4.04"/>
    <n v="4.1259999999999994"/>
    <n v="90.998848800000005"/>
    <n v="60"/>
    <n v="80.645300449999993"/>
    <n v="63.861592729999998"/>
    <n v="91.220724529999998"/>
    <n v="74.236802879999999"/>
    <n v="67.694186160000001"/>
    <n v="57.372895530000001"/>
    <n v="30.998848800000005"/>
    <n v="16.783707719999995"/>
    <n v="16.983921649999999"/>
    <n v="10.32129063"/>
    <x v="0"/>
    <x v="3"/>
    <x v="3"/>
    <n v="3"/>
    <s v="Prof. Kavita Rao"/>
  </r>
  <r>
    <s v="STU0284"/>
    <s v="Kiara Kapoor"/>
    <x v="0"/>
    <n v="30"/>
    <x v="1"/>
    <n v="3.84"/>
    <n v="4.51"/>
    <n v="4.12"/>
    <n v="3.69"/>
    <n v="3.91"/>
    <n v="3.9"/>
    <n v="4.03"/>
    <n v="4.03"/>
    <n v="3.97"/>
    <n v="4.59"/>
    <x v="225"/>
    <n v="4.01"/>
    <n v="4.104000000000001"/>
    <n v="82.46307564"/>
    <n v="60"/>
    <n v="76.190265249999996"/>
    <n v="57.144251220000001"/>
    <n v="95.246612310000003"/>
    <n v="81.596143530000006"/>
    <n v="68.051539289999994"/>
    <n v="65.210943229999998"/>
    <n v="22.46307564"/>
    <n v="19.046014029999995"/>
    <n v="13.650468779999997"/>
    <n v="2.8405960599999958"/>
    <x v="0"/>
    <x v="2"/>
    <x v="3"/>
    <n v="3"/>
    <s v="Prof. Rajesh Mukherjee"/>
  </r>
  <r>
    <s v="STU0285"/>
    <s v="Ajay Ramesh"/>
    <x v="1"/>
    <n v="23"/>
    <x v="2"/>
    <n v="3.51"/>
    <n v="4.09"/>
    <n v="4.43"/>
    <n v="4.28"/>
    <n v="3.83"/>
    <n v="3.81"/>
    <n v="4.3600000000000003"/>
    <n v="3.98"/>
    <n v="4.26"/>
    <n v="4.0999999999999996"/>
    <x v="30"/>
    <n v="4.03"/>
    <n v="4.1019999999999994"/>
    <n v="83.661273609999995"/>
    <n v="66.325373350000007"/>
    <n v="77.766414330000003"/>
    <n v="66.954125869999999"/>
    <n v="91.323996919999999"/>
    <n v="84.117393199999995"/>
    <n v="70.796094229999994"/>
    <n v="53.181405849999997"/>
    <n v="17.335900259999988"/>
    <n v="10.812288460000005"/>
    <n v="7.2066037200000039"/>
    <n v="17.614688379999997"/>
    <x v="0"/>
    <x v="1"/>
    <x v="1"/>
    <n v="3"/>
    <s v="Dr. Rohan Dutta"/>
  </r>
  <r>
    <s v="STU0286"/>
    <s v="Bhaskar Kumari"/>
    <x v="1"/>
    <n v="28"/>
    <x v="3"/>
    <n v="4.47"/>
    <n v="3.71"/>
    <n v="3.99"/>
    <n v="4.04"/>
    <n v="4.57"/>
    <n v="4.0599999999999996"/>
    <s v="N/A"/>
    <n v="4.7"/>
    <n v="3.99"/>
    <n v="4.1900000000000004"/>
    <x v="166"/>
    <n v="4.16"/>
    <n v="4.2350000000000003"/>
    <n v="99.436417370000001"/>
    <n v="64.185350510000006"/>
    <n v="78.370902970000003"/>
    <n v="75"/>
    <n v="97.122706449999995"/>
    <n v="78.287313400000002"/>
    <n v="65.327735320000002"/>
    <n v="56.338491210000001"/>
    <n v="35.251066859999995"/>
    <n v="3.3709029700000031"/>
    <n v="18.835393049999993"/>
    <n v="8.9892441100000013"/>
    <x v="0"/>
    <x v="3"/>
    <x v="4"/>
    <n v="3"/>
    <s v="Prof. Kavita Rao"/>
  </r>
  <r>
    <s v="STU0287"/>
    <s v="Ravi Goswami"/>
    <x v="1"/>
    <n v="29"/>
    <x v="1"/>
    <n v="4.3499999999999996"/>
    <n v="4.57"/>
    <n v="3.97"/>
    <n v="4.3"/>
    <n v="3.99"/>
    <n v="3.62"/>
    <n v="3.7"/>
    <n v="4.62"/>
    <n v="4.34"/>
    <n v="4.04"/>
    <x v="226"/>
    <n v="4.24"/>
    <n v="4.0640000000000001"/>
    <n v="80.906038609999996"/>
    <n v="73.629414049999994"/>
    <n v="75.811998829999993"/>
    <n v="63.650319719999999"/>
    <n v="89.490811410000006"/>
    <n v="71.044225969999999"/>
    <n v="68.497093359999994"/>
    <n v="65.496182970000007"/>
    <n v="7.2766245600000019"/>
    <n v="12.161679109999994"/>
    <n v="18.446585440000007"/>
    <n v="3.0009103899999872"/>
    <x v="2"/>
    <x v="2"/>
    <x v="4"/>
    <n v="3"/>
    <s v="Prof. Rajesh Mukherjee"/>
  </r>
  <r>
    <s v="STU0288"/>
    <s v="Girish Rawat"/>
    <x v="1"/>
    <n v="29"/>
    <x v="1"/>
    <n v="4.05"/>
    <n v="3.86"/>
    <n v="4.54"/>
    <n v="3.73"/>
    <n v="4.28"/>
    <n v="4.08"/>
    <n v="4.2699999999999996"/>
    <n v="4.03"/>
    <n v="4.43"/>
    <n v="4.0999999999999996"/>
    <x v="57"/>
    <n v="4.09"/>
    <n v="4.1819999999999995"/>
    <n v="85.936429610000005"/>
    <n v="62.8170894"/>
    <n v="70"/>
    <n v="72.3642234"/>
    <n v="87.971269309999997"/>
    <n v="74.01808303"/>
    <n v="69.496288870000001"/>
    <n v="50"/>
    <n v="23.119340210000004"/>
    <n v="-2.3642234000000002"/>
    <n v="13.953186279999997"/>
    <n v="19.496288870000001"/>
    <x v="0"/>
    <x v="1"/>
    <x v="0"/>
    <n v="3"/>
    <s v="Dr. Rohan Dutta"/>
  </r>
  <r>
    <s v="STU0289"/>
    <s v="Shreya Choubey"/>
    <x v="1"/>
    <n v="23"/>
    <x v="2"/>
    <s v="N/A"/>
    <n v="3.5"/>
    <n v="3.73"/>
    <n v="4.37"/>
    <n v="4.1100000000000003"/>
    <n v="3.61"/>
    <n v="3.97"/>
    <n v="3.99"/>
    <n v="4.5199999999999996"/>
    <n v="4.43"/>
    <x v="227"/>
    <n v="3.93"/>
    <n v="4.1040000000000001"/>
    <n v="80.391908090000001"/>
    <n v="64.257814519999997"/>
    <n v="77.855519520000001"/>
    <n v="65.215388230000002"/>
    <n v="99.896140549999998"/>
    <n v="73.194746069999994"/>
    <n v="72.115051859999994"/>
    <n v="54.675725440000001"/>
    <n v="16.134093570000005"/>
    <n v="12.640131289999999"/>
    <n v="26.701394480000005"/>
    <n v="17.439326419999993"/>
    <x v="0"/>
    <x v="0"/>
    <x v="0"/>
    <n v="3"/>
    <s v="Prof. Rahul Singh"/>
  </r>
  <r>
    <s v="STU0290"/>
    <s v="Siddharth Tripathi"/>
    <x v="1"/>
    <n v="27"/>
    <x v="3"/>
    <n v="3.78"/>
    <n v="4.21"/>
    <n v="3.7"/>
    <n v="3.94"/>
    <n v="4.33"/>
    <n v="4.45"/>
    <n v="3.86"/>
    <n v="3.85"/>
    <n v="3.8"/>
    <n v="3.65"/>
    <x v="22"/>
    <n v="3.99"/>
    <n v="3.9219999999999997"/>
    <n v="75"/>
    <n v="63.59790168"/>
    <n v="70"/>
    <n v="63.576421320000001"/>
    <n v="81.11611825"/>
    <n v="80.700695039999999"/>
    <n v="65.826209570000003"/>
    <n v="50.61936189"/>
    <n v="11.40209832"/>
    <n v="6.4235786799999985"/>
    <n v="0.41542321000000015"/>
    <n v="15.206847680000003"/>
    <x v="0"/>
    <x v="3"/>
    <x v="2"/>
    <n v="3"/>
    <s v="Prof. Kavita Rao"/>
  </r>
  <r>
    <s v="STU0291"/>
    <s v="Pranav Das"/>
    <x v="1"/>
    <n v="23"/>
    <x v="2"/>
    <n v="3.45"/>
    <n v="4.38"/>
    <n v="3.61"/>
    <n v="4.0199999999999996"/>
    <n v="3.94"/>
    <n v="4.5999999999999996"/>
    <n v="3.61"/>
    <n v="4.0599999999999996"/>
    <n v="4.16"/>
    <n v="3.46"/>
    <x v="89"/>
    <n v="3.88"/>
    <n v="3.9780000000000002"/>
    <n v="85.999252060000003"/>
    <n v="63.54601195"/>
    <n v="84.405493719999996"/>
    <n v="68.354892410000005"/>
    <n v="94.157107819999993"/>
    <n v="74.739597079999996"/>
    <n v="71.313083019999993"/>
    <n v="68.205774349999999"/>
    <n v="22.453240110000003"/>
    <n v="16.05060130999999"/>
    <n v="19.417510739999997"/>
    <n v="3.1073086699999948"/>
    <x v="1"/>
    <x v="2"/>
    <x v="2"/>
    <n v="3"/>
    <s v="Prof. Rajesh Mukherjee"/>
  </r>
  <r>
    <s v="STU0292"/>
    <s v="Sakshi Rawat"/>
    <x v="0"/>
    <n v="21"/>
    <x v="0"/>
    <n v="3.97"/>
    <n v="3.79"/>
    <n v="4.41"/>
    <n v="4.1399999999999997"/>
    <n v="4.25"/>
    <n v="4.7699999999999996"/>
    <s v="N/A"/>
    <n v="4.07"/>
    <n v="3.72"/>
    <n v="3.44"/>
    <x v="16"/>
    <n v="4.1100000000000003"/>
    <n v="4"/>
    <n v="91.610185830000006"/>
    <n v="70.793519509999996"/>
    <n v="88.113366670000005"/>
    <n v="73.823104749999999"/>
    <n v="80"/>
    <n v="79.899067290000005"/>
    <n v="72.440337839999998"/>
    <n v="54.909584340000002"/>
    <n v="20.81666632000001"/>
    <n v="14.290261920000006"/>
    <n v="0.10093270999999504"/>
    <n v="17.530753499999996"/>
    <x v="0"/>
    <x v="1"/>
    <x v="2"/>
    <n v="3"/>
    <s v="Dr. Rohan Dutta"/>
  </r>
  <r>
    <s v="STU0293"/>
    <s v="Yogesh Ahmed"/>
    <x v="1"/>
    <n v="29"/>
    <x v="1"/>
    <n v="4.13"/>
    <n v="4.16"/>
    <n v="3.54"/>
    <n v="4.01"/>
    <n v="4.25"/>
    <n v="4.2"/>
    <n v="4.16"/>
    <n v="5"/>
    <n v="3.95"/>
    <n v="4.3899999999999997"/>
    <x v="228"/>
    <n v="4.0199999999999996"/>
    <n v="4.34"/>
    <n v="89.252461139999994"/>
    <n v="71.044004990000005"/>
    <n v="71.207330409999997"/>
    <n v="62.580562649999997"/>
    <n v="93.732468490000002"/>
    <n v="74.144634199999999"/>
    <n v="67.810278109999999"/>
    <n v="55.72750937"/>
    <n v="18.208456149999989"/>
    <n v="8.6267677599999999"/>
    <n v="19.587834290000004"/>
    <n v="12.082768739999999"/>
    <x v="0"/>
    <x v="3"/>
    <x v="4"/>
    <n v="3"/>
    <s v="Prof. Kavita Rao"/>
  </r>
  <r>
    <s v="STU0294"/>
    <s v="Tushar Pradhan"/>
    <x v="1"/>
    <n v="26"/>
    <x v="3"/>
    <n v="4.49"/>
    <n v="3.61"/>
    <n v="3.74"/>
    <n v="4.42"/>
    <n v="3.91"/>
    <n v="4.12"/>
    <n v="4.45"/>
    <n v="3.51"/>
    <n v="4.22"/>
    <n v="4.0599999999999996"/>
    <x v="229"/>
    <n v="4.03"/>
    <n v="4.0720000000000001"/>
    <n v="79.758450629999999"/>
    <n v="60"/>
    <n v="79.452183520000006"/>
    <n v="65.754956429999993"/>
    <n v="83.520985289999999"/>
    <n v="75.195645099999993"/>
    <n v="77.208424530000002"/>
    <n v="50"/>
    <n v="19.758450629999999"/>
    <n v="13.697227090000013"/>
    <n v="8.3253401900000057"/>
    <n v="27.208424530000002"/>
    <x v="0"/>
    <x v="4"/>
    <x v="1"/>
    <n v="3"/>
    <s v="Prof. Vikram Gupta"/>
  </r>
  <r>
    <s v="STU0295"/>
    <s v="Ajay Dhawan"/>
    <x v="1"/>
    <n v="20"/>
    <x v="0"/>
    <n v="3.84"/>
    <n v="4.32"/>
    <n v="3.58"/>
    <n v="3.59"/>
    <n v="4.54"/>
    <n v="4.37"/>
    <n v="4.18"/>
    <n v="4.3499999999999996"/>
    <n v="4.3"/>
    <s v="N/A"/>
    <x v="74"/>
    <n v="3.97"/>
    <n v="4.3"/>
    <n v="86.596363740000001"/>
    <n v="72.442663820000007"/>
    <n v="70"/>
    <n v="61.163479870000003"/>
    <n v="99.9"/>
    <n v="76.449080809999998"/>
    <n v="75.850645200000002"/>
    <n v="60.439302759999997"/>
    <n v="14.153699919999994"/>
    <n v="8.8365201299999967"/>
    <n v="23.450919190000008"/>
    <n v="15.411342440000006"/>
    <x v="0"/>
    <x v="3"/>
    <x v="2"/>
    <n v="3"/>
    <s v="Prof. Kavita Rao"/>
  </r>
  <r>
    <s v="STU0296"/>
    <s v="Sudeep Walia"/>
    <x v="1"/>
    <n v="21"/>
    <x v="0"/>
    <n v="4.1900000000000004"/>
    <n v="3.61"/>
    <n v="4.0999999999999996"/>
    <n v="3.9"/>
    <n v="4.01"/>
    <n v="3.95"/>
    <n v="4.2300000000000004"/>
    <n v="3.98"/>
    <n v="3.68"/>
    <n v="4.2699999999999996"/>
    <x v="230"/>
    <n v="3.96"/>
    <n v="4.0220000000000002"/>
    <n v="80.62050739"/>
    <n v="61.419961370000003"/>
    <n v="83.936993310000005"/>
    <n v="65.272858729999996"/>
    <n v="91.655188260000003"/>
    <n v="81.899003030000003"/>
    <n v="70.77830238"/>
    <n v="53.063219310000001"/>
    <n v="19.200546019999997"/>
    <n v="18.66413458000001"/>
    <n v="9.7561852299999998"/>
    <n v="17.715083069999999"/>
    <x v="0"/>
    <x v="4"/>
    <x v="3"/>
    <n v="3"/>
    <s v="Prof. Vikram Gupta"/>
  </r>
  <r>
    <s v="STU0297"/>
    <s v="Naresh Marathe"/>
    <x v="1"/>
    <n v="23"/>
    <x v="2"/>
    <n v="4.18"/>
    <n v="4.33"/>
    <n v="4"/>
    <n v="4.1100000000000003"/>
    <n v="3.81"/>
    <n v="3.49"/>
    <s v="N/A"/>
    <s v="N/A"/>
    <n v="4.1900000000000004"/>
    <n v="3.97"/>
    <x v="174"/>
    <n v="4.09"/>
    <n v="3.8833333333333333"/>
    <n v="83.102191349999998"/>
    <n v="66.17591693"/>
    <n v="86.869518369999994"/>
    <n v="69.606216309999994"/>
    <n v="86.420672999999994"/>
    <n v="76.497315259999993"/>
    <n v="76.187241529999994"/>
    <n v="59.008945959999998"/>
    <n v="16.926274419999999"/>
    <n v="17.263302060000001"/>
    <n v="9.9233577400000001"/>
    <n v="17.178295569999996"/>
    <x v="0"/>
    <x v="2"/>
    <x v="0"/>
    <n v="3"/>
    <s v="Prof. Rajesh Mukherjee"/>
  </r>
  <r>
    <s v="STU0298"/>
    <s v="Krishna Marathhe"/>
    <x v="1"/>
    <n v="30"/>
    <x v="1"/>
    <n v="4.29"/>
    <n v="4.12"/>
    <n v="3.85"/>
    <n v="4.51"/>
    <n v="3.81"/>
    <n v="3.56"/>
    <n v="3.68"/>
    <n v="3.86"/>
    <n v="4.5199999999999996"/>
    <n v="3.98"/>
    <x v="165"/>
    <n v="4.12"/>
    <n v="3.9199999999999995"/>
    <n v="77.585692980000005"/>
    <n v="66.165597739999995"/>
    <n v="74.132248320000002"/>
    <n v="66.45321414"/>
    <n v="85.492179399999998"/>
    <n v="72.484309359999997"/>
    <n v="71.268492120000005"/>
    <n v="66.653959779999994"/>
    <n v="11.420095240000009"/>
    <n v="7.6790341800000022"/>
    <n v="13.00787004"/>
    <n v="4.6145323400000109"/>
    <x v="0"/>
    <x v="0"/>
    <x v="0"/>
    <n v="3"/>
    <s v="Prof. Rahul Singh"/>
  </r>
  <r>
    <s v="STU0299"/>
    <s v="Shikha Grover"/>
    <x v="0"/>
    <n v="29"/>
    <x v="1"/>
    <n v="3.56"/>
    <n v="3.98"/>
    <n v="4.4400000000000004"/>
    <n v="4.32"/>
    <n v="4.05"/>
    <n v="4.34"/>
    <n v="3.91"/>
    <n v="3.77"/>
    <n v="4.2699999999999996"/>
    <n v="3.7"/>
    <x v="231"/>
    <n v="4.07"/>
    <n v="3.9979999999999998"/>
    <n v="89.006827169999994"/>
    <n v="67.990339399999996"/>
    <n v="74.717566489999996"/>
    <n v="68.194282700000002"/>
    <n v="95.624842760000007"/>
    <n v="75.740866089999997"/>
    <n v="69.961547589999995"/>
    <n v="60.440381760000001"/>
    <n v="21.016487769999998"/>
    <n v="6.5232837899999936"/>
    <n v="19.88397667000001"/>
    <n v="9.5211658299999939"/>
    <x v="0"/>
    <x v="1"/>
    <x v="2"/>
    <n v="3"/>
    <s v="Dr. Rohan Dutta"/>
  </r>
  <r>
    <s v="STU0300"/>
    <s v="Charul Agrawal"/>
    <x v="0"/>
    <n v="22"/>
    <x v="0"/>
    <n v="4.79"/>
    <n v="4.0999999999999996"/>
    <n v="3.69"/>
    <n v="4.04"/>
    <n v="3.86"/>
    <n v="4.0599999999999996"/>
    <n v="4.05"/>
    <n v="3.77"/>
    <n v="3.92"/>
    <n v="4.28"/>
    <x v="232"/>
    <n v="4.0999999999999996"/>
    <n v="4.016"/>
    <n v="78.314785830000005"/>
    <n v="65.663777440000004"/>
    <n v="82.688641559999994"/>
    <n v="67.103104040000005"/>
    <n v="90.05080959"/>
    <n v="85"/>
    <n v="74.003339800000006"/>
    <n v="50"/>
    <n v="12.651008390000001"/>
    <n v="15.585537519999988"/>
    <n v="5.0508095900000001"/>
    <n v="24.003339800000006"/>
    <x v="0"/>
    <x v="4"/>
    <x v="3"/>
    <n v="3"/>
    <s v="Prof. Vikram Gupta"/>
  </r>
  <r>
    <s v="STU0301"/>
    <s v="Sanjeev Sahani"/>
    <x v="1"/>
    <n v="28"/>
    <x v="3"/>
    <n v="3.75"/>
    <n v="3.95"/>
    <n v="4.0999999999999996"/>
    <n v="3.93"/>
    <n v="3.66"/>
    <n v="4.1900000000000004"/>
    <n v="4.37"/>
    <n v="4.25"/>
    <n v="3.69"/>
    <n v="4.87"/>
    <x v="124"/>
    <n v="3.88"/>
    <n v="4.274"/>
    <n v="84.384424249999995"/>
    <n v="73.519419479999996"/>
    <n v="74.345108109999998"/>
    <n v="61.157867179999997"/>
    <n v="86.376969990000006"/>
    <n v="85"/>
    <n v="65"/>
    <n v="52.474933929999999"/>
    <n v="10.865004769999999"/>
    <n v="13.187240930000002"/>
    <n v="1.3769699900000063"/>
    <n v="12.525066070000001"/>
    <x v="1"/>
    <x v="1"/>
    <x v="3"/>
    <n v="3"/>
    <s v="Dr. Rohan Dutta"/>
  </r>
  <r>
    <s v="STU0302"/>
    <s v="Vikram Shhukla"/>
    <x v="1"/>
    <n v="23"/>
    <x v="2"/>
    <n v="3.98"/>
    <n v="4.0999999999999996"/>
    <n v="3.48"/>
    <n v="3.87"/>
    <n v="4.26"/>
    <n v="3.26"/>
    <n v="3.61"/>
    <n v="3.54"/>
    <n v="3.62"/>
    <n v="3.87"/>
    <x v="233"/>
    <n v="3.94"/>
    <n v="3.5800000000000005"/>
    <n v="91.353920380000005"/>
    <n v="63.527103820000001"/>
    <n v="70.923739760000004"/>
    <n v="59.682873710000003"/>
    <n v="88.486174849999998"/>
    <n v="78.786241320000002"/>
    <n v="71.604031109999994"/>
    <n v="60.624474650000003"/>
    <n v="27.826816560000005"/>
    <n v="11.240866050000001"/>
    <n v="9.6999335299999956"/>
    <n v="10.979556459999991"/>
    <x v="0"/>
    <x v="3"/>
    <x v="3"/>
    <n v="3"/>
    <s v="Prof. Kavita Rao"/>
  </r>
  <r>
    <s v="STU0303"/>
    <s v="Zara Jain"/>
    <x v="0"/>
    <n v="25"/>
    <x v="2"/>
    <n v="3.98"/>
    <n v="4.13"/>
    <n v="4.1100000000000003"/>
    <n v="4.4000000000000004"/>
    <n v="3.64"/>
    <n v="3.89"/>
    <n v="3.59"/>
    <n v="4.13"/>
    <s v="N/A"/>
    <n v="3.9"/>
    <x v="39"/>
    <n v="4.05"/>
    <n v="3.8774999999999999"/>
    <n v="84.513673080000004"/>
    <n v="63.548318500000001"/>
    <n v="76.156946300000001"/>
    <n v="65.695842170000006"/>
    <n v="94.192873410000004"/>
    <n v="82.353059630000004"/>
    <n v="67.001753129999997"/>
    <n v="60.340591230000001"/>
    <n v="20.965354580000003"/>
    <n v="10.461104129999995"/>
    <n v="11.83981378"/>
    <n v="6.6611618999999962"/>
    <x v="0"/>
    <x v="0"/>
    <x v="4"/>
    <n v="3"/>
    <s v="Prof. Rahul Singh"/>
  </r>
  <r>
    <s v="STU0304"/>
    <s v="Madhavi Sharma"/>
    <x v="0"/>
    <n v="24"/>
    <x v="2"/>
    <n v="3.72"/>
    <n v="4.5599999999999996"/>
    <n v="4.3099999999999996"/>
    <n v="3.99"/>
    <n v="3.56"/>
    <n v="3.98"/>
    <n v="4.2300000000000004"/>
    <n v="4.0999999999999996"/>
    <n v="4.37"/>
    <n v="4.4400000000000004"/>
    <x v="234"/>
    <n v="4.03"/>
    <n v="4.2240000000000002"/>
    <n v="88.602698050000001"/>
    <n v="65.777457470000002"/>
    <n v="82.985847359999994"/>
    <n v="66.868773649999994"/>
    <n v="93.276705789999994"/>
    <n v="83.242036189999993"/>
    <n v="65"/>
    <n v="52.18821441"/>
    <n v="22.825240579999999"/>
    <n v="16.11707371"/>
    <n v="10.034669600000001"/>
    <n v="12.81178559"/>
    <x v="0"/>
    <x v="2"/>
    <x v="3"/>
    <n v="3"/>
    <s v="Prof. Rajesh Mukherjee"/>
  </r>
  <r>
    <s v="STU0305"/>
    <s v="Ayaan Saxena"/>
    <x v="1"/>
    <n v="22"/>
    <x v="0"/>
    <n v="4.04"/>
    <n v="4.26"/>
    <n v="4.5"/>
    <n v="4.4800000000000004"/>
    <n v="4.18"/>
    <n v="4.63"/>
    <n v="4.16"/>
    <n v="4.32"/>
    <n v="4.05"/>
    <n v="3.95"/>
    <x v="235"/>
    <n v="4.29"/>
    <n v="4.2219999999999995"/>
    <n v="84.980853740000001"/>
    <n v="65.384954930000006"/>
    <n v="75.713312250000001"/>
    <n v="65.965296469999998"/>
    <n v="89.364565499999998"/>
    <n v="79.153489390000004"/>
    <n v="77.726058280000004"/>
    <n v="65.541570410000006"/>
    <n v="19.595898809999994"/>
    <n v="9.7480157800000029"/>
    <n v="10.211076109999993"/>
    <n v="12.184487869999998"/>
    <x v="2"/>
    <x v="1"/>
    <x v="2"/>
    <n v="3"/>
    <s v="Dr. Rohan Dutta"/>
  </r>
  <r>
    <s v="STU0306"/>
    <s v="Poonam Bajpai"/>
    <x v="1"/>
    <n v="27"/>
    <x v="3"/>
    <n v="4.0999999999999996"/>
    <s v="N/A"/>
    <n v="3.61"/>
    <n v="3.38"/>
    <n v="4.3"/>
    <n v="4.33"/>
    <n v="3.95"/>
    <n v="4.03"/>
    <n v="4.6100000000000003"/>
    <n v="3.81"/>
    <x v="100"/>
    <n v="3.85"/>
    <n v="4.1459999999999999"/>
    <n v="84.485385030000003"/>
    <n v="63.623299400000001"/>
    <n v="71.490516279999994"/>
    <n v="63.274076639999997"/>
    <n v="99.173688290000001"/>
    <n v="83.898718239999994"/>
    <n v="70.602176610000001"/>
    <n v="60.66081887"/>
    <n v="20.862085630000003"/>
    <n v="8.2164396399999973"/>
    <n v="15.274970050000007"/>
    <n v="9.9413577400000008"/>
    <x v="1"/>
    <x v="3"/>
    <x v="0"/>
    <n v="3"/>
    <s v="Prof. Kavita Rao"/>
  </r>
  <r>
    <s v="STU0307"/>
    <s v="Rakesh Ekbote"/>
    <x v="1"/>
    <n v="29"/>
    <x v="1"/>
    <n v="4.1900000000000004"/>
    <n v="3.36"/>
    <n v="3.98"/>
    <n v="3.87"/>
    <n v="4.1100000000000003"/>
    <n v="3.91"/>
    <n v="3.81"/>
    <n v="3.68"/>
    <n v="3.76"/>
    <n v="4.6399999999999997"/>
    <x v="236"/>
    <n v="3.9"/>
    <n v="3.96"/>
    <n v="82.823692539999996"/>
    <n v="75.466557449999996"/>
    <n v="81.715901540000004"/>
    <n v="63.904729539999998"/>
    <n v="86.695839509999999"/>
    <n v="77.964732650000002"/>
    <n v="70.415731070000007"/>
    <n v="69.319748599999997"/>
    <n v="7.3571350899999999"/>
    <n v="17.811172000000006"/>
    <n v="8.731106859999997"/>
    <n v="1.0959824700000098"/>
    <x v="0"/>
    <x v="4"/>
    <x v="3"/>
    <n v="3"/>
    <s v="Prof. Vikram Gupta"/>
  </r>
  <r>
    <s v="STU0308"/>
    <s v="Rudra Mukherjee"/>
    <x v="1"/>
    <n v="25"/>
    <x v="2"/>
    <n v="3.93"/>
    <n v="4.8600000000000003"/>
    <n v="4.4000000000000004"/>
    <n v="3.99"/>
    <n v="4.2699999999999996"/>
    <n v="4.3"/>
    <n v="3.89"/>
    <n v="3.54"/>
    <s v="N/A"/>
    <n v="4.5199999999999996"/>
    <x v="237"/>
    <n v="4.29"/>
    <n v="4.0625"/>
    <n v="86.882126540000002"/>
    <n v="72.605183969999999"/>
    <n v="81.106913090000006"/>
    <n v="74.590246609999994"/>
    <n v="93.694948819999993"/>
    <n v="79.129900219999996"/>
    <n v="72.187780059999994"/>
    <n v="50"/>
    <n v="14.276942570000003"/>
    <n v="6.516666480000012"/>
    <n v="14.565048599999997"/>
    <n v="22.187780059999994"/>
    <x v="2"/>
    <x v="2"/>
    <x v="3"/>
    <n v="3"/>
    <s v="Prof. Rajesh Mukherjee"/>
  </r>
  <r>
    <s v="STU0309"/>
    <s v="Vipul Kohli"/>
    <x v="1"/>
    <n v="20"/>
    <x v="0"/>
    <n v="4.1900000000000004"/>
    <n v="4.4800000000000004"/>
    <n v="3.98"/>
    <n v="4.34"/>
    <n v="3.63"/>
    <n v="3.25"/>
    <n v="3.58"/>
    <n v="3.4"/>
    <n v="3.56"/>
    <n v="4.04"/>
    <x v="36"/>
    <n v="4.12"/>
    <n v="3.5660000000000003"/>
    <n v="82.501363380000001"/>
    <n v="68.990362700000006"/>
    <n v="81.98102059"/>
    <n v="62.81057122"/>
    <n v="90.020860720000002"/>
    <n v="68.447710860000001"/>
    <n v="68.912709340000006"/>
    <n v="50"/>
    <n v="13.511000679999995"/>
    <n v="19.17044937"/>
    <n v="21.573149860000001"/>
    <n v="18.912709340000006"/>
    <x v="0"/>
    <x v="2"/>
    <x v="3"/>
    <n v="3"/>
    <s v="Prof. Rajesh Mukherjee"/>
  </r>
  <r>
    <s v="STU0310"/>
    <s v="Omkar Tripathi"/>
    <x v="1"/>
    <n v="25"/>
    <x v="2"/>
    <n v="4.08"/>
    <n v="3.64"/>
    <n v="3.39"/>
    <n v="3.67"/>
    <n v="3.93"/>
    <n v="3.59"/>
    <n v="4.3600000000000003"/>
    <n v="3.81"/>
    <n v="4.29"/>
    <n v="3.82"/>
    <x v="238"/>
    <n v="3.74"/>
    <n v="3.9740000000000002"/>
    <n v="77.239641180000007"/>
    <n v="60.375655870000003"/>
    <n v="70"/>
    <n v="67.784226369999999"/>
    <n v="95.346290449999998"/>
    <n v="77.002937750000001"/>
    <n v="65"/>
    <n v="50"/>
    <n v="16.863985310000004"/>
    <n v="2.215773630000001"/>
    <n v="18.343352699999997"/>
    <n v="15"/>
    <x v="1"/>
    <x v="4"/>
    <x v="1"/>
    <n v="3"/>
    <s v="Prof. Vikram Gupta"/>
  </r>
  <r>
    <s v="STU0311"/>
    <s v="Neha Hooda"/>
    <x v="0"/>
    <n v="20"/>
    <x v="0"/>
    <n v="4.3"/>
    <n v="4.24"/>
    <n v="4.1500000000000004"/>
    <n v="4.09"/>
    <n v="3.99"/>
    <n v="4.6100000000000003"/>
    <n v="4.53"/>
    <n v="4"/>
    <n v="4.12"/>
    <n v="4.1399999999999997"/>
    <x v="148"/>
    <n v="4.1500000000000004"/>
    <n v="4.28"/>
    <n v="88.336491940000002"/>
    <n v="70.694512649999993"/>
    <n v="81.080625839999996"/>
    <n v="68.055321070000005"/>
    <n v="85.246726800000005"/>
    <n v="75.507563500000003"/>
    <n v="69.048332939999995"/>
    <n v="63.626192860000003"/>
    <n v="17.641979290000009"/>
    <n v="13.025304769999991"/>
    <n v="9.7391633000000013"/>
    <n v="5.4221400799999913"/>
    <x v="0"/>
    <x v="4"/>
    <x v="2"/>
    <n v="3"/>
    <s v="Prof. Vikram Gupta"/>
  </r>
  <r>
    <s v="STU0312"/>
    <s v="Navneet Marwah"/>
    <x v="1"/>
    <n v="28"/>
    <x v="3"/>
    <n v="4.05"/>
    <n v="3.97"/>
    <n v="4.1100000000000003"/>
    <n v="3.91"/>
    <n v="4.4000000000000004"/>
    <n v="3.66"/>
    <n v="4.4000000000000004"/>
    <n v="3.65"/>
    <n v="3.83"/>
    <n v="3.96"/>
    <x v="239"/>
    <n v="4.09"/>
    <n v="3.9"/>
    <n v="82.640601160000003"/>
    <n v="70.557586360000002"/>
    <n v="84.374784680000005"/>
    <n v="72.729124959999993"/>
    <n v="80"/>
    <n v="75.384170710000006"/>
    <n v="70.613273710000001"/>
    <n v="64.893408260000001"/>
    <n v="12.083014800000001"/>
    <n v="11.645659720000012"/>
    <n v="4.6158292899999935"/>
    <n v="5.7198654500000004"/>
    <x v="0"/>
    <x v="3"/>
    <x v="1"/>
    <n v="3"/>
    <s v="Prof. Kavita Rao"/>
  </r>
  <r>
    <s v="STU0313"/>
    <s v="Hemant Meehta"/>
    <x v="1"/>
    <n v="22"/>
    <x v="0"/>
    <n v="4.33"/>
    <n v="3.91"/>
    <n v="4.8899999999999997"/>
    <n v="3.82"/>
    <n v="3.89"/>
    <n v="4.42"/>
    <n v="4.29"/>
    <n v="4.07"/>
    <n v="3.64"/>
    <n v="3.67"/>
    <x v="95"/>
    <n v="4.17"/>
    <n v="4.0180000000000007"/>
    <n v="85.784232810000006"/>
    <n v="66.292456509999994"/>
    <n v="70.604048930000005"/>
    <n v="61.191103759999997"/>
    <n v="94.819972930000006"/>
    <n v="83.056340449999993"/>
    <n v="67.44909638"/>
    <n v="51.345081790000002"/>
    <n v="19.491776300000012"/>
    <n v="9.4129451700000075"/>
    <n v="11.763632480000012"/>
    <n v="16.104014589999998"/>
    <x v="0"/>
    <x v="1"/>
    <x v="2"/>
    <n v="3"/>
    <s v="Dr. Rohan Dutta"/>
  </r>
  <r>
    <s v="STU0314"/>
    <s v="Myra Sahani"/>
    <x v="0"/>
    <n v="29"/>
    <x v="1"/>
    <n v="4.47"/>
    <n v="3.79"/>
    <n v="3.73"/>
    <n v="3.62"/>
    <n v="3.63"/>
    <n v="3.92"/>
    <n v="4.1900000000000004"/>
    <n v="3.24"/>
    <n v="4"/>
    <n v="4.24"/>
    <x v="240"/>
    <n v="3.85"/>
    <n v="3.9180000000000001"/>
    <n v="95.144114569999999"/>
    <n v="71.230283729999996"/>
    <n v="70"/>
    <n v="58.407635030000002"/>
    <n v="80"/>
    <n v="85"/>
    <n v="77.330727359999997"/>
    <n v="62.695477330000003"/>
    <n v="23.913830840000003"/>
    <n v="11.592364969999998"/>
    <n v="-5"/>
    <n v="14.635250029999995"/>
    <x v="1"/>
    <x v="4"/>
    <x v="3"/>
    <n v="3"/>
    <s v="Prof. Vikram Gupta"/>
  </r>
  <r>
    <s v="STU0315"/>
    <s v="Anjali Dhanwaade"/>
    <x v="0"/>
    <n v="28"/>
    <x v="3"/>
    <n v="4.5599999999999996"/>
    <n v="3.93"/>
    <n v="4.12"/>
    <n v="4.1100000000000003"/>
    <n v="4"/>
    <n v="4.3"/>
    <n v="4.38"/>
    <n v="4.57"/>
    <n v="4.41"/>
    <n v="4.0599999999999996"/>
    <x v="241"/>
    <n v="4.1399999999999997"/>
    <n v="4.3439999999999994"/>
    <n v="75"/>
    <n v="77.080502929999994"/>
    <n v="70"/>
    <n v="62.092537389999997"/>
    <n v="81.979822909999996"/>
    <n v="82.041122450000003"/>
    <n v="66.914056709999997"/>
    <n v="54.082714670000001"/>
    <n v="-2.0805029299999944"/>
    <n v="7.9074626100000032"/>
    <n v="-6.1299540000007369E-2"/>
    <n v="12.831342039999996"/>
    <x v="0"/>
    <x v="4"/>
    <x v="4"/>
    <n v="3"/>
    <s v="Prof. Vikram Gupta"/>
  </r>
  <r>
    <s v="STU0316"/>
    <s v="Mohit Gupta"/>
    <x v="1"/>
    <n v="26"/>
    <x v="3"/>
    <n v="4.21"/>
    <n v="4.28"/>
    <n v="4.76"/>
    <n v="4.28"/>
    <n v="3.7"/>
    <n v="3.74"/>
    <n v="3.63"/>
    <n v="4.07"/>
    <s v="N/A"/>
    <n v="4.49"/>
    <x v="242"/>
    <n v="4.25"/>
    <n v="3.9825000000000004"/>
    <n v="95.645109809999994"/>
    <n v="69.691463310000003"/>
    <n v="89.864663770000007"/>
    <n v="57.975851069999997"/>
    <n v="80"/>
    <n v="73.504733920000007"/>
    <n v="75.221932879999997"/>
    <n v="50"/>
    <n v="25.953646499999991"/>
    <n v="31.88881270000001"/>
    <n v="6.4952660799999933"/>
    <n v="25.221932879999997"/>
    <x v="2"/>
    <x v="1"/>
    <x v="3"/>
    <n v="3"/>
    <s v="Dr. Rohan Dutta"/>
  </r>
  <r>
    <s v="STU0317"/>
    <s v="Surbhi Israni"/>
    <x v="1"/>
    <n v="25"/>
    <x v="2"/>
    <n v="4.09"/>
    <n v="4.25"/>
    <n v="4.4000000000000004"/>
    <n v="4.21"/>
    <n v="3.71"/>
    <n v="4.25"/>
    <n v="4.24"/>
    <n v="4.17"/>
    <n v="4.12"/>
    <n v="4.33"/>
    <x v="162"/>
    <n v="4.13"/>
    <n v="4.2219999999999995"/>
    <n v="94.893442190000002"/>
    <n v="65.327649679999993"/>
    <n v="85.403030970000003"/>
    <n v="62.825855709999999"/>
    <n v="86.236034029999999"/>
    <n v="84.733649679999999"/>
    <n v="68.077118150000004"/>
    <n v="55.980678019999999"/>
    <n v="29.565792510000009"/>
    <n v="22.577175260000004"/>
    <n v="1.5023843499999998"/>
    <n v="12.096440130000005"/>
    <x v="0"/>
    <x v="1"/>
    <x v="3"/>
    <n v="3"/>
    <s v="Dr. Rohan Dutta"/>
  </r>
  <r>
    <s v="STU0318"/>
    <s v="Yuvraj Meher"/>
    <x v="1"/>
    <n v="26"/>
    <x v="3"/>
    <n v="4.16"/>
    <n v="4.57"/>
    <n v="2.99"/>
    <n v="3.84"/>
    <n v="4.45"/>
    <n v="3.24"/>
    <n v="4.53"/>
    <n v="4.08"/>
    <n v="3.4"/>
    <n v="4.28"/>
    <x v="52"/>
    <n v="4"/>
    <n v="3.9060000000000001"/>
    <n v="85.396941999999996"/>
    <n v="69.495467289999993"/>
    <n v="82.518109039999999"/>
    <n v="61.219940270000002"/>
    <n v="95.411490369999996"/>
    <n v="79.664409419999998"/>
    <n v="77.326403990000003"/>
    <n v="53.71369791"/>
    <n v="15.901474710000002"/>
    <n v="21.298168769999997"/>
    <n v="15.747080949999997"/>
    <n v="23.612706080000002"/>
    <x v="0"/>
    <x v="2"/>
    <x v="1"/>
    <n v="3"/>
    <s v="Prof. Rajesh Mukherjee"/>
  </r>
  <r>
    <s v="STU0319"/>
    <s v="Deepali Rathi"/>
    <x v="0"/>
    <n v="30"/>
    <x v="1"/>
    <n v="4.5199999999999996"/>
    <n v="3.93"/>
    <n v="3.74"/>
    <n v="4.6900000000000004"/>
    <n v="4.3499999999999996"/>
    <n v="3.94"/>
    <n v="3.8"/>
    <n v="3.98"/>
    <n v="4.55"/>
    <n v="3.74"/>
    <x v="104"/>
    <n v="4.25"/>
    <n v="4.0019999999999998"/>
    <n v="94.440745849999999"/>
    <n v="69.364460289999997"/>
    <n v="76.26141346"/>
    <n v="62.869059329999999"/>
    <n v="85.238739769999995"/>
    <n v="74.134059190000002"/>
    <n v="72.702067029999995"/>
    <n v="65.320858729999998"/>
    <n v="25.076285560000002"/>
    <n v="13.392354130000001"/>
    <n v="11.104680579999993"/>
    <n v="7.3812082999999973"/>
    <x v="2"/>
    <x v="0"/>
    <x v="0"/>
    <n v="3"/>
    <s v="Prof. Rahul Singh"/>
  </r>
  <r>
    <s v="STU0320"/>
    <s v="Bhaskar Fernandes"/>
    <x v="1"/>
    <n v="26"/>
    <x v="3"/>
    <n v="4.16"/>
    <n v="3.72"/>
    <n v="4.71"/>
    <n v="4.24"/>
    <n v="4.1900000000000004"/>
    <n v="4.41"/>
    <n v="4.2300000000000004"/>
    <n v="3.99"/>
    <n v="4.43"/>
    <n v="3.94"/>
    <x v="133"/>
    <n v="4.2"/>
    <n v="4.2000000000000011"/>
    <n v="90.254717299999996"/>
    <n v="70.976368089999994"/>
    <n v="83.703648430000001"/>
    <n v="57.313002760000003"/>
    <n v="93.715392649999998"/>
    <n v="73.125997929999997"/>
    <n v="71.859802389999999"/>
    <n v="50"/>
    <n v="19.278349210000002"/>
    <n v="26.390645669999998"/>
    <n v="20.589394720000001"/>
    <n v="21.859802389999999"/>
    <x v="2"/>
    <x v="1"/>
    <x v="0"/>
    <n v="3"/>
    <s v="Dr. Rohan Dutta"/>
  </r>
  <r>
    <s v="STU0321"/>
    <s v="Priya Pandey"/>
    <x v="1"/>
    <n v="20"/>
    <x v="0"/>
    <n v="4.16"/>
    <n v="4.49"/>
    <n v="4.16"/>
    <n v="4.5199999999999996"/>
    <n v="4.16"/>
    <n v="3.86"/>
    <n v="4.3600000000000003"/>
    <n v="3.47"/>
    <n v="4.03"/>
    <n v="3.71"/>
    <x v="243"/>
    <n v="4.3"/>
    <n v="3.8860000000000006"/>
    <n v="80.333299069999995"/>
    <n v="77.532827069999996"/>
    <n v="77.039327"/>
    <n v="69.851030480000006"/>
    <n v="91.199989830000007"/>
    <n v="83.515066050000001"/>
    <n v="66.224663960000001"/>
    <n v="50.309589449999997"/>
    <n v="2.8004719999999992"/>
    <n v="7.1882965199999944"/>
    <n v="7.6849237800000054"/>
    <n v="15.915074510000004"/>
    <x v="2"/>
    <x v="0"/>
    <x v="1"/>
    <n v="3"/>
    <s v="Prof. Rahul Singh"/>
  </r>
  <r>
    <s v="STU0322"/>
    <s v="Suresh Iiyer"/>
    <x v="1"/>
    <n v="28"/>
    <x v="3"/>
    <n v="4.55"/>
    <n v="4.13"/>
    <n v="4.17"/>
    <n v="4.08"/>
    <n v="4.16"/>
    <n v="4.2699999999999996"/>
    <n v="4.59"/>
    <n v="4.3"/>
    <n v="4.33"/>
    <n v="3.88"/>
    <x v="42"/>
    <n v="4.22"/>
    <n v="4.274"/>
    <n v="81.605650170000004"/>
    <n v="65.186204840000002"/>
    <n v="70.192078260000002"/>
    <n v="58.717705440000003"/>
    <n v="89.987263650000003"/>
    <n v="78.707777440000001"/>
    <n v="65"/>
    <n v="50"/>
    <n v="16.419445330000002"/>
    <n v="11.474372819999999"/>
    <n v="11.279486210000002"/>
    <n v="15"/>
    <x v="2"/>
    <x v="4"/>
    <x v="1"/>
    <n v="3"/>
    <s v="Prof. Vikram Gupta"/>
  </r>
  <r>
    <s v="STU0323"/>
    <s v="Riya Bedi"/>
    <x v="0"/>
    <n v="28"/>
    <x v="3"/>
    <n v="4"/>
    <n v="4.07"/>
    <n v="3.87"/>
    <n v="3.7"/>
    <n v="3.77"/>
    <n v="3.71"/>
    <n v="4.07"/>
    <n v="3.63"/>
    <n v="4.01"/>
    <n v="3.93"/>
    <x v="132"/>
    <n v="3.88"/>
    <n v="3.87"/>
    <n v="93.521354560000006"/>
    <n v="77.315785520000006"/>
    <n v="78.077806019999997"/>
    <n v="63.313464430000003"/>
    <n v="92.782481469999993"/>
    <n v="73.680714230000007"/>
    <n v="71.569837089999993"/>
    <n v="50"/>
    <n v="16.20556904"/>
    <n v="14.764341589999994"/>
    <n v="19.101767239999987"/>
    <n v="21.569837089999993"/>
    <x v="1"/>
    <x v="2"/>
    <x v="1"/>
    <n v="3"/>
    <s v="Prof. Rajesh Mukherjee"/>
  </r>
  <r>
    <s v="STU0324"/>
    <s v="Ravi Saxena"/>
    <x v="1"/>
    <n v="21"/>
    <x v="0"/>
    <n v="3.93"/>
    <n v="4.5199999999999996"/>
    <n v="3.85"/>
    <n v="3.89"/>
    <n v="4.33"/>
    <n v="3.91"/>
    <n v="4.09"/>
    <n v="3.98"/>
    <n v="4.18"/>
    <n v="4.24"/>
    <x v="244"/>
    <n v="4.0999999999999996"/>
    <n v="4.08"/>
    <n v="90.038907390000006"/>
    <n v="68.917954159999994"/>
    <n v="83.177639279999994"/>
    <n v="60.281808269999999"/>
    <n v="92.799679249999997"/>
    <n v="79.962751260000005"/>
    <n v="75.308825949999999"/>
    <n v="64.672454979999998"/>
    <n v="21.120953230000012"/>
    <n v="22.895831009999995"/>
    <n v="12.836927989999992"/>
    <n v="10.636370970000002"/>
    <x v="0"/>
    <x v="2"/>
    <x v="3"/>
    <n v="3"/>
    <s v="Prof. Rajesh Mukherjee"/>
  </r>
  <r>
    <s v="STU0325"/>
    <s v="Ishaan Nathani"/>
    <x v="1"/>
    <n v="26"/>
    <x v="3"/>
    <n v="3.92"/>
    <n v="4.49"/>
    <n v="3.85"/>
    <n v="4.6900000000000004"/>
    <n v="4.68"/>
    <n v="3.91"/>
    <n v="3.57"/>
    <n v="3.41"/>
    <n v="4.7"/>
    <n v="4.0999999999999996"/>
    <x v="245"/>
    <n v="4.33"/>
    <n v="3.9379999999999997"/>
    <n v="82.266986250000002"/>
    <n v="69.090188740000002"/>
    <n v="71.540153759999995"/>
    <n v="68.434879859999995"/>
    <n v="80"/>
    <n v="80.92513855"/>
    <n v="70.20637954"/>
    <n v="50.049317879999997"/>
    <n v="13.17679751"/>
    <n v="3.1052739000000003"/>
    <n v="-0.92513854999999978"/>
    <n v="20.157061660000004"/>
    <x v="2"/>
    <x v="0"/>
    <x v="0"/>
    <n v="3"/>
    <s v="Prof. Rahul Singh"/>
  </r>
  <r>
    <s v="STU0326"/>
    <s v="Aditi Bajpai"/>
    <x v="0"/>
    <n v="20"/>
    <x v="0"/>
    <n v="4.45"/>
    <n v="4.16"/>
    <n v="3.73"/>
    <n v="4.3"/>
    <n v="4.24"/>
    <n v="4.16"/>
    <n v="4.0199999999999996"/>
    <n v="3.54"/>
    <n v="4.22"/>
    <n v="4.7300000000000004"/>
    <x v="111"/>
    <n v="4.18"/>
    <n v="4.1339999999999995"/>
    <n v="77.64787303"/>
    <n v="63.103698039999998"/>
    <n v="85.353317450000006"/>
    <n v="66.414649690000005"/>
    <n v="97.247862600000005"/>
    <n v="78.727207849999999"/>
    <n v="77.289288740000003"/>
    <n v="54.803252440000001"/>
    <n v="14.544174990000002"/>
    <n v="18.938667760000001"/>
    <n v="18.520654750000006"/>
    <n v="22.486036300000002"/>
    <x v="0"/>
    <x v="4"/>
    <x v="3"/>
    <n v="3"/>
    <s v="Prof. Vikram Gupta"/>
  </r>
  <r>
    <s v="STU0327"/>
    <s v="Rekha Kapoor"/>
    <x v="0"/>
    <n v="26"/>
    <x v="3"/>
    <n v="4.17"/>
    <s v="N/A"/>
    <s v="N/A"/>
    <n v="3.87"/>
    <n v="4.29"/>
    <s v="N/A"/>
    <n v="4.42"/>
    <n v="3.55"/>
    <n v="4.99"/>
    <n v="3.63"/>
    <x v="246"/>
    <n v="4.1100000000000003"/>
    <n v="4.1475"/>
    <n v="93.198522299999993"/>
    <n v="74.393271310000003"/>
    <n v="72.386188739999994"/>
    <n v="63.815242130000001"/>
    <n v="93.227458760000005"/>
    <n v="76.741547240000003"/>
    <n v="70.426329980000006"/>
    <n v="64.588370949999998"/>
    <n v="18.80525098999999"/>
    <n v="8.5709466099999929"/>
    <n v="16.485911520000002"/>
    <n v="5.8379590300000075"/>
    <x v="0"/>
    <x v="3"/>
    <x v="0"/>
    <n v="3"/>
    <s v="Prof. Kavita Rao"/>
  </r>
  <r>
    <s v="STU0328"/>
    <s v="Aadhya Kumar"/>
    <x v="0"/>
    <n v="23"/>
    <x v="2"/>
    <n v="4.0199999999999996"/>
    <n v="4.17"/>
    <n v="4.47"/>
    <n v="4.3499999999999996"/>
    <n v="3.76"/>
    <n v="4.07"/>
    <n v="4.37"/>
    <n v="4.3899999999999997"/>
    <n v="4.41"/>
    <n v="4.3099999999999996"/>
    <x v="247"/>
    <n v="4.1500000000000004"/>
    <n v="4.3100000000000005"/>
    <n v="78.523711860000006"/>
    <n v="62.49296734"/>
    <n v="74.145977450000004"/>
    <n v="73.417568500000002"/>
    <n v="90.238756570000007"/>
    <n v="79.544545819999996"/>
    <n v="74.691284269999997"/>
    <n v="66.106093540000003"/>
    <n v="16.030744520000006"/>
    <n v="0.72840895000000216"/>
    <n v="10.694210750000011"/>
    <n v="8.5851907299999937"/>
    <x v="0"/>
    <x v="1"/>
    <x v="0"/>
    <n v="3"/>
    <s v="Dr. Rohan Dutta"/>
  </r>
  <r>
    <s v="STU0329"/>
    <s v="Rajeev Bbajaj"/>
    <x v="1"/>
    <n v="25"/>
    <x v="2"/>
    <n v="3.77"/>
    <n v="4.08"/>
    <n v="3.78"/>
    <n v="3.64"/>
    <n v="4.29"/>
    <n v="4.3899999999999997"/>
    <n v="4.34"/>
    <n v="3.29"/>
    <n v="4.1900000000000004"/>
    <n v="4.29"/>
    <x v="248"/>
    <n v="3.91"/>
    <n v="4.0999999999999996"/>
    <n v="79.979293029999994"/>
    <n v="68.422185299999995"/>
    <n v="83.835201549999994"/>
    <n v="61.314793180000002"/>
    <n v="85.198664249999993"/>
    <n v="82.416149899999994"/>
    <n v="73.283662219999997"/>
    <n v="54.714925149999999"/>
    <n v="11.557107729999998"/>
    <n v="22.520408369999991"/>
    <n v="2.7825143499999996"/>
    <n v="18.568737069999997"/>
    <x v="0"/>
    <x v="3"/>
    <x v="2"/>
    <n v="3"/>
    <s v="Prof. Kavita Rao"/>
  </r>
  <r>
    <s v="STU0330"/>
    <s v="Madhavi Lamba"/>
    <x v="0"/>
    <n v="23"/>
    <x v="2"/>
    <n v="4"/>
    <n v="4.3499999999999996"/>
    <n v="3.93"/>
    <n v="3.79"/>
    <n v="3.71"/>
    <n v="4.09"/>
    <n v="4.1100000000000003"/>
    <n v="3.68"/>
    <n v="4.41"/>
    <n v="4.34"/>
    <x v="12"/>
    <n v="3.96"/>
    <n v="4.1259999999999994"/>
    <n v="81.555146140000005"/>
    <n v="64.712481729999993"/>
    <n v="74.685562669999996"/>
    <n v="59.17688845"/>
    <n v="96.877918739999998"/>
    <n v="83.345870529999999"/>
    <n v="74.180375990000002"/>
    <n v="61.069768510000003"/>
    <n v="16.842664410000012"/>
    <n v="15.508674219999996"/>
    <n v="13.532048209999999"/>
    <n v="13.110607479999999"/>
    <x v="0"/>
    <x v="2"/>
    <x v="0"/>
    <n v="3"/>
    <s v="Prof. Rajesh Mukherjee"/>
  </r>
  <r>
    <s v="STU0331"/>
    <s v="Sunil Ahluwalia"/>
    <x v="1"/>
    <n v="20"/>
    <x v="0"/>
    <n v="4.16"/>
    <n v="3.91"/>
    <n v="3.81"/>
    <n v="3.99"/>
    <n v="4.1500000000000004"/>
    <n v="3.97"/>
    <n v="4.1100000000000003"/>
    <n v="4.08"/>
    <n v="3.97"/>
    <n v="4.05"/>
    <x v="249"/>
    <n v="4"/>
    <n v="4.0359999999999996"/>
    <n v="90.227442310000001"/>
    <n v="66.414161429999993"/>
    <n v="76.003208970000003"/>
    <n v="72.697826559999996"/>
    <n v="82.621769209999997"/>
    <n v="75.507743079999997"/>
    <n v="77.315715780000005"/>
    <n v="57.240333290000002"/>
    <n v="23.813280880000008"/>
    <n v="3.3053824100000071"/>
    <n v="7.1140261299999992"/>
    <n v="20.075382490000003"/>
    <x v="0"/>
    <x v="4"/>
    <x v="1"/>
    <n v="3"/>
    <s v="Prof. Vikram Gupta"/>
  </r>
  <r>
    <s v="STU0332"/>
    <s v="Mukesh Bedi"/>
    <x v="1"/>
    <n v="21"/>
    <x v="0"/>
    <n v="4.08"/>
    <n v="3.83"/>
    <s v="N/A"/>
    <n v="4.1100000000000003"/>
    <n v="4.3600000000000003"/>
    <n v="3.8"/>
    <n v="3.95"/>
    <n v="3.9"/>
    <n v="3.52"/>
    <n v="4.47"/>
    <x v="250"/>
    <n v="4.0999999999999996"/>
    <n v="3.9279999999999999"/>
    <n v="77.247486879999997"/>
    <n v="71.036313050000004"/>
    <n v="77.150268429999997"/>
    <n v="63.459561800000003"/>
    <n v="80"/>
    <n v="82.829023039999996"/>
    <n v="70.209316819999998"/>
    <n v="59.422834950000002"/>
    <n v="6.2111738299999928"/>
    <n v="13.690706629999994"/>
    <n v="-2.8290230399999956"/>
    <n v="10.786481869999996"/>
    <x v="0"/>
    <x v="3"/>
    <x v="3"/>
    <n v="3"/>
    <s v="Prof. Kavita Rao"/>
  </r>
  <r>
    <s v="STU0333"/>
    <s v="Poonam Basu"/>
    <x v="1"/>
    <n v="30"/>
    <x v="1"/>
    <n v="4.3"/>
    <n v="4.33"/>
    <n v="4.3099999999999996"/>
    <n v="4.21"/>
    <n v="4.29"/>
    <n v="4.07"/>
    <n v="4.93"/>
    <n v="3.85"/>
    <n v="3.83"/>
    <n v="3.56"/>
    <x v="203"/>
    <n v="4.29"/>
    <n v="4.048"/>
    <n v="84.374158089999995"/>
    <n v="70.131574799999996"/>
    <n v="74.247779469999998"/>
    <n v="68.526296529999996"/>
    <n v="84.497025410000006"/>
    <n v="71.444704779999995"/>
    <n v="71.530215459999994"/>
    <n v="59.435408989999999"/>
    <n v="14.242583289999999"/>
    <n v="5.7214829400000013"/>
    <n v="13.052320630000011"/>
    <n v="12.094806469999995"/>
    <x v="2"/>
    <x v="2"/>
    <x v="1"/>
    <n v="3"/>
    <s v="Prof. Rajesh Mukherjee"/>
  </r>
  <r>
    <s v="STU0334"/>
    <s v="Rohan Oswal"/>
    <x v="1"/>
    <n v="23"/>
    <x v="2"/>
    <n v="4.2699999999999996"/>
    <n v="4.4000000000000004"/>
    <n v="3.46"/>
    <n v="3.79"/>
    <s v="N/A"/>
    <n v="4.46"/>
    <n v="4.1399999999999997"/>
    <n v="4.0199999999999996"/>
    <s v="N/A"/>
    <n v="3.82"/>
    <x v="251"/>
    <n v="3.98"/>
    <n v="4.1099999999999994"/>
    <n v="90.203874519999999"/>
    <n v="67.586577559999995"/>
    <n v="79.755481579999994"/>
    <n v="75"/>
    <n v="89.59856972"/>
    <n v="78.022065260000005"/>
    <n v="72.319473180000003"/>
    <n v="52.599908069999998"/>
    <n v="22.617296960000004"/>
    <n v="4.7554815799999943"/>
    <n v="11.576504459999995"/>
    <n v="19.719565110000005"/>
    <x v="0"/>
    <x v="2"/>
    <x v="2"/>
    <n v="3"/>
    <s v="Prof. Rajesh Mukherjee"/>
  </r>
  <r>
    <s v="STU0335"/>
    <s v="Shailesh Kher"/>
    <x v="1"/>
    <n v="27"/>
    <x v="3"/>
    <n v="4.0999999999999996"/>
    <n v="4.5199999999999996"/>
    <n v="3.49"/>
    <n v="3.99"/>
    <n v="3.5"/>
    <n v="4.51"/>
    <n v="4.12"/>
    <n v="3.99"/>
    <n v="3.96"/>
    <n v="3.93"/>
    <x v="134"/>
    <n v="3.92"/>
    <n v="4.1019999999999994"/>
    <n v="86.331848699999995"/>
    <n v="67.011729560000006"/>
    <n v="82.842701570000003"/>
    <n v="63.830962409999998"/>
    <n v="83.547080230000006"/>
    <n v="73.635220279999999"/>
    <n v="71.053130039999999"/>
    <n v="57.50196107"/>
    <n v="19.320119139999989"/>
    <n v="19.011739160000005"/>
    <n v="9.9118599500000073"/>
    <n v="13.551168969999999"/>
    <x v="0"/>
    <x v="2"/>
    <x v="2"/>
    <n v="3"/>
    <s v="Prof. Rajesh Mukherjee"/>
  </r>
  <r>
    <s v="STU0336"/>
    <s v="Kavita Gulati"/>
    <x v="0"/>
    <n v="27"/>
    <x v="3"/>
    <n v="4.18"/>
    <n v="3.83"/>
    <n v="3.86"/>
    <n v="4"/>
    <n v="3.88"/>
    <n v="3.8"/>
    <n v="3.7"/>
    <n v="3.55"/>
    <n v="3.74"/>
    <n v="4.0199999999999996"/>
    <x v="252"/>
    <n v="3.95"/>
    <n v="3.7620000000000005"/>
    <n v="90.303378269999996"/>
    <n v="72.740754089999996"/>
    <n v="79.731845399999997"/>
    <n v="58.93523381"/>
    <n v="82.412734929999999"/>
    <n v="85"/>
    <n v="77.886793060000002"/>
    <n v="58.127639299999998"/>
    <n v="17.56262418"/>
    <n v="20.796611589999998"/>
    <n v="-2.5872650700000008"/>
    <n v="19.759153760000004"/>
    <x v="0"/>
    <x v="4"/>
    <x v="3"/>
    <n v="3"/>
    <s v="Prof. Vikram Gupta"/>
  </r>
  <r>
    <s v="STU0337"/>
    <s v="Shivam Grover"/>
    <x v="1"/>
    <n v="21"/>
    <x v="0"/>
    <n v="3.56"/>
    <n v="4.38"/>
    <n v="3.73"/>
    <n v="4.5199999999999996"/>
    <n v="4.08"/>
    <n v="4.03"/>
    <n v="4.3"/>
    <n v="3.82"/>
    <n v="4.0999999999999996"/>
    <n v="4.43"/>
    <x v="253"/>
    <n v="4.05"/>
    <n v="4.1360000000000001"/>
    <n v="96.727014069999996"/>
    <n v="64.651527200000004"/>
    <n v="79.485517959999996"/>
    <n v="67.842895900000002"/>
    <n v="92.973405959999994"/>
    <n v="83.500331840000001"/>
    <n v="71.873888089999994"/>
    <n v="62.499791430000002"/>
    <n v="32.075486869999992"/>
    <n v="11.642622059999994"/>
    <n v="9.4730741199999926"/>
    <n v="9.3740966599999922"/>
    <x v="0"/>
    <x v="0"/>
    <x v="3"/>
    <n v="3"/>
    <s v="Prof. Rahul Singh"/>
  </r>
  <r>
    <s v="STU0338"/>
    <s v="Devesh Balan"/>
    <x v="1"/>
    <n v="29"/>
    <x v="1"/>
    <n v="4.16"/>
    <n v="4.2"/>
    <n v="3.58"/>
    <s v="N/A"/>
    <n v="3.87"/>
    <n v="3.77"/>
    <n v="3.97"/>
    <n v="4.1900000000000004"/>
    <n v="3.88"/>
    <n v="3.72"/>
    <x v="69"/>
    <n v="3.95"/>
    <n v="3.9059999999999997"/>
    <n v="83.377128040000002"/>
    <n v="71.051971570000006"/>
    <n v="70"/>
    <n v="62.100252279999999"/>
    <n v="85.543622060000004"/>
    <n v="76.854718390000002"/>
    <n v="75.421220980000001"/>
    <n v="50"/>
    <n v="12.325156469999996"/>
    <n v="7.8997477200000006"/>
    <n v="8.688903670000002"/>
    <n v="25.421220980000001"/>
    <x v="0"/>
    <x v="2"/>
    <x v="4"/>
    <n v="3"/>
    <s v="Prof. Rajesh Mukherjee"/>
  </r>
  <r>
    <s v="STU0339"/>
    <s v="Sarika Nandakumar"/>
    <x v="0"/>
    <n v="26"/>
    <x v="3"/>
    <n v="3.85"/>
    <n v="3.79"/>
    <n v="4.0599999999999996"/>
    <n v="4.22"/>
    <n v="3.91"/>
    <n v="3.96"/>
    <n v="3.38"/>
    <n v="4"/>
    <n v="4.17"/>
    <n v="4.2"/>
    <x v="183"/>
    <n v="3.97"/>
    <n v="3.9420000000000002"/>
    <n v="83.435167160000006"/>
    <n v="61.535117319999998"/>
    <n v="70"/>
    <n v="64.393033650000007"/>
    <n v="92.422721809999999"/>
    <n v="74.409981799999997"/>
    <n v="69.418761259999997"/>
    <n v="61.610678159999999"/>
    <n v="21.900049840000008"/>
    <n v="5.6069663499999933"/>
    <n v="18.012740010000002"/>
    <n v="7.8080830999999975"/>
    <x v="0"/>
    <x v="0"/>
    <x v="3"/>
    <n v="3"/>
    <s v="Prof. Rahul Singh"/>
  </r>
  <r>
    <s v="STU0340"/>
    <s v="Ramesh Grover"/>
    <x v="1"/>
    <n v="20"/>
    <x v="0"/>
    <n v="4.47"/>
    <n v="3.94"/>
    <n v="3.99"/>
    <n v="4.03"/>
    <n v="3.96"/>
    <n v="3.59"/>
    <n v="4.0199999999999996"/>
    <n v="4.18"/>
    <n v="3.1"/>
    <n v="4.37"/>
    <x v="254"/>
    <n v="4.08"/>
    <n v="3.8519999999999994"/>
    <n v="88.832916560000001"/>
    <n v="75.408323039999999"/>
    <n v="70"/>
    <n v="68.336916340000002"/>
    <n v="80"/>
    <n v="76.892534440000006"/>
    <n v="72.072460070000005"/>
    <n v="52.052529030000002"/>
    <n v="13.424593520000002"/>
    <n v="1.6630836599999981"/>
    <n v="3.1074655599999943"/>
    <n v="20.019931040000003"/>
    <x v="0"/>
    <x v="4"/>
    <x v="3"/>
    <n v="3"/>
    <s v="Prof. Vikram Gupta"/>
  </r>
  <r>
    <s v="STU0341"/>
    <s v="Rakesh Deshmukh"/>
    <x v="1"/>
    <n v="28"/>
    <x v="3"/>
    <n v="4.1100000000000003"/>
    <n v="4.37"/>
    <n v="4.3099999999999996"/>
    <n v="4.38"/>
    <n v="4.0999999999999996"/>
    <n v="3.61"/>
    <n v="3.86"/>
    <n v="4.04"/>
    <n v="3.77"/>
    <n v="3.38"/>
    <x v="255"/>
    <n v="4.25"/>
    <n v="3.7320000000000002"/>
    <n v="94.000917479999998"/>
    <n v="71.314830360000002"/>
    <n v="70.411735859999993"/>
    <n v="60.742602159999997"/>
    <n v="98.209449059999997"/>
    <n v="76.718524020000004"/>
    <n v="65"/>
    <n v="56.527842589999999"/>
    <n v="22.686087119999996"/>
    <n v="9.6691336999999962"/>
    <n v="21.490925039999993"/>
    <n v="8.4721574100000012"/>
    <x v="2"/>
    <x v="0"/>
    <x v="4"/>
    <n v="3"/>
    <s v="Prof. Rahul Singh"/>
  </r>
  <r>
    <s v="STU0342"/>
    <s v="Nidhi Narayan"/>
    <x v="0"/>
    <n v="30"/>
    <x v="1"/>
    <n v="4.09"/>
    <n v="4.3600000000000003"/>
    <n v="4.22"/>
    <n v="4.1900000000000004"/>
    <n v="4.29"/>
    <n v="3.76"/>
    <n v="3.89"/>
    <n v="4.1399999999999997"/>
    <n v="4.3499999999999996"/>
    <n v="4.26"/>
    <x v="2"/>
    <n v="4.2300000000000004"/>
    <n v="4.08"/>
    <n v="86.007332649999995"/>
    <n v="67.389521270000003"/>
    <n v="75.346390209999996"/>
    <n v="68.649502240000004"/>
    <n v="99.9"/>
    <n v="76.805687070000005"/>
    <n v="71.055143290000004"/>
    <n v="52.824605290000001"/>
    <n v="18.617811379999992"/>
    <n v="6.6968879699999917"/>
    <n v="23.094312930000001"/>
    <n v="18.230538000000003"/>
    <x v="2"/>
    <x v="2"/>
    <x v="0"/>
    <n v="3"/>
    <s v="Prof. Rajesh Mukherjee"/>
  </r>
  <r>
    <s v="STU0343"/>
    <s v="Deepali Yadav"/>
    <x v="0"/>
    <n v="29"/>
    <x v="1"/>
    <n v="4.33"/>
    <n v="3.78"/>
    <n v="4.05"/>
    <n v="3.91"/>
    <n v="3.68"/>
    <n v="3.47"/>
    <n v="4.03"/>
    <n v="4.05"/>
    <n v="4.5"/>
    <n v="3.87"/>
    <x v="252"/>
    <n v="3.95"/>
    <n v="3.9840000000000004"/>
    <n v="77.36388737"/>
    <n v="67.916894470000003"/>
    <n v="79.193625580000003"/>
    <n v="68.371941250000006"/>
    <n v="80"/>
    <n v="76.765458629999998"/>
    <n v="72.077159609999995"/>
    <n v="52.099282109999997"/>
    <n v="9.4469928999999979"/>
    <n v="10.821684329999997"/>
    <n v="3.2345413700000023"/>
    <n v="19.977877499999998"/>
    <x v="0"/>
    <x v="4"/>
    <x v="0"/>
    <n v="3"/>
    <s v="Prof. Vikram Gupta"/>
  </r>
  <r>
    <s v="STU0344"/>
    <s v="Diiya Hooda"/>
    <x v="1"/>
    <n v="21"/>
    <x v="0"/>
    <n v="3.48"/>
    <n v="4.3600000000000003"/>
    <n v="3.94"/>
    <n v="3.73"/>
    <n v="4.3899999999999997"/>
    <n v="3.91"/>
    <n v="4.08"/>
    <n v="3.75"/>
    <n v="4.29"/>
    <n v="3.39"/>
    <x v="251"/>
    <n v="3.98"/>
    <n v="3.8840000000000003"/>
    <n v="99.9"/>
    <n v="64.811585899999997"/>
    <n v="75.450541990000005"/>
    <n v="65.9960813"/>
    <n v="89.769776680000007"/>
    <n v="79.776331339999999"/>
    <n v="66.557941839999998"/>
    <n v="64.937325909999998"/>
    <n v="35.088414100000008"/>
    <n v="9.4544606900000048"/>
    <n v="9.9934453400000081"/>
    <n v="1.6206159299999996"/>
    <x v="0"/>
    <x v="3"/>
    <x v="0"/>
    <n v="3"/>
    <s v="Prof. Kavita Rao"/>
  </r>
  <r>
    <s v="STU0345"/>
    <s v="Rajendra Naiir"/>
    <x v="1"/>
    <n v="24"/>
    <x v="2"/>
    <n v="3.83"/>
    <n v="4.16"/>
    <n v="4.12"/>
    <n v="3.35"/>
    <n v="4.42"/>
    <n v="4.2699999999999996"/>
    <n v="3.81"/>
    <n v="3.98"/>
    <n v="4.58"/>
    <n v="4.07"/>
    <x v="61"/>
    <n v="3.98"/>
    <n v="4.1420000000000003"/>
    <n v="84.980801"/>
    <n v="68.43768197"/>
    <n v="81.206730219999997"/>
    <n v="62.04899211"/>
    <n v="89.873255830000005"/>
    <n v="74.969910510000005"/>
    <n v="74.823388030000004"/>
    <n v="63.642405549999999"/>
    <n v="16.54311903"/>
    <n v="19.157738109999997"/>
    <n v="14.90334532"/>
    <n v="11.180982480000004"/>
    <x v="0"/>
    <x v="3"/>
    <x v="0"/>
    <n v="3"/>
    <s v="Prof. Kavita Rao"/>
  </r>
  <r>
    <s v="STU0346"/>
    <s v="Priya Hoooda"/>
    <x v="1"/>
    <n v="21"/>
    <x v="0"/>
    <n v="4.08"/>
    <n v="4.08"/>
    <n v="3.77"/>
    <s v="N/A"/>
    <n v="3.93"/>
    <n v="4.33"/>
    <n v="4.3099999999999996"/>
    <n v="4.43"/>
    <n v="4.04"/>
    <n v="4.68"/>
    <x v="256"/>
    <n v="3.97"/>
    <n v="4.3579999999999997"/>
    <n v="99.705481019999993"/>
    <n v="71.424267479999997"/>
    <n v="73.667679829999997"/>
    <n v="72.432877849999997"/>
    <n v="88.649390109999999"/>
    <n v="79.459407409999997"/>
    <n v="70.916351640000002"/>
    <n v="61.345340319999998"/>
    <n v="28.281213539999996"/>
    <n v="1.2348019800000003"/>
    <n v="9.1899827000000016"/>
    <n v="9.5710113200000038"/>
    <x v="0"/>
    <x v="4"/>
    <x v="3"/>
    <n v="3"/>
    <s v="Prof. Vikram Gupta"/>
  </r>
  <r>
    <s v="STU0347"/>
    <s v="Atharv Choubey"/>
    <x v="1"/>
    <n v="30"/>
    <x v="1"/>
    <n v="3.29"/>
    <n v="3.41"/>
    <n v="3.88"/>
    <n v="4.18"/>
    <n v="3.66"/>
    <n v="3.92"/>
    <n v="4.2300000000000004"/>
    <n v="4.42"/>
    <n v="3.1"/>
    <n v="4.1500000000000004"/>
    <x v="257"/>
    <n v="3.68"/>
    <n v="3.964"/>
    <n v="83.429563659999999"/>
    <n v="67.130783489999999"/>
    <n v="70"/>
    <n v="55.857954380000002"/>
    <n v="85.99526487"/>
    <n v="74.183628519999999"/>
    <n v="71.354242450000001"/>
    <n v="50.131428579999998"/>
    <n v="16.298780170000001"/>
    <n v="14.142045619999998"/>
    <n v="11.811636350000001"/>
    <n v="21.222813870000003"/>
    <x v="1"/>
    <x v="0"/>
    <x v="4"/>
    <n v="3"/>
    <s v="Prof. Rahul Singh"/>
  </r>
  <r>
    <s v="STU0348"/>
    <s v="Rajendra Sahgal"/>
    <x v="1"/>
    <n v="30"/>
    <x v="1"/>
    <n v="4.0999999999999996"/>
    <n v="3.73"/>
    <n v="4.46"/>
    <n v="4.54"/>
    <n v="4.22"/>
    <n v="4.21"/>
    <s v="N/A"/>
    <n v="3.29"/>
    <s v="N/A"/>
    <n v="4.2699999999999996"/>
    <x v="258"/>
    <n v="4.21"/>
    <n v="3.9233333333333333"/>
    <n v="85.004704889999999"/>
    <n v="71.829854780000005"/>
    <n v="70"/>
    <n v="75"/>
    <n v="80"/>
    <n v="75.715868200000003"/>
    <n v="75.194365950000005"/>
    <n v="59.044104590000003"/>
    <n v="13.174850109999994"/>
    <n v="-5"/>
    <n v="4.2841317999999973"/>
    <n v="16.150261360000002"/>
    <x v="2"/>
    <x v="0"/>
    <x v="3"/>
    <n v="3"/>
    <s v="Prof. Rahul Singh"/>
  </r>
  <r>
    <s v="STU0349"/>
    <s v="Shikha Agrawal"/>
    <x v="0"/>
    <n v="23"/>
    <x v="2"/>
    <n v="4.49"/>
    <n v="4.75"/>
    <n v="4.1900000000000004"/>
    <n v="4.05"/>
    <n v="4.5"/>
    <s v="N/A"/>
    <n v="3.94"/>
    <n v="4.0999999999999996"/>
    <n v="4.07"/>
    <n v="4.18"/>
    <x v="259"/>
    <n v="4.4000000000000004"/>
    <n v="4.0724999999999998"/>
    <n v="87.833597350000005"/>
    <n v="74.43256083"/>
    <n v="75.487169710000003"/>
    <n v="62.222122919999997"/>
    <n v="80"/>
    <n v="78.304563000000002"/>
    <n v="78.920769829999998"/>
    <n v="50"/>
    <n v="13.401036520000005"/>
    <n v="13.265046790000007"/>
    <n v="1.6954369999999983"/>
    <n v="28.920769829999998"/>
    <x v="2"/>
    <x v="2"/>
    <x v="3"/>
    <n v="3"/>
    <s v="Prof. Rajesh Mukherjee"/>
  </r>
  <r>
    <s v="STU0350"/>
    <s v="Sneha Rana"/>
    <x v="0"/>
    <n v="24"/>
    <x v="2"/>
    <n v="4.34"/>
    <n v="3.91"/>
    <n v="3.9"/>
    <n v="3.83"/>
    <n v="4.16"/>
    <n v="4.0199999999999996"/>
    <n v="4.08"/>
    <n v="3.85"/>
    <n v="4"/>
    <n v="4.05"/>
    <x v="30"/>
    <n v="4.03"/>
    <n v="4"/>
    <n v="78.441817299999997"/>
    <n v="76.317452549999999"/>
    <n v="90"/>
    <n v="66.456216359999999"/>
    <n v="99.9"/>
    <n v="74.256337400000007"/>
    <n v="76.230477559999997"/>
    <n v="64.47365035"/>
    <n v="2.124364749999998"/>
    <n v="23.543783640000001"/>
    <n v="25.643662599999999"/>
    <n v="11.756827209999997"/>
    <x v="0"/>
    <x v="4"/>
    <x v="1"/>
    <n v="3"/>
    <s v="Prof. Vikram Gupta"/>
  </r>
  <r>
    <s v="STU0351"/>
    <s v="Sunita Saini"/>
    <x v="0"/>
    <n v="29"/>
    <x v="1"/>
    <n v="4.24"/>
    <n v="4.58"/>
    <n v="3.56"/>
    <n v="4.0199999999999996"/>
    <n v="3.69"/>
    <n v="3.73"/>
    <n v="3.75"/>
    <n v="4.41"/>
    <n v="4.18"/>
    <n v="4.03"/>
    <x v="260"/>
    <n v="4.0199999999999996"/>
    <n v="4.0200000000000005"/>
    <n v="89.256144449999994"/>
    <n v="60"/>
    <n v="70"/>
    <n v="64.577038079999994"/>
    <n v="91.401485059999999"/>
    <n v="85"/>
    <n v="75.285721890000005"/>
    <n v="50"/>
    <n v="29.256144449999994"/>
    <n v="5.4229619200000059"/>
    <n v="6.4014850599999988"/>
    <n v="25.285721890000005"/>
    <x v="0"/>
    <x v="2"/>
    <x v="4"/>
    <n v="3"/>
    <s v="Prof. Rajesh Mukherjee"/>
  </r>
  <r>
    <s v="STU0352"/>
    <s v="Monika Anand"/>
    <x v="0"/>
    <n v="28"/>
    <x v="3"/>
    <n v="3.86"/>
    <n v="4.3099999999999996"/>
    <n v="3.72"/>
    <n v="3.85"/>
    <n v="4.04"/>
    <n v="3.93"/>
    <n v="4.2699999999999996"/>
    <n v="4.1900000000000004"/>
    <n v="4.3899999999999997"/>
    <n v="3.43"/>
    <x v="12"/>
    <n v="3.96"/>
    <n v="4.0419999999999998"/>
    <n v="93.957778910000002"/>
    <n v="70.747057440000006"/>
    <n v="81.51386608"/>
    <n v="62.212023950000003"/>
    <n v="92.042873200000002"/>
    <n v="77.246067170000003"/>
    <n v="72.238566259999999"/>
    <n v="59.033410310000001"/>
    <n v="23.210721469999996"/>
    <n v="19.301842129999997"/>
    <n v="14.796806029999999"/>
    <n v="13.205155949999998"/>
    <x v="0"/>
    <x v="2"/>
    <x v="0"/>
    <n v="3"/>
    <s v="Prof. Rajesh Mukherjee"/>
  </r>
  <r>
    <s v="STU0353"/>
    <s v="Sanchit Sahgal"/>
    <x v="1"/>
    <n v="27"/>
    <x v="3"/>
    <n v="4.3"/>
    <n v="3.99"/>
    <n v="3.88"/>
    <n v="3.92"/>
    <n v="4.43"/>
    <n v="3.87"/>
    <n v="4.03"/>
    <n v="4.38"/>
    <n v="4.1500000000000004"/>
    <n v="4.13"/>
    <x v="244"/>
    <n v="4.0999999999999996"/>
    <n v="4.1120000000000001"/>
    <n v="92.121745379999993"/>
    <n v="66.428637359999996"/>
    <n v="78.045694780000005"/>
    <n v="69.399908960000005"/>
    <n v="99.9"/>
    <n v="76.064747100000005"/>
    <n v="73.844859850000006"/>
    <n v="51.825453860000003"/>
    <n v="25.693108019999997"/>
    <n v="8.6457858200000004"/>
    <n v="23.8352529"/>
    <n v="22.019405990000003"/>
    <x v="0"/>
    <x v="3"/>
    <x v="4"/>
    <n v="3"/>
    <s v="Prof. Kavita Rao"/>
  </r>
  <r>
    <s v="STU0354"/>
    <s v="Navneet Jain"/>
    <x v="1"/>
    <n v="29"/>
    <x v="1"/>
    <n v="4.5999999999999996"/>
    <n v="3.86"/>
    <n v="4.68"/>
    <n v="3.87"/>
    <n v="4.21"/>
    <n v="3.66"/>
    <n v="3.76"/>
    <n v="3.27"/>
    <n v="3.54"/>
    <n v="3.84"/>
    <x v="261"/>
    <n v="4.24"/>
    <n v="3.6139999999999999"/>
    <n v="82.564242429999993"/>
    <n v="66.789460079999998"/>
    <n v="78.377577459999998"/>
    <n v="65.294324090000003"/>
    <n v="85.248631459999999"/>
    <n v="85"/>
    <n v="68.531433539999995"/>
    <n v="58.091893409999997"/>
    <n v="15.774782349999995"/>
    <n v="13.083253369999994"/>
    <n v="0.24863145999999858"/>
    <n v="10.439540129999997"/>
    <x v="2"/>
    <x v="1"/>
    <x v="3"/>
    <n v="3"/>
    <s v="Dr. Rohan Dutta"/>
  </r>
  <r>
    <s v="STU0355"/>
    <s v="Shikha Rastoogi"/>
    <x v="0"/>
    <n v="29"/>
    <x v="1"/>
    <n v="3.77"/>
    <n v="3.43"/>
    <n v="4.29"/>
    <n v="3.77"/>
    <n v="4.03"/>
    <n v="4.3600000000000003"/>
    <n v="4.0999999999999996"/>
    <n v="3.83"/>
    <n v="3.88"/>
    <n v="3.5"/>
    <x v="262"/>
    <n v="3.86"/>
    <n v="3.9340000000000002"/>
    <n v="83.123466660000005"/>
    <n v="63.01032214"/>
    <n v="74.465532550000006"/>
    <n v="61.850031219999998"/>
    <n v="86.582600749999997"/>
    <n v="83.247844979999996"/>
    <n v="69.211899349999996"/>
    <n v="68.999952820000004"/>
    <n v="20.113144520000006"/>
    <n v="12.615501330000008"/>
    <n v="3.334755770000001"/>
    <n v="0.21194652999999164"/>
    <x v="1"/>
    <x v="1"/>
    <x v="2"/>
    <n v="3"/>
    <s v="Dr. Rohan Dutta"/>
  </r>
  <r>
    <s v="STU0356"/>
    <s v="Krishna Singhania"/>
    <x v="1"/>
    <n v="29"/>
    <x v="1"/>
    <n v="4.01"/>
    <n v="4.05"/>
    <n v="4.17"/>
    <n v="3.84"/>
    <n v="4.45"/>
    <n v="4.3099999999999996"/>
    <n v="4.0999999999999996"/>
    <s v="3,94"/>
    <n v="4.38"/>
    <n v="3.9"/>
    <x v="127"/>
    <n v="4.0999999999999996"/>
    <n v="4.1724999999999994"/>
    <n v="86.090038419999999"/>
    <n v="61.926111970000001"/>
    <n v="80.177304759999998"/>
    <n v="59.490071550000003"/>
    <n v="98.554243470000003"/>
    <n v="75.805432749999994"/>
    <n v="74.924207460000005"/>
    <n v="51.975408629999997"/>
    <n v="24.163926449999998"/>
    <n v="20.687233209999995"/>
    <n v="22.748810720000009"/>
    <n v="22.948798830000008"/>
    <x v="0"/>
    <x v="3"/>
    <x v="0"/>
    <n v="3"/>
    <s v="Prof. Kavita Rao"/>
  </r>
  <r>
    <s v="STU0357"/>
    <s v="Ritika Kohli"/>
    <x v="0"/>
    <n v="21"/>
    <x v="0"/>
    <n v="4.25"/>
    <n v="3.89"/>
    <n v="4.51"/>
    <n v="3.89"/>
    <n v="4.37"/>
    <n v="3.85"/>
    <n v="4.21"/>
    <s v="4,55"/>
    <n v="4.2"/>
    <n v="3.89"/>
    <x v="86"/>
    <n v="4.18"/>
    <n v="4.0375000000000005"/>
    <n v="82.504321070000003"/>
    <n v="65.165823219999993"/>
    <n v="70"/>
    <n v="71.04469272"/>
    <n v="92.148350840000006"/>
    <n v="85"/>
    <n v="72.006660999999994"/>
    <n v="55.200658930000003"/>
    <n v="17.33849785000001"/>
    <n v="-1.0446927200000005"/>
    <n v="7.1483508400000062"/>
    <n v="16.806002069999991"/>
    <x v="0"/>
    <x v="1"/>
    <x v="1"/>
    <n v="3"/>
    <s v="Dr. Rohan Dutta"/>
  </r>
  <r>
    <s v="STU0358"/>
    <s v="Sakshhi Mukherjee"/>
    <x v="1"/>
    <n v="30"/>
    <x v="1"/>
    <n v="4.2"/>
    <n v="3.79"/>
    <n v="4.08"/>
    <n v="3.89"/>
    <n v="4.75"/>
    <n v="4.43"/>
    <n v="4.01"/>
    <n v="4.05"/>
    <n v="4.55"/>
    <n v="3.42"/>
    <x v="50"/>
    <n v="4.1399999999999997"/>
    <n v="4.0920000000000005"/>
    <n v="86.196641330000006"/>
    <n v="66.16723949"/>
    <n v="79.940802289999993"/>
    <n v="63.623066809999997"/>
    <n v="85.445350919999996"/>
    <n v="79.690344620000005"/>
    <n v="66.428357129999995"/>
    <n v="60.385902919999999"/>
    <n v="20.029401840000006"/>
    <n v="16.317735479999996"/>
    <n v="5.7550062999999909"/>
    <n v="6.0424542099999954"/>
    <x v="0"/>
    <x v="3"/>
    <x v="0"/>
    <n v="3"/>
    <s v="Prof. Kavita Rao"/>
  </r>
  <r>
    <s v="STU0359"/>
    <s v="Rakesh Duggal"/>
    <x v="1"/>
    <n v="30"/>
    <x v="1"/>
    <n v="3.78"/>
    <n v="3.79"/>
    <n v="4.7300000000000004"/>
    <n v="3.99"/>
    <n v="4.3"/>
    <n v="3.78"/>
    <n v="4.76"/>
    <n v="3.98"/>
    <n v="4.01"/>
    <n v="4.2699999999999996"/>
    <x v="145"/>
    <n v="4.12"/>
    <n v="4.16"/>
    <n v="90.273697479999996"/>
    <n v="76.087938620000003"/>
    <n v="70"/>
    <n v="73.180038280000005"/>
    <n v="95.641008439999993"/>
    <n v="77.78035457"/>
    <n v="72.524501569999998"/>
    <n v="50"/>
    <n v="14.185758859999993"/>
    <n v="-3.1800382800000051"/>
    <n v="17.860653869999993"/>
    <n v="22.524501569999998"/>
    <x v="0"/>
    <x v="1"/>
    <x v="1"/>
    <n v="3"/>
    <s v="Dr. Rohan Dutta"/>
  </r>
  <r>
    <s v="STU0360"/>
    <s v="Rajendrra Chopra"/>
    <x v="1"/>
    <n v="27"/>
    <x v="3"/>
    <n v="4.59"/>
    <n v="4.24"/>
    <n v="3.65"/>
    <n v="4.0999999999999996"/>
    <n v="3.73"/>
    <n v="4.05"/>
    <n v="3.97"/>
    <n v="3.87"/>
    <n v="4.54"/>
    <n v="3.98"/>
    <x v="62"/>
    <n v="4.0599999999999996"/>
    <n v="4.0819999999999999"/>
    <n v="79.081704990000006"/>
    <n v="74.260574559999995"/>
    <n v="79.77168605"/>
    <n v="67.472650619999996"/>
    <n v="94.797563839999995"/>
    <n v="85"/>
    <n v="73.330741020000005"/>
    <n v="69.443576129999997"/>
    <n v="4.8211304300000108"/>
    <n v="12.299035430000004"/>
    <n v="9.7975638399999951"/>
    <n v="3.8871648900000082"/>
    <x v="0"/>
    <x v="4"/>
    <x v="0"/>
    <n v="3"/>
    <s v="Prof. Vikram Gupta"/>
  </r>
  <r>
    <s v="STU0361"/>
    <s v="Kiara Malhotrra"/>
    <x v="0"/>
    <n v="25"/>
    <x v="2"/>
    <n v="4.03"/>
    <n v="4"/>
    <n v="4.1500000000000004"/>
    <n v="4.46"/>
    <n v="3.85"/>
    <n v="4.4400000000000004"/>
    <n v="4.03"/>
    <n v="4.45"/>
    <n v="4.08"/>
    <n v="4.41"/>
    <x v="263"/>
    <n v="4.0999999999999996"/>
    <n v="4.282"/>
    <n v="84.582987739999993"/>
    <n v="80"/>
    <n v="80.309255489999998"/>
    <n v="69.038388159999997"/>
    <n v="96.116979220000005"/>
    <n v="76.447755340000001"/>
    <n v="72.108986200000004"/>
    <n v="54.779195080000001"/>
    <n v="4.582987739999993"/>
    <n v="11.270867330000002"/>
    <n v="19.669223880000004"/>
    <n v="17.329791120000003"/>
    <x v="0"/>
    <x v="0"/>
    <x v="4"/>
    <n v="3"/>
    <s v="Prof. Rahul Singh"/>
  </r>
  <r>
    <s v="STU0362"/>
    <s v="Charul Jain"/>
    <x v="0"/>
    <n v="22"/>
    <x v="0"/>
    <n v="3.8"/>
    <n v="4.33"/>
    <n v="4.17"/>
    <n v="4.53"/>
    <n v="3.61"/>
    <n v="4.5"/>
    <n v="4.01"/>
    <n v="4.25"/>
    <n v="4.33"/>
    <n v="4.3600000000000003"/>
    <x v="239"/>
    <n v="4.09"/>
    <n v="4.29"/>
    <n v="75"/>
    <n v="60.279451719999997"/>
    <n v="77.496646870000006"/>
    <n v="55.463112260000003"/>
    <n v="94.985503969999996"/>
    <n v="79.779273480000001"/>
    <n v="71.218498159999996"/>
    <n v="61.349469480000003"/>
    <n v="14.720548280000003"/>
    <n v="22.033534610000004"/>
    <n v="15.206230489999996"/>
    <n v="9.8690286799999924"/>
    <x v="0"/>
    <x v="0"/>
    <x v="2"/>
    <n v="3"/>
    <s v="Prof. Rahul Singh"/>
  </r>
  <r>
    <s v="STU0363"/>
    <s v="Anupama Nair"/>
    <x v="0"/>
    <n v="23"/>
    <x v="2"/>
    <n v="3.94"/>
    <n v="3.48"/>
    <n v="3.46"/>
    <n v="3.84"/>
    <n v="4.24"/>
    <n v="4.59"/>
    <n v="4.0199999999999996"/>
    <n v="3.69"/>
    <n v="4.38"/>
    <n v="4.07"/>
    <x v="264"/>
    <n v="3.79"/>
    <n v="4.1500000000000004"/>
    <n v="81.909123440000002"/>
    <n v="65.628774680000006"/>
    <n v="77.420450450000004"/>
    <n v="55"/>
    <n v="80"/>
    <n v="76.132227"/>
    <n v="75.399688519999998"/>
    <n v="54.592104659999997"/>
    <n v="16.280348759999995"/>
    <n v="22.420450450000004"/>
    <n v="3.8677729999999997"/>
    <n v="20.807583860000001"/>
    <x v="1"/>
    <x v="3"/>
    <x v="2"/>
    <n v="3"/>
    <s v="Prof. Kavita Rao"/>
  </r>
  <r>
    <s v="STU0364"/>
    <s v="Akash Grover"/>
    <x v="1"/>
    <n v="28"/>
    <x v="3"/>
    <n v="3.78"/>
    <n v="3.99"/>
    <s v="N/A"/>
    <n v="4.07"/>
    <n v="4.1100000000000003"/>
    <n v="3.97"/>
    <n v="4.21"/>
    <n v="4.16"/>
    <n v="4.0999999999999996"/>
    <n v="4.29"/>
    <x v="265"/>
    <n v="3.99"/>
    <n v="4.145999999999999"/>
    <n v="79.26211017"/>
    <n v="70.456464620000006"/>
    <n v="76.930034980000002"/>
    <n v="70.738821490000007"/>
    <n v="80"/>
    <n v="82.748561140000007"/>
    <n v="70.838083549999993"/>
    <n v="55.542779860000003"/>
    <n v="8.8056455499999942"/>
    <n v="6.1912134899999955"/>
    <n v="-2.7485611400000067"/>
    <n v="15.29530368999999"/>
    <x v="0"/>
    <x v="3"/>
    <x v="3"/>
    <n v="3"/>
    <s v="Prof. Kavita Rao"/>
  </r>
  <r>
    <s v="STU0365"/>
    <s v="Manish Puri"/>
    <x v="1"/>
    <n v="28"/>
    <x v="3"/>
    <n v="4.04"/>
    <n v="3.8"/>
    <n v="3.79"/>
    <s v="N/A"/>
    <n v="4.16"/>
    <n v="3.78"/>
    <n v="3.8"/>
    <n v="4.21"/>
    <n v="3.86"/>
    <n v="3.66"/>
    <x v="266"/>
    <n v="3.95"/>
    <n v="3.8619999999999997"/>
    <n v="81.370713170000002"/>
    <n v="69.508235029999994"/>
    <n v="70.794900200000001"/>
    <n v="64.325123270000006"/>
    <n v="93.468810410000003"/>
    <n v="84.304742430000005"/>
    <n v="69.755798690000006"/>
    <n v="61.17088004"/>
    <n v="11.862478140000007"/>
    <n v="6.4697769299999948"/>
    <n v="9.1640679799999987"/>
    <n v="8.5849186500000059"/>
    <x v="0"/>
    <x v="3"/>
    <x v="4"/>
    <n v="3"/>
    <s v="Prof. Kavita Rao"/>
  </r>
  <r>
    <s v="STU0366"/>
    <s v="Rajendra Lall"/>
    <x v="1"/>
    <n v="25"/>
    <x v="2"/>
    <n v="4.3"/>
    <n v="4.55"/>
    <n v="3.76"/>
    <n v="4.43"/>
    <n v="3.53"/>
    <n v="4.09"/>
    <n v="4.29"/>
    <n v="3.85"/>
    <n v="3.95"/>
    <n v="4.49"/>
    <x v="142"/>
    <n v="4.1100000000000003"/>
    <n v="4.1340000000000003"/>
    <n v="80.85630055"/>
    <n v="63.057179840000003"/>
    <n v="83.485143190000002"/>
    <n v="64.79457524"/>
    <n v="99.9"/>
    <n v="72.289864600000001"/>
    <n v="69.637563069999999"/>
    <n v="65.082522159999996"/>
    <n v="17.799120709999997"/>
    <n v="18.690567950000002"/>
    <n v="27.610135400000004"/>
    <n v="4.5550409100000024"/>
    <x v="0"/>
    <x v="2"/>
    <x v="3"/>
    <n v="3"/>
    <s v="Prof. Rajesh Mukherjee"/>
  </r>
  <r>
    <s v="STU0367"/>
    <s v="Alok Pillai"/>
    <x v="1"/>
    <n v="25"/>
    <x v="2"/>
    <n v="3.58"/>
    <n v="3.48"/>
    <n v="3.66"/>
    <n v="4.26"/>
    <n v="3.47"/>
    <n v="4.4400000000000004"/>
    <n v="4.3099999999999996"/>
    <n v="4.1900000000000004"/>
    <n v="3.87"/>
    <n v="4.4800000000000004"/>
    <x v="267"/>
    <n v="3.69"/>
    <n v="4.2580000000000009"/>
    <n v="86.979532059999997"/>
    <n v="72.871366499999993"/>
    <n v="70.876500250000007"/>
    <n v="71.875750640000007"/>
    <n v="97.128715839999998"/>
    <n v="81.082443319999996"/>
    <n v="71.95556723"/>
    <n v="56.44894309"/>
    <n v="14.108165560000003"/>
    <n v="-0.99925039000000027"/>
    <n v="16.046272520000002"/>
    <n v="15.50662414"/>
    <x v="1"/>
    <x v="0"/>
    <x v="3"/>
    <n v="3"/>
    <s v="Prof. Rahul Singh"/>
  </r>
  <r>
    <s v="STU0368"/>
    <s v="Dhruv Kalra"/>
    <x v="1"/>
    <n v="28"/>
    <x v="3"/>
    <n v="4"/>
    <n v="4.3899999999999997"/>
    <n v="4.25"/>
    <n v="3.82"/>
    <n v="3.34"/>
    <n v="3.62"/>
    <s v="N/A"/>
    <n v="4.1500000000000004"/>
    <n v="4.5599999999999996"/>
    <n v="4.12"/>
    <x v="17"/>
    <n v="3.96"/>
    <n v="4.1124999999999998"/>
    <n v="89.794427670000005"/>
    <n v="74.191147880000003"/>
    <n v="76.837291800000003"/>
    <n v="67.936367340000004"/>
    <n v="80"/>
    <n v="76.431240720000005"/>
    <n v="77.197634730000004"/>
    <n v="66.340444020000007"/>
    <n v="15.603279790000002"/>
    <n v="8.9009244599999988"/>
    <n v="3.5687592799999948"/>
    <n v="10.857190709999998"/>
    <x v="0"/>
    <x v="2"/>
    <x v="0"/>
    <n v="3"/>
    <s v="Prof. Rajesh Mukherjee"/>
  </r>
  <r>
    <s v="STU0369"/>
    <s v="Tarun Chatterjee"/>
    <x v="1"/>
    <n v="20"/>
    <x v="0"/>
    <n v="4.13"/>
    <n v="4.3600000000000003"/>
    <n v="4.67"/>
    <n v="4.47"/>
    <n v="3.95"/>
    <n v="4.07"/>
    <n v="4.0999999999999996"/>
    <n v="3.66"/>
    <n v="4.2"/>
    <n v="4.05"/>
    <x v="268"/>
    <n v="4.32"/>
    <n v="4.016"/>
    <n v="86.391368889999995"/>
    <n v="66.813648779999994"/>
    <n v="72.812526800000001"/>
    <n v="66.665052279999998"/>
    <n v="94.739192059999993"/>
    <n v="79.827846600000001"/>
    <n v="67.812210199999996"/>
    <n v="56.968933110000002"/>
    <n v="19.577720110000001"/>
    <n v="6.1474745200000029"/>
    <n v="14.911345459999993"/>
    <n v="10.843277089999994"/>
    <x v="2"/>
    <x v="1"/>
    <x v="0"/>
    <n v="3"/>
    <s v="Dr. Rohan Dutta"/>
  </r>
  <r>
    <s v="STU0370"/>
    <s v="Ekta Iyer"/>
    <x v="0"/>
    <n v="22"/>
    <x v="0"/>
    <n v="4.6900000000000004"/>
    <n v="4.42"/>
    <n v="3.87"/>
    <n v="4.2"/>
    <n v="4.0199999999999996"/>
    <n v="3.7"/>
    <n v="4.32"/>
    <n v="4.33"/>
    <n v="4.09"/>
    <n v="4.13"/>
    <x v="269"/>
    <n v="4.24"/>
    <n v="4.113999999999999"/>
    <n v="84.122651230000002"/>
    <n v="62.417669969999999"/>
    <n v="81.188542819999995"/>
    <n v="59.872044449999997"/>
    <n v="80.890220080000006"/>
    <n v="81.338472850000002"/>
    <n v="71.986308449999996"/>
    <n v="57.008455529999999"/>
    <n v="21.704981260000004"/>
    <n v="21.316498369999998"/>
    <n v="-0.4482527699999963"/>
    <n v="14.977852919999997"/>
    <x v="2"/>
    <x v="4"/>
    <x v="4"/>
    <n v="3"/>
    <s v="Prof. Vikram Gupta"/>
  </r>
  <r>
    <s v="STU0371"/>
    <s v="Manju Ahuja"/>
    <x v="1"/>
    <n v="20"/>
    <x v="0"/>
    <n v="4.29"/>
    <n v="3.78"/>
    <s v="N/A"/>
    <n v="3.51"/>
    <s v="N/A"/>
    <n v="4"/>
    <n v="4.43"/>
    <n v="3.92"/>
    <n v="3.75"/>
    <n v="3.86"/>
    <x v="270"/>
    <n v="3.86"/>
    <n v="3.992"/>
    <n v="75"/>
    <n v="60.001509630000001"/>
    <n v="78.272564459999998"/>
    <n v="61.05405477"/>
    <n v="92.628720830000006"/>
    <n v="77.227366349999997"/>
    <n v="75.619516430000004"/>
    <n v="63.821382919999998"/>
    <n v="14.998490369999999"/>
    <n v="17.218509689999998"/>
    <n v="15.401354480000009"/>
    <n v="11.798133510000007"/>
    <x v="1"/>
    <x v="4"/>
    <x v="1"/>
    <n v="3"/>
    <s v="Prof. Vikram Gupta"/>
  </r>
  <r>
    <s v="STU0372"/>
    <s v="Sandeep Lamba"/>
    <x v="1"/>
    <n v="26"/>
    <x v="3"/>
    <n v="3.6"/>
    <n v="3.98"/>
    <n v="3.94"/>
    <n v="4.33"/>
    <n v="3.49"/>
    <n v="3.91"/>
    <n v="3.76"/>
    <n v="4.16"/>
    <n v="4.03"/>
    <n v="4.32"/>
    <x v="271"/>
    <n v="3.87"/>
    <n v="4.0359999999999996"/>
    <n v="93.281959560000004"/>
    <n v="73.997488590000003"/>
    <n v="86.297361730000006"/>
    <n v="59.84918596"/>
    <n v="95.301395139999997"/>
    <n v="70.117682169999995"/>
    <n v="71.215726070000002"/>
    <n v="56.106182230000002"/>
    <n v="19.284470970000001"/>
    <n v="26.448175770000006"/>
    <n v="25.183712970000002"/>
    <n v="15.109543840000001"/>
    <x v="1"/>
    <x v="0"/>
    <x v="3"/>
    <n v="3"/>
    <s v="Prof. Rahul Singh"/>
  </r>
  <r>
    <s v="STU0373"/>
    <s v="Amit Hooda"/>
    <x v="1"/>
    <n v="22"/>
    <x v="0"/>
    <n v="4.3"/>
    <n v="3.48"/>
    <n v="3.85"/>
    <n v="4.3499999999999996"/>
    <n v="4.7699999999999996"/>
    <n v="4.09"/>
    <n v="4.3899999999999997"/>
    <n v="3.93"/>
    <n v="4.3899999999999997"/>
    <n v="4.07"/>
    <x v="108"/>
    <n v="4.1500000000000004"/>
    <n v="4.1740000000000004"/>
    <n v="84.167413300000007"/>
    <n v="74.325790940000005"/>
    <n v="87.968823330000006"/>
    <n v="64.627440000000007"/>
    <n v="90.373712330000004"/>
    <n v="74.254229420000001"/>
    <n v="75.2720664"/>
    <n v="52.550003390000001"/>
    <n v="9.8416223600000023"/>
    <n v="23.341383329999999"/>
    <n v="16.119482910000002"/>
    <n v="22.722063009999999"/>
    <x v="0"/>
    <x v="3"/>
    <x v="1"/>
    <n v="3"/>
    <s v="Prof. Kavita Rao"/>
  </r>
  <r>
    <s v="STU0374"/>
    <s v="Shraddha Salunkhe"/>
    <x v="0"/>
    <n v="24"/>
    <x v="2"/>
    <n v="4.17"/>
    <n v="3.66"/>
    <n v="4.3"/>
    <n v="4.66"/>
    <n v="3.83"/>
    <n v="4.1399999999999997"/>
    <n v="3.95"/>
    <n v="3.6"/>
    <n v="4.16"/>
    <n v="3.85"/>
    <x v="180"/>
    <n v="4.12"/>
    <n v="3.94"/>
    <n v="85.368802529999996"/>
    <n v="76.842273469999995"/>
    <n v="74.21052195"/>
    <n v="66.710410170000003"/>
    <n v="91.528830679999999"/>
    <n v="85"/>
    <n v="68.499246650000003"/>
    <n v="60.192737690000001"/>
    <n v="8.5265290600000014"/>
    <n v="7.5001117799999975"/>
    <n v="6.5288306799999987"/>
    <n v="8.3065089600000022"/>
    <x v="0"/>
    <x v="0"/>
    <x v="0"/>
    <n v="3"/>
    <s v="Prof. Rahul Singh"/>
  </r>
  <r>
    <s v="STU0375"/>
    <s v="Sunil Iyengar"/>
    <x v="1"/>
    <n v="30"/>
    <x v="1"/>
    <n v="3.78"/>
    <n v="3.78"/>
    <n v="4.1900000000000004"/>
    <n v="3.63"/>
    <n v="3.96"/>
    <n v="3.81"/>
    <n v="3.82"/>
    <n v="3.73"/>
    <n v="4.03"/>
    <n v="4.26"/>
    <x v="271"/>
    <n v="3.87"/>
    <n v="3.9299999999999997"/>
    <n v="85.030460199999993"/>
    <n v="70.393970449999998"/>
    <n v="77.520024460000002"/>
    <n v="62.905413609999997"/>
    <n v="99.9"/>
    <n v="69.702764029999997"/>
    <n v="67.300036739999996"/>
    <n v="50"/>
    <n v="14.636489749999996"/>
    <n v="14.614610850000005"/>
    <n v="30.197235970000008"/>
    <n v="17.300036739999996"/>
    <x v="1"/>
    <x v="1"/>
    <x v="3"/>
    <n v="3"/>
    <s v="Dr. Rohan Dutta"/>
  </r>
  <r>
    <s v="STU0376"/>
    <s v="Meera Kaushik"/>
    <x v="0"/>
    <n v="26"/>
    <x v="3"/>
    <n v="4.1500000000000004"/>
    <n v="4.17"/>
    <n v="3.71"/>
    <n v="4.1500000000000004"/>
    <n v="3.94"/>
    <n v="3.7"/>
    <n v="3.97"/>
    <n v="4.22"/>
    <n v="4.12"/>
    <n v="4.04"/>
    <x v="272"/>
    <n v="4.0199999999999996"/>
    <n v="4.01"/>
    <n v="86.544273950000004"/>
    <n v="71.292252520000005"/>
    <n v="70"/>
    <n v="72.386061999999995"/>
    <n v="91.421110819999996"/>
    <n v="68.443270100000007"/>
    <n v="72.044862960000003"/>
    <n v="58.765412750000003"/>
    <n v="15.252021429999999"/>
    <n v="-2.3860619999999955"/>
    <n v="22.977840719999989"/>
    <n v="13.27945021"/>
    <x v="0"/>
    <x v="2"/>
    <x v="4"/>
    <n v="3"/>
    <s v="Prof. Rajesh Mukherjee"/>
  </r>
  <r>
    <s v="STU0377"/>
    <s v="Chetan Ghosh"/>
    <x v="1"/>
    <n v="22"/>
    <x v="0"/>
    <n v="3.99"/>
    <n v="4.55"/>
    <n v="4.0199999999999996"/>
    <n v="3.82"/>
    <n v="4.2699999999999996"/>
    <n v="4.3499999999999996"/>
    <n v="3.9"/>
    <n v="4.28"/>
    <n v="4.3899999999999997"/>
    <n v="2.98"/>
    <x v="273"/>
    <n v="4.13"/>
    <n v="3.9800000000000004"/>
    <n v="86.732846940000002"/>
    <n v="66.596353179999994"/>
    <n v="70.091743960000002"/>
    <n v="63.271449390000001"/>
    <n v="99.9"/>
    <n v="78.271985240000006"/>
    <n v="65.797106189999994"/>
    <n v="66.357549680000005"/>
    <n v="20.136493760000008"/>
    <n v="6.8202945700000015"/>
    <n v="21.628014759999999"/>
    <n v="-0.56044349000001148"/>
    <x v="0"/>
    <x v="2"/>
    <x v="0"/>
    <n v="3"/>
    <s v="Prof. Rajesh Mukherjee"/>
  </r>
  <r>
    <s v="STU0378"/>
    <s v="Aadhya Malhotra"/>
    <x v="0"/>
    <n v="28"/>
    <x v="3"/>
    <n v="3.75"/>
    <n v="4.59"/>
    <n v="4.1500000000000004"/>
    <n v="4.0199999999999996"/>
    <n v="4.07"/>
    <n v="3.93"/>
    <n v="3.84"/>
    <n v="4.09"/>
    <n v="4.37"/>
    <n v="3.55"/>
    <x v="165"/>
    <n v="4.12"/>
    <n v="3.9560000000000004"/>
    <n v="88.543550620000005"/>
    <n v="73.377650189999997"/>
    <n v="75.565321310000002"/>
    <n v="70.906605859999999"/>
    <n v="89.680378289999993"/>
    <n v="83.747738490000003"/>
    <n v="66.932350790000001"/>
    <n v="59.5763113"/>
    <n v="15.165900430000008"/>
    <n v="4.6587154500000025"/>
    <n v="5.9326397999999898"/>
    <n v="7.3560394900000006"/>
    <x v="0"/>
    <x v="2"/>
    <x v="0"/>
    <n v="3"/>
    <s v="Prof. Rajesh Mukherjee"/>
  </r>
  <r>
    <s v="STU0379"/>
    <s v="Neha Bajpai"/>
    <x v="0"/>
    <n v="26"/>
    <x v="3"/>
    <n v="4.55"/>
    <n v="3.97"/>
    <n v="3.4"/>
    <n v="4.63"/>
    <n v="4.07"/>
    <n v="5.08"/>
    <n v="4.21"/>
    <n v="4.55"/>
    <n v="4.4400000000000004"/>
    <n v="4.3099999999999996"/>
    <x v="36"/>
    <n v="4.12"/>
    <n v="4.5179999999999998"/>
    <n v="81.705677850000001"/>
    <n v="63.635003220000002"/>
    <n v="70"/>
    <n v="68.416427569999996"/>
    <n v="91.965297000000007"/>
    <n v="78.578977989999998"/>
    <n v="70.807955879999994"/>
    <n v="60.248034990000001"/>
    <n v="18.070674629999999"/>
    <n v="1.5835724300000038"/>
    <n v="13.386319010000008"/>
    <n v="10.559920889999994"/>
    <x v="0"/>
    <x v="0"/>
    <x v="2"/>
    <n v="3"/>
    <s v="Prof. Rahul Singh"/>
  </r>
  <r>
    <s v="STU0380"/>
    <s v="Neettu Vaidya"/>
    <x v="1"/>
    <n v="24"/>
    <x v="2"/>
    <n v="3.42"/>
    <n v="4.57"/>
    <n v="4.22"/>
    <n v="3.98"/>
    <n v="3.98"/>
    <n v="3.53"/>
    <n v="3.89"/>
    <n v="4"/>
    <n v="3.78"/>
    <n v="4.08"/>
    <x v="130"/>
    <n v="4.03"/>
    <n v="3.8560000000000003"/>
    <n v="88.001547889999998"/>
    <n v="75.073334149999994"/>
    <n v="70"/>
    <n v="69.067097369999999"/>
    <n v="82.703709790000005"/>
    <n v="85"/>
    <n v="72.852870240000001"/>
    <n v="63.804496780000001"/>
    <n v="12.928213740000004"/>
    <n v="0.93290263000000095"/>
    <n v="-2.2962902099999951"/>
    <n v="9.0483734600000005"/>
    <x v="0"/>
    <x v="2"/>
    <x v="3"/>
    <n v="3"/>
    <s v="Prof. Rajesh Mukherjee"/>
  </r>
  <r>
    <s v="STU0381"/>
    <s v="Yuvraj Agrawal"/>
    <x v="1"/>
    <n v="30"/>
    <x v="1"/>
    <n v="4.2"/>
    <n v="3.88"/>
    <n v="4.3899999999999997"/>
    <n v="4.3499999999999996"/>
    <n v="3.96"/>
    <n v="4.22"/>
    <n v="4.0199999999999996"/>
    <n v="4.21"/>
    <n v="4.0599999999999996"/>
    <n v="4.01"/>
    <x v="166"/>
    <n v="4.16"/>
    <n v="4.1039999999999992"/>
    <n v="79.334524349999995"/>
    <n v="73.170136350000007"/>
    <n v="75.331468659999999"/>
    <n v="71.463669850000002"/>
    <n v="87.573906429999994"/>
    <n v="78.670292439999997"/>
    <n v="69.402333110000001"/>
    <n v="55.931671600000001"/>
    <n v="6.1643879999999882"/>
    <n v="3.8677988099999965"/>
    <n v="8.9036139899999966"/>
    <n v="13.470661509999999"/>
    <x v="0"/>
    <x v="1"/>
    <x v="2"/>
    <n v="3"/>
    <s v="Dr. Rohan Dutta"/>
  </r>
  <r>
    <s v="STU0382"/>
    <s v="Rohit Vaidya"/>
    <x v="1"/>
    <n v="24"/>
    <x v="2"/>
    <n v="3.98"/>
    <s v="N/A"/>
    <n v="4.08"/>
    <n v="3.81"/>
    <n v="3.56"/>
    <n v="4.05"/>
    <n v="3.6"/>
    <n v="4.7699999999999996"/>
    <n v="4.0599999999999996"/>
    <n v="3.94"/>
    <x v="274"/>
    <n v="3.86"/>
    <n v="4.0840000000000005"/>
    <n v="84.064157769999994"/>
    <n v="71.490482310000004"/>
    <n v="70"/>
    <n v="58.072833289999998"/>
    <n v="97.850067330000002"/>
    <n v="74.540688579999994"/>
    <n v="75.283029159999998"/>
    <n v="57.077784870000002"/>
    <n v="12.57367545999999"/>
    <n v="11.927166710000002"/>
    <n v="23.309378750000008"/>
    <n v="18.205244289999996"/>
    <x v="1"/>
    <x v="1"/>
    <x v="4"/>
    <n v="3"/>
    <s v="Dr. Rohan Dutta"/>
  </r>
  <r>
    <s v="STU0383"/>
    <s v="Manju Iyer"/>
    <x v="1"/>
    <n v="20"/>
    <x v="0"/>
    <n v="3.88"/>
    <n v="3.51"/>
    <n v="4.21"/>
    <n v="4.22"/>
    <n v="4.6100000000000003"/>
    <n v="3.99"/>
    <n v="4.07"/>
    <n v="3.47"/>
    <n v="3.86"/>
    <n v="4.13"/>
    <x v="174"/>
    <n v="4.09"/>
    <n v="3.9039999999999999"/>
    <n v="80.058793089999995"/>
    <n v="66.965704840000001"/>
    <n v="78.206511169999999"/>
    <n v="64.484274510000006"/>
    <n v="80"/>
    <n v="85"/>
    <n v="65"/>
    <n v="60.11313406"/>
    <n v="13.093088249999994"/>
    <n v="13.722236659999993"/>
    <n v="-5"/>
    <n v="4.8868659399999999"/>
    <x v="0"/>
    <x v="3"/>
    <x v="3"/>
    <n v="3"/>
    <s v="Prof. Kavita Rao"/>
  </r>
  <r>
    <s v="STU0384"/>
    <s v="Aditya Rawat"/>
    <x v="1"/>
    <n v="27"/>
    <x v="3"/>
    <n v="4.01"/>
    <n v="3.81"/>
    <n v="4.54"/>
    <n v="4.17"/>
    <n v="3.68"/>
    <n v="3.9"/>
    <n v="3.64"/>
    <n v="4.08"/>
    <n v="3.78"/>
    <n v="3.97"/>
    <x v="40"/>
    <n v="4.04"/>
    <n v="3.8740000000000001"/>
    <n v="83.134443700000006"/>
    <n v="60.134823779999998"/>
    <n v="76.754082460000006"/>
    <n v="58.659745119999997"/>
    <n v="81.141235600000002"/>
    <n v="73.022155170000005"/>
    <n v="78.260349649999995"/>
    <n v="64.776671710000002"/>
    <n v="22.999619920000008"/>
    <n v="18.09433734000001"/>
    <n v="8.1190804299999968"/>
    <n v="13.483677939999993"/>
    <x v="0"/>
    <x v="1"/>
    <x v="4"/>
    <n v="3"/>
    <s v="Dr. Rohan Dutta"/>
  </r>
  <r>
    <s v="STU0385"/>
    <s v="Pari Gulati"/>
    <x v="0"/>
    <n v="24"/>
    <x v="2"/>
    <n v="4.34"/>
    <n v="3.73"/>
    <n v="4.17"/>
    <n v="3.9"/>
    <n v="3.71"/>
    <n v="3.98"/>
    <n v="4.22"/>
    <n v="3.69"/>
    <n v="3.52"/>
    <n v="4.21"/>
    <x v="275"/>
    <n v="3.97"/>
    <n v="3.9239999999999995"/>
    <n v="92.808523690000001"/>
    <n v="64.430334610000003"/>
    <n v="70.394543880000001"/>
    <n v="66.918872550000003"/>
    <n v="87.140447460000004"/>
    <n v="82.706769899999998"/>
    <n v="71.913676300000006"/>
    <n v="58.91609854"/>
    <n v="28.378189079999999"/>
    <n v="3.4756713299999973"/>
    <n v="4.4336775600000067"/>
    <n v="12.997577760000006"/>
    <x v="0"/>
    <x v="4"/>
    <x v="1"/>
    <n v="3"/>
    <s v="Prof. Vikram Gupta"/>
  </r>
  <r>
    <s v="STU0386"/>
    <s v="Sanjeev Singh"/>
    <x v="1"/>
    <n v="28"/>
    <x v="3"/>
    <n v="3.98"/>
    <n v="3.39"/>
    <n v="3.83"/>
    <n v="3.84"/>
    <n v="3.85"/>
    <n v="3.86"/>
    <n v="4.82"/>
    <n v="4.37"/>
    <n v="4.1399999999999997"/>
    <n v="3.86"/>
    <x v="276"/>
    <n v="3.78"/>
    <n v="4.21"/>
    <n v="83.179043149999998"/>
    <n v="62.91422858"/>
    <n v="76.389216360000006"/>
    <n v="66.251033509999999"/>
    <n v="93.970297869999996"/>
    <n v="74.61313389"/>
    <n v="67.190307989999994"/>
    <n v="55.126145450000003"/>
    <n v="20.264814569999999"/>
    <n v="10.138182850000007"/>
    <n v="19.357163979999996"/>
    <n v="12.064162539999991"/>
    <x v="1"/>
    <x v="4"/>
    <x v="1"/>
    <n v="3"/>
    <s v="Prof. Vikram Gupta"/>
  </r>
  <r>
    <s v="STU0387"/>
    <s v="Prakash Iyer"/>
    <x v="1"/>
    <n v="30"/>
    <x v="1"/>
    <n v="3.84"/>
    <n v="3.87"/>
    <n v="3.95"/>
    <n v="3.93"/>
    <n v="3.93"/>
    <n v="4.03"/>
    <n v="4.1399999999999997"/>
    <n v="3.9"/>
    <n v="4.2"/>
    <n v="3.9"/>
    <x v="277"/>
    <n v="3.9"/>
    <n v="4.0339999999999998"/>
    <n v="81.821515570000003"/>
    <n v="64.859682570000004"/>
    <n v="85.825199609999999"/>
    <n v="55"/>
    <n v="96.446899200000004"/>
    <n v="80.540699599999996"/>
    <n v="75.375907850000004"/>
    <n v="60.605818640000003"/>
    <n v="16.961832999999999"/>
    <n v="30.825199609999999"/>
    <n v="15.906199600000008"/>
    <n v="14.770089210000002"/>
    <x v="0"/>
    <x v="1"/>
    <x v="0"/>
    <n v="3"/>
    <s v="Dr. Rohan Dutta"/>
  </r>
  <r>
    <s v="STU0388"/>
    <s v="Ashokk Tyagi"/>
    <x v="1"/>
    <n v="28"/>
    <x v="3"/>
    <n v="4.3899999999999997"/>
    <n v="4.29"/>
    <n v="4.29"/>
    <n v="3.65"/>
    <n v="3.56"/>
    <n v="3.97"/>
    <n v="4.04"/>
    <n v="4.3600000000000003"/>
    <n v="3.95"/>
    <n v="3.97"/>
    <x v="147"/>
    <n v="4.04"/>
    <n v="4.0579999999999998"/>
    <n v="75.852398339999993"/>
    <n v="74.899351159999995"/>
    <n v="71.380606220000004"/>
    <n v="68.860194719999996"/>
    <n v="84.451420929999998"/>
    <n v="75.808609309999994"/>
    <n v="70.431136199999997"/>
    <n v="68.996100170000005"/>
    <n v="0.95304717999999866"/>
    <n v="2.5204115000000087"/>
    <n v="8.6428116200000034"/>
    <n v="1.435036029999992"/>
    <x v="0"/>
    <x v="4"/>
    <x v="4"/>
    <n v="3"/>
    <s v="Prof. Vikram Gupta"/>
  </r>
  <r>
    <s v="STU0389"/>
    <s v="Neetu Zaveri"/>
    <x v="1"/>
    <n v="26"/>
    <x v="3"/>
    <n v="4.59"/>
    <n v="3.79"/>
    <n v="3.6"/>
    <s v="N/A"/>
    <n v="3.71"/>
    <n v="4.45"/>
    <n v="4.51"/>
    <n v="3.67"/>
    <n v="4.08"/>
    <n v="3.94"/>
    <x v="278"/>
    <n v="3.92"/>
    <n v="4.1300000000000008"/>
    <n v="96.009844430000001"/>
    <n v="68.500841750000006"/>
    <n v="70"/>
    <n v="71.139255059999996"/>
    <n v="85.158875170000002"/>
    <n v="77.937388249999998"/>
    <n v="67.545106270000005"/>
    <n v="50"/>
    <n v="27.509002679999995"/>
    <n v="-1.1392550599999964"/>
    <n v="7.2214869200000038"/>
    <n v="17.545106270000005"/>
    <x v="0"/>
    <x v="4"/>
    <x v="1"/>
    <n v="3"/>
    <s v="Prof. Vikram Gupta"/>
  </r>
  <r>
    <s v="STU0390"/>
    <s v="Deepali Sanyal"/>
    <x v="0"/>
    <n v="23"/>
    <x v="2"/>
    <n v="3.54"/>
    <n v="3.96"/>
    <n v="4.12"/>
    <n v="3.94"/>
    <n v="4.13"/>
    <n v="4.43"/>
    <n v="4.24"/>
    <n v="4.1900000000000004"/>
    <n v="3.89"/>
    <n v="4.1900000000000004"/>
    <x v="9"/>
    <n v="3.94"/>
    <n v="4.1880000000000006"/>
    <n v="90.366868679999996"/>
    <n v="72.15187426"/>
    <n v="70.352880720000002"/>
    <n v="66.166052870000001"/>
    <n v="92.889187039999996"/>
    <n v="74.304690370000003"/>
    <n v="65.451230249999995"/>
    <n v="61.642961219999997"/>
    <n v="18.214994419999996"/>
    <n v="4.1868278500000002"/>
    <n v="18.584496669999993"/>
    <n v="3.8082690299999982"/>
    <x v="0"/>
    <x v="3"/>
    <x v="2"/>
    <n v="3"/>
    <s v="Prof. Kavita Rao"/>
  </r>
  <r>
    <s v="STU0391"/>
    <s v="Sanjay Choudhary"/>
    <x v="1"/>
    <n v="20"/>
    <x v="0"/>
    <n v="3.67"/>
    <n v="3.9"/>
    <n v="4.04"/>
    <n v="3.5"/>
    <n v="3.62"/>
    <n v="3.83"/>
    <n v="3.95"/>
    <n v="3.73"/>
    <n v="4.5"/>
    <n v="4.4000000000000004"/>
    <x v="279"/>
    <n v="3.75"/>
    <n v="4.081999999999999"/>
    <n v="89.444041510000005"/>
    <n v="73.005586579999999"/>
    <n v="78.345789800000006"/>
    <n v="55.269655540000002"/>
    <n v="97.016515459999994"/>
    <n v="75.632080340000002"/>
    <n v="68.106394800000004"/>
    <n v="68.772785909999996"/>
    <n v="16.438454930000006"/>
    <n v="23.076134260000003"/>
    <n v="21.384435119999992"/>
    <n v="-0.66639110999999218"/>
    <x v="1"/>
    <x v="1"/>
    <x v="0"/>
    <n v="3"/>
    <s v="Dr. Rohan Dutta"/>
  </r>
  <r>
    <s v="STU0392"/>
    <s v="Gaurav Anand"/>
    <x v="1"/>
    <n v="29"/>
    <x v="1"/>
    <n v="3.58"/>
    <n v="4.04"/>
    <n v="3.63"/>
    <n v="3.96"/>
    <n v="4.68"/>
    <n v="3.77"/>
    <n v="3.02"/>
    <n v="3.71"/>
    <n v="4.24"/>
    <n v="3.78"/>
    <x v="191"/>
    <n v="3.98"/>
    <n v="3.7039999999999997"/>
    <n v="86.353246859999999"/>
    <n v="67.369115379999997"/>
    <n v="80.133180600000003"/>
    <n v="55"/>
    <n v="81.114443469999998"/>
    <n v="76.658586139999997"/>
    <n v="74.625857370000006"/>
    <n v="66.760957529999999"/>
    <n v="18.984131480000002"/>
    <n v="25.133180600000003"/>
    <n v="4.4558573300000006"/>
    <n v="7.8648998400000067"/>
    <x v="0"/>
    <x v="3"/>
    <x v="0"/>
    <n v="3"/>
    <s v="Prof. Kavita Rao"/>
  </r>
  <r>
    <s v="STU0393"/>
    <s v="Diya Kukrejja"/>
    <x v="0"/>
    <n v="28"/>
    <x v="3"/>
    <n v="3.73"/>
    <n v="3.79"/>
    <n v="4.17"/>
    <n v="4.58"/>
    <n v="4.2699999999999996"/>
    <n v="3.94"/>
    <n v="4.3899999999999997"/>
    <n v="3.97"/>
    <n v="3.64"/>
    <n v="4.3600000000000003"/>
    <x v="125"/>
    <n v="4.1100000000000003"/>
    <n v="4.0600000000000005"/>
    <n v="93.477440020000003"/>
    <n v="65.471060949999995"/>
    <n v="70"/>
    <n v="66.387337329999994"/>
    <n v="80.049082209999995"/>
    <n v="79.538254409999993"/>
    <n v="70.710785680000001"/>
    <n v="50"/>
    <n v="28.006379070000008"/>
    <n v="3.612662670000006"/>
    <n v="0.51082780000000128"/>
    <n v="20.710785680000001"/>
    <x v="0"/>
    <x v="0"/>
    <x v="1"/>
    <n v="3"/>
    <s v="Prof. Rahul Singh"/>
  </r>
  <r>
    <s v="STU0394"/>
    <s v="Prerna Raj"/>
    <x v="0"/>
    <n v="29"/>
    <x v="1"/>
    <n v="3.04"/>
    <n v="3.94"/>
    <n v="3.96"/>
    <n v="4.3099999999999996"/>
    <n v="4.16"/>
    <s v="N/A"/>
    <n v="4.6399999999999997"/>
    <n v="4.13"/>
    <n v="3.95"/>
    <n v="3.81"/>
    <x v="132"/>
    <n v="3.88"/>
    <n v="4.1324999999999994"/>
    <n v="91.370351499999998"/>
    <n v="74.757108919999993"/>
    <n v="89.692979519999994"/>
    <n v="72.030242279999996"/>
    <n v="84.621327199999996"/>
    <n v="83.190676850000003"/>
    <n v="70.585506359999997"/>
    <n v="65.329390169999996"/>
    <n v="16.613242580000005"/>
    <n v="17.662737239999998"/>
    <n v="1.4306503499999934"/>
    <n v="5.2561161900000002"/>
    <x v="1"/>
    <x v="0"/>
    <x v="1"/>
    <n v="3"/>
    <s v="Prof. Rahul Singh"/>
  </r>
  <r>
    <s v="STU0395"/>
    <s v="Saurabh Ekbote"/>
    <x v="1"/>
    <n v="26"/>
    <x v="3"/>
    <n v="3.37"/>
    <n v="3.8"/>
    <n v="4.0999999999999996"/>
    <n v="4.12"/>
    <n v="3.94"/>
    <n v="4.1900000000000004"/>
    <n v="3.77"/>
    <n v="4.3600000000000003"/>
    <n v="4.1100000000000003"/>
    <n v="4.63"/>
    <x v="280"/>
    <n v="3.87"/>
    <n v="4.2119999999999997"/>
    <n v="78.944414629999997"/>
    <n v="67.248003429999997"/>
    <n v="74.973984580000007"/>
    <n v="58.761500689999998"/>
    <n v="86.567189240000005"/>
    <n v="85"/>
    <n v="71.760795900000005"/>
    <n v="56.156236079999999"/>
    <n v="11.6964112"/>
    <n v="16.212483890000009"/>
    <n v="1.5671892400000047"/>
    <n v="15.604559820000006"/>
    <x v="1"/>
    <x v="0"/>
    <x v="3"/>
    <n v="3"/>
    <s v="Prof. Rahul Singh"/>
  </r>
  <r>
    <s v="STU0396"/>
    <s v="Jayant Anand"/>
    <x v="1"/>
    <n v="22"/>
    <x v="0"/>
    <n v="3.85"/>
    <n v="3.96"/>
    <n v="4.3"/>
    <n v="4.18"/>
    <n v="3.68"/>
    <n v="4.09"/>
    <n v="4.45"/>
    <n v="3.75"/>
    <n v="4.1100000000000003"/>
    <n v="3.92"/>
    <x v="154"/>
    <n v="3.99"/>
    <n v="4.0640000000000001"/>
    <n v="88.599391589999996"/>
    <n v="75.624302790000002"/>
    <n v="70"/>
    <n v="65.162293869999999"/>
    <n v="88.719703490000001"/>
    <n v="80.077963929999996"/>
    <n v="65"/>
    <n v="57.083330859999997"/>
    <n v="12.975088799999995"/>
    <n v="4.8377061300000008"/>
    <n v="8.6417395600000049"/>
    <n v="7.9166691400000033"/>
    <x v="0"/>
    <x v="1"/>
    <x v="1"/>
    <n v="3"/>
    <s v="Dr. Rohan Dutta"/>
  </r>
  <r>
    <s v="STU0397"/>
    <s v="Devika Yadav"/>
    <x v="0"/>
    <n v="20"/>
    <x v="0"/>
    <n v="4"/>
    <n v="3.63"/>
    <n v="4.1500000000000004"/>
    <n v="4.0999999999999996"/>
    <n v="4.09"/>
    <n v="3.76"/>
    <n v="4.1900000000000004"/>
    <n v="3.75"/>
    <n v="4.49"/>
    <n v="3.57"/>
    <x v="154"/>
    <n v="3.99"/>
    <n v="3.9519999999999995"/>
    <n v="84.982365270000003"/>
    <n v="68.980966629999998"/>
    <n v="71.727675730000001"/>
    <n v="71.236943710000006"/>
    <n v="89.450868909999997"/>
    <n v="83.373026670000002"/>
    <n v="81.339926829999996"/>
    <n v="54.774700379999999"/>
    <n v="16.001398640000005"/>
    <n v="0.49073201999999583"/>
    <n v="6.0778422399999954"/>
    <n v="26.565226449999997"/>
    <x v="0"/>
    <x v="1"/>
    <x v="0"/>
    <n v="3"/>
    <s v="Dr. Rohan Dutta"/>
  </r>
  <r>
    <s v="STU0398"/>
    <s v="Anupamaa Verma"/>
    <x v="1"/>
    <n v="24"/>
    <x v="2"/>
    <n v="3.75"/>
    <n v="3.71"/>
    <n v="4.42"/>
    <n v="4.18"/>
    <n v="3.88"/>
    <n v="4.42"/>
    <n v="3.82"/>
    <n v="4.49"/>
    <n v="4.32"/>
    <n v="4.4400000000000004"/>
    <x v="281"/>
    <n v="3.99"/>
    <n v="4.298"/>
    <n v="76.549250729999997"/>
    <n v="72.568020259999997"/>
    <n v="75.277659049999997"/>
    <n v="69.794694340000007"/>
    <n v="86.375828659999996"/>
    <n v="81.024776259999996"/>
    <n v="74.661387550000001"/>
    <n v="50"/>
    <n v="3.9812304699999999"/>
    <n v="5.4829647099999903"/>
    <n v="5.3510524000000004"/>
    <n v="24.661387550000001"/>
    <x v="0"/>
    <x v="1"/>
    <x v="4"/>
    <n v="3"/>
    <s v="Dr. Rohan Dutta"/>
  </r>
  <r>
    <s v="STU0399"/>
    <s v="Ishaan Oswal"/>
    <x v="1"/>
    <n v="28"/>
    <x v="3"/>
    <n v="4.0599999999999996"/>
    <n v="3.63"/>
    <n v="4.34"/>
    <n v="4.2300000000000004"/>
    <n v="4.09"/>
    <n v="3.87"/>
    <n v="3.86"/>
    <n v="4.3600000000000003"/>
    <n v="4.04"/>
    <n v="3.65"/>
    <x v="205"/>
    <n v="4.07"/>
    <n v="3.9559999999999995"/>
    <n v="84.525179210000005"/>
    <n v="71.144674359999996"/>
    <n v="81.448381080000004"/>
    <n v="72.431789109999997"/>
    <n v="97.234236420000002"/>
    <n v="76.466239060000007"/>
    <n v="66.081812159999998"/>
    <n v="55.667123199999999"/>
    <n v="13.380504850000008"/>
    <n v="9.0165919700000074"/>
    <n v="20.767997359999995"/>
    <n v="10.414688959999999"/>
    <x v="0"/>
    <x v="1"/>
    <x v="4"/>
    <n v="3"/>
    <s v="Dr. Rohan Dutta"/>
  </r>
  <r>
    <s v="STU0400"/>
    <s v="Shailesh Bhatt"/>
    <x v="1"/>
    <n v="22"/>
    <x v="0"/>
    <n v="3.78"/>
    <n v="4.25"/>
    <n v="3.88"/>
    <n v="3.54"/>
    <n v="3.84"/>
    <n v="4.08"/>
    <n v="3.72"/>
    <n v="4.3"/>
    <n v="3.04"/>
    <n v="3.64"/>
    <x v="262"/>
    <n v="3.86"/>
    <n v="3.7560000000000002"/>
    <n v="86.27492187"/>
    <n v="62.055951739999998"/>
    <n v="72.046418209999999"/>
    <n v="57.925510950000003"/>
    <n v="87.081416730000001"/>
    <n v="84.919774910000001"/>
    <n v="74.035752029999998"/>
    <n v="51.46214715"/>
    <n v="24.218970130000002"/>
    <n v="14.120907259999996"/>
    <n v="2.1616418199999998"/>
    <n v="22.573604879999998"/>
    <x v="1"/>
    <x v="2"/>
    <x v="4"/>
    <n v="3"/>
    <s v="Prof. Rajesh Mukherjee"/>
  </r>
  <r>
    <s v="STU0401"/>
    <s v="Sameer Kumar"/>
    <x v="1"/>
    <n v="25"/>
    <x v="2"/>
    <n v="4.0199999999999996"/>
    <n v="4.3899999999999997"/>
    <n v="3.88"/>
    <n v="3.67"/>
    <n v="4.3"/>
    <n v="4.26"/>
    <n v="3.91"/>
    <n v="4.21"/>
    <n v="3.79"/>
    <n v="4.4400000000000004"/>
    <x v="39"/>
    <n v="4.05"/>
    <n v="4.1219999999999999"/>
    <n v="76.754310480000001"/>
    <n v="69.446620010000004"/>
    <n v="81.835656279999995"/>
    <n v="66.50668503"/>
    <n v="92.986697239999998"/>
    <n v="74.855220500000001"/>
    <n v="68.722135289999997"/>
    <n v="65.869738490000003"/>
    <n v="7.3076904699999972"/>
    <n v="15.328971249999995"/>
    <n v="18.131476739999997"/>
    <n v="2.852396799999994"/>
    <x v="0"/>
    <x v="2"/>
    <x v="3"/>
    <n v="3"/>
    <s v="Prof. Rajesh Mukherjee"/>
  </r>
  <r>
    <s v="STU0402"/>
    <s v="Ishan Deshmukh"/>
    <x v="1"/>
    <n v="23"/>
    <x v="2"/>
    <n v="4.49"/>
    <n v="4.0199999999999996"/>
    <n v="4.4000000000000004"/>
    <n v="4.03"/>
    <n v="4.1100000000000003"/>
    <n v="4.13"/>
    <s v="N/A"/>
    <n v="3.86"/>
    <n v="3.67"/>
    <n v="4.43"/>
    <x v="141"/>
    <n v="4.21"/>
    <n v="4.0225"/>
    <n v="86.974247719999994"/>
    <n v="66.867085869999997"/>
    <n v="76.360185889999997"/>
    <n v="65.406008130000004"/>
    <n v="84.714166640000002"/>
    <n v="75.55979524"/>
    <n v="72.483104769999997"/>
    <n v="62.316971979999998"/>
    <n v="20.107161849999997"/>
    <n v="10.954177759999993"/>
    <n v="9.1543714000000023"/>
    <n v="10.166132789999999"/>
    <x v="2"/>
    <x v="4"/>
    <x v="3"/>
    <n v="3"/>
    <s v="Prof. Vikram Gupta"/>
  </r>
  <r>
    <s v="STU0403"/>
    <s v="Divya Chauhan"/>
    <x v="1"/>
    <n v="25"/>
    <x v="2"/>
    <n v="4.03"/>
    <n v="3.81"/>
    <n v="3.92"/>
    <n v="3.93"/>
    <n v="4.18"/>
    <n v="3.82"/>
    <n v="3.73"/>
    <n v="4.53"/>
    <n v="3.93"/>
    <n v="4.3899999999999997"/>
    <x v="94"/>
    <n v="3.97"/>
    <n v="4.08"/>
    <n v="87.573075919999994"/>
    <n v="71.739607340000006"/>
    <n v="78.908734670000001"/>
    <n v="64.023512760000003"/>
    <n v="92.140303000000003"/>
    <n v="82.108273710000006"/>
    <n v="71.654539729999996"/>
    <n v="57.073595349999998"/>
    <n v="15.833468579999987"/>
    <n v="14.885221909999999"/>
    <n v="10.032029289999997"/>
    <n v="14.580944379999998"/>
    <x v="0"/>
    <x v="3"/>
    <x v="4"/>
    <n v="3"/>
    <s v="Prof. Kavita Rao"/>
  </r>
  <r>
    <s v="STU0404"/>
    <s v="Anirudhh Vohra"/>
    <x v="1"/>
    <n v="30"/>
    <x v="1"/>
    <n v="4.04"/>
    <n v="3.83"/>
    <n v="3.54"/>
    <n v="3.9"/>
    <n v="3.62"/>
    <n v="3.92"/>
    <n v="4.54"/>
    <n v="4.03"/>
    <n v="3.9"/>
    <n v="3.78"/>
    <x v="282"/>
    <n v="3.79"/>
    <n v="4.0340000000000007"/>
    <n v="87.292525749999996"/>
    <n v="72.166463390000004"/>
    <n v="76.921366820000003"/>
    <n v="67.692770679999995"/>
    <n v="89.502661779999997"/>
    <n v="80.984365819999994"/>
    <n v="68.813806720000002"/>
    <n v="68.761946269999996"/>
    <n v="15.126062359999992"/>
    <n v="9.2285961400000076"/>
    <n v="8.5182959600000032"/>
    <n v="5.1860450000006608E-2"/>
    <x v="1"/>
    <x v="4"/>
    <x v="1"/>
    <n v="3"/>
    <s v="Prof. Vikram Gupta"/>
  </r>
  <r>
    <s v="STU0405"/>
    <s v="Vandana Joshi"/>
    <x v="0"/>
    <n v="27"/>
    <x v="3"/>
    <s v="N/A"/>
    <n v="4.16"/>
    <n v="4.2"/>
    <n v="4.5199999999999996"/>
    <n v="4"/>
    <n v="4.4000000000000004"/>
    <n v="4.16"/>
    <n v="4.01"/>
    <n v="3.8"/>
    <n v="3.65"/>
    <x v="283"/>
    <n v="4.22"/>
    <n v="4.0039999999999996"/>
    <n v="80.768962779999995"/>
    <n v="73.218556989999996"/>
    <n v="73.545804469999993"/>
    <n v="64.234566839999999"/>
    <n v="95.084535380000005"/>
    <n v="69.505971669999994"/>
    <n v="75.589449549999998"/>
    <n v="50"/>
    <n v="7.5504057899999992"/>
    <n v="9.3112376299999937"/>
    <n v="25.578563710000012"/>
    <n v="25.589449549999998"/>
    <x v="2"/>
    <x v="0"/>
    <x v="2"/>
    <n v="3"/>
    <s v="Prof. Rahul Singh"/>
  </r>
  <r>
    <s v="STU0406"/>
    <s v="Yuvraj Saxena"/>
    <x v="1"/>
    <n v="25"/>
    <x v="2"/>
    <n v="4.6900000000000004"/>
    <n v="4.13"/>
    <n v="3.91"/>
    <n v="3.86"/>
    <n v="3.41"/>
    <n v="4.6500000000000004"/>
    <n v="4.28"/>
    <n v="4.21"/>
    <n v="4.3099999999999996"/>
    <n v="3.76"/>
    <x v="59"/>
    <n v="4"/>
    <n v="4.242"/>
    <n v="93.321158260000004"/>
    <n v="68.084870129999999"/>
    <n v="75.515693470000002"/>
    <n v="59.474019830000003"/>
    <n v="83.288192219999999"/>
    <n v="77.831388050000001"/>
    <n v="73.671374599999993"/>
    <n v="50"/>
    <n v="25.236288130000005"/>
    <n v="16.041673639999999"/>
    <n v="5.4568041699999981"/>
    <n v="23.671374599999993"/>
    <x v="0"/>
    <x v="4"/>
    <x v="2"/>
    <n v="3"/>
    <s v="Prof. Vikram Gupta"/>
  </r>
  <r>
    <s v="STU0407"/>
    <s v="Nandini Menon"/>
    <x v="1"/>
    <n v="28"/>
    <x v="3"/>
    <s v="N/A"/>
    <n v="4.05"/>
    <n v="4.1100000000000003"/>
    <n v="4.0199999999999996"/>
    <n v="4.0599999999999996"/>
    <n v="4.4400000000000004"/>
    <n v="3.89"/>
    <n v="4.33"/>
    <n v="4.21"/>
    <n v="4.3"/>
    <x v="63"/>
    <n v="4.0599999999999996"/>
    <n v="4.234"/>
    <n v="84.327861519999999"/>
    <n v="62.644346759999998"/>
    <n v="90"/>
    <n v="61.320626689999997"/>
    <n v="99.9"/>
    <n v="77.151239759999996"/>
    <n v="69.501271310000007"/>
    <n v="61.549676099999999"/>
    <n v="21.683514760000001"/>
    <n v="28.679373310000003"/>
    <n v="22.74876024000001"/>
    <n v="7.9515952100000078"/>
    <x v="0"/>
    <x v="1"/>
    <x v="2"/>
    <n v="3"/>
    <s v="Dr. Rohan Dutta"/>
  </r>
  <r>
    <s v="STU0408"/>
    <s v="Ritika Singhania"/>
    <x v="0"/>
    <n v="21"/>
    <x v="0"/>
    <n v="3.88"/>
    <n v="3.88"/>
    <n v="4.42"/>
    <n v="4"/>
    <n v="4.22"/>
    <n v="3.63"/>
    <s v="N/A"/>
    <s v="N/A"/>
    <n v="4.08"/>
    <n v="3.98"/>
    <x v="284"/>
    <n v="4.08"/>
    <n v="3.8966666666666665"/>
    <n v="87.397047650000005"/>
    <n v="74.065290910000002"/>
    <n v="81.114824459999994"/>
    <n v="64.257538479999994"/>
    <n v="98.358670040000007"/>
    <n v="82.553447689999999"/>
    <n v="72.735350940000004"/>
    <n v="64.645762450000007"/>
    <n v="13.331756740000003"/>
    <n v="16.85728598"/>
    <n v="15.805222350000008"/>
    <n v="8.089588489999997"/>
    <x v="0"/>
    <x v="1"/>
    <x v="0"/>
    <n v="3"/>
    <s v="Dr. Rohan Dutta"/>
  </r>
  <r>
    <s v="STU0409"/>
    <s v="Vishnu Ahluwalia"/>
    <x v="1"/>
    <n v="29"/>
    <x v="1"/>
    <n v="4.09"/>
    <n v="4.34"/>
    <n v="3.91"/>
    <n v="4.16"/>
    <n v="4"/>
    <n v="3.66"/>
    <s v="N/A"/>
    <n v="3.47"/>
    <n v="3.92"/>
    <n v="3.74"/>
    <x v="285"/>
    <n v="4.0999999999999996"/>
    <n v="3.6975000000000002"/>
    <n v="81.285950220000004"/>
    <n v="76.749404609999999"/>
    <n v="73.806699989999998"/>
    <n v="70.328744"/>
    <n v="93.728862100000001"/>
    <n v="75.159179879999996"/>
    <n v="66.44963104"/>
    <n v="66.898870590000001"/>
    <n v="4.5365456100000046"/>
    <n v="3.4779559899999981"/>
    <n v="18.569682220000004"/>
    <n v="-0.44923955000000149"/>
    <x v="0"/>
    <x v="2"/>
    <x v="0"/>
    <n v="3"/>
    <s v="Prof. Rajesh Mukherjee"/>
  </r>
  <r>
    <s v="STU0410"/>
    <s v="Yogesh Iyyer"/>
    <x v="1"/>
    <n v="26"/>
    <x v="3"/>
    <n v="3.8"/>
    <n v="4.17"/>
    <n v="3.77"/>
    <n v="3.84"/>
    <n v="4.3600000000000003"/>
    <n v="4.3899999999999997"/>
    <n v="3.63"/>
    <n v="3.81"/>
    <n v="4.0999999999999996"/>
    <n v="4.22"/>
    <x v="126"/>
    <n v="3.99"/>
    <n v="4.0299999999999994"/>
    <n v="78.611850029999999"/>
    <n v="80"/>
    <n v="77.085297949999998"/>
    <n v="62.81413938"/>
    <n v="90.305822610000007"/>
    <n v="84.999772590000006"/>
    <n v="73.315144910000001"/>
    <n v="63.251600920000001"/>
    <n v="-1.3881499700000006"/>
    <n v="14.271158569999997"/>
    <n v="5.3060500200000007"/>
    <n v="10.063543989999999"/>
    <x v="0"/>
    <x v="3"/>
    <x v="2"/>
    <n v="3"/>
    <s v="Prof. Kavita Rao"/>
  </r>
  <r>
    <s v="STU0411"/>
    <s v="Vandana Bhasin"/>
    <x v="0"/>
    <n v="27"/>
    <x v="3"/>
    <n v="3.42"/>
    <n v="4.3499999999999996"/>
    <n v="4.1100000000000003"/>
    <n v="3.59"/>
    <n v="3.88"/>
    <n v="3.98"/>
    <n v="4.41"/>
    <n v="4.21"/>
    <n v="4.01"/>
    <n v="3.85"/>
    <x v="64"/>
    <n v="3.87"/>
    <n v="4.0920000000000005"/>
    <n v="87.326583009999993"/>
    <n v="74.602193869999994"/>
    <n v="74.747618759999995"/>
    <n v="74.980963689999996"/>
    <n v="99.9"/>
    <n v="77.725370490000003"/>
    <n v="73.437276990000001"/>
    <n v="56.349755090000002"/>
    <n v="12.72438914"/>
    <n v="-0.23334493000000123"/>
    <n v="22.174629510000003"/>
    <n v="17.087521899999999"/>
    <x v="1"/>
    <x v="2"/>
    <x v="1"/>
    <n v="3"/>
    <s v="Prof. Rajesh Mukherjee"/>
  </r>
  <r>
    <s v="STU0412"/>
    <s v="Alok Srivastava"/>
    <x v="1"/>
    <n v="20"/>
    <x v="0"/>
    <n v="4.1100000000000003"/>
    <n v="3.39"/>
    <n v="3.77"/>
    <n v="4.22"/>
    <n v="3.35"/>
    <n v="4.3099999999999996"/>
    <n v="4.6399999999999997"/>
    <n v="3.59"/>
    <n v="3.97"/>
    <n v="4.5999999999999996"/>
    <x v="286"/>
    <n v="3.77"/>
    <n v="4.2219999999999995"/>
    <n v="92.356006949999994"/>
    <n v="61.05852222"/>
    <n v="70.131746109999995"/>
    <n v="69.703452999999996"/>
    <n v="96.631699600000005"/>
    <n v="71.440885600000001"/>
    <n v="74.59865112"/>
    <n v="63.476242599999999"/>
    <n v="31.297484729999994"/>
    <n v="0.42829310999999848"/>
    <n v="25.190814000000003"/>
    <n v="11.12240852"/>
    <x v="1"/>
    <x v="0"/>
    <x v="1"/>
    <n v="3"/>
    <s v="Prof. Rahul Singh"/>
  </r>
  <r>
    <s v="STU0413"/>
    <s v="Anil Khanna"/>
    <x v="1"/>
    <n v="30"/>
    <x v="1"/>
    <n v="4.2699999999999996"/>
    <n v="4.55"/>
    <n v="3.86"/>
    <n v="3.89"/>
    <n v="3.84"/>
    <n v="3.96"/>
    <n v="4.0999999999999996"/>
    <n v="4.53"/>
    <n v="3.74"/>
    <n v="4.43"/>
    <x v="287"/>
    <n v="4.08"/>
    <n v="4.1519999999999992"/>
    <n v="87.368923440000003"/>
    <n v="66.778660380000005"/>
    <n v="72.637570460000006"/>
    <n v="66.005057609999994"/>
    <n v="96.458358529999998"/>
    <n v="77.953047060000003"/>
    <n v="79.084484200000006"/>
    <n v="59.336159090000002"/>
    <n v="20.590263059999998"/>
    <n v="6.6325128500000119"/>
    <n v="18.505311469999995"/>
    <n v="19.748325110000003"/>
    <x v="0"/>
    <x v="2"/>
    <x v="4"/>
    <n v="3"/>
    <s v="Prof. Rajesh Mukherjee"/>
  </r>
  <r>
    <s v="STU0414"/>
    <s v="Deepak Bhasin"/>
    <x v="1"/>
    <n v="30"/>
    <x v="1"/>
    <n v="3.61"/>
    <n v="4.04"/>
    <n v="3.98"/>
    <n v="3.75"/>
    <n v="4.2699999999999996"/>
    <n v="3.75"/>
    <n v="4.1900000000000004"/>
    <n v="4.21"/>
    <n v="4.58"/>
    <n v="4.16"/>
    <x v="110"/>
    <n v="3.93"/>
    <n v="4.1779999999999999"/>
    <n v="92.628325439999998"/>
    <n v="64.061164210000001"/>
    <n v="70"/>
    <n v="57.914493460000003"/>
    <n v="89.234749370000003"/>
    <n v="77.319989149999998"/>
    <n v="74.558198230000002"/>
    <n v="58.799082380000002"/>
    <n v="28.567161229999996"/>
    <n v="12.085506539999997"/>
    <n v="11.914760220000005"/>
    <n v="15.759115850000001"/>
    <x v="0"/>
    <x v="3"/>
    <x v="0"/>
    <n v="3"/>
    <s v="Prof. Kavita Rao"/>
  </r>
  <r>
    <s v="STU0415"/>
    <s v="Neha Bhargava"/>
    <x v="0"/>
    <n v="20"/>
    <x v="0"/>
    <n v="4.2699999999999996"/>
    <n v="3.98"/>
    <n v="3.95"/>
    <n v="3.86"/>
    <n v="4.1100000000000003"/>
    <n v="4.24"/>
    <n v="4.38"/>
    <n v="3.95"/>
    <n v="3.69"/>
    <n v="3.72"/>
    <x v="229"/>
    <n v="4.03"/>
    <n v="3.996"/>
    <n v="87.060357499999995"/>
    <n v="79.652277470000001"/>
    <n v="74.772765930000006"/>
    <n v="68.729382520000001"/>
    <n v="84.389506479999994"/>
    <n v="85"/>
    <n v="69.589653209999994"/>
    <n v="62.181901430000003"/>
    <n v="7.4080800299999936"/>
    <n v="6.0433834100000041"/>
    <n v="-0.61049352000000567"/>
    <n v="7.407751779999991"/>
    <x v="0"/>
    <x v="4"/>
    <x v="1"/>
    <n v="3"/>
    <s v="Prof. Vikram Gupta"/>
  </r>
  <r>
    <s v="STU0416"/>
    <s v="Kiara Mukherjee"/>
    <x v="0"/>
    <n v="29"/>
    <x v="1"/>
    <n v="3.55"/>
    <n v="4.29"/>
    <s v="N/A"/>
    <n v="3.68"/>
    <n v="3.99"/>
    <n v="3.74"/>
    <n v="4.4400000000000004"/>
    <n v="3.89"/>
    <n v="3.6"/>
    <n v="3.95"/>
    <x v="288"/>
    <n v="3.88"/>
    <n v="3.9240000000000004"/>
    <n v="83.452025079999999"/>
    <n v="66.684230310000004"/>
    <n v="90"/>
    <n v="66.096101970000007"/>
    <n v="83.227278049999995"/>
    <n v="71.172642490000001"/>
    <n v="65"/>
    <n v="52.391013620000003"/>
    <n v="16.767794769999995"/>
    <n v="23.903898029999993"/>
    <n v="12.054635559999994"/>
    <n v="12.608986379999997"/>
    <x v="1"/>
    <x v="2"/>
    <x v="1"/>
    <n v="3"/>
    <s v="Prof. Rajesh Mukherjee"/>
  </r>
  <r>
    <s v="STU0417"/>
    <s v="Sneha Hooda"/>
    <x v="0"/>
    <n v="20"/>
    <x v="0"/>
    <n v="4.32"/>
    <n v="4.2699999999999996"/>
    <n v="4.5199999999999996"/>
    <n v="3.59"/>
    <n v="4.0599999999999996"/>
    <n v="4.45"/>
    <n v="4.1399999999999997"/>
    <n v="4.04"/>
    <n v="3.64"/>
    <n v="4.4000000000000004"/>
    <x v="289"/>
    <n v="4.1500000000000004"/>
    <n v="4.1340000000000003"/>
    <n v="78.091840489999996"/>
    <n v="74.607825879999993"/>
    <n v="78.173771360000003"/>
    <n v="62.728437460000002"/>
    <n v="90.023653429999996"/>
    <n v="73.281624440000002"/>
    <n v="76.769156379999998"/>
    <n v="52.269924109999998"/>
    <n v="3.4840146100000027"/>
    <n v="15.445333900000001"/>
    <n v="16.742028989999994"/>
    <n v="24.49923227"/>
    <x v="0"/>
    <x v="1"/>
    <x v="2"/>
    <n v="3"/>
    <s v="Dr. Rohan Dutta"/>
  </r>
  <r>
    <s v="STU0418"/>
    <s v="Siddharth Bhargav"/>
    <x v="1"/>
    <n v="27"/>
    <x v="3"/>
    <n v="3.97"/>
    <n v="4.3600000000000003"/>
    <n v="3.85"/>
    <n v="4.62"/>
    <n v="3.72"/>
    <n v="4.13"/>
    <n v="3.97"/>
    <n v="3.98"/>
    <n v="3.87"/>
    <n v="4.03"/>
    <x v="127"/>
    <n v="4.0999999999999996"/>
    <n v="3.996"/>
    <n v="85.279196749999997"/>
    <n v="69.708119409999995"/>
    <n v="70.84634475"/>
    <n v="65.495796479999996"/>
    <n v="94.942158079999999"/>
    <n v="74.717838180000001"/>
    <n v="68.304822099999996"/>
    <n v="53.77772719"/>
    <n v="15.571077340000002"/>
    <n v="5.3505482700000044"/>
    <n v="20.224319899999998"/>
    <n v="14.527094909999995"/>
    <x v="0"/>
    <x v="0"/>
    <x v="2"/>
    <n v="3"/>
    <s v="Prof. Rahul Singh"/>
  </r>
  <r>
    <s v="STU0419"/>
    <s v="Riya Bansal"/>
    <x v="0"/>
    <n v="22"/>
    <x v="0"/>
    <n v="4.0199999999999996"/>
    <n v="3.9"/>
    <n v="4.1900000000000004"/>
    <n v="3.31"/>
    <n v="3.99"/>
    <n v="3.89"/>
    <n v="3.75"/>
    <n v="4.2300000000000004"/>
    <n v="4.2300000000000004"/>
    <n v="4.4400000000000004"/>
    <x v="132"/>
    <n v="3.88"/>
    <n v="4.1080000000000005"/>
    <n v="79.021945799999997"/>
    <n v="73.30805282"/>
    <n v="89.447784060000004"/>
    <n v="64.659972960000005"/>
    <n v="93.797546769999997"/>
    <n v="79.522301839999997"/>
    <n v="75.639060229999998"/>
    <n v="55.0352435"/>
    <n v="5.7138929799999971"/>
    <n v="24.787811099999999"/>
    <n v="14.275244929999999"/>
    <n v="20.603816729999998"/>
    <x v="1"/>
    <x v="1"/>
    <x v="3"/>
    <n v="3"/>
    <s v="Dr. Rohan Dutta"/>
  </r>
  <r>
    <s v="STU0420"/>
    <s v="Sakshi Qureshi"/>
    <x v="0"/>
    <n v="29"/>
    <x v="1"/>
    <n v="4.29"/>
    <n v="4.2"/>
    <n v="3.75"/>
    <n v="3.64"/>
    <n v="4.32"/>
    <n v="4.5"/>
    <n v="4.47"/>
    <n v="4.32"/>
    <n v="3.96"/>
    <n v="3.95"/>
    <x v="290"/>
    <n v="4.04"/>
    <n v="4.24"/>
    <n v="82.193493040000007"/>
    <n v="68.365529800000004"/>
    <n v="83.071594439999998"/>
    <n v="61.434243799999997"/>
    <n v="92.266472250000007"/>
    <n v="80.794740759999996"/>
    <n v="65"/>
    <n v="58.856244150000002"/>
    <n v="13.827963240000003"/>
    <n v="21.637350640000001"/>
    <n v="11.47173149000001"/>
    <n v="6.143755849999998"/>
    <x v="0"/>
    <x v="3"/>
    <x v="2"/>
    <n v="3"/>
    <s v="Prof. Kavita Rao"/>
  </r>
  <r>
    <s v="STU0421"/>
    <s v="Sudeep Ekbote"/>
    <x v="1"/>
    <n v="21"/>
    <x v="0"/>
    <n v="3.91"/>
    <n v="3.93"/>
    <n v="3.96"/>
    <n v="4.0199999999999996"/>
    <n v="4.1900000000000004"/>
    <n v="4.3"/>
    <n v="4.49"/>
    <n v="3.59"/>
    <n v="4.1399999999999997"/>
    <n v="4.2"/>
    <x v="52"/>
    <n v="4"/>
    <n v="4.1440000000000001"/>
    <n v="80.854682260000004"/>
    <n v="69.496043420000007"/>
    <n v="77.585566259999993"/>
    <n v="72.207975959999999"/>
    <n v="81.512359430000004"/>
    <n v="85"/>
    <n v="66.154352529999997"/>
    <n v="54.74870267"/>
    <n v="11.358638839999998"/>
    <n v="5.3775902999999943"/>
    <n v="-3.4876405699999964"/>
    <n v="11.405649859999997"/>
    <x v="0"/>
    <x v="3"/>
    <x v="1"/>
    <n v="3"/>
    <s v="Prof. Kavita Rao"/>
  </r>
  <r>
    <s v="STU0422"/>
    <s v="Swati Hegde"/>
    <x v="1"/>
    <n v="21"/>
    <x v="0"/>
    <n v="3.87"/>
    <n v="4.53"/>
    <n v="4.3099999999999996"/>
    <n v="3.99"/>
    <n v="4.34"/>
    <n v="4.67"/>
    <n v="4.08"/>
    <n v="4.04"/>
    <n v="4.05"/>
    <n v="4"/>
    <x v="206"/>
    <n v="4.21"/>
    <n v="4.1680000000000001"/>
    <n v="77.7996251"/>
    <n v="72.955133930000002"/>
    <n v="77.433137310000006"/>
    <n v="61.388482349999997"/>
    <n v="89.834618160000005"/>
    <n v="73.897018000000003"/>
    <n v="74.615865420000006"/>
    <n v="65.346459199999998"/>
    <n v="4.8444911699999977"/>
    <n v="16.04465496000001"/>
    <n v="15.937600160000002"/>
    <n v="9.2694062200000076"/>
    <x v="2"/>
    <x v="2"/>
    <x v="2"/>
    <n v="3"/>
    <s v="Prof. Rajesh Mukherjee"/>
  </r>
  <r>
    <s v="STU0423"/>
    <s v="Prakash Bose"/>
    <x v="1"/>
    <n v="27"/>
    <x v="3"/>
    <n v="4.0199999999999996"/>
    <n v="4.04"/>
    <n v="4.22"/>
    <n v="3.89"/>
    <n v="3.74"/>
    <n v="3.86"/>
    <n v="3.94"/>
    <n v="4.12"/>
    <n v="3.86"/>
    <n v="3.91"/>
    <x v="291"/>
    <n v="3.98"/>
    <n v="3.9379999999999997"/>
    <n v="94.89686098"/>
    <n v="66.522212890000006"/>
    <n v="78.870997119999998"/>
    <n v="64.550029949999995"/>
    <n v="90.952061490000006"/>
    <n v="84.197093870000003"/>
    <n v="71.437948120000001"/>
    <n v="60.864551800000001"/>
    <n v="28.374648089999994"/>
    <n v="14.320967170000003"/>
    <n v="6.7549676200000022"/>
    <n v="10.573396320000001"/>
    <x v="0"/>
    <x v="1"/>
    <x v="4"/>
    <n v="3"/>
    <s v="Dr. Rohan Dutta"/>
  </r>
  <r>
    <s v="STU0424"/>
    <s v="Gaurav Ahluwalia"/>
    <x v="1"/>
    <n v="26"/>
    <x v="3"/>
    <n v="3.75"/>
    <n v="3.77"/>
    <n v="4.0999999999999996"/>
    <n v="3.96"/>
    <n v="4.33"/>
    <n v="4.42"/>
    <n v="4.66"/>
    <n v="4.1900000000000004"/>
    <n v="3.75"/>
    <n v="3.52"/>
    <x v="291"/>
    <n v="3.98"/>
    <n v="4.1079999999999997"/>
    <n v="88.051143210000006"/>
    <n v="69.141099220000001"/>
    <n v="74.313823479999996"/>
    <n v="71.048885650000003"/>
    <n v="93.918038530000004"/>
    <n v="78.235575429999997"/>
    <n v="67.293747409999995"/>
    <n v="66.179591509999995"/>
    <n v="18.910043990000005"/>
    <n v="3.2649378299999938"/>
    <n v="15.682463100000007"/>
    <n v="1.1141559000000001"/>
    <x v="0"/>
    <x v="3"/>
    <x v="1"/>
    <n v="3"/>
    <s v="Prof. Kavita Rao"/>
  </r>
  <r>
    <s v="STU0425"/>
    <s v="Devika Dhawan"/>
    <x v="0"/>
    <n v="22"/>
    <x v="0"/>
    <n v="4.1399999999999997"/>
    <n v="4"/>
    <n v="3.88"/>
    <n v="4.1500000000000004"/>
    <n v="3.84"/>
    <n v="3.66"/>
    <n v="3.9"/>
    <n v="3.65"/>
    <n v="4.0999999999999996"/>
    <n v="3.86"/>
    <x v="52"/>
    <n v="4"/>
    <n v="3.8340000000000005"/>
    <n v="93.772724909999994"/>
    <n v="66.299709559999997"/>
    <n v="70.082872260000002"/>
    <n v="68.147970999999998"/>
    <n v="85.903300700000003"/>
    <n v="73.377554419999996"/>
    <n v="70.033175889999995"/>
    <n v="52.529554840000003"/>
    <n v="27.473015349999997"/>
    <n v="1.9349012600000037"/>
    <n v="12.525746280000007"/>
    <n v="17.503621049999992"/>
    <x v="0"/>
    <x v="0"/>
    <x v="0"/>
    <n v="3"/>
    <s v="Prof. Rahul Singh"/>
  </r>
  <r>
    <s v="STU0426"/>
    <s v="Zara Madhwani"/>
    <x v="0"/>
    <n v="25"/>
    <x v="2"/>
    <n v="4.18"/>
    <n v="3.99"/>
    <n v="3.96"/>
    <n v="4.34"/>
    <n v="3.96"/>
    <n v="4.13"/>
    <n v="3.69"/>
    <n v="4.2300000000000004"/>
    <n v="4"/>
    <n v="4.22"/>
    <x v="174"/>
    <n v="4.09"/>
    <n v="4.0540000000000003"/>
    <n v="89.352671880000003"/>
    <n v="60.993626720000002"/>
    <n v="74.29670745"/>
    <n v="67.639150650000005"/>
    <n v="85.855152970000006"/>
    <n v="79.418438609999995"/>
    <n v="72.517891039999995"/>
    <n v="65.001885939999994"/>
    <n v="28.359045160000001"/>
    <n v="6.6575567999999947"/>
    <n v="6.4367143600000105"/>
    <n v="7.516005100000001"/>
    <x v="0"/>
    <x v="0"/>
    <x v="4"/>
    <n v="3"/>
    <s v="Prof. Rahul Singh"/>
  </r>
  <r>
    <s v="STU0427"/>
    <s v="Monika Dhawan"/>
    <x v="0"/>
    <n v="27"/>
    <x v="3"/>
    <n v="3.67"/>
    <n v="3.98"/>
    <n v="3.9"/>
    <n v="3.63"/>
    <n v="4.45"/>
    <n v="4.38"/>
    <n v="3.4"/>
    <n v="3.37"/>
    <n v="3.56"/>
    <n v="4.0999999999999996"/>
    <x v="292"/>
    <n v="3.93"/>
    <n v="3.7619999999999996"/>
    <n v="81.596624239999997"/>
    <n v="67.402090200000004"/>
    <n v="76.358822849999996"/>
    <n v="67.586482169999996"/>
    <n v="94.884270849999993"/>
    <n v="76.449640509999995"/>
    <n v="73.306686319999997"/>
    <n v="62.046675110000002"/>
    <n v="14.194534039999994"/>
    <n v="8.7723406799999992"/>
    <n v="18.434630339999998"/>
    <n v="11.260011209999995"/>
    <x v="0"/>
    <x v="3"/>
    <x v="2"/>
    <n v="3"/>
    <s v="Prof. Kavita Rao"/>
  </r>
  <r>
    <s v="STU0428"/>
    <s v="Hemant Jhaveri"/>
    <x v="1"/>
    <n v="30"/>
    <x v="1"/>
    <n v="3.83"/>
    <n v="3.87"/>
    <n v="3.02"/>
    <n v="3.88"/>
    <s v="N/A"/>
    <n v="4.18"/>
    <n v="3.69"/>
    <n v="3.9"/>
    <n v="3.8"/>
    <n v="3.78"/>
    <x v="293"/>
    <n v="3.65"/>
    <n v="3.87"/>
    <n v="85.828808390000006"/>
    <n v="69.776385169999998"/>
    <n v="70.571642409999995"/>
    <n v="63.522853150000003"/>
    <n v="86.325936729999995"/>
    <n v="77.206413589999997"/>
    <n v="68.125657820000001"/>
    <n v="57.375292559999998"/>
    <n v="16.052423220000009"/>
    <n v="7.0487892599999924"/>
    <n v="9.1195231399999983"/>
    <n v="10.750365260000002"/>
    <x v="1"/>
    <x v="0"/>
    <x v="2"/>
    <n v="3"/>
    <s v="Prof. Rahul Singh"/>
  </r>
  <r>
    <s v="STU0429"/>
    <s v="Ramesh Salunkhe"/>
    <x v="1"/>
    <n v="29"/>
    <x v="1"/>
    <n v="3.82"/>
    <s v="N/A"/>
    <n v="4.12"/>
    <n v="4.05"/>
    <n v="3.94"/>
    <n v="3.94"/>
    <n v="4.38"/>
    <n v="3.58"/>
    <n v="4.38"/>
    <n v="4.05"/>
    <x v="294"/>
    <n v="3.98"/>
    <n v="4.0660000000000007"/>
    <n v="94.930115749999999"/>
    <n v="74.953396240000004"/>
    <n v="82.299974770000006"/>
    <n v="62.585040909999996"/>
    <n v="80.687666770000007"/>
    <n v="82.4051939"/>
    <n v="65"/>
    <n v="67.622977169999999"/>
    <n v="19.976719509999995"/>
    <n v="19.714933860000009"/>
    <n v="-1.7175271299999935"/>
    <n v="-2.6229771699999986"/>
    <x v="0"/>
    <x v="1"/>
    <x v="1"/>
    <n v="3"/>
    <s v="Dr. Rohan Dutta"/>
  </r>
  <r>
    <s v="STU0430"/>
    <s v="Kkavya Khatri"/>
    <x v="1"/>
    <n v="30"/>
    <x v="1"/>
    <n v="3.63"/>
    <n v="3.88"/>
    <n v="4.26"/>
    <n v="4.07"/>
    <n v="3.94"/>
    <n v="4.5999999999999996"/>
    <n v="3.91"/>
    <n v="4.41"/>
    <n v="4.03"/>
    <n v="4.08"/>
    <x v="12"/>
    <n v="3.96"/>
    <n v="4.2060000000000004"/>
    <n v="83.649952670000005"/>
    <n v="61.517431940000002"/>
    <n v="74.11744143"/>
    <n v="57.819807480000001"/>
    <n v="92.472678360000003"/>
    <n v="85"/>
    <n v="67.305066830000001"/>
    <n v="66.257738309999993"/>
    <n v="22.132520730000003"/>
    <n v="16.297633949999998"/>
    <n v="7.4726783600000033"/>
    <n v="1.0473285200000078"/>
    <x v="0"/>
    <x v="1"/>
    <x v="2"/>
    <n v="3"/>
    <s v="Dr. Rohan Dutta"/>
  </r>
  <r>
    <s v="STU0431"/>
    <s v="Kavya Jain"/>
    <x v="0"/>
    <n v="28"/>
    <x v="3"/>
    <n v="3.72"/>
    <n v="4.3"/>
    <n v="4.6399999999999997"/>
    <n v="3.9"/>
    <n v="4.26"/>
    <n v="4.62"/>
    <n v="4.37"/>
    <n v="3.88"/>
    <s v="N/A"/>
    <n v="4.0599999999999996"/>
    <x v="194"/>
    <n v="4.16"/>
    <n v="4.2324999999999999"/>
    <n v="78.847393740000001"/>
    <n v="68.923876969999995"/>
    <n v="80.539975609999999"/>
    <n v="69.42011033"/>
    <n v="91.044625819999993"/>
    <n v="74.541709800000007"/>
    <n v="70.239392670000001"/>
    <n v="63.929494380000001"/>
    <n v="9.9235167700000062"/>
    <n v="11.119865279999999"/>
    <n v="16.502916019999986"/>
    <n v="6.3098982899999996"/>
    <x v="0"/>
    <x v="1"/>
    <x v="2"/>
    <n v="3"/>
    <s v="Dr. Rohan Dutta"/>
  </r>
  <r>
    <s v="STU0432"/>
    <s v="Akash Xalxo"/>
    <x v="1"/>
    <n v="29"/>
    <x v="1"/>
    <s v="N/A"/>
    <n v="4.34"/>
    <n v="4.5"/>
    <n v="3.54"/>
    <n v="3.48"/>
    <n v="4.1900000000000004"/>
    <n v="4.1500000000000004"/>
    <n v="4"/>
    <n v="3.64"/>
    <n v="4"/>
    <x v="256"/>
    <n v="3.97"/>
    <n v="3.996"/>
    <n v="86.231911670000002"/>
    <n v="73.926228350000002"/>
    <n v="77.430136200000007"/>
    <n v="65.497202779999995"/>
    <n v="87.300726429999997"/>
    <n v="78.102044770000006"/>
    <n v="73.438971429999995"/>
    <n v="54.967266760000001"/>
    <n v="12.30568332"/>
    <n v="11.932933420000012"/>
    <n v="9.1986816599999912"/>
    <n v="18.471704669999994"/>
    <x v="0"/>
    <x v="1"/>
    <x v="2"/>
    <n v="3"/>
    <s v="Dr. Rohan Dutta"/>
  </r>
  <r>
    <s v="STU0433"/>
    <s v="Vipul Lall"/>
    <x v="1"/>
    <n v="28"/>
    <x v="3"/>
    <n v="4.47"/>
    <n v="4.0999999999999996"/>
    <n v="3.7"/>
    <n v="4.67"/>
    <n v="4.08"/>
    <n v="3.94"/>
    <n v="4.41"/>
    <n v="4.54"/>
    <n v="3.89"/>
    <n v="4.3099999999999996"/>
    <x v="295"/>
    <n v="4.2"/>
    <n v="4.218"/>
    <n v="80.159854339999995"/>
    <n v="63.963980970000001"/>
    <n v="83.597386790000002"/>
    <n v="71.023595950000001"/>
    <n v="97.890989610000005"/>
    <n v="68.677050530000002"/>
    <n v="65.479850709999994"/>
    <n v="50"/>
    <n v="16.195873369999994"/>
    <n v="12.573790840000001"/>
    <n v="29.213939080000003"/>
    <n v="15.479850709999994"/>
    <x v="2"/>
    <x v="0"/>
    <x v="4"/>
    <n v="3"/>
    <s v="Prof. Rahul Singh"/>
  </r>
  <r>
    <s v="STU0434"/>
    <s v="Alka Pillai"/>
    <x v="0"/>
    <n v="25"/>
    <x v="2"/>
    <n v="3.76"/>
    <n v="3.91"/>
    <n v="3.52"/>
    <n v="3.69"/>
    <n v="4.05"/>
    <n v="3.55"/>
    <n v="4.0199999999999996"/>
    <n v="4.12"/>
    <n v="3.73"/>
    <n v="4.24"/>
    <x v="282"/>
    <n v="3.79"/>
    <n v="3.9319999999999999"/>
    <n v="83.122998699999997"/>
    <n v="65.918180030000002"/>
    <n v="80.876531650000004"/>
    <n v="70.290764240000001"/>
    <n v="81.755547050000004"/>
    <n v="83.654992870000001"/>
    <n v="70.096179019999994"/>
    <n v="61.58618147"/>
    <n v="17.204818669999995"/>
    <n v="10.585767410000003"/>
    <n v="-1.8994458199999968"/>
    <n v="8.5099975499999942"/>
    <x v="1"/>
    <x v="3"/>
    <x v="3"/>
    <n v="3"/>
    <s v="Prof. Kavita Rao"/>
  </r>
  <r>
    <s v="STU0435"/>
    <s v="Pritam Duggal"/>
    <x v="1"/>
    <n v="21"/>
    <x v="0"/>
    <n v="3.3"/>
    <n v="4.28"/>
    <n v="4.1100000000000003"/>
    <n v="4.32"/>
    <n v="4.4800000000000004"/>
    <n v="4.41"/>
    <n v="4.17"/>
    <n v="3.35"/>
    <n v="3.98"/>
    <n v="4.07"/>
    <x v="263"/>
    <n v="4.0999999999999996"/>
    <n v="3.996"/>
    <n v="83.788707410000001"/>
    <n v="63.674677819999999"/>
    <n v="82.286306719999999"/>
    <n v="64.507431760000003"/>
    <n v="99.464912650000002"/>
    <n v="73.243521490000006"/>
    <n v="68.424822000000006"/>
    <n v="68.250778819999994"/>
    <n v="20.114029590000001"/>
    <n v="17.778874959999996"/>
    <n v="26.221391159999996"/>
    <n v="0.1740431800000124"/>
    <x v="0"/>
    <x v="3"/>
    <x v="2"/>
    <n v="3"/>
    <s v="Prof. Kavita Rao"/>
  </r>
  <r>
    <s v="STU0436"/>
    <s v="Rakesh Chandra"/>
    <x v="1"/>
    <n v="25"/>
    <x v="2"/>
    <n v="4.22"/>
    <s v="N/A"/>
    <n v="3.4"/>
    <n v="4.12"/>
    <n v="3.94"/>
    <n v="4.3099999999999996"/>
    <n v="4.07"/>
    <n v="3.91"/>
    <n v="4.43"/>
    <n v="4.01"/>
    <x v="143"/>
    <n v="3.92"/>
    <n v="4.145999999999999"/>
    <n v="83.345259080000005"/>
    <n v="60.174881310000004"/>
    <n v="79.446014570000003"/>
    <n v="67.448948430000002"/>
    <n v="90.244746149999997"/>
    <n v="75.686424900000006"/>
    <n v="72.938578300000003"/>
    <n v="62.562783000000003"/>
    <n v="23.170377770000002"/>
    <n v="11.997066140000001"/>
    <n v="14.558321249999992"/>
    <n v="10.3757953"/>
    <x v="0"/>
    <x v="4"/>
    <x v="0"/>
    <n v="3"/>
    <s v="Prof. Vikram Gupta"/>
  </r>
  <r>
    <s v="STU0437"/>
    <s v="Tanvi Marwah"/>
    <x v="0"/>
    <n v="27"/>
    <x v="3"/>
    <n v="3.99"/>
    <n v="3.7"/>
    <n v="3.96"/>
    <n v="3.67"/>
    <n v="4.79"/>
    <n v="4.07"/>
    <n v="3.88"/>
    <n v="3.65"/>
    <n v="4.3600000000000003"/>
    <n v="4.24"/>
    <x v="21"/>
    <n v="4.0199999999999996"/>
    <n v="4.0400000000000009"/>
    <n v="75"/>
    <n v="72.215906000000004"/>
    <n v="83.846816439999998"/>
    <n v="63.335255670000002"/>
    <n v="86.742277979999997"/>
    <n v="77.312324630000006"/>
    <n v="78.422721499999994"/>
    <n v="50"/>
    <n v="2.7840939999999961"/>
    <n v="20.511560769999996"/>
    <n v="9.429953349999991"/>
    <n v="28.422721499999994"/>
    <x v="0"/>
    <x v="3"/>
    <x v="0"/>
    <n v="3"/>
    <s v="Prof. Kavita Rao"/>
  </r>
  <r>
    <s v="STU0438"/>
    <s v="Deepika Shukla"/>
    <x v="0"/>
    <n v="22"/>
    <x v="0"/>
    <n v="3.58"/>
    <n v="3.99"/>
    <n v="3.89"/>
    <n v="4.4400000000000004"/>
    <n v="3.79"/>
    <s v="N/A"/>
    <n v="3.96"/>
    <n v="4.24"/>
    <n v="4"/>
    <n v="4.33"/>
    <x v="9"/>
    <n v="3.94"/>
    <n v="4.1325000000000003"/>
    <n v="79.153926900000002"/>
    <n v="71.591817160000005"/>
    <n v="70"/>
    <n v="63.602240219999999"/>
    <n v="88.98032327"/>
    <n v="69.636184689999993"/>
    <n v="72.653410429999994"/>
    <n v="60.221753100000001"/>
    <n v="7.5621097399999968"/>
    <n v="6.3977597800000012"/>
    <n v="19.344138580000006"/>
    <n v="12.431657329999993"/>
    <x v="0"/>
    <x v="0"/>
    <x v="3"/>
    <n v="3"/>
    <s v="Prof. Rahul Singh"/>
  </r>
  <r>
    <s v="STU0439"/>
    <s v="Ira Goel"/>
    <x v="0"/>
    <n v="29"/>
    <x v="1"/>
    <n v="4.0199999999999996"/>
    <s v="N/A"/>
    <n v="4.66"/>
    <n v="4.58"/>
    <n v="3.91"/>
    <n v="4"/>
    <n v="3.66"/>
    <n v="3.94"/>
    <s v=" 3.95 "/>
    <n v="4.8099999999999996"/>
    <x v="296"/>
    <n v="4.29"/>
    <n v="4.1025"/>
    <n v="78.746204489999997"/>
    <n v="65.506010970000005"/>
    <n v="76.604969519999997"/>
    <n v="71.668562440000002"/>
    <n v="96.738841870000002"/>
    <n v="79.098241520000002"/>
    <n v="72.772440669999995"/>
    <n v="59.915287669999998"/>
    <n v="13.240193519999991"/>
    <n v="4.9364070799999951"/>
    <n v="17.64060035"/>
    <n v="12.857152999999997"/>
    <x v="2"/>
    <x v="1"/>
    <x v="3"/>
    <n v="3"/>
    <s v="Dr. Rohan Dutta"/>
  </r>
  <r>
    <s v="STU0440"/>
    <s v="Prerna Rathi"/>
    <x v="0"/>
    <n v="30"/>
    <x v="1"/>
    <n v="4.18"/>
    <n v="4.29"/>
    <n v="4.3600000000000003"/>
    <n v="3.8"/>
    <n v="4.12"/>
    <n v="4.07"/>
    <n v="4.13"/>
    <n v="3.99"/>
    <n v="3.95"/>
    <n v="4.1399999999999997"/>
    <x v="108"/>
    <n v="4.1500000000000004"/>
    <n v="4.056"/>
    <n v="84.523432349999993"/>
    <n v="68.312801339999993"/>
    <n v="78.264635839999997"/>
    <n v="65.275266299999998"/>
    <n v="96.147236449999994"/>
    <n v="83.730749079999995"/>
    <n v="69.580918249999996"/>
    <n v="55.339303540000003"/>
    <n v="16.21063101"/>
    <n v="12.989369539999998"/>
    <n v="12.416487369999999"/>
    <n v="14.241614709999993"/>
    <x v="0"/>
    <x v="1"/>
    <x v="3"/>
    <n v="3"/>
    <s v="Dr. Rohan Dutta"/>
  </r>
  <r>
    <s v="STU0441"/>
    <s v="Iishaan Choudhary"/>
    <x v="1"/>
    <n v="25"/>
    <x v="2"/>
    <n v="3.86"/>
    <n v="3.4"/>
    <n v="3.71"/>
    <n v="3.69"/>
    <n v="3.77"/>
    <n v="4.1500000000000004"/>
    <n v="3.94"/>
    <n v="4.2300000000000004"/>
    <n v="4.08"/>
    <n v="3.47"/>
    <x v="297"/>
    <n v="3.69"/>
    <n v="3.9739999999999993"/>
    <n v="84.682142569999996"/>
    <n v="68.124321940000002"/>
    <n v="90"/>
    <n v="68.497510599999998"/>
    <n v="87.684895409999996"/>
    <n v="74.898177720000007"/>
    <n v="68.031437260000004"/>
    <n v="58.171979839999999"/>
    <n v="16.557820629999995"/>
    <n v="21.502489400000002"/>
    <n v="12.786717689999989"/>
    <n v="9.8594574200000054"/>
    <x v="1"/>
    <x v="4"/>
    <x v="4"/>
    <n v="3"/>
    <s v="Prof. Vikram Gupta"/>
  </r>
  <r>
    <s v="STU0442"/>
    <s v="Sunil Trivedi"/>
    <x v="1"/>
    <n v="22"/>
    <x v="0"/>
    <n v="3.92"/>
    <n v="3.99"/>
    <n v="4.21"/>
    <n v="3.58"/>
    <n v="4.28"/>
    <n v="4.21"/>
    <n v="3.71"/>
    <n v="3.62"/>
    <n v="3.29"/>
    <n v="4.1900000000000004"/>
    <x v="298"/>
    <n v="4"/>
    <n v="3.8039999999999998"/>
    <n v="96.401584240000005"/>
    <n v="77.444230349999998"/>
    <n v="81.504705349999995"/>
    <n v="68.686461089999995"/>
    <n v="92.519018160000002"/>
    <n v="77.148777710000005"/>
    <n v="69.374508059999997"/>
    <n v="68.666704260000003"/>
    <n v="18.957353890000007"/>
    <n v="12.81824426"/>
    <n v="15.370240449999997"/>
    <n v="0.70780379999999354"/>
    <x v="0"/>
    <x v="3"/>
    <x v="2"/>
    <n v="3"/>
    <s v="Prof. Kavita Rao"/>
  </r>
  <r>
    <s v="STU0443"/>
    <s v="Aditi Agarwal"/>
    <x v="0"/>
    <n v="20"/>
    <x v="0"/>
    <n v="4.32"/>
    <n v="3.88"/>
    <n v="3.9"/>
    <n v="3.6"/>
    <n v="4.21"/>
    <n v="3.41"/>
    <n v="3.97"/>
    <n v="4.07"/>
    <n v="3.76"/>
    <n v="4.0999999999999996"/>
    <x v="299"/>
    <n v="3.98"/>
    <n v="3.8620000000000005"/>
    <n v="86.969823649999995"/>
    <n v="76.015983449999993"/>
    <n v="75.105908040000003"/>
    <n v="74.577107839999996"/>
    <n v="89.859299969999995"/>
    <n v="85"/>
    <n v="65"/>
    <n v="63.186545879999997"/>
    <n v="10.953840200000002"/>
    <n v="0.52880020000000627"/>
    <n v="4.859299969999995"/>
    <n v="1.8134541200000029"/>
    <x v="0"/>
    <x v="4"/>
    <x v="3"/>
    <n v="3"/>
    <s v="Prof. Vikram Gupta"/>
  </r>
  <r>
    <s v="STU0444"/>
    <s v="Aadhya Deshmukh"/>
    <x v="0"/>
    <n v="30"/>
    <x v="1"/>
    <n v="3.99"/>
    <n v="4.34"/>
    <n v="3.71"/>
    <n v="3.88"/>
    <n v="3.63"/>
    <n v="4.33"/>
    <n v="4.37"/>
    <n v="4.3"/>
    <n v="4.29"/>
    <n v="4.17"/>
    <x v="300"/>
    <n v="3.91"/>
    <n v="4.2919999999999998"/>
    <n v="82.9016637"/>
    <n v="62.70037919"/>
    <n v="70"/>
    <n v="65.816553459999994"/>
    <n v="95.609429860000006"/>
    <n v="82.133512319999994"/>
    <n v="73.36960388"/>
    <n v="70"/>
    <n v="20.201284510000001"/>
    <n v="4.1834465400000056"/>
    <n v="13.475917540000012"/>
    <n v="3.3696038799999997"/>
    <x v="0"/>
    <x v="2"/>
    <x v="1"/>
    <n v="3"/>
    <s v="Prof. Rajesh Mukherjee"/>
  </r>
  <r>
    <s v="STU0445"/>
    <s v="Aadhyaa Anand"/>
    <x v="1"/>
    <n v="20"/>
    <x v="0"/>
    <n v="3.85"/>
    <n v="3.92"/>
    <n v="4.0599999999999996"/>
    <s v="N/A"/>
    <n v="3.93"/>
    <s v="N/A"/>
    <n v="4.18"/>
    <n v="4.53"/>
    <n v="3.24"/>
    <n v="4.43"/>
    <x v="301"/>
    <n v="3.94"/>
    <n v="4.0950000000000006"/>
    <n v="79.814544799999993"/>
    <n v="67.228512879999997"/>
    <n v="73.279009790000003"/>
    <n v="63.468384669999999"/>
    <n v="88.824344479999993"/>
    <n v="82.349929320000001"/>
    <n v="68.417629210000001"/>
    <n v="56.532986030000004"/>
    <n v="12.586031919999996"/>
    <n v="9.8106251200000045"/>
    <n v="6.4744151599999924"/>
    <n v="11.884643179999998"/>
    <x v="0"/>
    <x v="1"/>
    <x v="4"/>
    <n v="3"/>
    <s v="Dr. Rohan Dutta"/>
  </r>
  <r>
    <s v="STU0446"/>
    <s v="Naaresh Jain"/>
    <x v="1"/>
    <n v="22"/>
    <x v="0"/>
    <n v="3.82"/>
    <n v="3.99"/>
    <n v="3.98"/>
    <n v="3.94"/>
    <n v="4.43"/>
    <n v="3.87"/>
    <n v="3.62"/>
    <n v="4.09"/>
    <n v="3.65"/>
    <n v="4.1399999999999997"/>
    <x v="139"/>
    <n v="4.03"/>
    <n v="3.8740000000000001"/>
    <n v="85.080606759999995"/>
    <n v="64.039595800000001"/>
    <n v="85.566376099999999"/>
    <n v="66.188898949999995"/>
    <n v="94.483309879999993"/>
    <n v="85"/>
    <n v="72.476977140000002"/>
    <n v="53.802897340000001"/>
    <n v="21.041010959999994"/>
    <n v="19.377477150000004"/>
    <n v="9.4833098799999931"/>
    <n v="18.674079800000001"/>
    <x v="0"/>
    <x v="3"/>
    <x v="3"/>
    <n v="3"/>
    <s v="Prof. Kavita Rao"/>
  </r>
  <r>
    <s v="STU0447"/>
    <s v="Myra Choudhary"/>
    <x v="0"/>
    <n v="22"/>
    <x v="0"/>
    <n v="3.93"/>
    <n v="4.3600000000000003"/>
    <n v="3.65"/>
    <n v="3.77"/>
    <n v="3.56"/>
    <n v="3.71"/>
    <n v="3.83"/>
    <n v="4.46"/>
    <s v="4,26"/>
    <n v="4.13"/>
    <x v="210"/>
    <n v="3.85"/>
    <n v="4.0324999999999998"/>
    <n v="81.723816749999997"/>
    <n v="60"/>
    <n v="77.985877819999999"/>
    <n v="75"/>
    <n v="96.272909010000006"/>
    <n v="85"/>
    <n v="74.170438020000006"/>
    <n v="62.072156100000001"/>
    <n v="21.723816749999997"/>
    <n v="2.9858778199999989"/>
    <n v="11.272909010000006"/>
    <n v="12.098281920000005"/>
    <x v="1"/>
    <x v="2"/>
    <x v="4"/>
    <n v="3"/>
    <s v="Prof. Rajesh Mukherjee"/>
  </r>
  <r>
    <s v="STU0448"/>
    <s v="Rohan Sharma"/>
    <x v="1"/>
    <n v="20"/>
    <x v="0"/>
    <n v="4.07"/>
    <n v="3.58"/>
    <n v="3.8"/>
    <n v="4.13"/>
    <n v="3.79"/>
    <n v="3.82"/>
    <n v="4.2300000000000004"/>
    <n v="4.68"/>
    <n v="3.88"/>
    <n v="4.59"/>
    <x v="302"/>
    <n v="3.87"/>
    <n v="4.24"/>
    <n v="81.549679920000003"/>
    <n v="61.296944240000002"/>
    <n v="70"/>
    <n v="67.825118309999993"/>
    <n v="92.179687950000002"/>
    <n v="75.410328109999995"/>
    <n v="82.742922879999995"/>
    <n v="52.830269430000001"/>
    <n v="20.252735680000001"/>
    <n v="2.1748816900000065"/>
    <n v="16.769359840000007"/>
    <n v="29.912653449999993"/>
    <x v="1"/>
    <x v="0"/>
    <x v="4"/>
    <n v="3"/>
    <s v="Prof. Rahul Singh"/>
  </r>
  <r>
    <s v="STU0449"/>
    <s v="Pratik Lamba"/>
    <x v="1"/>
    <n v="20"/>
    <x v="0"/>
    <n v="3.91"/>
    <n v="3.35"/>
    <n v="4.47"/>
    <n v="4.0199999999999996"/>
    <n v="3.76"/>
    <n v="3.8"/>
    <n v="4.41"/>
    <n v="3.54"/>
    <n v="4.6900000000000004"/>
    <n v="4.3099999999999996"/>
    <x v="68"/>
    <n v="3.9"/>
    <n v="4.1500000000000004"/>
    <n v="75"/>
    <n v="66.835195769999999"/>
    <n v="74.603034620000003"/>
    <n v="63.961255889999997"/>
    <n v="94.934097080000001"/>
    <n v="85"/>
    <n v="71.479081039999997"/>
    <n v="52.306408249999997"/>
    <n v="8.1648042300000014"/>
    <n v="10.641778730000006"/>
    <n v="9.9340970800000008"/>
    <n v="19.17267279"/>
    <x v="0"/>
    <x v="1"/>
    <x v="0"/>
    <n v="3"/>
    <s v="Dr. Rohan Dutta"/>
  </r>
  <r>
    <s v="STU0450"/>
    <s v="Swati Sharma"/>
    <x v="1"/>
    <n v="29"/>
    <x v="1"/>
    <n v="3.88"/>
    <n v="3.48"/>
    <n v="3.65"/>
    <n v="4.54"/>
    <n v="4.21"/>
    <n v="3.87"/>
    <n v="3.96"/>
    <n v="3.74"/>
    <n v="3.92"/>
    <n v="4.34"/>
    <x v="303"/>
    <n v="3.95"/>
    <n v="3.9659999999999997"/>
    <n v="88.209534689999998"/>
    <n v="69.509432129999993"/>
    <n v="86.611252750000006"/>
    <n v="58.531145189999997"/>
    <n v="87.491375090000005"/>
    <n v="82.414510969999995"/>
    <n v="70.560587740000003"/>
    <n v="62.825010949999999"/>
    <n v="18.700102560000005"/>
    <n v="28.080107560000009"/>
    <n v="5.0768641200000104"/>
    <n v="7.7355767900000032"/>
    <x v="0"/>
    <x v="0"/>
    <x v="3"/>
    <n v="3"/>
    <s v="Prof. Rahul Singh"/>
  </r>
  <r>
    <s v="STU0451"/>
    <s v="Tanya Lamba"/>
    <x v="0"/>
    <n v="29"/>
    <x v="1"/>
    <n v="3.6"/>
    <n v="3.92"/>
    <n v="3.85"/>
    <n v="4.08"/>
    <n v="3.51"/>
    <n v="4.53"/>
    <n v="4.1500000000000004"/>
    <n v="3.89"/>
    <n v="4.53"/>
    <n v="4.04"/>
    <x v="264"/>
    <n v="3.79"/>
    <n v="4.2279999999999998"/>
    <n v="83.401652999999996"/>
    <n v="60.229820510000003"/>
    <n v="73.546347019999999"/>
    <n v="72.604036820000005"/>
    <n v="92.803499130000006"/>
    <n v="69.609774459999997"/>
    <n v="65.436399429999994"/>
    <n v="58.27879068"/>
    <n v="23.171832489999993"/>
    <n v="0.94231019999999432"/>
    <n v="23.193724670000009"/>
    <n v="7.1576087499999943"/>
    <x v="1"/>
    <x v="0"/>
    <x v="2"/>
    <n v="3"/>
    <s v="Prof. Rahul Singh"/>
  </r>
  <r>
    <s v="STU0452"/>
    <s v="Akash Verrma"/>
    <x v="1"/>
    <n v="24"/>
    <x v="2"/>
    <s v="N/A"/>
    <n v="4.07"/>
    <s v="N/A"/>
    <n v="3.69"/>
    <n v="3.15"/>
    <n v="4.43"/>
    <n v="4.45"/>
    <n v="4.28"/>
    <n v="3.75"/>
    <n v="4.2300000000000004"/>
    <x v="304"/>
    <n v="3.64"/>
    <n v="4.2279999999999998"/>
    <n v="91.645546769999996"/>
    <n v="65.536229570000003"/>
    <n v="80.034744779999997"/>
    <n v="60.309726359999999"/>
    <n v="89.338377249999994"/>
    <n v="78.778295450000002"/>
    <n v="73.177572389999995"/>
    <n v="63.60628251"/>
    <n v="26.109317199999992"/>
    <n v="19.725018419999998"/>
    <n v="10.560081799999992"/>
    <n v="9.5712898799999948"/>
    <x v="1"/>
    <x v="2"/>
    <x v="1"/>
    <n v="3"/>
    <s v="Prof. Rajesh Mukherjee"/>
  </r>
  <r>
    <s v="STU0453"/>
    <s v="Anamika Iyengar"/>
    <x v="0"/>
    <n v="24"/>
    <x v="2"/>
    <n v="3.8"/>
    <n v="3.8"/>
    <n v="3.52"/>
    <n v="4.32"/>
    <n v="3.88"/>
    <s v="N/A"/>
    <n v="4.0199999999999996"/>
    <n v="4.07"/>
    <n v="3.53"/>
    <n v="4.0599999999999996"/>
    <x v="305"/>
    <n v="3.86"/>
    <n v="3.92"/>
    <n v="87.978216549999999"/>
    <n v="65.831849030000001"/>
    <n v="79.691201230000004"/>
    <n v="63.21884558"/>
    <n v="82.668429309999993"/>
    <n v="75.99561602"/>
    <n v="69.888875330000005"/>
    <n v="56.75330177"/>
    <n v="22.146367519999998"/>
    <n v="16.472355650000004"/>
    <n v="6.6728132899999935"/>
    <n v="13.135573560000005"/>
    <x v="1"/>
    <x v="0"/>
    <x v="4"/>
    <n v="3"/>
    <s v="Prof. Rahul Singh"/>
  </r>
  <r>
    <s v="STU0454"/>
    <s v="Ravi Sanyal"/>
    <x v="1"/>
    <n v="24"/>
    <x v="2"/>
    <n v="3.71"/>
    <n v="4.26"/>
    <n v="3.46"/>
    <n v="4.71"/>
    <n v="3.6"/>
    <s v="N/A"/>
    <n v="4.33"/>
    <n v="4.29"/>
    <n v="3.99"/>
    <n v="3.89"/>
    <x v="306"/>
    <n v="3.95"/>
    <n v="4.125"/>
    <n v="82.76884364"/>
    <n v="68.182761290000002"/>
    <n v="70"/>
    <n v="66.124849170000005"/>
    <n v="85.661420809999996"/>
    <n v="75.850691119999993"/>
    <n v="77.903072789999996"/>
    <n v="68.471722729999996"/>
    <n v="14.586082349999998"/>
    <n v="3.8751508299999955"/>
    <n v="9.8107296900000023"/>
    <n v="9.4313500599999998"/>
    <x v="0"/>
    <x v="0"/>
    <x v="1"/>
    <n v="3"/>
    <s v="Prof. Rahul Singh"/>
  </r>
  <r>
    <s v="STU0455"/>
    <s v="Vandana Ahluwalia"/>
    <x v="0"/>
    <n v="21"/>
    <x v="0"/>
    <n v="3.92"/>
    <n v="4.08"/>
    <n v="4.16"/>
    <n v="3.96"/>
    <n v="3.53"/>
    <n v="4.1399999999999997"/>
    <n v="4.18"/>
    <n v="4.0199999999999996"/>
    <n v="3.67"/>
    <n v="3.62"/>
    <x v="307"/>
    <n v="3.93"/>
    <n v="3.9259999999999997"/>
    <n v="83.183455159999994"/>
    <n v="75.070083629999999"/>
    <n v="80.714314639999998"/>
    <n v="67.610528900000006"/>
    <n v="88.186044019999997"/>
    <n v="80.942371960000003"/>
    <n v="71.263414569999995"/>
    <n v="64.402593019999998"/>
    <n v="8.1133715299999949"/>
    <n v="13.103785739999992"/>
    <n v="7.2436720599999944"/>
    <n v="6.8608215499999972"/>
    <x v="0"/>
    <x v="1"/>
    <x v="1"/>
    <n v="3"/>
    <s v="Dr. Rohan Dutta"/>
  </r>
  <r>
    <s v="STU0456"/>
    <s v="Charu Agrawaal"/>
    <x v="1"/>
    <n v="23"/>
    <x v="2"/>
    <n v="4.38"/>
    <n v="3.82"/>
    <n v="4.4000000000000004"/>
    <n v="4.07"/>
    <n v="4.4000000000000004"/>
    <n v="3.82"/>
    <n v="3.9"/>
    <n v="4.3099999999999996"/>
    <n v="4.3099999999999996"/>
    <n v="4.01"/>
    <x v="308"/>
    <n v="4.21"/>
    <n v="4.07"/>
    <n v="84.682699569999997"/>
    <n v="78.192623609999998"/>
    <n v="72.390604170000003"/>
    <n v="57.575397649999999"/>
    <n v="80"/>
    <n v="74.739158919999994"/>
    <n v="71.842633259999999"/>
    <n v="68.039399299999999"/>
    <n v="6.4900759599999986"/>
    <n v="14.815206520000004"/>
    <n v="5.2608410800000058"/>
    <n v="3.80323396"/>
    <x v="2"/>
    <x v="1"/>
    <x v="4"/>
    <n v="3"/>
    <s v="Dr. Rohan Dutta"/>
  </r>
  <r>
    <s v="STU0457"/>
    <s v="Jyoti Yadav"/>
    <x v="0"/>
    <n v="28"/>
    <x v="3"/>
    <n v="3.9"/>
    <n v="3.64"/>
    <n v="3.86"/>
    <n v="4.58"/>
    <n v="4.0199999999999996"/>
    <n v="4.5"/>
    <n v="3.68"/>
    <n v="3.85"/>
    <n v="3.9"/>
    <n v="3.83"/>
    <x v="59"/>
    <n v="4"/>
    <n v="3.9519999999999995"/>
    <n v="87.248635039999996"/>
    <n v="70.606031220000006"/>
    <n v="80.38102447"/>
    <n v="61.926359849999997"/>
    <n v="86.206269489999997"/>
    <n v="81.968042780000005"/>
    <n v="65"/>
    <n v="55.574065140000002"/>
    <n v="16.642603819999991"/>
    <n v="18.454664620000003"/>
    <n v="4.2382267099999922"/>
    <n v="9.4259348599999981"/>
    <x v="0"/>
    <x v="0"/>
    <x v="2"/>
    <n v="3"/>
    <s v="Prof. Rahul Singh"/>
  </r>
  <r>
    <s v="STU0458"/>
    <s v="Falguni Sinha"/>
    <x v="0"/>
    <n v="22"/>
    <x v="0"/>
    <n v="4.0199999999999996"/>
    <n v="4.18"/>
    <n v="3.43"/>
    <n v="4.03"/>
    <n v="4.0199999999999996"/>
    <s v="N/A"/>
    <n v="3.93"/>
    <n v="4.67"/>
    <n v="4.21"/>
    <n v="4.0599999999999996"/>
    <x v="309"/>
    <n v="3.94"/>
    <n v="4.2174999999999994"/>
    <n v="83.582952120000002"/>
    <n v="70.737708139999995"/>
    <n v="75.446837020000004"/>
    <n v="68.563575470000004"/>
    <n v="85.738837020000005"/>
    <n v="75.078239710000005"/>
    <n v="71.354042109999995"/>
    <n v="70"/>
    <n v="12.845243980000006"/>
    <n v="6.8832615500000003"/>
    <n v="10.66059731"/>
    <n v="1.3540421099999946"/>
    <x v="0"/>
    <x v="2"/>
    <x v="4"/>
    <n v="3"/>
    <s v="Prof. Rajesh Mukherjee"/>
  </r>
  <r>
    <s v="STU0459"/>
    <s v="Sonali Mahapatra"/>
    <x v="0"/>
    <n v="25"/>
    <x v="2"/>
    <n v="3.88"/>
    <n v="3.79"/>
    <n v="4.3"/>
    <n v="4.55"/>
    <n v="4.07"/>
    <n v="4.25"/>
    <n v="3.97"/>
    <n v="4.04"/>
    <n v="4.88"/>
    <n v="3.97"/>
    <x v="145"/>
    <n v="4.12"/>
    <n v="4.2219999999999995"/>
    <n v="88.849508589999999"/>
    <n v="60.230072159999999"/>
    <n v="81.812981219999998"/>
    <n v="68.006150239999997"/>
    <n v="85.842084529999994"/>
    <n v="76.488676810000001"/>
    <n v="73.319465019999996"/>
    <n v="53.2378255"/>
    <n v="28.61943643"/>
    <n v="13.806830980000001"/>
    <n v="9.3534077199999928"/>
    <n v="20.081639519999996"/>
    <x v="0"/>
    <x v="0"/>
    <x v="0"/>
    <n v="3"/>
    <s v="Prof. Rahul Singh"/>
  </r>
  <r>
    <s v="STU0460"/>
    <s v="Nidhi Iyer"/>
    <x v="0"/>
    <n v="26"/>
    <x v="3"/>
    <n v="4.33"/>
    <n v="3.59"/>
    <n v="3.78"/>
    <n v="4.21"/>
    <n v="3.78"/>
    <n v="3.61"/>
    <s v="N/A"/>
    <n v="4.41"/>
    <n v="4.1100000000000003"/>
    <n v="3.96"/>
    <x v="9"/>
    <n v="3.94"/>
    <n v="4.0225"/>
    <n v="83.172929019999998"/>
    <n v="70.291932520000003"/>
    <n v="76.529901749999993"/>
    <n v="66.740555610000001"/>
    <n v="94.720897070000007"/>
    <n v="78.237231800000004"/>
    <n v="68.637399029999997"/>
    <n v="50"/>
    <n v="12.880996499999995"/>
    <n v="9.7893461399999921"/>
    <n v="16.483665270000003"/>
    <n v="18.637399029999997"/>
    <x v="0"/>
    <x v="4"/>
    <x v="4"/>
    <n v="3"/>
    <s v="Prof. Vikram Gupta"/>
  </r>
  <r>
    <s v="STU0461"/>
    <s v="Shailesh Tripathi"/>
    <x v="1"/>
    <n v="27"/>
    <x v="3"/>
    <n v="4.3899999999999997"/>
    <n v="4.17"/>
    <n v="3.69"/>
    <n v="4.0999999999999996"/>
    <n v="4.74"/>
    <n v="3.82"/>
    <n v="4.0999999999999996"/>
    <n v="4.53"/>
    <n v="3.86"/>
    <n v="4.21"/>
    <x v="26"/>
    <n v="4.22"/>
    <n v="4.1040000000000001"/>
    <n v="80.705145770000001"/>
    <n v="64.390057380000002"/>
    <n v="88.053687710000005"/>
    <n v="55"/>
    <n v="95.48023766"/>
    <n v="80.032935539999997"/>
    <n v="72.762538489999997"/>
    <n v="50"/>
    <n v="16.31508839"/>
    <n v="33.053687710000005"/>
    <n v="15.447302120000003"/>
    <n v="22.762538489999997"/>
    <x v="2"/>
    <x v="3"/>
    <x v="4"/>
    <n v="3"/>
    <s v="Prof. Kavita Rao"/>
  </r>
  <r>
    <s v="STU0462"/>
    <s v="Seema Lamba"/>
    <x v="0"/>
    <n v="29"/>
    <x v="1"/>
    <n v="4.78"/>
    <n v="4.0999999999999996"/>
    <n v="3.59"/>
    <n v="4.2"/>
    <n v="4.5199999999999996"/>
    <n v="3.93"/>
    <n v="4.74"/>
    <n v="4.2300000000000004"/>
    <n v="3.53"/>
    <n v="3.44"/>
    <x v="310"/>
    <n v="4.24"/>
    <n v="3.9740000000000002"/>
    <n v="86.451103759999995"/>
    <n v="67.602303239999998"/>
    <n v="74.642343890000006"/>
    <n v="63.324137569999998"/>
    <n v="93.371569440000002"/>
    <n v="85"/>
    <n v="76.439488260000005"/>
    <n v="58.105088189999996"/>
    <n v="18.848800519999998"/>
    <n v="11.318206320000009"/>
    <n v="8.3715694400000018"/>
    <n v="18.334400070000008"/>
    <x v="2"/>
    <x v="4"/>
    <x v="1"/>
    <n v="3"/>
    <s v="Prof. Vikram Gupta"/>
  </r>
  <r>
    <s v="STU0463"/>
    <s v="Diya Bhargava"/>
    <x v="0"/>
    <n v="24"/>
    <x v="2"/>
    <n v="3.92"/>
    <n v="4.2699999999999996"/>
    <n v="4.43"/>
    <n v="4.32"/>
    <n v="3.62"/>
    <n v="4.4000000000000004"/>
    <n v="4.05"/>
    <n v="3.53"/>
    <n v="3.87"/>
    <n v="3.94"/>
    <x v="16"/>
    <n v="4.1100000000000003"/>
    <n v="3.9579999999999997"/>
    <n v="85.440633860000005"/>
    <n v="61.953612550000003"/>
    <n v="75.180946000000006"/>
    <n v="58.969347200000001"/>
    <n v="85.385588339999998"/>
    <n v="77.764302900000004"/>
    <n v="74.509673179999993"/>
    <n v="61.686793799999997"/>
    <n v="23.487021310000003"/>
    <n v="16.211598800000004"/>
    <n v="7.6212854399999941"/>
    <n v="12.822879379999996"/>
    <x v="0"/>
    <x v="1"/>
    <x v="2"/>
    <n v="3"/>
    <s v="Dr. Rohan Dutta"/>
  </r>
  <r>
    <s v="STU0464"/>
    <s v="Shikha Kaushik"/>
    <x v="0"/>
    <n v="28"/>
    <x v="3"/>
    <n v="4.03"/>
    <n v="4.09"/>
    <n v="4.17"/>
    <n v="4.0599999999999996"/>
    <n v="3.72"/>
    <n v="4.26"/>
    <n v="3.93"/>
    <n v="3.78"/>
    <s v="N/A"/>
    <n v="3.81"/>
    <x v="225"/>
    <n v="4.01"/>
    <n v="3.9449999999999998"/>
    <n v="97.873381820000006"/>
    <n v="68.251842879999998"/>
    <n v="84.098082099999999"/>
    <n v="60.642458650000002"/>
    <n v="92.170490180000002"/>
    <n v="77.283086229999995"/>
    <n v="70.890430739999999"/>
    <n v="57.385143210000003"/>
    <n v="29.621538940000008"/>
    <n v="23.455623449999997"/>
    <n v="14.887403950000007"/>
    <n v="13.505287529999997"/>
    <x v="0"/>
    <x v="1"/>
    <x v="2"/>
    <n v="3"/>
    <s v="Dr. Rohan Dutta"/>
  </r>
  <r>
    <s v="STU0465"/>
    <s v="Karan Sinha"/>
    <x v="1"/>
    <n v="20"/>
    <x v="0"/>
    <s v="N/A"/>
    <n v="3.98"/>
    <n v="3.49"/>
    <n v="3.67"/>
    <n v="4.1399999999999997"/>
    <n v="4.47"/>
    <n v="4.63"/>
    <n v="4.6100000000000003"/>
    <n v="4.42"/>
    <n v="4.28"/>
    <x v="311"/>
    <n v="3.82"/>
    <n v="4.4820000000000011"/>
    <n v="87.182956910000001"/>
    <n v="72.102137949999999"/>
    <n v="70"/>
    <n v="65.45181608"/>
    <n v="94.238299179999999"/>
    <n v="85"/>
    <n v="77.38839222"/>
    <n v="69.409925880000003"/>
    <n v="15.080818960000002"/>
    <n v="4.5481839199999996"/>
    <n v="9.2382991799999985"/>
    <n v="7.9784663399999971"/>
    <x v="1"/>
    <x v="3"/>
    <x v="1"/>
    <n v="3"/>
    <s v="Prof. Kavita Rao"/>
  </r>
  <r>
    <s v="STU0466"/>
    <s v="Aditya Dhanwade"/>
    <x v="1"/>
    <n v="28"/>
    <x v="3"/>
    <n v="4.4400000000000004"/>
    <n v="3.75"/>
    <n v="4.04"/>
    <n v="4.41"/>
    <n v="4.47"/>
    <n v="3.87"/>
    <n v="4.28"/>
    <n v="3.93"/>
    <n v="3.43"/>
    <n v="4.3600000000000003"/>
    <x v="312"/>
    <n v="4.22"/>
    <n v="3.9740000000000002"/>
    <n v="89.412048929999997"/>
    <n v="73.980899489999999"/>
    <n v="70"/>
    <n v="57.857818479999999"/>
    <n v="84.280770129999993"/>
    <n v="70.469235729999994"/>
    <n v="67.699282190000005"/>
    <n v="67.091786810000002"/>
    <n v="15.431149439999999"/>
    <n v="12.142181520000001"/>
    <n v="13.811534399999999"/>
    <n v="0.60749538000000314"/>
    <x v="2"/>
    <x v="3"/>
    <x v="3"/>
    <n v="3"/>
    <s v="Prof. Kavita Rao"/>
  </r>
  <r>
    <s v="STU0467"/>
    <s v="Omkar Sehgal"/>
    <x v="1"/>
    <n v="20"/>
    <x v="0"/>
    <n v="4.12"/>
    <n v="4.16"/>
    <n v="4.0999999999999996"/>
    <n v="3.74"/>
    <n v="3.99"/>
    <n v="4.1500000000000004"/>
    <n v="4.29"/>
    <n v="3.98"/>
    <n v="3.7"/>
    <n v="4.1900000000000004"/>
    <x v="21"/>
    <n v="4.0199999999999996"/>
    <n v="4.0620000000000003"/>
    <n v="92.444619680000002"/>
    <n v="67.336014289999994"/>
    <n v="75.670404259999998"/>
    <n v="66.608761639999997"/>
    <n v="90.905035650000002"/>
    <n v="79.903370129999999"/>
    <n v="76.50005238"/>
    <n v="60.976128840000001"/>
    <n v="25.108605390000008"/>
    <n v="9.0616426200000006"/>
    <n v="11.001665520000003"/>
    <n v="15.523923539999998"/>
    <x v="0"/>
    <x v="2"/>
    <x v="1"/>
    <n v="3"/>
    <s v="Prof. Rajesh Mukherjee"/>
  </r>
  <r>
    <s v="STU0468"/>
    <s v="Sakshi Bakshi"/>
    <x v="0"/>
    <n v="24"/>
    <x v="2"/>
    <n v="4.21"/>
    <n v="4.3899999999999997"/>
    <n v="4.3899999999999997"/>
    <n v="4.4800000000000004"/>
    <n v="4.1399999999999997"/>
    <n v="4.5"/>
    <n v="4.4800000000000004"/>
    <n v="3.79"/>
    <s v="N/A"/>
    <n v="4.13"/>
    <x v="313"/>
    <n v="4.32"/>
    <n v="4.2249999999999996"/>
    <n v="91.6652019"/>
    <n v="79.204836889999996"/>
    <n v="70"/>
    <n v="67.955785210000002"/>
    <n v="84.050235020000002"/>
    <n v="76.949055880000003"/>
    <n v="70.276354119999993"/>
    <n v="66.746258620000006"/>
    <n v="12.460365010000004"/>
    <n v="2.0442147899999981"/>
    <n v="7.1011791399999993"/>
    <n v="3.5300954999999874"/>
    <x v="2"/>
    <x v="0"/>
    <x v="2"/>
    <n v="3"/>
    <s v="Prof. Rahul Singh"/>
  </r>
  <r>
    <s v="STU0469"/>
    <s v="Yogesh Tandon"/>
    <x v="1"/>
    <n v="23"/>
    <x v="2"/>
    <n v="4.0599999999999996"/>
    <n v="3.99"/>
    <n v="3.58"/>
    <n v="4.0599999999999996"/>
    <n v="4.1399999999999997"/>
    <n v="4.05"/>
    <n v="3.91"/>
    <n v="4.17"/>
    <n v="3.9"/>
    <n v="4.33"/>
    <x v="168"/>
    <n v="3.97"/>
    <n v="4.0720000000000001"/>
    <n v="85.397150920000001"/>
    <n v="69.480691429999993"/>
    <n v="72.024062540000003"/>
    <n v="63.52446166"/>
    <n v="97.383883879999999"/>
    <n v="84.007242640000001"/>
    <n v="67.678988279999999"/>
    <n v="64.225289790000005"/>
    <n v="15.916459490000008"/>
    <n v="8.4996008800000027"/>
    <n v="13.376641239999998"/>
    <n v="3.4536984899999936"/>
    <x v="0"/>
    <x v="3"/>
    <x v="3"/>
    <n v="3"/>
    <s v="Prof. Kavita Rao"/>
  </r>
  <r>
    <s v="STU0470"/>
    <s v="Amit Fernandes"/>
    <x v="1"/>
    <n v="21"/>
    <x v="0"/>
    <n v="3.91"/>
    <n v="3.52"/>
    <n v="3.73"/>
    <n v="4.09"/>
    <n v="3.97"/>
    <n v="3.47"/>
    <n v="4.26"/>
    <n v="4.1500000000000004"/>
    <n v="3.68"/>
    <n v="4.37"/>
    <x v="314"/>
    <n v="3.84"/>
    <n v="3.9859999999999998"/>
    <n v="82.706685320000005"/>
    <n v="75.156635539999996"/>
    <n v="76.239919420000007"/>
    <n v="64.981203059999999"/>
    <n v="91.557382939999997"/>
    <n v="75.074142660000007"/>
    <n v="73.315935839999995"/>
    <n v="70"/>
    <n v="7.550049780000009"/>
    <n v="11.258716360000008"/>
    <n v="16.48324027999999"/>
    <n v="3.3159358399999945"/>
    <x v="1"/>
    <x v="0"/>
    <x v="3"/>
    <n v="3"/>
    <s v="Prof. Rahul Singh"/>
  </r>
  <r>
    <s v="STU0471"/>
    <s v="Rakesh Bajpai"/>
    <x v="1"/>
    <n v="26"/>
    <x v="3"/>
    <n v="3.37"/>
    <n v="3.74"/>
    <n v="3.74"/>
    <n v="4.43"/>
    <n v="3.68"/>
    <n v="4.3099999999999996"/>
    <n v="4.18"/>
    <n v="4.01"/>
    <n v="3.25"/>
    <n v="3.87"/>
    <x v="264"/>
    <n v="3.79"/>
    <n v="3.9239999999999995"/>
    <n v="80.686638639999998"/>
    <n v="63.580602390000003"/>
    <n v="81.371741749999998"/>
    <n v="56.997713050000002"/>
    <n v="91.096460190000002"/>
    <n v="85"/>
    <n v="66.801618050000002"/>
    <n v="57.72023686"/>
    <n v="17.106036249999995"/>
    <n v="24.374028699999997"/>
    <n v="6.0964601900000019"/>
    <n v="9.0813811900000019"/>
    <x v="1"/>
    <x v="0"/>
    <x v="2"/>
    <n v="3"/>
    <s v="Prof. Rahul Singh"/>
  </r>
  <r>
    <s v="STU0472"/>
    <s v="Sunil Rastogi"/>
    <x v="1"/>
    <n v="26"/>
    <x v="3"/>
    <n v="4.07"/>
    <n v="3.79"/>
    <n v="4.17"/>
    <n v="4.4400000000000004"/>
    <n v="4.51"/>
    <n v="3.95"/>
    <n v="3.95"/>
    <n v="4.3499999999999996"/>
    <n v="4.43"/>
    <n v="4.3499999999999996"/>
    <x v="315"/>
    <n v="4.2"/>
    <n v="4.2060000000000004"/>
    <n v="85.423733830000003"/>
    <n v="63.00218452"/>
    <n v="76.250978509999996"/>
    <n v="61.218025140000002"/>
    <n v="95.752037610000002"/>
    <n v="67.442764229999995"/>
    <n v="71.497140999999999"/>
    <n v="61.646173769999997"/>
    <n v="22.421549310000003"/>
    <n v="15.032953369999994"/>
    <n v="28.309273380000008"/>
    <n v="9.850967230000002"/>
    <x v="0"/>
    <x v="3"/>
    <x v="0"/>
    <n v="3"/>
    <s v="Prof. Kavita Rao"/>
  </r>
  <r>
    <s v="STU0473"/>
    <s v="Ashok Bhatt"/>
    <x v="1"/>
    <n v="30"/>
    <x v="1"/>
    <n v="4.3099999999999996"/>
    <n v="3.82"/>
    <n v="4.08"/>
    <n v="4.13"/>
    <n v="5.1100000000000003"/>
    <n v="4.22"/>
    <n v="4.07"/>
    <n v="4.37"/>
    <n v="4.17"/>
    <n v="3.61"/>
    <x v="237"/>
    <n v="4.29"/>
    <n v="4.0879999999999992"/>
    <n v="84.852166920000002"/>
    <n v="78.625064800000004"/>
    <n v="75.641451810000007"/>
    <n v="67.623765230000004"/>
    <n v="95.668548720000004"/>
    <n v="85"/>
    <n v="65"/>
    <n v="57.155098279999997"/>
    <n v="6.2271021199999979"/>
    <n v="8.017686580000003"/>
    <n v="10.668548720000004"/>
    <n v="7.8449017200000029"/>
    <x v="2"/>
    <x v="3"/>
    <x v="4"/>
    <n v="3"/>
    <s v="Prof. Kavita Rao"/>
  </r>
  <r>
    <s v="STU0474"/>
    <s v="Prakash Kapadia"/>
    <x v="1"/>
    <n v="27"/>
    <x v="3"/>
    <n v="4.62"/>
    <n v="3.92"/>
    <n v="4.1100000000000003"/>
    <n v="4.04"/>
    <n v="3.9"/>
    <n v="4.3"/>
    <n v="3.99"/>
    <n v="3.73"/>
    <n v="4.16"/>
    <n v="4.5"/>
    <x v="316"/>
    <n v="4.12"/>
    <n v="4.1360000000000001"/>
    <n v="78.117766919999994"/>
    <n v="74.575415890000002"/>
    <n v="82.562259220000001"/>
    <n v="56.980746099999998"/>
    <n v="82.955236110000001"/>
    <n v="85"/>
    <n v="71.571790660000005"/>
    <n v="61.549828310000002"/>
    <n v="3.5423510299999919"/>
    <n v="25.581513120000004"/>
    <n v="-2.0447638899999987"/>
    <n v="10.021962350000003"/>
    <x v="0"/>
    <x v="4"/>
    <x v="3"/>
    <n v="3"/>
    <s v="Prof. Vikram Gupta"/>
  </r>
  <r>
    <s v="STU0475"/>
    <s v="Kavita Rastogi"/>
    <x v="0"/>
    <n v="27"/>
    <x v="3"/>
    <n v="4.6500000000000004"/>
    <n v="3.81"/>
    <n v="3.54"/>
    <n v="3.93"/>
    <n v="4.0599999999999996"/>
    <n v="4.17"/>
    <s v="N/A"/>
    <n v="3.68"/>
    <n v="4.74"/>
    <n v="4.13"/>
    <x v="317"/>
    <n v="4"/>
    <n v="4.18"/>
    <n v="80.801566050000005"/>
    <n v="61.3221141"/>
    <n v="73.183035810000007"/>
    <n v="72.162501710000001"/>
    <n v="89.044873240000001"/>
    <n v="74.731723380000005"/>
    <n v="67.269082460000007"/>
    <n v="63.309009570000001"/>
    <n v="19.479451950000005"/>
    <n v="1.0205341000000061"/>
    <n v="14.313149859999996"/>
    <n v="3.9600728900000064"/>
    <x v="0"/>
    <x v="4"/>
    <x v="0"/>
    <n v="3"/>
    <s v="Prof. Vikram Gupta"/>
  </r>
  <r>
    <s v="STU0476"/>
    <s v="Ekta Joshi"/>
    <x v="0"/>
    <n v="25"/>
    <x v="2"/>
    <n v="4.07"/>
    <n v="4.51"/>
    <n v="4.5"/>
    <n v="4.09"/>
    <n v="4.54"/>
    <n v="3.72"/>
    <n v="4.41"/>
    <n v="4.3"/>
    <n v="4.1100000000000003"/>
    <n v="3.95"/>
    <x v="318"/>
    <n v="4.34"/>
    <n v="4.0979999999999999"/>
    <n v="77.973129170000007"/>
    <n v="65.070647179999995"/>
    <n v="70"/>
    <n v="57.493927829999997"/>
    <n v="99.826936320000002"/>
    <n v="71.538928920000004"/>
    <n v="75.68287479"/>
    <n v="68.209000070000002"/>
    <n v="12.902481990000013"/>
    <n v="12.506072170000003"/>
    <n v="28.288007399999998"/>
    <n v="7.4738747199999978"/>
    <x v="2"/>
    <x v="3"/>
    <x v="1"/>
    <n v="3"/>
    <s v="Prof. Kavita Rao"/>
  </r>
  <r>
    <s v="STU0477"/>
    <s v="Anil Tripathi"/>
    <x v="1"/>
    <n v="25"/>
    <x v="2"/>
    <n v="3.48"/>
    <n v="4.0599999999999996"/>
    <n v="4.16"/>
    <n v="4.62"/>
    <n v="3.53"/>
    <n v="4.3099999999999996"/>
    <n v="4.53"/>
    <n v="4"/>
    <n v="3.66"/>
    <s v="N/A"/>
    <x v="275"/>
    <n v="3.97"/>
    <n v="4.125"/>
    <n v="80.819695490000001"/>
    <n v="67.148272950000006"/>
    <n v="70"/>
    <n v="63.489498670000003"/>
    <n v="84.297571989999994"/>
    <n v="80.602564330000007"/>
    <n v="69.931052460000004"/>
    <n v="69.671677720000005"/>
    <n v="13.671422539999995"/>
    <n v="6.5105013299999968"/>
    <n v="3.6950076599999875"/>
    <n v="0.25937473999999838"/>
    <x v="0"/>
    <x v="0"/>
    <x v="1"/>
    <n v="3"/>
    <s v="Prof. Rahul Singh"/>
  </r>
  <r>
    <s v="STU0478"/>
    <s v="Rajendraa Nathani"/>
    <x v="1"/>
    <n v="24"/>
    <x v="2"/>
    <n v="4.45"/>
    <n v="4.51"/>
    <n v="4.2"/>
    <n v="3.53"/>
    <n v="3.81"/>
    <n v="3.89"/>
    <n v="4.18"/>
    <s v="N/A"/>
    <n v="3.62"/>
    <n v="4.3"/>
    <x v="285"/>
    <n v="4.0999999999999996"/>
    <n v="3.9975000000000005"/>
    <n v="91.004819940000004"/>
    <n v="68.211723329999998"/>
    <n v="70"/>
    <n v="63.018302370000001"/>
    <n v="92.461462539999999"/>
    <n v="78.870399289999995"/>
    <n v="73.94889972"/>
    <n v="50.683602100000002"/>
    <n v="22.793096610000006"/>
    <n v="6.9816976299999993"/>
    <n v="13.591063250000005"/>
    <n v="23.265297619999998"/>
    <x v="0"/>
    <x v="2"/>
    <x v="3"/>
    <n v="3"/>
    <s v="Prof. Rajesh Mukherjee"/>
  </r>
  <r>
    <s v="STU0479"/>
    <s v="Saurabh Pillai"/>
    <x v="1"/>
    <n v="29"/>
    <x v="1"/>
    <n v="3.37"/>
    <n v="4.32"/>
    <n v="4.1900000000000004"/>
    <n v="4.09"/>
    <n v="4.3"/>
    <n v="3.69"/>
    <n v="4.0599999999999996"/>
    <n v="3.99"/>
    <n v="4.01"/>
    <n v="4.05"/>
    <x v="319"/>
    <n v="4.05"/>
    <n v="3.96"/>
    <n v="85.19785297"/>
    <n v="71.942265579999997"/>
    <n v="83.727842710000004"/>
    <n v="59.38454918"/>
    <n v="92.204247870000003"/>
    <n v="75.405888770000004"/>
    <n v="68.497949120000001"/>
    <n v="54.337363969999998"/>
    <n v="13.255587390000002"/>
    <n v="24.343293530000004"/>
    <n v="16.798359099999999"/>
    <n v="14.160585150000003"/>
    <x v="0"/>
    <x v="2"/>
    <x v="1"/>
    <n v="3"/>
    <s v="Prof. Rajesh Mukherjee"/>
  </r>
  <r>
    <s v="STU0480"/>
    <s v="Rajat Dubey"/>
    <x v="1"/>
    <n v="21"/>
    <x v="0"/>
    <n v="3.93"/>
    <n v="3.64"/>
    <n v="3.95"/>
    <n v="4.53"/>
    <n v="4.1500000000000004"/>
    <n v="3.7"/>
    <n v="4.17"/>
    <n v="4.18"/>
    <n v="4"/>
    <n v="4.4000000000000004"/>
    <x v="290"/>
    <n v="4.04"/>
    <n v="4.0900000000000007"/>
    <n v="95.440127570000001"/>
    <n v="75.22065259"/>
    <n v="70"/>
    <n v="68.773743809999999"/>
    <n v="89.068259060000003"/>
    <n v="75.091214140000005"/>
    <n v="75.74057766"/>
    <n v="58.179218689999999"/>
    <n v="20.219474980000001"/>
    <n v="1.2262561900000009"/>
    <n v="13.977044919999997"/>
    <n v="17.561358970000001"/>
    <x v="0"/>
    <x v="0"/>
    <x v="3"/>
    <n v="3"/>
    <s v="Prof. Rahul Singh"/>
  </r>
  <r>
    <s v="STU0481"/>
    <s v="Bhavana Pradhan"/>
    <x v="0"/>
    <n v="30"/>
    <x v="1"/>
    <n v="3.98"/>
    <n v="3.99"/>
    <n v="4.21"/>
    <n v="4.3899999999999997"/>
    <n v="4.4800000000000004"/>
    <n v="3.91"/>
    <n v="4.1100000000000003"/>
    <n v="3.76"/>
    <n v="4.28"/>
    <n v="4.0599999999999996"/>
    <x v="141"/>
    <n v="4.21"/>
    <n v="4.0239999999999991"/>
    <n v="81.634324179999993"/>
    <n v="69.126634949999996"/>
    <n v="81.390383709999995"/>
    <n v="64.177556989999999"/>
    <n v="95.192691809999999"/>
    <n v="80.953196030000001"/>
    <n v="68.914731630000006"/>
    <n v="52.335092330000002"/>
    <n v="12.507689229999997"/>
    <n v="17.212826719999995"/>
    <n v="14.239495779999999"/>
    <n v="16.579639300000004"/>
    <x v="2"/>
    <x v="3"/>
    <x v="0"/>
    <n v="3"/>
    <s v="Prof. Kavita Rao"/>
  </r>
  <r>
    <s v="STU0482"/>
    <s v="Vikas Jani"/>
    <x v="1"/>
    <n v="23"/>
    <x v="2"/>
    <n v="4.49"/>
    <n v="3.99"/>
    <n v="4.66"/>
    <s v="N/A"/>
    <n v="3.69"/>
    <n v="4.03"/>
    <n v="3.9"/>
    <n v="3.89"/>
    <n v="4.2"/>
    <n v="4.0999999999999996"/>
    <x v="320"/>
    <n v="4.21"/>
    <n v="4.0239999999999991"/>
    <n v="88.140317280000005"/>
    <n v="72.956179969999994"/>
    <n v="70"/>
    <n v="71.688603220000005"/>
    <n v="99.9"/>
    <n v="76.318103050000005"/>
    <n v="66.908904010000001"/>
    <n v="53.019609750000001"/>
    <n v="15.184137310000011"/>
    <n v="-1.6886032200000045"/>
    <n v="23.581896950000001"/>
    <n v="13.88929426"/>
    <x v="2"/>
    <x v="1"/>
    <x v="0"/>
    <n v="3"/>
    <s v="Dr. Rohan Dutta"/>
  </r>
  <r>
    <s v="STU0483"/>
    <s v="Preeti Vaidya"/>
    <x v="0"/>
    <n v="30"/>
    <x v="1"/>
    <n v="3.86"/>
    <n v="4.05"/>
    <n v="4.1399999999999997"/>
    <n v="4"/>
    <n v="3.91"/>
    <n v="4.22"/>
    <n v="4.05"/>
    <n v="4.49"/>
    <n v="4.32"/>
    <n v="3.83"/>
    <x v="22"/>
    <n v="3.99"/>
    <n v="4.1819999999999995"/>
    <n v="78.364061620000001"/>
    <n v="70.53655363"/>
    <n v="70"/>
    <n v="74.643456150000006"/>
    <n v="96.096761529999995"/>
    <n v="76.95574526"/>
    <n v="69.499774759999994"/>
    <n v="52.082132340000001"/>
    <n v="7.8275079900000009"/>
    <n v="-4.6434561500000058"/>
    <n v="19.141016269999994"/>
    <n v="17.417642419999993"/>
    <x v="0"/>
    <x v="1"/>
    <x v="4"/>
    <n v="3"/>
    <s v="Dr. Rohan Dutta"/>
  </r>
  <r>
    <s v="STU0484"/>
    <s v="Chetan Agrawal"/>
    <x v="1"/>
    <n v="27"/>
    <x v="3"/>
    <n v="4.2300000000000004"/>
    <n v="3.96"/>
    <n v="4.13"/>
    <n v="3.69"/>
    <s v="N/A"/>
    <n v="4.5"/>
    <n v="3.97"/>
    <n v="3.63"/>
    <n v="3.95"/>
    <n v="4.24"/>
    <x v="321"/>
    <n v="4"/>
    <n v="4.0579999999999998"/>
    <n v="75.921651600000004"/>
    <n v="60.311531559999999"/>
    <n v="83.132368400000004"/>
    <n v="69.066295839999995"/>
    <n v="80"/>
    <n v="85"/>
    <n v="70.197273940000002"/>
    <n v="62.710840650000002"/>
    <n v="15.610120040000005"/>
    <n v="14.066072560000009"/>
    <n v="-5"/>
    <n v="7.4864332900000008"/>
    <x v="0"/>
    <x v="4"/>
    <x v="2"/>
    <n v="3"/>
    <s v="Prof. Vikram Gupta"/>
  </r>
  <r>
    <s v="STU0485"/>
    <s v="Esha Jindal"/>
    <x v="0"/>
    <n v="26"/>
    <x v="3"/>
    <n v="4.0999999999999996"/>
    <n v="3.77"/>
    <n v="4.4800000000000004"/>
    <n v="4.3499999999999996"/>
    <n v="4.26"/>
    <n v="3.82"/>
    <n v="4.12"/>
    <n v="4.41"/>
    <n v="3.38"/>
    <s v="N/A"/>
    <x v="123"/>
    <n v="4.1900000000000004"/>
    <n v="3.9325000000000001"/>
    <n v="99.164091720000002"/>
    <n v="74.054359109999993"/>
    <n v="75.285565500000004"/>
    <n v="64.58824448"/>
    <n v="95.699164179999997"/>
    <n v="82.545408600000002"/>
    <n v="75.762523680000001"/>
    <n v="59.80062393"/>
    <n v="25.109732610000009"/>
    <n v="10.697321020000004"/>
    <n v="13.153755579999995"/>
    <n v="15.961899750000001"/>
    <x v="0"/>
    <x v="1"/>
    <x v="4"/>
    <n v="3"/>
    <s v="Dr. Rohan Dutta"/>
  </r>
  <r>
    <s v="STU0486"/>
    <s v="Alok Kohhli"/>
    <x v="1"/>
    <n v="27"/>
    <x v="3"/>
    <n v="4.37"/>
    <s v="N/A"/>
    <n v="3.92"/>
    <n v="4.16"/>
    <n v="3.96"/>
    <s v="N/A"/>
    <n v="4.26"/>
    <n v="4.0199999999999996"/>
    <n v="4.3899999999999997"/>
    <n v="4.4000000000000004"/>
    <x v="322"/>
    <n v="4.0999999999999996"/>
    <n v="4.2675000000000001"/>
    <n v="84.544374779999998"/>
    <n v="70.486528070000006"/>
    <n v="81.106780520000001"/>
    <n v="72.698127080000006"/>
    <n v="87.068695950000006"/>
    <n v="75.783730379999994"/>
    <n v="69.817455080000002"/>
    <n v="68.236866289999995"/>
    <n v="14.057846709999993"/>
    <n v="8.4086534399999948"/>
    <n v="11.284965570000011"/>
    <n v="1.5805887900000073"/>
    <x v="0"/>
    <x v="4"/>
    <x v="3"/>
    <n v="3"/>
    <s v="Prof. Vikram Gupta"/>
  </r>
  <r>
    <s v="STU0487"/>
    <s v="Ishita Ahluwalia"/>
    <x v="0"/>
    <n v="23"/>
    <x v="2"/>
    <n v="4.46"/>
    <n v="4.5199999999999996"/>
    <n v="3.86"/>
    <n v="4.0999999999999996"/>
    <n v="3.68"/>
    <n v="4.6100000000000003"/>
    <n v="3.6"/>
    <n v="3.71"/>
    <n v="3.77"/>
    <n v="3.71"/>
    <x v="180"/>
    <n v="4.12"/>
    <n v="3.8800000000000003"/>
    <n v="87.392564730000004"/>
    <n v="62.16918459"/>
    <n v="70"/>
    <n v="72.021093680000007"/>
    <n v="91.233106890000002"/>
    <n v="81.405024659999995"/>
    <n v="69.698572639999995"/>
    <n v="55.322373779999999"/>
    <n v="25.223380140000003"/>
    <n v="-2.021093680000007"/>
    <n v="9.8280822300000068"/>
    <n v="14.376198859999995"/>
    <x v="0"/>
    <x v="2"/>
    <x v="2"/>
    <n v="3"/>
    <s v="Prof. Rajesh Mukherjee"/>
  </r>
  <r>
    <s v="STU0488"/>
    <s v="Ajay Jiindal"/>
    <x v="1"/>
    <n v="28"/>
    <x v="3"/>
    <n v="4.59"/>
    <n v="4.38"/>
    <n v="3"/>
    <n v="4.12"/>
    <n v="3.54"/>
    <n v="3.72"/>
    <n v="3.96"/>
    <n v="4.5599999999999996"/>
    <n v="4.03"/>
    <n v="3.81"/>
    <x v="292"/>
    <n v="3.93"/>
    <n v="4.016"/>
    <n v="87.889109070000003"/>
    <n v="64.279077549999997"/>
    <n v="87.713347189999993"/>
    <n v="60.492125280000003"/>
    <n v="91.82506377"/>
    <n v="76.821446359999996"/>
    <n v="67.83089004"/>
    <n v="53.999026129999997"/>
    <n v="23.610031520000007"/>
    <n v="27.22122190999999"/>
    <n v="15.003617410000004"/>
    <n v="13.831863910000003"/>
    <x v="0"/>
    <x v="4"/>
    <x v="4"/>
    <n v="3"/>
    <s v="Prof. Vikram Gupta"/>
  </r>
  <r>
    <s v="STU0489"/>
    <s v="Esha Lamba"/>
    <x v="0"/>
    <n v="22"/>
    <x v="0"/>
    <n v="3.46"/>
    <s v=" 3.73 "/>
    <n v="3.9"/>
    <n v="3.95"/>
    <n v="4.0199999999999996"/>
    <n v="4.04"/>
    <n v="4.1399999999999997"/>
    <n v="4.04"/>
    <n v="3.51"/>
    <n v="4.1500000000000004"/>
    <x v="323"/>
    <n v="3.83"/>
    <n v="3.976"/>
    <n v="88.46835111"/>
    <n v="64.058372309999996"/>
    <n v="86.354779300000004"/>
    <n v="59.954448859999999"/>
    <n v="90.272349230000003"/>
    <n v="80.215813830000002"/>
    <n v="67.629719179999995"/>
    <n v="52.794754310000002"/>
    <n v="24.409978800000005"/>
    <n v="26.400330440000005"/>
    <n v="10.056535400000001"/>
    <n v="14.834964869999993"/>
    <x v="1"/>
    <x v="3"/>
    <x v="3"/>
    <n v="3"/>
    <s v="Prof. Kavita Rao"/>
  </r>
  <r>
    <s v="STU0490"/>
    <s v="Karan Iiyengar"/>
    <x v="1"/>
    <n v="27"/>
    <x v="3"/>
    <n v="3.69"/>
    <n v="3.98"/>
    <s v="N/A"/>
    <n v="3.48"/>
    <n v="3.82"/>
    <n v="4.12"/>
    <n v="4"/>
    <n v="4.03"/>
    <n v="3.96"/>
    <n v="3.27"/>
    <x v="324"/>
    <n v="3.74"/>
    <n v="3.8760000000000003"/>
    <n v="82.307312030000006"/>
    <n v="71.873558040000006"/>
    <n v="82.252554239999995"/>
    <n v="66.624854209999995"/>
    <n v="85.591236730000006"/>
    <n v="85"/>
    <n v="68.865423590000006"/>
    <n v="54.460010349999997"/>
    <n v="10.43375399"/>
    <n v="15.62770003"/>
    <n v="0.59123673000000565"/>
    <n v="14.405413240000009"/>
    <x v="1"/>
    <x v="2"/>
    <x v="2"/>
    <n v="3"/>
    <s v="Prof. Rajesh Mukherjee"/>
  </r>
  <r>
    <s v="STU0491"/>
    <s v="Tanvi Rawat"/>
    <x v="0"/>
    <n v="30"/>
    <x v="1"/>
    <n v="3.92"/>
    <n v="4.49"/>
    <s v="N/A"/>
    <n v="4.25"/>
    <n v="3.88"/>
    <s v="N/A"/>
    <n v="4.38"/>
    <n v="3.64"/>
    <n v="4.4000000000000004"/>
    <n v="4.0999999999999996"/>
    <x v="146"/>
    <n v="4.1399999999999997"/>
    <n v="4.13"/>
    <n v="86.425353259999994"/>
    <n v="72.333414050000002"/>
    <n v="74.926176299999995"/>
    <n v="64.688962200000006"/>
    <n v="91.901357790000006"/>
    <n v="71.652396460000006"/>
    <n v="71.131217019999994"/>
    <n v="50"/>
    <n v="14.091939209999992"/>
    <n v="10.237214099999989"/>
    <n v="20.24896133"/>
    <n v="21.131217019999994"/>
    <x v="0"/>
    <x v="2"/>
    <x v="0"/>
    <n v="3"/>
    <s v="Prof. Rajesh Mukherjee"/>
  </r>
  <r>
    <s v="STU0492"/>
    <s v="Rohan Bedi"/>
    <x v="1"/>
    <n v="25"/>
    <x v="2"/>
    <n v="4.3099999999999996"/>
    <n v="4.6399999999999997"/>
    <n v="3.7"/>
    <n v="3.69"/>
    <n v="4.5"/>
    <n v="4.05"/>
    <n v="3.68"/>
    <n v="4.37"/>
    <n v="3.79"/>
    <n v="4"/>
    <x v="95"/>
    <n v="4.17"/>
    <n v="3.9780000000000002"/>
    <n v="80.876550390000006"/>
    <n v="68.430226660000002"/>
    <n v="70.771788740000005"/>
    <n v="72.300802930000003"/>
    <n v="80.503773989999999"/>
    <n v="74.778221819999999"/>
    <n v="69.253379519999996"/>
    <n v="64.758269389999995"/>
    <n v="12.446323730000003"/>
    <n v="-1.5290141899999981"/>
    <n v="5.7255521700000003"/>
    <n v="4.4951101300000005"/>
    <x v="0"/>
    <x v="2"/>
    <x v="4"/>
    <n v="3"/>
    <s v="Prof. Rajesh Mukherjee"/>
  </r>
  <r>
    <s v="STU0493"/>
    <s v="Pranav Manwani"/>
    <x v="1"/>
    <n v="30"/>
    <x v="1"/>
    <n v="3.86"/>
    <n v="3.95"/>
    <n v="3.87"/>
    <n v="3.64"/>
    <n v="3.67"/>
    <n v="4.6900000000000004"/>
    <n v="3.35"/>
    <n v="3.99"/>
    <n v="3.98"/>
    <n v="4.13"/>
    <x v="325"/>
    <n v="3.8"/>
    <n v="4.0280000000000005"/>
    <n v="79.722671939999998"/>
    <n v="63.74440671"/>
    <n v="80.265235610000005"/>
    <n v="60.322028099999997"/>
    <n v="94.528903830000004"/>
    <n v="81.609042459999998"/>
    <n v="67.359085930000006"/>
    <n v="50"/>
    <n v="15.978265229999998"/>
    <n v="19.943207510000008"/>
    <n v="12.919861370000007"/>
    <n v="17.359085930000006"/>
    <x v="1"/>
    <x v="2"/>
    <x v="2"/>
    <n v="3"/>
    <s v="Prof. Rajesh Mukherjee"/>
  </r>
  <r>
    <s v="STU0494"/>
    <s v="Sudeep Choubey"/>
    <x v="1"/>
    <n v="28"/>
    <x v="3"/>
    <n v="3.96"/>
    <n v="4.07"/>
    <n v="3.74"/>
    <n v="4.3899999999999997"/>
    <n v="3.94"/>
    <n v="3.66"/>
    <n v="4.08"/>
    <n v="3.88"/>
    <n v="3.85"/>
    <n v="4.3899999999999997"/>
    <x v="187"/>
    <n v="4.0199999999999996"/>
    <n v="3.972"/>
    <n v="76.825441479999995"/>
    <n v="60"/>
    <n v="75.888459729999994"/>
    <n v="58.129318470000001"/>
    <n v="80"/>
    <n v="76.169831520000002"/>
    <n v="72.326047939999995"/>
    <n v="62.461413229999998"/>
    <n v="16.825441479999995"/>
    <n v="17.759141259999993"/>
    <n v="3.8301684799999975"/>
    <n v="9.8646347099999971"/>
    <x v="0"/>
    <x v="0"/>
    <x v="3"/>
    <n v="3"/>
    <s v="Prof. Rahul Singh"/>
  </r>
  <r>
    <s v="STU0495"/>
    <s v="Deepak Vohra"/>
    <x v="1"/>
    <n v="25"/>
    <x v="2"/>
    <n v="4.0599999999999996"/>
    <s v="N/A"/>
    <n v="3.76"/>
    <n v="4.67"/>
    <n v="3.71"/>
    <n v="4.04"/>
    <n v="4.34"/>
    <n v="4.1500000000000004"/>
    <n v="3.69"/>
    <s v="N/A"/>
    <x v="326"/>
    <n v="4.05"/>
    <n v="4.0549999999999997"/>
    <n v="84.234681539999997"/>
    <n v="67.451332070000007"/>
    <n v="70.521594019999995"/>
    <n v="62.660249659999998"/>
    <n v="90.169473550000006"/>
    <n v="74.756524799999994"/>
    <n v="65.197467979999999"/>
    <n v="50"/>
    <n v="16.78334946999999"/>
    <n v="7.8613443599999968"/>
    <n v="15.412948750000012"/>
    <n v="15.197467979999999"/>
    <x v="0"/>
    <x v="0"/>
    <x v="1"/>
    <n v="3"/>
    <s v="Prof. Rahul Singh"/>
  </r>
  <r>
    <s v="STU0496"/>
    <s v="Shreya Uppal"/>
    <x v="1"/>
    <n v="30"/>
    <x v="1"/>
    <n v="3.93"/>
    <n v="3.58"/>
    <n v="3.79"/>
    <n v="4"/>
    <s v="N/A"/>
    <n v="3.65"/>
    <n v="4.5999999999999996"/>
    <n v="3.85"/>
    <n v="4.16"/>
    <n v="4.01"/>
    <x v="327"/>
    <n v="3.83"/>
    <n v="4.0539999999999994"/>
    <n v="75"/>
    <n v="61.87794547"/>
    <n v="87.621030640000001"/>
    <n v="66.469867410000006"/>
    <n v="86.933744610000005"/>
    <n v="76.898918030000004"/>
    <n v="78.916596249999998"/>
    <n v="67.685902749999997"/>
    <n v="13.12205453"/>
    <n v="21.151163229999995"/>
    <n v="10.034826580000001"/>
    <n v="11.230693500000001"/>
    <x v="1"/>
    <x v="0"/>
    <x v="1"/>
    <n v="3"/>
    <s v="Prof. Rahul Singh"/>
  </r>
  <r>
    <s v="STU0497"/>
    <s v="Kiara Dubey"/>
    <x v="0"/>
    <n v="29"/>
    <x v="1"/>
    <n v="4.6500000000000004"/>
    <n v="4.38"/>
    <n v="3.86"/>
    <n v="4.83"/>
    <n v="4.25"/>
    <n v="4.21"/>
    <n v="3.93"/>
    <n v="3.7"/>
    <n v="4.32"/>
    <n v="3.78"/>
    <x v="328"/>
    <n v="4.3899999999999997"/>
    <n v="3.9880000000000004"/>
    <n v="82.863594579999997"/>
    <n v="62.026070779999998"/>
    <n v="82.826951370000003"/>
    <n v="62.763547369999998"/>
    <n v="99.9"/>
    <n v="78.183920110000003"/>
    <n v="78.732094000000004"/>
    <n v="57.72101473"/>
    <n v="20.8375238"/>
    <n v="20.063404000000006"/>
    <n v="21.716079890000003"/>
    <n v="21.011079270000003"/>
    <x v="2"/>
    <x v="0"/>
    <x v="0"/>
    <n v="3"/>
    <s v="Prof. Rahul Singh"/>
  </r>
  <r>
    <s v="STU0498"/>
    <s v="Ananya Meher"/>
    <x v="0"/>
    <n v="30"/>
    <x v="1"/>
    <n v="3.63"/>
    <n v="4.29"/>
    <n v="4.38"/>
    <n v="3.9"/>
    <n v="3.59"/>
    <n v="4.3"/>
    <n v="4.26"/>
    <n v="4.08"/>
    <n v="4.62"/>
    <n v="4.13"/>
    <x v="329"/>
    <n v="3.96"/>
    <n v="4.2779999999999996"/>
    <n v="87.904557490000002"/>
    <n v="62.507035379999998"/>
    <n v="77.525177350000007"/>
    <n v="63.609309090000004"/>
    <n v="92.629783520000004"/>
    <n v="71.316522199999994"/>
    <n v="74.760195190000005"/>
    <n v="54.074321820000002"/>
    <n v="25.397522110000004"/>
    <n v="13.915868260000003"/>
    <n v="21.313261320000009"/>
    <n v="20.685873370000003"/>
    <x v="0"/>
    <x v="1"/>
    <x v="0"/>
    <n v="3"/>
    <s v="Dr. Rohan Dutta"/>
  </r>
  <r>
    <s v="STU0499"/>
    <s v="Kaavita Bharadwaj"/>
    <x v="1"/>
    <n v="25"/>
    <x v="2"/>
    <n v="3.8"/>
    <n v="4.2"/>
    <n v="3.88"/>
    <n v="3.82"/>
    <n v="3.64"/>
    <n v="3.78"/>
    <n v="4.24"/>
    <n v="3.76"/>
    <n v="3.99"/>
    <n v="4.21"/>
    <x v="271"/>
    <n v="3.87"/>
    <n v="3.996"/>
    <n v="79.997815750000001"/>
    <n v="70.208503300000004"/>
    <n v="79.235583059999996"/>
    <n v="65.137314180000004"/>
    <n v="85.356439649999999"/>
    <n v="77.373140309999997"/>
    <n v="74.780805599999994"/>
    <n v="58.899424070000002"/>
    <n v="9.7893124499999971"/>
    <n v="14.098268879999992"/>
    <n v="7.9832993400000021"/>
    <n v="15.881381529999992"/>
    <x v="1"/>
    <x v="2"/>
    <x v="1"/>
    <n v="3"/>
    <s v="Prof. Rajesh Mukherjee"/>
  </r>
  <r>
    <s v="STU0500"/>
    <s v="Vishal Jindal"/>
    <x v="1"/>
    <n v="29"/>
    <x v="1"/>
    <n v="3.2"/>
    <n v="4.13"/>
    <n v="4.0599999999999996"/>
    <n v="3.95"/>
    <n v="3.84"/>
    <n v="4.33"/>
    <n v="4.41"/>
    <n v="4.68"/>
    <n v="3.99"/>
    <n v="3.8"/>
    <x v="330"/>
    <n v="3.84"/>
    <n v="4.242"/>
    <n v="85.207418079999997"/>
    <n v="65.290220489999996"/>
    <n v="70"/>
    <n v="63.86787399"/>
    <n v="92.063862380000003"/>
    <n v="82.407954450000005"/>
    <n v="67.199836750000003"/>
    <n v="50.125461710000003"/>
    <n v="19.917197590000001"/>
    <n v="6.1321260100000003"/>
    <n v="9.6559079299999979"/>
    <n v="17.07437504"/>
    <x v="1"/>
    <x v="2"/>
    <x v="4"/>
    <n v="3"/>
    <s v="Prof. Rajesh Mukherjee"/>
  </r>
  <r>
    <s v="STU0501"/>
    <s v="Sonali Iyer"/>
    <x v="0"/>
    <n v="26"/>
    <x v="3"/>
    <n v="4.13"/>
    <n v="4.1900000000000004"/>
    <n v="4.47"/>
    <n v="4.03"/>
    <n v="3.76"/>
    <n v="4.16"/>
    <n v="4.1900000000000004"/>
    <n v="4.53"/>
    <n v="3.6"/>
    <n v="3.29"/>
    <x v="165"/>
    <n v="4.12"/>
    <n v="3.9540000000000006"/>
    <n v="87.333330050000001"/>
    <n v="60.35345676"/>
    <n v="77.40750267"/>
    <n v="63.012780909999996"/>
    <n v="85.237252359999999"/>
    <n v="78.082218319999996"/>
    <n v="72.004612730000005"/>
    <n v="62.372100719999999"/>
    <n v="26.97987329"/>
    <n v="14.394721760000003"/>
    <n v="7.1550340400000039"/>
    <n v="9.6325120100000063"/>
    <x v="0"/>
    <x v="1"/>
    <x v="4"/>
    <n v="3"/>
    <s v="Dr. Rohan Dutta"/>
  </r>
  <r>
    <s v="STU0502"/>
    <s v="Alok Duggal"/>
    <x v="1"/>
    <n v="23"/>
    <x v="2"/>
    <n v="3.22"/>
    <n v="4.33"/>
    <n v="3.89"/>
    <n v="4.0199999999999996"/>
    <n v="4.78"/>
    <n v="4.17"/>
    <n v="4.1399999999999997"/>
    <n v="3.28"/>
    <n v="4.22"/>
    <n v="3.97"/>
    <x v="11"/>
    <n v="4.05"/>
    <n v="3.9559999999999995"/>
    <n v="91.825780420000001"/>
    <n v="72.774258309999993"/>
    <n v="83.907172119999998"/>
    <n v="59.591461049999999"/>
    <n v="82.857222429999993"/>
    <n v="82.401745399999996"/>
    <n v="68.275269780000002"/>
    <n v="66.617801170000007"/>
    <n v="19.051522110000008"/>
    <n v="24.315711069999999"/>
    <n v="0.45547702999999728"/>
    <n v="1.6574686099999951"/>
    <x v="0"/>
    <x v="3"/>
    <x v="0"/>
    <n v="3"/>
    <s v="Prof. Kavita Rao"/>
  </r>
  <r>
    <s v="STU0503"/>
    <s v="Meenakshi Dasari"/>
    <x v="0"/>
    <n v="26"/>
    <x v="3"/>
    <n v="3.81"/>
    <n v="4.49"/>
    <n v="3.79"/>
    <n v="4.09"/>
    <n v="4.8899999999999997"/>
    <n v="3.74"/>
    <n v="3.89"/>
    <n v="3.97"/>
    <n v="3.41"/>
    <n v="3.77"/>
    <x v="308"/>
    <n v="4.21"/>
    <n v="3.7560000000000002"/>
    <n v="93.300738530000004"/>
    <n v="71.745580829999994"/>
    <n v="79.27607313"/>
    <n v="67.685016709999999"/>
    <n v="98.817682849999997"/>
    <n v="85"/>
    <n v="78.975462949999994"/>
    <n v="50"/>
    <n v="21.555157700000009"/>
    <n v="11.591056420000001"/>
    <n v="13.817682849999997"/>
    <n v="28.975462949999994"/>
    <x v="2"/>
    <x v="3"/>
    <x v="4"/>
    <n v="3"/>
    <s v="Prof. Kavita Rao"/>
  </r>
  <r>
    <s v="STU0504"/>
    <s v="Myra Bhateja"/>
    <x v="0"/>
    <n v="27"/>
    <x v="3"/>
    <n v="3.86"/>
    <n v="3.57"/>
    <s v="N/A"/>
    <n v="3.95"/>
    <n v="3.79"/>
    <n v="3.96"/>
    <n v="3.55"/>
    <n v="4.41"/>
    <n v="3.92"/>
    <n v="4.0999999999999996"/>
    <x v="331"/>
    <n v="3.79"/>
    <n v="3.9879999999999995"/>
    <n v="81.028614809999993"/>
    <n v="67.623293090000004"/>
    <n v="70"/>
    <n v="62.120050390000003"/>
    <n v="80"/>
    <n v="78.983532100000005"/>
    <n v="74.879752719999999"/>
    <n v="52.411522310000002"/>
    <n v="13.405321719999989"/>
    <n v="7.8799496099999971"/>
    <n v="1.016467899999995"/>
    <n v="22.468230409999997"/>
    <x v="1"/>
    <x v="0"/>
    <x v="4"/>
    <n v="3"/>
    <s v="Prof. Rahul Singh"/>
  </r>
  <r>
    <s v="STU0505"/>
    <s v="Varun Tyagi"/>
    <x v="1"/>
    <n v="26"/>
    <x v="3"/>
    <n v="3.85"/>
    <n v="3.94"/>
    <n v="4.29"/>
    <n v="3.95"/>
    <n v="4.4400000000000004"/>
    <s v="N/A"/>
    <n v="3.6"/>
    <n v="4.21"/>
    <n v="4.38"/>
    <n v="4.25"/>
    <x v="332"/>
    <n v="4.09"/>
    <n v="4.1100000000000003"/>
    <n v="91.737786150000005"/>
    <n v="64.259813019999996"/>
    <n v="79.362712880000004"/>
    <n v="74.862735689999994"/>
    <n v="80.806382720000002"/>
    <n v="82.964364009999997"/>
    <n v="72.540972330000002"/>
    <n v="60.873824990000003"/>
    <n v="27.477973130000009"/>
    <n v="4.4999771900000098"/>
    <n v="-2.1579812899999951"/>
    <n v="11.66714734"/>
    <x v="0"/>
    <x v="3"/>
    <x v="0"/>
    <n v="3"/>
    <s v="Prof. Kavita Rao"/>
  </r>
  <r>
    <s v="STU0506"/>
    <s v="Rajeev Zaveri"/>
    <x v="1"/>
    <n v="20"/>
    <x v="0"/>
    <s v="N/A"/>
    <n v="4.45"/>
    <n v="4.71"/>
    <n v="3.81"/>
    <n v="3.93"/>
    <n v="4.1900000000000004"/>
    <n v="4.24"/>
    <n v="3.81"/>
    <n v="3.87"/>
    <n v="4.24"/>
    <x v="333"/>
    <n v="4.2300000000000004"/>
    <n v="4.07"/>
    <n v="88.334982909999994"/>
    <n v="65.536881910000005"/>
    <n v="72.254882629999997"/>
    <n v="55.419810429999998"/>
    <n v="80"/>
    <n v="71.706185829999995"/>
    <n v="68.026570699999994"/>
    <n v="50"/>
    <n v="22.798100999999988"/>
    <n v="16.835072199999999"/>
    <n v="8.2938141700000045"/>
    <n v="18.026570699999994"/>
    <x v="2"/>
    <x v="1"/>
    <x v="1"/>
    <n v="3"/>
    <s v="Dr. Rohan Dutta"/>
  </r>
  <r>
    <s v="STU0507"/>
    <s v="Sanchit Goswami"/>
    <x v="1"/>
    <n v="22"/>
    <x v="0"/>
    <n v="4.7"/>
    <n v="3.96"/>
    <n v="4.49"/>
    <n v="4.32"/>
    <n v="3.11"/>
    <s v="N/A"/>
    <n v="4.1399999999999997"/>
    <n v="3.8"/>
    <n v="4.34"/>
    <n v="3.25"/>
    <x v="165"/>
    <n v="4.12"/>
    <n v="3.8824999999999998"/>
    <n v="91.174632869999996"/>
    <n v="69.124944920000004"/>
    <n v="76.807372119999997"/>
    <n v="75"/>
    <n v="83.542368530000005"/>
    <n v="77.560622100000003"/>
    <n v="73.969147300000003"/>
    <n v="61.540356529999997"/>
    <n v="22.049687949999992"/>
    <n v="1.8073721199999966"/>
    <n v="5.9817464300000012"/>
    <n v="12.428790770000006"/>
    <x v="0"/>
    <x v="4"/>
    <x v="0"/>
    <n v="3"/>
    <s v="Prof. Vikram Gupta"/>
  </r>
  <r>
    <s v="STU0508"/>
    <s v="Atharv Ganguuly"/>
    <x v="1"/>
    <n v="28"/>
    <x v="3"/>
    <n v="4.32"/>
    <n v="4.38"/>
    <n v="4.24"/>
    <n v="4.16"/>
    <n v="3.41"/>
    <n v="4.1500000000000004"/>
    <n v="4.17"/>
    <n v="4.04"/>
    <n v="4.57"/>
    <n v="3.92"/>
    <x v="334"/>
    <n v="4.0999999999999996"/>
    <n v="4.17"/>
    <n v="84.606573350000005"/>
    <n v="79.300624830000004"/>
    <n v="85.672410490000004"/>
    <n v="60.313999680000002"/>
    <n v="85.261440010000001"/>
    <n v="84.65097471"/>
    <n v="72.124296270000002"/>
    <n v="52.41583696"/>
    <n v="5.3059485200000012"/>
    <n v="25.358410810000002"/>
    <n v="0.61046530000000132"/>
    <n v="19.708459310000002"/>
    <x v="0"/>
    <x v="2"/>
    <x v="0"/>
    <n v="3"/>
    <s v="Prof. Rajesh Mukherjee"/>
  </r>
  <r>
    <s v="STU0509"/>
    <s v="Harshiita Patel"/>
    <x v="1"/>
    <n v="25"/>
    <x v="2"/>
    <n v="3.45"/>
    <n v="4.43"/>
    <n v="3.7"/>
    <n v="4.26"/>
    <n v="3.92"/>
    <n v="3.53"/>
    <n v="4.18"/>
    <n v="4.21"/>
    <s v="N/A"/>
    <n v="4.33"/>
    <x v="54"/>
    <n v="3.95"/>
    <n v="4.0625"/>
    <n v="81.190524879999998"/>
    <n v="68.299598369999998"/>
    <n v="78.003612529999998"/>
    <n v="66.31186855"/>
    <n v="80"/>
    <n v="80.571477220000006"/>
    <n v="68.241845720000001"/>
    <n v="63.129130930000002"/>
    <n v="12.89092651"/>
    <n v="11.691743979999998"/>
    <n v="-0.57147722000000556"/>
    <n v="5.1127147899999983"/>
    <x v="0"/>
    <x v="2"/>
    <x v="3"/>
    <n v="3"/>
    <s v="Prof. Rajesh Mukherjee"/>
  </r>
  <r>
    <s v="STU0510"/>
    <s v="Rohit Nagar"/>
    <x v="1"/>
    <n v="20"/>
    <x v="0"/>
    <n v="4.1900000000000004"/>
    <n v="3.82"/>
    <n v="3.72"/>
    <n v="3.92"/>
    <n v="4.07"/>
    <n v="4.05"/>
    <n v="3.99"/>
    <n v="4.8499999999999996"/>
    <n v="4.2300000000000004"/>
    <n v="3.74"/>
    <x v="213"/>
    <n v="3.94"/>
    <n v="4.1719999999999997"/>
    <n v="86.131521239999998"/>
    <n v="75.787087819999996"/>
    <n v="70"/>
    <n v="69.242695429999998"/>
    <n v="93.903708469999998"/>
    <n v="79.882725010000001"/>
    <n v="70.338631230000004"/>
    <n v="58.685789829999997"/>
    <n v="10.344433420000001"/>
    <n v="0.75730457000000229"/>
    <n v="14.020983459999997"/>
    <n v="11.652841400000007"/>
    <x v="0"/>
    <x v="4"/>
    <x v="4"/>
    <n v="3"/>
    <s v="Prof. Vikram Gupta"/>
  </r>
  <r>
    <s v="STU0511"/>
    <s v="Hemant Ganguly"/>
    <x v="1"/>
    <n v="28"/>
    <x v="3"/>
    <n v="4.3499999999999996"/>
    <n v="4.68"/>
    <s v="4"/>
    <n v="3.99"/>
    <n v="4.08"/>
    <n v="3.68"/>
    <n v="4.4800000000000004"/>
    <n v="3.97"/>
    <n v="3.81"/>
    <n v="4.33"/>
    <x v="335"/>
    <n v="4.28"/>
    <n v="4.0540000000000003"/>
    <n v="89.080315319999997"/>
    <n v="73.871763049999998"/>
    <n v="77.723777589999997"/>
    <n v="60.288340769999998"/>
    <n v="89.129364600000002"/>
    <n v="75.890653470000004"/>
    <n v="68.420967970000007"/>
    <n v="64.680185769999994"/>
    <n v="15.208552269999998"/>
    <n v="17.43543682"/>
    <n v="13.238711129999999"/>
    <n v="3.7407822000000124"/>
    <x v="2"/>
    <x v="2"/>
    <x v="1"/>
    <n v="3"/>
    <s v="Prof. Rajesh Mukherjee"/>
  </r>
  <r>
    <s v="STU0512"/>
    <s v="Saanvi Agarwal"/>
    <x v="0"/>
    <n v="25"/>
    <x v="2"/>
    <n v="3.8"/>
    <n v="3.79"/>
    <n v="3.99"/>
    <n v="3.9"/>
    <n v="3.63"/>
    <n v="4.0199999999999996"/>
    <n v="4.16"/>
    <n v="3.89"/>
    <n v="4.3099999999999996"/>
    <n v="4.1500000000000004"/>
    <x v="66"/>
    <n v="3.82"/>
    <n v="4.1059999999999999"/>
    <n v="88.227887989999999"/>
    <n v="71.840343379999993"/>
    <n v="79.689430999999999"/>
    <n v="66.250641880000003"/>
    <n v="90.551883059999994"/>
    <n v="69.233099019999997"/>
    <n v="70.600051339999993"/>
    <n v="59.619424010000003"/>
    <n v="16.387544610000006"/>
    <n v="13.438789119999996"/>
    <n v="21.318784039999997"/>
    <n v="10.98062732999999"/>
    <x v="1"/>
    <x v="1"/>
    <x v="0"/>
    <n v="3"/>
    <s v="Dr. Rohan Dutta"/>
  </r>
  <r>
    <s v="STU0513"/>
    <s v="Akash Rawaat"/>
    <x v="1"/>
    <n v="20"/>
    <x v="0"/>
    <n v="4.18"/>
    <n v="4.2699999999999996"/>
    <s v="N/A"/>
    <n v="4.3899999999999997"/>
    <n v="3.89"/>
    <n v="4.26"/>
    <n v="3.31"/>
    <n v="3.91"/>
    <n v="3.51"/>
    <n v="4"/>
    <x v="67"/>
    <n v="4.18"/>
    <n v="3.7980000000000005"/>
    <n v="85.59678203"/>
    <n v="64.410207200000002"/>
    <n v="81.571901929999996"/>
    <n v="66.932722929999997"/>
    <n v="80"/>
    <n v="80.053589250000002"/>
    <n v="72.893735960000001"/>
    <n v="61.547042959999999"/>
    <n v="21.186574829999998"/>
    <n v="14.639178999999999"/>
    <n v="-5.3589250000001698E-2"/>
    <n v="11.346693000000002"/>
    <x v="0"/>
    <x v="0"/>
    <x v="2"/>
    <n v="3"/>
    <s v="Prof. Rahul Singh"/>
  </r>
  <r>
    <s v="STU0514"/>
    <s v="Raamesh Rao"/>
    <x v="1"/>
    <n v="26"/>
    <x v="3"/>
    <n v="3.89"/>
    <n v="3.94"/>
    <n v="3.93"/>
    <s v="N/A"/>
    <n v="4.37"/>
    <n v="3.58"/>
    <n v="3.98"/>
    <n v="4.54"/>
    <n v="3.79"/>
    <n v="4.3499999999999996"/>
    <x v="34"/>
    <n v="4.03"/>
    <n v="4.048"/>
    <n v="84.261352700000003"/>
    <n v="74.018037359999994"/>
    <n v="81.398202560000001"/>
    <n v="74.638701359999999"/>
    <n v="89.514417370000004"/>
    <n v="75.275358049999994"/>
    <n v="75.995557390000002"/>
    <n v="50.871572710000002"/>
    <n v="10.243315340000009"/>
    <n v="6.7595012000000025"/>
    <n v="14.23905932000001"/>
    <n v="25.12398468"/>
    <x v="0"/>
    <x v="3"/>
    <x v="4"/>
    <n v="3"/>
    <s v="Prof. Kavita Rao"/>
  </r>
  <r>
    <s v="STU0515"/>
    <s v="Ritika Kapoor"/>
    <x v="0"/>
    <n v="20"/>
    <x v="0"/>
    <n v="4.4400000000000004"/>
    <n v="4.08"/>
    <n v="3.79"/>
    <n v="4.3099999999999996"/>
    <n v="3.67"/>
    <n v="4.6399999999999997"/>
    <n v="4.2"/>
    <n v="4.16"/>
    <n v="4.09"/>
    <n v="4.25"/>
    <x v="336"/>
    <n v="4.0599999999999996"/>
    <n v="4.2679999999999998"/>
    <n v="81.055702150000002"/>
    <n v="60"/>
    <n v="88.730145989999997"/>
    <n v="64.984058989999994"/>
    <n v="90.274330370000001"/>
    <n v="84.477703750000003"/>
    <n v="70.488007980000006"/>
    <n v="62.50594255"/>
    <n v="21.055702150000002"/>
    <n v="23.746087000000003"/>
    <n v="5.7966266199999978"/>
    <n v="7.9820654300000058"/>
    <x v="0"/>
    <x v="4"/>
    <x v="2"/>
    <n v="3"/>
    <s v="Prof. Vikram Gupta"/>
  </r>
  <r>
    <s v="STU0516"/>
    <s v="Ramesh Israni"/>
    <x v="1"/>
    <n v="25"/>
    <x v="2"/>
    <n v="4.34"/>
    <n v="3.63"/>
    <n v="3.88"/>
    <n v="3.5"/>
    <n v="3.43"/>
    <n v="4.4000000000000004"/>
    <n v="4.18"/>
    <n v="4.16"/>
    <n v="4.34"/>
    <n v="4.08"/>
    <x v="337"/>
    <n v="3.76"/>
    <n v="4.2319999999999993"/>
    <n v="79.62447272"/>
    <n v="60"/>
    <n v="72.943723899999995"/>
    <n v="64.780777549999996"/>
    <n v="84.350165180000005"/>
    <n v="85"/>
    <n v="74.43281915"/>
    <n v="61.448620750000003"/>
    <n v="19.62447272"/>
    <n v="8.1629463499999986"/>
    <n v="-0.64983481999999526"/>
    <n v="12.984198399999997"/>
    <x v="1"/>
    <x v="4"/>
    <x v="2"/>
    <n v="3"/>
    <s v="Prof. Vikram Gupta"/>
  </r>
  <r>
    <s v="STU0517"/>
    <s v="Yuvraj Das"/>
    <x v="1"/>
    <n v="26"/>
    <x v="3"/>
    <n v="4.32"/>
    <n v="3.44"/>
    <n v="3.61"/>
    <n v="3.74"/>
    <n v="3.77"/>
    <n v="4.47"/>
    <n v="4.63"/>
    <n v="4.16"/>
    <n v="4.16"/>
    <n v="4.67"/>
    <x v="338"/>
    <n v="3.78"/>
    <n v="4.418000000000001"/>
    <n v="90.224829150000005"/>
    <n v="67.120403839999994"/>
    <n v="75.639665309999998"/>
    <n v="65.845951119999995"/>
    <n v="99.9"/>
    <n v="68.630915200000004"/>
    <n v="71.716807020000005"/>
    <n v="50"/>
    <n v="23.104425310000011"/>
    <n v="9.7937141900000029"/>
    <n v="31.269084800000002"/>
    <n v="21.716807020000005"/>
    <x v="1"/>
    <x v="4"/>
    <x v="3"/>
    <n v="3"/>
    <s v="Prof. Vikram Gupta"/>
  </r>
  <r>
    <s v="STU0518"/>
    <s v="Aditi Jindal"/>
    <x v="0"/>
    <n v="29"/>
    <x v="1"/>
    <n v="3.97"/>
    <n v="4.26"/>
    <n v="4.38"/>
    <n v="4.01"/>
    <n v="4.0599999999999996"/>
    <n v="3.89"/>
    <n v="4.42"/>
    <n v="4.09"/>
    <n v="3.86"/>
    <n v="4.1399999999999997"/>
    <x v="339"/>
    <n v="4.1399999999999997"/>
    <n v="4.08"/>
    <n v="90.148214260000003"/>
    <n v="66.475229769999999"/>
    <n v="71.097776229999994"/>
    <n v="70.286213309999994"/>
    <n v="99.9"/>
    <n v="85"/>
    <n v="72.647753870000003"/>
    <n v="50"/>
    <n v="23.672984490000005"/>
    <n v="0.81156292000000008"/>
    <n v="14.900000000000006"/>
    <n v="22.647753870000003"/>
    <x v="0"/>
    <x v="1"/>
    <x v="1"/>
    <n v="3"/>
    <s v="Dr. Rohan Dutta"/>
  </r>
  <r>
    <s v="STU0519"/>
    <s v="Karan Feernandes"/>
    <x v="1"/>
    <n v="25"/>
    <x v="2"/>
    <n v="3.75"/>
    <n v="3.85"/>
    <n v="4.13"/>
    <n v="4"/>
    <n v="4.04"/>
    <n v="4.09"/>
    <n v="4.1900000000000004"/>
    <n v="4.1399999999999997"/>
    <n v="3.71"/>
    <n v="3.8"/>
    <x v="340"/>
    <n v="3.95"/>
    <n v="3.9860000000000007"/>
    <n v="86.137601250000003"/>
    <n v="71.870560190000006"/>
    <n v="89.788081090000006"/>
    <n v="62.284942600000001"/>
    <n v="99.9"/>
    <n v="82.515724289999994"/>
    <n v="70.204775549999994"/>
    <n v="65.832628619999994"/>
    <n v="14.267041059999997"/>
    <n v="27.503138490000005"/>
    <n v="17.384275710000011"/>
    <n v="4.3721469299999995"/>
    <x v="0"/>
    <x v="1"/>
    <x v="1"/>
    <n v="3"/>
    <s v="Dr. Rohan Dutta"/>
  </r>
  <r>
    <s v="STU0520"/>
    <s v="Sakshi Dhanwade"/>
    <x v="0"/>
    <n v="26"/>
    <x v="3"/>
    <n v="4.01"/>
    <n v="3.98"/>
    <n v="4.37"/>
    <s v="N/A"/>
    <n v="3.98"/>
    <n v="4.47"/>
    <n v="3.67"/>
    <s v="N/A"/>
    <n v="4.13"/>
    <n v="3.62"/>
    <x v="341"/>
    <n v="4.09"/>
    <n v="3.9725000000000001"/>
    <n v="85.842468490000002"/>
    <n v="65.682673440000002"/>
    <n v="72.811387909999993"/>
    <n v="68.073244979999998"/>
    <n v="87.477180500000003"/>
    <n v="81.740040050000005"/>
    <n v="70.033489799999998"/>
    <n v="59.935957879999997"/>
    <n v="20.15979505"/>
    <n v="4.7381429299999951"/>
    <n v="5.7371404499999983"/>
    <n v="10.097531920000002"/>
    <x v="0"/>
    <x v="1"/>
    <x v="2"/>
    <n v="3"/>
    <s v="Dr. Rohan Dutta"/>
  </r>
  <r>
    <s v="STU0521"/>
    <s v="Sanjeev Narayan"/>
    <x v="1"/>
    <n v="24"/>
    <x v="2"/>
    <n v="4.3899999999999997"/>
    <n v="4.3"/>
    <n v="4.2699999999999996"/>
    <n v="4.07"/>
    <n v="4.1399999999999997"/>
    <n v="4.29"/>
    <n v="4.37"/>
    <n v="3.82"/>
    <n v="4.1900000000000004"/>
    <n v="4.03"/>
    <x v="73"/>
    <n v="4.2300000000000004"/>
    <n v="4.1400000000000006"/>
    <n v="91.324910279999997"/>
    <n v="74.830648289999999"/>
    <n v="76.183554869999995"/>
    <n v="55"/>
    <n v="89.6304564"/>
    <n v="77.799625789999993"/>
    <n v="70.253543640000004"/>
    <n v="69.671975739999993"/>
    <n v="16.494261989999998"/>
    <n v="21.183554869999995"/>
    <n v="11.830830610000007"/>
    <n v="0.58156790000001024"/>
    <x v="2"/>
    <x v="4"/>
    <x v="1"/>
    <n v="3"/>
    <s v="Prof. Vikram Gupta"/>
  </r>
  <r>
    <s v="STU0522"/>
    <s v="Chandan Dasari"/>
    <x v="1"/>
    <n v="20"/>
    <x v="0"/>
    <n v="4.2699999999999996"/>
    <n v="3.76"/>
    <n v="3.98"/>
    <n v="3.86"/>
    <n v="3.98"/>
    <n v="3.91"/>
    <n v="4.51"/>
    <n v="3.27"/>
    <n v="3.71"/>
    <n v="4.2300000000000004"/>
    <x v="49"/>
    <n v="3.97"/>
    <n v="3.9259999999999997"/>
    <n v="82.894821730000004"/>
    <n v="65.063915870000002"/>
    <n v="70.136388449999998"/>
    <n v="67.710118600000001"/>
    <n v="84.345183700000007"/>
    <n v="85"/>
    <n v="73.314011800000003"/>
    <n v="63.03103677"/>
    <n v="17.830905860000001"/>
    <n v="2.4262698499999971"/>
    <n v="-0.65481629999999313"/>
    <n v="10.282975030000003"/>
    <x v="0"/>
    <x v="4"/>
    <x v="1"/>
    <n v="3"/>
    <s v="Prof. Vikram Gupta"/>
  </r>
  <r>
    <s v="STU0523"/>
    <s v="Ayaan Chauhan"/>
    <x v="1"/>
    <n v="25"/>
    <x v="2"/>
    <s v="N/A"/>
    <n v="3.77"/>
    <n v="3.67"/>
    <n v="4.13"/>
    <n v="3.75"/>
    <n v="4.0599999999999996"/>
    <n v="3.93"/>
    <n v="4.55"/>
    <n v="4.37"/>
    <n v="4.2300000000000004"/>
    <x v="342"/>
    <n v="3.83"/>
    <n v="4.2279999999999998"/>
    <n v="87.455768989999996"/>
    <n v="64.362992090000006"/>
    <n v="74.678435030000003"/>
    <n v="55.166918719999998"/>
    <n v="98.009363280000002"/>
    <n v="77.243374680000002"/>
    <n v="80.999329119999999"/>
    <n v="59.653764700000004"/>
    <n v="23.09277689999999"/>
    <n v="19.511516310000005"/>
    <n v="20.7659886"/>
    <n v="21.345564419999995"/>
    <x v="1"/>
    <x v="0"/>
    <x v="4"/>
    <n v="3"/>
    <s v="Prof. Rahul Singh"/>
  </r>
  <r>
    <s v="STU0524"/>
    <s v="Sudeep Ghosh"/>
    <x v="1"/>
    <n v="25"/>
    <x v="2"/>
    <n v="3.55"/>
    <n v="4.1900000000000004"/>
    <n v="3.81"/>
    <n v="3.48"/>
    <n v="4.0999999999999996"/>
    <n v="4.37"/>
    <n v="4.3899999999999997"/>
    <n v="4.0199999999999996"/>
    <n v="4.47"/>
    <n v="3.52"/>
    <x v="343"/>
    <n v="3.83"/>
    <n v="4.1539999999999999"/>
    <n v="84.637063909999995"/>
    <n v="73.447931850000003"/>
    <n v="80.138729819999995"/>
    <n v="67.727500160000005"/>
    <n v="84.402637810000002"/>
    <n v="75.281173219999999"/>
    <n v="68.040144929999997"/>
    <n v="58.78944044"/>
    <n v="11.189132059999991"/>
    <n v="12.411229659999989"/>
    <n v="9.1214645900000022"/>
    <n v="9.2507044899999968"/>
    <x v="1"/>
    <x v="2"/>
    <x v="0"/>
    <n v="3"/>
    <s v="Prof. Rajesh Mukherjee"/>
  </r>
  <r>
    <s v="STU0525"/>
    <s v="Vinay Kher"/>
    <x v="1"/>
    <n v="30"/>
    <x v="1"/>
    <n v="4.55"/>
    <n v="5.0999999999999996"/>
    <n v="3.9"/>
    <n v="4.0599999999999996"/>
    <n v="3.62"/>
    <n v="4.2300000000000004"/>
    <s v="N/A"/>
    <n v="4.1399999999999997"/>
    <n v="3.7"/>
    <n v="4.3"/>
    <x v="242"/>
    <n v="4.25"/>
    <n v="4.0925000000000002"/>
    <n v="83.458486399999998"/>
    <n v="74.619552630000001"/>
    <n v="79.951005379999998"/>
    <n v="73.882493729999993"/>
    <n v="90.67009204"/>
    <n v="85"/>
    <n v="74.72006322"/>
    <n v="62.673036349999997"/>
    <n v="8.838933769999997"/>
    <n v="6.0685116500000049"/>
    <n v="5.6700920400000001"/>
    <n v="12.047026870000003"/>
    <x v="2"/>
    <x v="2"/>
    <x v="3"/>
    <n v="3"/>
    <s v="Prof. Rajesh Mukherjee"/>
  </r>
  <r>
    <s v="STU0526"/>
    <s v="Chetan Deshmukh"/>
    <x v="1"/>
    <n v="21"/>
    <x v="0"/>
    <n v="4.8499999999999996"/>
    <n v="4.3899999999999997"/>
    <n v="3.82"/>
    <n v="4.42"/>
    <n v="4.21"/>
    <n v="4.04"/>
    <n v="4.32"/>
    <n v="3.61"/>
    <n v="3.96"/>
    <n v="4.55"/>
    <x v="344"/>
    <n v="4.34"/>
    <n v="4.0960000000000001"/>
    <n v="90.214240200000006"/>
    <n v="68.783462270000001"/>
    <n v="85.464789789999998"/>
    <n v="68.180217749999997"/>
    <n v="93.820376210000006"/>
    <n v="83.794465840000001"/>
    <n v="71.401576800000001"/>
    <n v="69.612841399999994"/>
    <n v="21.430777930000005"/>
    <n v="17.28457204"/>
    <n v="10.025910370000005"/>
    <n v="1.7887354000000073"/>
    <x v="2"/>
    <x v="4"/>
    <x v="3"/>
    <n v="3"/>
    <s v="Prof. Vikram Gupta"/>
  </r>
  <r>
    <s v="STU0527"/>
    <s v="Mukesh Bhargava"/>
    <x v="1"/>
    <n v="23"/>
    <x v="2"/>
    <n v="4.07"/>
    <n v="3.48"/>
    <n v="4.33"/>
    <n v="3.95"/>
    <n v="3.66"/>
    <n v="3.37"/>
    <n v="4.43"/>
    <s v="N/A"/>
    <n v="4.26"/>
    <n v="4.33"/>
    <x v="345"/>
    <n v="3.9"/>
    <n v="4.0975000000000001"/>
    <n v="93.703376079999998"/>
    <n v="70.525339450000004"/>
    <n v="81.847604360000005"/>
    <n v="65.242197709999999"/>
    <n v="84.536223730000003"/>
    <n v="82.319654439999994"/>
    <n v="76.398311489999998"/>
    <n v="50"/>
    <n v="23.178036629999994"/>
    <n v="16.605406650000006"/>
    <n v="2.2165692900000096"/>
    <n v="26.398311489999998"/>
    <x v="1"/>
    <x v="1"/>
    <x v="1"/>
    <n v="3"/>
    <s v="Dr. Rohan Dutta"/>
  </r>
  <r>
    <s v="STU0528"/>
    <s v="Shreyya Tandon"/>
    <x v="1"/>
    <n v="20"/>
    <x v="0"/>
    <n v="3.82"/>
    <n v="4.07"/>
    <n v="4.12"/>
    <n v="4.0199999999999996"/>
    <n v="4"/>
    <n v="3.45"/>
    <s v="N/A"/>
    <n v="4.05"/>
    <n v="4.24"/>
    <n v="4.4400000000000004"/>
    <x v="90"/>
    <n v="4.01"/>
    <n v="4.0449999999999999"/>
    <n v="91.100821289999999"/>
    <n v="73.53646646"/>
    <n v="73.95429695"/>
    <n v="69.890656300000003"/>
    <n v="86.936061249999995"/>
    <n v="80.352591050000001"/>
    <n v="65"/>
    <n v="58.090889490000002"/>
    <n v="17.564354829999999"/>
    <n v="4.0636406499999964"/>
    <n v="6.5834701999999936"/>
    <n v="6.9091105099999979"/>
    <x v="0"/>
    <x v="1"/>
    <x v="3"/>
    <n v="3"/>
    <s v="Dr. Rohan Dutta"/>
  </r>
  <r>
    <s v="STU0529"/>
    <s v="Eshha Iyer"/>
    <x v="1"/>
    <n v="24"/>
    <x v="2"/>
    <s v="N/A"/>
    <n v="4.47"/>
    <n v="4.08"/>
    <n v="3.58"/>
    <n v="3.68"/>
    <n v="4"/>
    <n v="3.79"/>
    <n v="4.1100000000000003"/>
    <n v="3.67"/>
    <n v="4.0599999999999996"/>
    <x v="346"/>
    <n v="3.95"/>
    <n v="3.9259999999999997"/>
    <n v="76.167235579999996"/>
    <n v="66.805528170000002"/>
    <n v="73.275746310000002"/>
    <n v="73.015702399999995"/>
    <n v="96.317152350000001"/>
    <n v="73.849940860000004"/>
    <n v="75.865693660000005"/>
    <n v="59.076875219999998"/>
    <n v="9.361707409999994"/>
    <n v="0.26004391000000737"/>
    <n v="22.467211489999997"/>
    <n v="16.788818440000007"/>
    <x v="0"/>
    <x v="2"/>
    <x v="4"/>
    <n v="3"/>
    <s v="Prof. Rajesh Mukherjee"/>
  </r>
  <r>
    <s v="STU0530"/>
    <s v="Renu Jain"/>
    <x v="0"/>
    <n v="24"/>
    <x v="2"/>
    <n v="4.2"/>
    <n v="3.68"/>
    <n v="4.59"/>
    <n v="4.1100000000000003"/>
    <n v="4.71"/>
    <n v="4.01"/>
    <n v="4.3099999999999996"/>
    <n v="4.29"/>
    <n v="4.26"/>
    <s v="N/A"/>
    <x v="347"/>
    <n v="4.26"/>
    <n v="4.2174999999999994"/>
    <n v="83.028459139999995"/>
    <n v="66.246957839999993"/>
    <n v="89.540079349999999"/>
    <n v="70.644163500000005"/>
    <n v="99.9"/>
    <n v="85"/>
    <n v="69.751070510000005"/>
    <n v="57.904862170000001"/>
    <n v="16.781501300000002"/>
    <n v="18.895915849999994"/>
    <n v="14.900000000000006"/>
    <n v="11.846208340000004"/>
    <x v="2"/>
    <x v="3"/>
    <x v="1"/>
    <n v="3"/>
    <s v="Prof. Kavita Rao"/>
  </r>
  <r>
    <s v="STU0531"/>
    <s v="Sneha Malhotra"/>
    <x v="0"/>
    <n v="27"/>
    <x v="3"/>
    <n v="4.26"/>
    <n v="4.47"/>
    <n v="4.17"/>
    <n v="3.4"/>
    <n v="4.22"/>
    <s v="N/A"/>
    <n v="3.93"/>
    <n v="4.34"/>
    <n v="4.09"/>
    <n v="3.64"/>
    <x v="127"/>
    <n v="4.0999999999999996"/>
    <n v="4"/>
    <n v="82.139794289999998"/>
    <n v="72.865443089999999"/>
    <n v="78.397431159999996"/>
    <n v="66.4843908"/>
    <n v="90.978897430000004"/>
    <n v="79.734445010000002"/>
    <n v="74.269953950000001"/>
    <n v="56.347274970000001"/>
    <n v="9.2743511999999981"/>
    <n v="11.913040359999997"/>
    <n v="11.244452420000002"/>
    <n v="17.922678980000001"/>
    <x v="0"/>
    <x v="2"/>
    <x v="4"/>
    <n v="3"/>
    <s v="Prof. Rajesh Mukherjee"/>
  </r>
  <r>
    <s v="STU0532"/>
    <s v="Girish Manwani"/>
    <x v="1"/>
    <n v="27"/>
    <x v="3"/>
    <n v="3.72"/>
    <n v="3.89"/>
    <n v="4.28"/>
    <n v="3.75"/>
    <n v="3.76"/>
    <n v="4.29"/>
    <n v="4.49"/>
    <n v="3.97"/>
    <n v="3.52"/>
    <n v="4.76"/>
    <x v="89"/>
    <n v="3.88"/>
    <n v="4.2060000000000004"/>
    <n v="75"/>
    <n v="67.435028939999995"/>
    <n v="76.118051350000002"/>
    <n v="64.468156109999995"/>
    <n v="96.492537580000004"/>
    <n v="79.156500379999997"/>
    <n v="72.163790210000002"/>
    <n v="68.247129220000005"/>
    <n v="7.5649710600000049"/>
    <n v="11.649895240000006"/>
    <n v="17.336037200000007"/>
    <n v="3.9166609899999969"/>
    <x v="1"/>
    <x v="1"/>
    <x v="3"/>
    <n v="3"/>
    <s v="Dr. Rohan Dutta"/>
  </r>
  <r>
    <s v="STU0533"/>
    <s v="Omkar Paul"/>
    <x v="1"/>
    <n v="21"/>
    <x v="0"/>
    <n v="4.1500000000000004"/>
    <n v="4.07"/>
    <n v="4.2"/>
    <n v="3.8"/>
    <n v="4.05"/>
    <n v="3.98"/>
    <n v="4.28"/>
    <n v="3.87"/>
    <n v="4.29"/>
    <n v="4.22"/>
    <x v="319"/>
    <n v="4.05"/>
    <n v="4.1279999999999992"/>
    <n v="85.577781180000002"/>
    <n v="63.393118659999999"/>
    <n v="70"/>
    <n v="59.557915770000001"/>
    <n v="82.752152539999997"/>
    <n v="82.028564020000005"/>
    <n v="69.653348789999995"/>
    <n v="54.057439930000001"/>
    <n v="22.184662520000003"/>
    <n v="10.442084229999999"/>
    <n v="0.72358851999999274"/>
    <n v="15.595908859999994"/>
    <x v="0"/>
    <x v="1"/>
    <x v="0"/>
    <n v="3"/>
    <s v="Dr. Rohan Dutta"/>
  </r>
  <r>
    <s v="STU0534"/>
    <s v="Manju Datta"/>
    <x v="1"/>
    <n v="21"/>
    <x v="0"/>
    <n v="3.77"/>
    <n v="4.43"/>
    <n v="4.0599999999999996"/>
    <n v="4.51"/>
    <n v="3.46"/>
    <n v="3.66"/>
    <n v="4.3"/>
    <n v="4.16"/>
    <n v="4.0199999999999996"/>
    <n v="4.0999999999999996"/>
    <x v="348"/>
    <n v="4.05"/>
    <n v="4.048"/>
    <n v="88.456483460000001"/>
    <n v="64.771607970000005"/>
    <n v="81.149542499999995"/>
    <n v="71.096910410000007"/>
    <n v="93.678188660000004"/>
    <n v="77.566280469999995"/>
    <n v="75.611191849999997"/>
    <n v="55.933326440000002"/>
    <n v="23.684875489999996"/>
    <n v="10.052632089999989"/>
    <n v="16.111908190000008"/>
    <n v="19.677865409999995"/>
    <x v="0"/>
    <x v="0"/>
    <x v="1"/>
    <n v="3"/>
    <s v="Prof. Rahul Singh"/>
  </r>
  <r>
    <s v="STU0535"/>
    <s v="Esha Yadav"/>
    <x v="0"/>
    <n v="30"/>
    <x v="1"/>
    <n v="3.43"/>
    <n v="4.21"/>
    <n v="3.42"/>
    <n v="3.76"/>
    <n v="4"/>
    <n v="4.54"/>
    <n v="3.26"/>
    <n v="3.56"/>
    <n v="3.82"/>
    <n v="4.2699999999999996"/>
    <x v="349"/>
    <n v="3.76"/>
    <n v="3.8899999999999997"/>
    <n v="85.551667690000002"/>
    <n v="65.180996899999997"/>
    <n v="70"/>
    <n v="62.046956119999997"/>
    <n v="87.457383039999996"/>
    <n v="79.248370460000004"/>
    <n v="69.779686150000003"/>
    <n v="67.318784359999995"/>
    <n v="20.370670790000005"/>
    <n v="7.9530438800000027"/>
    <n v="8.2090125799999925"/>
    <n v="2.4609017900000083"/>
    <x v="1"/>
    <x v="2"/>
    <x v="2"/>
    <n v="3"/>
    <s v="Prof. Rajesh Mukherjee"/>
  </r>
  <r>
    <s v="STU0536"/>
    <s v="Yogesh Nair"/>
    <x v="1"/>
    <n v="22"/>
    <x v="0"/>
    <n v="4.0999999999999996"/>
    <n v="3.91"/>
    <n v="3.92"/>
    <n v="3.79"/>
    <n v="3.51"/>
    <n v="4.04"/>
    <n v="3.81"/>
    <n v="4.42"/>
    <n v="3.83"/>
    <n v="4.3099999999999996"/>
    <x v="350"/>
    <n v="3.85"/>
    <n v="4.0819999999999999"/>
    <n v="92.572843239999997"/>
    <n v="65.477648500000001"/>
    <n v="79.778708280000004"/>
    <n v="65.366104590000006"/>
    <n v="84.368364990000003"/>
    <n v="82.938345389999995"/>
    <n v="73.645350989999997"/>
    <n v="51.048165019999999"/>
    <n v="27.095194739999997"/>
    <n v="14.412603689999997"/>
    <n v="1.4300196000000085"/>
    <n v="22.597185969999998"/>
    <x v="1"/>
    <x v="4"/>
    <x v="4"/>
    <n v="3"/>
    <s v="Prof. Vikram Gupta"/>
  </r>
  <r>
    <s v="STU0537"/>
    <s v="Prakash Thakur"/>
    <x v="1"/>
    <n v="30"/>
    <x v="1"/>
    <n v="4.26"/>
    <n v="3.72"/>
    <n v="4.03"/>
    <s v="4.15%"/>
    <n v="4.37"/>
    <n v="4.04"/>
    <n v="4.13"/>
    <n v="4.57"/>
    <n v="4.57"/>
    <n v="4.3899999999999997"/>
    <x v="351"/>
    <n v="4.0999999999999996"/>
    <n v="4.3400000000000007"/>
    <n v="86.782063460000003"/>
    <n v="75.574199899999996"/>
    <n v="80.557557009999996"/>
    <n v="66.033556169999997"/>
    <n v="94.753472380000005"/>
    <n v="72.897872660000004"/>
    <n v="69.162579699999995"/>
    <n v="61.15849059"/>
    <n v="11.207863560000007"/>
    <n v="14.524000839999999"/>
    <n v="21.855599720000001"/>
    <n v="8.0040891099999953"/>
    <x v="0"/>
    <x v="3"/>
    <x v="4"/>
    <n v="3"/>
    <s v="Prof. Kavita Rao"/>
  </r>
  <r>
    <s v="STU0538"/>
    <s v="Manish Bhateja"/>
    <x v="1"/>
    <n v="24"/>
    <x v="2"/>
    <n v="3.99"/>
    <n v="4.46"/>
    <n v="3.72"/>
    <n v="3.98"/>
    <n v="3.98"/>
    <n v="4.1500000000000004"/>
    <n v="4.22"/>
    <n v="3.71"/>
    <n v="3.9"/>
    <n v="4.5"/>
    <x v="98"/>
    <n v="4.03"/>
    <n v="4.096000000000001"/>
    <n v="96.481057620000001"/>
    <n v="72.229299280000006"/>
    <n v="83.509374359999995"/>
    <n v="68.820404699999997"/>
    <n v="90.329737609999995"/>
    <n v="85"/>
    <n v="73.675025579999996"/>
    <n v="63.199377519999999"/>
    <n v="24.251758339999995"/>
    <n v="14.688969659999998"/>
    <n v="5.3297376099999951"/>
    <n v="10.475648059999997"/>
    <x v="0"/>
    <x v="2"/>
    <x v="3"/>
    <n v="3"/>
    <s v="Prof. Rajesh Mukherjee"/>
  </r>
  <r>
    <s v="STU0539"/>
    <s v="Vipul Dasgupta"/>
    <x v="1"/>
    <n v="21"/>
    <x v="0"/>
    <n v="3.84"/>
    <n v="4.17"/>
    <n v="3.57"/>
    <n v="4"/>
    <n v="3.42"/>
    <n v="3.86"/>
    <n v="3.78"/>
    <n v="3.77"/>
    <n v="4.2"/>
    <n v="4.4000000000000004"/>
    <x v="352"/>
    <n v="3.8"/>
    <n v="4.0019999999999998"/>
    <n v="75.483530139999999"/>
    <n v="76.846482829999999"/>
    <n v="71.925094000000001"/>
    <n v="72.87328316"/>
    <n v="80"/>
    <n v="76.245537510000005"/>
    <n v="67.014187000000007"/>
    <n v="61.972584859999998"/>
    <n v="-1.3629526900000002"/>
    <n v="-0.94818915999999831"/>
    <n v="3.7544624899999945"/>
    <n v="5.0416021400000091"/>
    <x v="1"/>
    <x v="2"/>
    <x v="3"/>
    <n v="3"/>
    <s v="Prof. Rajesh Mukherjee"/>
  </r>
  <r>
    <s v="STU0540"/>
    <s v="Pari Sanyal"/>
    <x v="0"/>
    <n v="24"/>
    <x v="2"/>
    <n v="4.41"/>
    <n v="3.9"/>
    <s v="N/A"/>
    <n v="3.69"/>
    <n v="3.67"/>
    <n v="4.22"/>
    <n v="3.78"/>
    <n v="3.77"/>
    <n v="3.93"/>
    <n v="4.1900000000000004"/>
    <x v="353"/>
    <n v="3.92"/>
    <n v="3.9780000000000002"/>
    <n v="90.547551920000004"/>
    <n v="67.083830809999995"/>
    <n v="77.206031179999997"/>
    <n v="58.005924219999997"/>
    <n v="99.044630810000001"/>
    <n v="74.456819879999998"/>
    <n v="75.186835299999998"/>
    <n v="52.851694379999998"/>
    <n v="23.463721110000009"/>
    <n v="19.200106959999999"/>
    <n v="24.587810930000003"/>
    <n v="22.335140920000001"/>
    <x v="0"/>
    <x v="4"/>
    <x v="2"/>
    <n v="3"/>
    <s v="Prof. Vikram Gupta"/>
  </r>
  <r>
    <s v="STU0541"/>
    <s v="Preeti Talwar"/>
    <x v="0"/>
    <n v="20"/>
    <x v="0"/>
    <n v="4.2300000000000004"/>
    <n v="3.78"/>
    <n v="4.5"/>
    <n v="3.51"/>
    <n v="3.64"/>
    <n v="3.59"/>
    <n v="4.0199999999999996"/>
    <n v="4.3099999999999996"/>
    <n v="4.3099999999999996"/>
    <n v="4.46"/>
    <x v="156"/>
    <n v="3.93"/>
    <n v="4.1379999999999999"/>
    <n v="83.220042829999997"/>
    <n v="77.260278279999994"/>
    <n v="87.664020140000005"/>
    <n v="69.201823070000003"/>
    <n v="94.941491119999995"/>
    <n v="74.073839289999995"/>
    <n v="73.713228099999995"/>
    <n v="70"/>
    <n v="5.9597645500000027"/>
    <n v="18.462197070000002"/>
    <n v="20.86765183"/>
    <n v="3.7132280999999949"/>
    <x v="0"/>
    <x v="1"/>
    <x v="3"/>
    <n v="3"/>
    <s v="Dr. Rohan Dutta"/>
  </r>
  <r>
    <s v="STU0542"/>
    <s v="Bhavana Tripathi"/>
    <x v="0"/>
    <n v="29"/>
    <x v="1"/>
    <n v="4.09"/>
    <n v="4.1100000000000003"/>
    <n v="4.13"/>
    <n v="3.79"/>
    <n v="3.07"/>
    <n v="4.1399999999999997"/>
    <n v="3.44"/>
    <n v="4.38"/>
    <n v="4.13"/>
    <n v="4.29"/>
    <x v="354"/>
    <n v="3.84"/>
    <n v="4.0759999999999996"/>
    <n v="83.606777890000004"/>
    <n v="66.882201670000001"/>
    <n v="70"/>
    <n v="70.091638340000003"/>
    <n v="91.846214930000002"/>
    <n v="67.905339990000002"/>
    <n v="69.065833339999998"/>
    <n v="64.538094090000001"/>
    <n v="16.724576220000003"/>
    <n v="-9.1638340000002927E-2"/>
    <n v="23.94087494"/>
    <n v="4.5277392499999962"/>
    <x v="1"/>
    <x v="1"/>
    <x v="4"/>
    <n v="3"/>
    <s v="Dr. Rohan Dutta"/>
  </r>
  <r>
    <s v="STU0543"/>
    <s v="Pooja Agarwal"/>
    <x v="0"/>
    <n v="24"/>
    <x v="2"/>
    <n v="4.1100000000000003"/>
    <n v="3.8"/>
    <n v="3.61"/>
    <n v="3.91"/>
    <n v="4.54"/>
    <n v="4.18"/>
    <n v="4.07"/>
    <n v="3.94"/>
    <n v="4.2699999999999996"/>
    <n v="3.88"/>
    <x v="154"/>
    <n v="3.99"/>
    <n v="4.0679999999999996"/>
    <n v="86.749635249999997"/>
    <n v="64.205583489999995"/>
    <n v="75.923067169999996"/>
    <n v="68.331318929999995"/>
    <n v="89.291966860000002"/>
    <n v="78.059526039999994"/>
    <n v="65.732819550000002"/>
    <n v="62.468846370000001"/>
    <n v="22.544051760000002"/>
    <n v="7.5917482400000011"/>
    <n v="11.232440820000008"/>
    <n v="3.2639731800000007"/>
    <x v="0"/>
    <x v="3"/>
    <x v="0"/>
    <n v="3"/>
    <s v="Prof. Kavita Rao"/>
  </r>
  <r>
    <s v="STU0544"/>
    <s v="Devika Pandey"/>
    <x v="0"/>
    <n v="21"/>
    <x v="0"/>
    <n v="4.32"/>
    <n v="3.86"/>
    <n v="3.74"/>
    <s v="N/A"/>
    <n v="4.7"/>
    <n v="4.46"/>
    <n v="4.0199999999999996"/>
    <n v="3.88"/>
    <s v="N/A"/>
    <n v="4.3899999999999997"/>
    <x v="355"/>
    <n v="4.16"/>
    <n v="4.1875"/>
    <n v="89.857274309999994"/>
    <n v="65.674374830000005"/>
    <n v="70"/>
    <n v="69.946247709999994"/>
    <n v="86.064974879999994"/>
    <n v="82.761498000000003"/>
    <n v="80.538755289999997"/>
    <n v="66.7595101"/>
    <n v="24.182899479999989"/>
    <n v="5.3752290000005587E-2"/>
    <n v="3.303476879999991"/>
    <n v="13.779245189999997"/>
    <x v="0"/>
    <x v="3"/>
    <x v="2"/>
    <n v="3"/>
    <s v="Prof. Kavita Rao"/>
  </r>
  <r>
    <s v="STU0545"/>
    <s v="Vvikas Hooda"/>
    <x v="1"/>
    <n v="22"/>
    <x v="0"/>
    <n v="3.83"/>
    <n v="3.69"/>
    <n v="4.1100000000000003"/>
    <n v="3.66"/>
    <n v="3.91"/>
    <n v="4.05"/>
    <n v="3.6"/>
    <n v="3.73"/>
    <n v="3.82"/>
    <n v="4.6100000000000003"/>
    <x v="120"/>
    <n v="3.84"/>
    <n v="3.9620000000000006"/>
    <n v="75"/>
    <n v="68.390246450000006"/>
    <n v="70.585535579999998"/>
    <n v="61.791217799999998"/>
    <n v="89.823337690000002"/>
    <n v="77.227719669999999"/>
    <n v="75.175487689999997"/>
    <n v="50"/>
    <n v="6.6097535499999935"/>
    <n v="8.7943177800000001"/>
    <n v="12.595618020000003"/>
    <n v="25.175487689999997"/>
    <x v="1"/>
    <x v="1"/>
    <x v="3"/>
    <n v="3"/>
    <s v="Dr. Rohan Dutta"/>
  </r>
  <r>
    <s v="STU0546"/>
    <s v="Aarav Oberoi"/>
    <x v="1"/>
    <n v="25"/>
    <x v="2"/>
    <n v="4.26"/>
    <n v="3.96"/>
    <n v="4.22"/>
    <n v="4.1900000000000004"/>
    <n v="4"/>
    <n v="4.37"/>
    <n v="4.12"/>
    <n v="3.97"/>
    <s v="N/A"/>
    <n v="3.95"/>
    <x v="356"/>
    <n v="4.13"/>
    <n v="4.1025"/>
    <n v="86.804773030000007"/>
    <n v="78.275351869999994"/>
    <n v="74.893161640000002"/>
    <n v="73.250586249999998"/>
    <n v="80.72604192"/>
    <n v="81.187824120000002"/>
    <n v="69.915415749999994"/>
    <n v="57.939865439999998"/>
    <n v="8.5294211600000125"/>
    <n v="1.6425753900000046"/>
    <n v="-0.46178220000000181"/>
    <n v="11.975550309999996"/>
    <x v="0"/>
    <x v="4"/>
    <x v="2"/>
    <n v="3"/>
    <s v="Prof. Vikram Gupta"/>
  </r>
  <r>
    <s v="STU0547"/>
    <s v="Garima Bajaj"/>
    <x v="0"/>
    <n v="25"/>
    <x v="2"/>
    <n v="3.7"/>
    <n v="3.95"/>
    <n v="4.0599999999999996"/>
    <n v="4.3099999999999996"/>
    <n v="4.09"/>
    <n v="3.88"/>
    <n v="3.75"/>
    <s v="N/A"/>
    <n v="3.89"/>
    <n v="4.4800000000000004"/>
    <x v="21"/>
    <n v="4.0199999999999996"/>
    <n v="4"/>
    <n v="86.810686050000001"/>
    <n v="74.663329189999999"/>
    <n v="70"/>
    <n v="65.800469370000002"/>
    <n v="86.981861910000006"/>
    <n v="80.170031050000006"/>
    <n v="71.842154440000002"/>
    <n v="57.675242160000003"/>
    <n v="12.147356860000002"/>
    <n v="4.1995306299999982"/>
    <n v="6.8118308600000006"/>
    <n v="14.166912279999998"/>
    <x v="0"/>
    <x v="0"/>
    <x v="3"/>
    <n v="3"/>
    <s v="Prof. Rahul Singh"/>
  </r>
  <r>
    <s v="STU0548"/>
    <s v="Bhavna Malhotra"/>
    <x v="0"/>
    <n v="20"/>
    <x v="0"/>
    <n v="4.3099999999999996"/>
    <n v="3.65"/>
    <n v="4.51"/>
    <n v="3.87"/>
    <n v="4.1100000000000003"/>
    <s v="N/A"/>
    <n v="3.79"/>
    <n v="3.96"/>
    <n v="4.34"/>
    <n v="3.97"/>
    <x v="176"/>
    <n v="4.09"/>
    <n v="4.0149999999999997"/>
    <n v="80.495785810000001"/>
    <n v="77.069768339999996"/>
    <n v="72.119516829999995"/>
    <n v="72.529420770000002"/>
    <n v="97.063480749999997"/>
    <n v="85"/>
    <n v="69.558178990000002"/>
    <n v="55.874971619999997"/>
    <n v="3.426017470000005"/>
    <n v="-0.40990394000000663"/>
    <n v="12.063480749999997"/>
    <n v="13.683207370000005"/>
    <x v="0"/>
    <x v="1"/>
    <x v="0"/>
    <n v="3"/>
    <s v="Dr. Rohan Dutta"/>
  </r>
  <r>
    <s v="STU0549"/>
    <s v="Shreya Kapadia"/>
    <x v="1"/>
    <n v="25"/>
    <x v="2"/>
    <n v="4.47"/>
    <n v="3.58"/>
    <n v="3.51"/>
    <n v="4.5"/>
    <n v="3.36"/>
    <n v="4.5999999999999996"/>
    <n v="4.05"/>
    <n v="4.1900000000000004"/>
    <n v="4.1500000000000004"/>
    <n v="3.84"/>
    <x v="93"/>
    <n v="3.88"/>
    <n v="4.1660000000000004"/>
    <n v="94.135536270000003"/>
    <n v="71.995602390000002"/>
    <n v="84.850147590000006"/>
    <n v="59.45787318"/>
    <n v="87.935132100000004"/>
    <n v="84.03144494"/>
    <n v="69.118515869999996"/>
    <n v="53.775537589999999"/>
    <n v="22.139933880000001"/>
    <n v="25.392274410000006"/>
    <n v="3.903687160000004"/>
    <n v="15.342978279999997"/>
    <x v="1"/>
    <x v="0"/>
    <x v="2"/>
    <n v="3"/>
    <s v="Prof. Rahul Singh"/>
  </r>
  <r>
    <s v="STU0550"/>
    <s v="Neetu Nandakumar"/>
    <x v="1"/>
    <n v="27"/>
    <x v="3"/>
    <n v="4.4400000000000004"/>
    <s v="N/A"/>
    <n v="4.45"/>
    <n v="3.67"/>
    <n v="3.98"/>
    <n v="4.0999999999999996"/>
    <n v="4.45"/>
    <n v="3.61"/>
    <s v="N/A"/>
    <n v="3.92"/>
    <x v="146"/>
    <n v="4.1399999999999997"/>
    <n v="4.0199999999999996"/>
    <n v="91.423313340000007"/>
    <n v="60"/>
    <n v="80.073829950000004"/>
    <n v="65.083395179999997"/>
    <n v="96.430554420000007"/>
    <n v="76.037997200000007"/>
    <n v="65"/>
    <n v="57.350916439999999"/>
    <n v="31.423313340000007"/>
    <n v="14.990434770000007"/>
    <n v="20.39255722"/>
    <n v="7.6490835600000011"/>
    <x v="0"/>
    <x v="1"/>
    <x v="1"/>
    <n v="3"/>
    <s v="Dr. Rohan Dutta"/>
  </r>
  <r>
    <s v="STU0551"/>
    <s v="Krishna Bharadwaj"/>
    <x v="1"/>
    <n v="20"/>
    <x v="0"/>
    <n v="3.92"/>
    <n v="3.41"/>
    <n v="4.3"/>
    <n v="3.51"/>
    <n v="3.93"/>
    <n v="3.69"/>
    <n v="3.79"/>
    <n v="4.4000000000000004"/>
    <n v="4.25"/>
    <s v=" 3.57 "/>
    <x v="357"/>
    <n v="3.81"/>
    <n v="4.0325000000000006"/>
    <n v="84.511782210000007"/>
    <n v="75.841626899999994"/>
    <n v="83.389557359999998"/>
    <n v="62.760001600000002"/>
    <n v="87.612485230000004"/>
    <n v="78.724794939999995"/>
    <n v="70.789887829999998"/>
    <n v="62.648883789999999"/>
    <n v="8.6701553100000126"/>
    <n v="20.629555759999995"/>
    <n v="8.887690290000009"/>
    <n v="8.1410040399999986"/>
    <x v="1"/>
    <x v="1"/>
    <x v="4"/>
    <n v="3"/>
    <s v="Dr. Rohan Dutta"/>
  </r>
  <r>
    <s v="STU0552"/>
    <s v="Zara Srivastava"/>
    <x v="0"/>
    <n v="26"/>
    <x v="3"/>
    <n v="4.08"/>
    <n v="3.59"/>
    <n v="4.1900000000000004"/>
    <n v="4.37"/>
    <n v="4.03"/>
    <n v="4.03"/>
    <n v="4.13"/>
    <n v="4.3099999999999996"/>
    <n v="3.91"/>
    <n v="3.98"/>
    <x v="358"/>
    <n v="4.05"/>
    <n v="4.0720000000000001"/>
    <n v="84.896416880000004"/>
    <n v="68.433588540000002"/>
    <n v="79.689579379999998"/>
    <n v="64.987353560000003"/>
    <n v="86.612008459999998"/>
    <n v="74.616314110000005"/>
    <n v="75.517510529999996"/>
    <n v="56.829464940000001"/>
    <n v="16.462828340000002"/>
    <n v="14.702225819999995"/>
    <n v="11.995694349999994"/>
    <n v="18.688045589999994"/>
    <x v="0"/>
    <x v="0"/>
    <x v="4"/>
    <n v="3"/>
    <s v="Prof. Rahul Singh"/>
  </r>
  <r>
    <s v="STU0553"/>
    <s v="Sanjay Grover"/>
    <x v="1"/>
    <n v="30"/>
    <x v="1"/>
    <n v="3.93"/>
    <n v="3.52"/>
    <n v="3.95"/>
    <n v="3.91"/>
    <n v="3.78"/>
    <n v="3.87"/>
    <n v="4.38"/>
    <n v="3.92"/>
    <n v="4.17"/>
    <n v="3.93"/>
    <x v="144"/>
    <n v="3.82"/>
    <n v="4.0540000000000003"/>
    <n v="82.859565610000004"/>
    <n v="63.48829817"/>
    <n v="70.258226590000007"/>
    <n v="65.702429760000001"/>
    <n v="93.366539309999993"/>
    <n v="72.710213100000004"/>
    <n v="71.171041849999995"/>
    <n v="61.735270409999998"/>
    <n v="19.371267440000004"/>
    <n v="4.5557968300000056"/>
    <n v="20.656326209999989"/>
    <n v="9.4357714399999963"/>
    <x v="1"/>
    <x v="1"/>
    <x v="1"/>
    <n v="3"/>
    <s v="Dr. Rohan Dutta"/>
  </r>
  <r>
    <s v="STU0554"/>
    <s v="Sonali Ahuja"/>
    <x v="0"/>
    <n v="23"/>
    <x v="2"/>
    <n v="4.12"/>
    <n v="3.85"/>
    <n v="3.88"/>
    <n v="4.1500000000000004"/>
    <n v="4.5999999999999996"/>
    <n v="3.51"/>
    <n v="4.22"/>
    <n v="3.9"/>
    <n v="4.74"/>
    <n v="3.82"/>
    <x v="359"/>
    <n v="4.12"/>
    <n v="4.0379999999999994"/>
    <n v="85.157518249999995"/>
    <n v="68.35852122"/>
    <n v="70"/>
    <n v="61.210284010000002"/>
    <n v="97.598853669999997"/>
    <n v="75.236086270000001"/>
    <n v="69.874779000000004"/>
    <n v="66.868385230000001"/>
    <n v="16.798997029999995"/>
    <n v="8.7897159899999977"/>
    <n v="22.362767399999996"/>
    <n v="3.0063937700000025"/>
    <x v="0"/>
    <x v="3"/>
    <x v="0"/>
    <n v="3"/>
    <s v="Prof. Kavita Rao"/>
  </r>
  <r>
    <s v="STU0555"/>
    <s v="Charul Jindal"/>
    <x v="0"/>
    <n v="25"/>
    <x v="2"/>
    <n v="4.7699999999999996"/>
    <n v="3.57"/>
    <n v="4.21"/>
    <n v="4.5199999999999996"/>
    <n v="4.21"/>
    <n v="4.33"/>
    <n v="3.83"/>
    <n v="4.16"/>
    <n v="4.3099999999999996"/>
    <n v="4.21"/>
    <x v="360"/>
    <n v="4.26"/>
    <n v="4.1680000000000001"/>
    <n v="83.411059210000005"/>
    <n v="75.853899839999997"/>
    <n v="88.284554499999999"/>
    <n v="69.826734759999994"/>
    <n v="82.015898890000003"/>
    <n v="75.542179540000006"/>
    <n v="66.358551230000003"/>
    <n v="59.512893609999999"/>
    <n v="7.5571593700000079"/>
    <n v="18.457819740000005"/>
    <n v="6.4737193499999961"/>
    <n v="6.8456576200000043"/>
    <x v="2"/>
    <x v="4"/>
    <x v="2"/>
    <n v="3"/>
    <s v="Prof. Vikram Gupta"/>
  </r>
  <r>
    <s v="STU0556"/>
    <s v="Naresh Goel"/>
    <x v="1"/>
    <n v="29"/>
    <x v="1"/>
    <n v="4.4400000000000004"/>
    <n v="4.08"/>
    <n v="4.16"/>
    <n v="3.32"/>
    <n v="4.22"/>
    <n v="3.72"/>
    <n v="4.08"/>
    <n v="4.26"/>
    <n v="4.5999999999999996"/>
    <n v="3.86"/>
    <x v="109"/>
    <n v="4.04"/>
    <n v="4.1040000000000001"/>
    <n v="78.526476669999994"/>
    <n v="63.817782360000002"/>
    <n v="87.88336323"/>
    <n v="67.043344730000001"/>
    <n v="86.701459610000001"/>
    <n v="71.493047709999999"/>
    <n v="72.320599709999996"/>
    <n v="57.057927810000002"/>
    <n v="14.708694309999991"/>
    <n v="20.840018499999999"/>
    <n v="15.208411900000002"/>
    <n v="15.262671899999994"/>
    <x v="0"/>
    <x v="4"/>
    <x v="0"/>
    <n v="3"/>
    <s v="Prof. Vikram Gupta"/>
  </r>
  <r>
    <s v="STU0557"/>
    <s v="Dhruv Saini"/>
    <x v="1"/>
    <n v="21"/>
    <x v="0"/>
    <n v="4.04"/>
    <n v="3.74"/>
    <n v="3.85"/>
    <n v="4.1399999999999997"/>
    <n v="4.18"/>
    <n v="4.63"/>
    <n v="4.0199999999999996"/>
    <n v="3.84"/>
    <n v="4.29"/>
    <n v="4.5599999999999996"/>
    <x v="361"/>
    <n v="3.99"/>
    <n v="4.2679999999999989"/>
    <n v="81.119862060000003"/>
    <n v="60"/>
    <n v="73.213434019999994"/>
    <n v="67.845231940000005"/>
    <n v="97.094916049999995"/>
    <n v="85"/>
    <n v="76.304555190000002"/>
    <n v="65.660774959999998"/>
    <n v="21.119862060000003"/>
    <n v="5.368202079999989"/>
    <n v="12.094916049999995"/>
    <n v="10.643780230000004"/>
    <x v="0"/>
    <x v="3"/>
    <x v="2"/>
    <n v="3"/>
    <s v="Prof. Kavita Rao"/>
  </r>
  <r>
    <s v="STU0558"/>
    <s v="Pooja Basu"/>
    <x v="0"/>
    <n v="28"/>
    <x v="3"/>
    <n v="4.28"/>
    <n v="4.01"/>
    <n v="3.82"/>
    <n v="4.12"/>
    <n v="3.65"/>
    <n v="3.82"/>
    <s v="N/A"/>
    <n v="4.2300000000000004"/>
    <n v="4.6500000000000004"/>
    <n v="3.42"/>
    <x v="61"/>
    <n v="3.98"/>
    <n v="4.03"/>
    <n v="93.491381329999996"/>
    <n v="60"/>
    <n v="78.345786009999998"/>
    <n v="58.073023999999997"/>
    <n v="91.610654289999999"/>
    <n v="83.201869590000001"/>
    <n v="70.361492089999999"/>
    <n v="55.753717790000003"/>
    <n v="33.491381329999996"/>
    <n v="20.272762010000001"/>
    <n v="8.4087846999999982"/>
    <n v="14.607774299999996"/>
    <x v="0"/>
    <x v="4"/>
    <x v="0"/>
    <n v="3"/>
    <s v="Prof. Vikram Gupta"/>
  </r>
  <r>
    <s v="STU0559"/>
    <s v="Kabir Balan"/>
    <x v="1"/>
    <n v="25"/>
    <x v="2"/>
    <n v="3.94"/>
    <n v="3.56"/>
    <n v="4.03"/>
    <n v="3.8"/>
    <n v="4.1399999999999997"/>
    <n v="4.1100000000000003"/>
    <n v="3.93"/>
    <n v="4.25"/>
    <n v="4.96"/>
    <n v="3.46"/>
    <x v="362"/>
    <n v="3.89"/>
    <n v="4.1420000000000003"/>
    <n v="88.494446530000005"/>
    <n v="62.655564779999999"/>
    <n v="80.826921830000003"/>
    <n v="70.743018680000006"/>
    <n v="89.875291520000005"/>
    <n v="67.215405759999996"/>
    <n v="70.961710569999994"/>
    <n v="61.151781059999998"/>
    <n v="25.838881750000006"/>
    <n v="10.083903149999998"/>
    <n v="22.659885760000009"/>
    <n v="9.8099295099999964"/>
    <x v="1"/>
    <x v="3"/>
    <x v="0"/>
    <n v="3"/>
    <s v="Prof. Kavita Rao"/>
  </r>
  <r>
    <s v="STU0560"/>
    <s v="Simran Joshi"/>
    <x v="0"/>
    <n v="23"/>
    <x v="2"/>
    <n v="4.43"/>
    <n v="4.0599999999999996"/>
    <n v="3.4"/>
    <n v="4.6500000000000004"/>
    <n v="3.97"/>
    <n v="3.9"/>
    <s v="N/A"/>
    <n v="3.99"/>
    <n v="4.13"/>
    <n v="4.2300000000000004"/>
    <x v="217"/>
    <n v="4.0999999999999996"/>
    <n v="4.0625"/>
    <n v="94.526643309999997"/>
    <n v="60.49836328"/>
    <n v="75.802686109999996"/>
    <n v="58.649569720000002"/>
    <n v="92.780363010000002"/>
    <n v="79.645070700000005"/>
    <n v="71.538825810000006"/>
    <n v="59.26841718"/>
    <n v="34.028280029999998"/>
    <n v="17.153116389999994"/>
    <n v="13.135292309999997"/>
    <n v="12.270408630000006"/>
    <x v="0"/>
    <x v="0"/>
    <x v="3"/>
    <n v="3"/>
    <s v="Prof. Rahul Singh"/>
  </r>
  <r>
    <s v="STU0561"/>
    <s v="Mahesh Bbhateja"/>
    <x v="1"/>
    <n v="24"/>
    <x v="2"/>
    <n v="4.17"/>
    <s v="N/A"/>
    <n v="3.89"/>
    <n v="4.41"/>
    <n v="4.1500000000000004"/>
    <n v="4.17"/>
    <n v="4.21"/>
    <n v="4.0999999999999996"/>
    <n v="4.47"/>
    <n v="3.61"/>
    <x v="355"/>
    <n v="4.16"/>
    <n v="4.1120000000000001"/>
    <n v="83.925884719999999"/>
    <n v="71.124043839999999"/>
    <n v="80.302806290000007"/>
    <n v="68.242565049999996"/>
    <n v="99.9"/>
    <n v="77.691929540000004"/>
    <n v="68.397875659999997"/>
    <n v="56.757742880000002"/>
    <n v="12.80184088"/>
    <n v="12.060241240000011"/>
    <n v="22.208070460000002"/>
    <n v="11.640132779999995"/>
    <x v="0"/>
    <x v="0"/>
    <x v="0"/>
    <n v="3"/>
    <s v="Prof. Rahul Singh"/>
  </r>
  <r>
    <s v="STU0562"/>
    <s v="Yuvraj Kohir"/>
    <x v="1"/>
    <n v="23"/>
    <x v="2"/>
    <n v="3.92"/>
    <n v="4.6900000000000004"/>
    <s v="N/A"/>
    <n v="3.7"/>
    <n v="4.03"/>
    <n v="4.33"/>
    <n v="4.2699999999999996"/>
    <n v="3.88"/>
    <n v="4.59"/>
    <n v="4.03"/>
    <x v="341"/>
    <n v="4.09"/>
    <n v="4.2200000000000006"/>
    <n v="89.031904130000001"/>
    <n v="61.594490909999998"/>
    <n v="70"/>
    <n v="56.866455909999999"/>
    <n v="88.322317659999996"/>
    <n v="81.042572100000001"/>
    <n v="71.661277909999995"/>
    <n v="67.554316380000003"/>
    <n v="27.437413220000003"/>
    <n v="13.133544090000001"/>
    <n v="7.279745559999995"/>
    <n v="4.1069615299999924"/>
    <x v="0"/>
    <x v="2"/>
    <x v="0"/>
    <n v="3"/>
    <s v="Prof. Rajesh Mukherjee"/>
  </r>
  <r>
    <s v="STU0563"/>
    <s v="Preeti Marathe"/>
    <x v="0"/>
    <n v="25"/>
    <x v="2"/>
    <n v="4.22"/>
    <n v="4.1100000000000003"/>
    <n v="4.0599999999999996"/>
    <n v="4.1399999999999997"/>
    <s v="N/A"/>
    <n v="4.55"/>
    <n v="3.09"/>
    <n v="4.46"/>
    <n v="4.13"/>
    <n v="4.01"/>
    <x v="363"/>
    <n v="4.13"/>
    <n v="4.048"/>
    <n v="77.038875759999996"/>
    <n v="73.482140869999995"/>
    <n v="74.874097590000005"/>
    <n v="71.390297970000006"/>
    <n v="80"/>
    <n v="85"/>
    <n v="70.462687840000001"/>
    <n v="50"/>
    <n v="3.5567348900000013"/>
    <n v="3.4837996199999992"/>
    <n v="-5"/>
    <n v="20.462687840000001"/>
    <x v="0"/>
    <x v="4"/>
    <x v="2"/>
    <n v="3"/>
    <s v="Prof. Vikram Gupta"/>
  </r>
  <r>
    <s v="STU0564"/>
    <s v="Manju Yerramsetti"/>
    <x v="1"/>
    <n v="29"/>
    <x v="1"/>
    <n v="3.9"/>
    <n v="4.09"/>
    <n v="4.0199999999999996"/>
    <n v="3.87"/>
    <n v="3.92"/>
    <n v="4.2300000000000004"/>
    <n v="3.92"/>
    <n v="4.6399999999999997"/>
    <n v="4.05"/>
    <n v="3.45"/>
    <x v="364"/>
    <n v="3.96"/>
    <n v="4.0579999999999998"/>
    <n v="84.180611040000002"/>
    <n v="66.155559620000005"/>
    <n v="77.576439250000007"/>
    <n v="66.069446049999996"/>
    <n v="94.331510269999995"/>
    <n v="85"/>
    <n v="67.435910440000001"/>
    <n v="61.61236486"/>
    <n v="18.025051419999997"/>
    <n v="11.506993200000011"/>
    <n v="9.3315102699999954"/>
    <n v="5.8235455800000011"/>
    <x v="0"/>
    <x v="2"/>
    <x v="4"/>
    <n v="3"/>
    <s v="Prof. Rajesh Mukherjee"/>
  </r>
  <r>
    <s v="STU0565"/>
    <s v="Sandeep Balan"/>
    <x v="1"/>
    <n v="27"/>
    <x v="3"/>
    <n v="3.31"/>
    <n v="3.62"/>
    <n v="3.64"/>
    <s v="N/A"/>
    <n v="3.94"/>
    <n v="4.1100000000000003"/>
    <s v="N/A"/>
    <n v="3.57"/>
    <n v="4.1100000000000003"/>
    <n v="4"/>
    <x v="365"/>
    <n v="3.63"/>
    <n v="3.9474999999999998"/>
    <n v="86.168106510000001"/>
    <n v="64.695823759999996"/>
    <n v="70"/>
    <n v="72.182372450000003"/>
    <n v="80"/>
    <n v="85"/>
    <n v="72.831369600000002"/>
    <n v="51.729242169999999"/>
    <n v="21.472282750000005"/>
    <n v="-2.1823724500000026"/>
    <n v="-5"/>
    <n v="21.102127430000003"/>
    <x v="1"/>
    <x v="3"/>
    <x v="2"/>
    <n v="3"/>
    <s v="Prof. Kavita Rao"/>
  </r>
  <r>
    <s v="STU0566"/>
    <s v="Shreya Bakshi"/>
    <x v="1"/>
    <n v="29"/>
    <x v="1"/>
    <n v="3.53"/>
    <n v="4.58"/>
    <n v="4.2699999999999996"/>
    <n v="4.22"/>
    <n v="4.4000000000000004"/>
    <n v="4.1100000000000003"/>
    <n v="3.95"/>
    <n v="3.7"/>
    <n v="3.87"/>
    <n v="3.87"/>
    <x v="28"/>
    <n v="4.2"/>
    <n v="3.9000000000000008"/>
    <n v="86.471269460000002"/>
    <n v="74.363024530000004"/>
    <n v="70"/>
    <n v="66.233258219999996"/>
    <n v="87.890386919999997"/>
    <n v="71.664146049999999"/>
    <n v="74.607645950000006"/>
    <n v="63.397757300000002"/>
    <n v="12.108244929999998"/>
    <n v="3.7667417800000038"/>
    <n v="16.226240869999998"/>
    <n v="11.209888650000003"/>
    <x v="2"/>
    <x v="2"/>
    <x v="2"/>
    <n v="3"/>
    <s v="Prof. Rajesh Mukherjee"/>
  </r>
  <r>
    <s v="STU0567"/>
    <s v="Priya Dhawan"/>
    <x v="1"/>
    <n v="25"/>
    <x v="2"/>
    <n v="4.51"/>
    <n v="3.96"/>
    <n v="4.32"/>
    <n v="3.96"/>
    <n v="3.99"/>
    <n v="3.53"/>
    <n v="4.45"/>
    <n v="3.94"/>
    <n v="4.07"/>
    <n v="4.1500000000000004"/>
    <x v="366"/>
    <n v="4.1500000000000004"/>
    <n v="4.0280000000000005"/>
    <n v="85.510150359999997"/>
    <n v="69.791423719999997"/>
    <n v="73.018459789999994"/>
    <n v="64.289691079999997"/>
    <n v="99.9"/>
    <n v="84.479402460000003"/>
    <n v="66.832426040000001"/>
    <n v="60.815586080000003"/>
    <n v="15.71872664"/>
    <n v="8.7287687099999971"/>
    <n v="15.420597540000003"/>
    <n v="6.0168399599999987"/>
    <x v="0"/>
    <x v="4"/>
    <x v="1"/>
    <n v="3"/>
    <s v="Prof. Vikram Gupta"/>
  </r>
  <r>
    <s v="STU0568"/>
    <s v="Prerrna Kukreja"/>
    <x v="1"/>
    <n v="25"/>
    <x v="2"/>
    <n v="4.21"/>
    <n v="3.55"/>
    <n v="3.63"/>
    <n v="3.92"/>
    <n v="4.26"/>
    <n v="4.18"/>
    <n v="4.08"/>
    <s v="N/A"/>
    <n v="4"/>
    <n v="4.09"/>
    <x v="367"/>
    <n v="3.91"/>
    <n v="4.0875000000000004"/>
    <n v="85.314783449999993"/>
    <n v="77.206941630000003"/>
    <n v="80.265474819999994"/>
    <n v="69.485486519999995"/>
    <n v="85.255201679999999"/>
    <n v="76.674626309999994"/>
    <n v="66.304211039999998"/>
    <n v="59.155505439999999"/>
    <n v="8.1078418199999902"/>
    <n v="10.779988299999999"/>
    <n v="8.5805753700000054"/>
    <n v="7.1487055999999995"/>
    <x v="0"/>
    <x v="3"/>
    <x v="2"/>
    <n v="3"/>
    <s v="Prof. Kavita Rao"/>
  </r>
  <r>
    <s v="STU0569"/>
    <s v="Aarav Beddi"/>
    <x v="1"/>
    <n v="30"/>
    <x v="1"/>
    <n v="3.93"/>
    <n v="4.57"/>
    <n v="3.96"/>
    <n v="3.92"/>
    <n v="3.71"/>
    <n v="4.07"/>
    <n v="4.1500000000000004"/>
    <n v="3.79"/>
    <n v="3.98"/>
    <n v="3.89"/>
    <x v="368"/>
    <n v="4.0199999999999996"/>
    <n v="3.9760000000000004"/>
    <n v="90.121198410000005"/>
    <n v="69.008961459999995"/>
    <n v="78.381183579999998"/>
    <n v="73.927406059999996"/>
    <n v="87.012345229999994"/>
    <n v="77.537925360000003"/>
    <n v="66.359660320000003"/>
    <n v="62.28200811"/>
    <n v="21.11223695000001"/>
    <n v="4.4537775200000027"/>
    <n v="9.4744198699999913"/>
    <n v="4.0776522100000037"/>
    <x v="0"/>
    <x v="2"/>
    <x v="1"/>
    <n v="3"/>
    <s v="Prof. Rajesh Mukherjee"/>
  </r>
  <r>
    <s v="STU0570"/>
    <s v="Maanish Kher"/>
    <x v="1"/>
    <n v="26"/>
    <x v="3"/>
    <s v="N/A"/>
    <n v="4.0199999999999996"/>
    <n v="4.32"/>
    <n v="3.81"/>
    <n v="3.74"/>
    <n v="3.92"/>
    <n v="4.07"/>
    <n v="3.47"/>
    <n v="3.79"/>
    <n v="3.83"/>
    <x v="369"/>
    <n v="3.97"/>
    <n v="3.8159999999999998"/>
    <n v="89.758671449999994"/>
    <n v="70.957156690000005"/>
    <n v="79.63694495"/>
    <n v="65.492614810000006"/>
    <n v="90.219425509999994"/>
    <n v="75.838475419999995"/>
    <n v="71.843980290000005"/>
    <n v="69.782999860000004"/>
    <n v="18.801514759999989"/>
    <n v="14.144330139999994"/>
    <n v="14.380950089999999"/>
    <n v="2.0609804300000008"/>
    <x v="0"/>
    <x v="1"/>
    <x v="1"/>
    <n v="3"/>
    <s v="Dr. Rohan Dutta"/>
  </r>
  <r>
    <s v="STU0571"/>
    <s v="Sai Bansal"/>
    <x v="0"/>
    <n v="25"/>
    <x v="2"/>
    <n v="4.33"/>
    <n v="4.12"/>
    <n v="3.83"/>
    <n v="4.0999999999999996"/>
    <n v="3.98"/>
    <n v="3.88"/>
    <n v="3.6"/>
    <n v="4.0599999999999996"/>
    <n v="3.79"/>
    <n v="4.01"/>
    <x v="75"/>
    <n v="4.07"/>
    <n v="3.8679999999999994"/>
    <n v="89.993669359999998"/>
    <n v="70.790866059999999"/>
    <n v="73.31089781"/>
    <n v="66.761751959999998"/>
    <n v="97.769119349999997"/>
    <n v="79.741105529999999"/>
    <n v="74.219788030000004"/>
    <n v="59.150497809999997"/>
    <n v="19.202803299999999"/>
    <n v="6.5491458500000022"/>
    <n v="18.028013819999998"/>
    <n v="15.069290220000006"/>
    <x v="0"/>
    <x v="4"/>
    <x v="4"/>
    <n v="3"/>
    <s v="Prof. Vikram Gupta"/>
  </r>
  <r>
    <s v="STU0572"/>
    <s v="Saanvi Chatterjee"/>
    <x v="0"/>
    <n v="26"/>
    <x v="3"/>
    <n v="4.3499999999999996"/>
    <n v="3.85"/>
    <n v="4.1500000000000004"/>
    <n v="4.18"/>
    <n v="4.55"/>
    <n v="3.7"/>
    <n v="3.78"/>
    <n v="4.01"/>
    <n v="4.17"/>
    <n v="4.09"/>
    <x v="83"/>
    <n v="4.22"/>
    <n v="3.95"/>
    <n v="87.332103880000005"/>
    <n v="73.928977369999998"/>
    <n v="85.842384519999996"/>
    <n v="75"/>
    <n v="80.408042760000001"/>
    <n v="85"/>
    <n v="80.229850029999994"/>
    <n v="59.268763380000003"/>
    <n v="13.403126510000007"/>
    <n v="10.842384519999996"/>
    <n v="-4.5919572399999993"/>
    <n v="20.961086649999991"/>
    <x v="2"/>
    <x v="3"/>
    <x v="0"/>
    <n v="3"/>
    <s v="Prof. Kavita Rao"/>
  </r>
  <r>
    <s v="STU0573"/>
    <s v="Deepika Fernandes"/>
    <x v="0"/>
    <n v="22"/>
    <x v="0"/>
    <n v="4.3099999999999996"/>
    <n v="4.26"/>
    <n v="4.4400000000000004"/>
    <n v="4.3099999999999996"/>
    <n v="3.83"/>
    <n v="3.95"/>
    <n v="4.05"/>
    <n v="4.18"/>
    <n v="3.89"/>
    <n v="4.05"/>
    <x v="2"/>
    <n v="4.2300000000000004"/>
    <n v="4.024"/>
    <n v="90.518223469999995"/>
    <n v="71.115847869999996"/>
    <n v="75.788834870000002"/>
    <n v="63.086770229999999"/>
    <n v="89.636423199999996"/>
    <n v="77.70828487"/>
    <n v="74.374679369999996"/>
    <n v="68.978408959999996"/>
    <n v="19.402375599999999"/>
    <n v="12.702064640000003"/>
    <n v="11.928138329999996"/>
    <n v="5.3962704099999996"/>
    <x v="2"/>
    <x v="1"/>
    <x v="4"/>
    <n v="3"/>
    <s v="Dr. Rohan Dutta"/>
  </r>
  <r>
    <s v="STU0574"/>
    <s v="Aadhya Choudhary"/>
    <x v="0"/>
    <n v="20"/>
    <x v="0"/>
    <n v="4.1900000000000004"/>
    <n v="3.45"/>
    <n v="4.37"/>
    <n v="4.1399999999999997"/>
    <n v="3.97"/>
    <n v="3.78"/>
    <n v="3.96"/>
    <n v="3.52"/>
    <n v="3.5"/>
    <n v="4.2300000000000004"/>
    <x v="272"/>
    <n v="4.0199999999999996"/>
    <n v="3.7980000000000005"/>
    <n v="82.832323619999997"/>
    <n v="71.301178059999998"/>
    <n v="90"/>
    <n v="68.558110540000001"/>
    <n v="93.076998939999996"/>
    <n v="78.997120429999995"/>
    <n v="71.200384690000007"/>
    <n v="53.91280484"/>
    <n v="11.531145559999999"/>
    <n v="21.441889459999999"/>
    <n v="14.07987851"/>
    <n v="17.287579850000007"/>
    <x v="0"/>
    <x v="1"/>
    <x v="3"/>
    <n v="3"/>
    <s v="Dr. Rohan Dutta"/>
  </r>
  <r>
    <s v="STU0575"/>
    <s v="Pankaj Dhanwade"/>
    <x v="1"/>
    <n v="30"/>
    <x v="1"/>
    <n v="4.08"/>
    <n v="4.18"/>
    <n v="4.3"/>
    <n v="4.0199999999999996"/>
    <n v="3.89"/>
    <n v="3.75"/>
    <n v="4.37"/>
    <n v="4.09"/>
    <n v="4.5199999999999996"/>
    <n v="4.09"/>
    <x v="370"/>
    <n v="4.09"/>
    <n v="4.1639999999999997"/>
    <n v="86.589023670000003"/>
    <n v="69.05489292"/>
    <n v="70.225835880000005"/>
    <n v="68.161335710000003"/>
    <n v="99.9"/>
    <n v="75.222585440000003"/>
    <n v="74.264975399999997"/>
    <n v="55.241875690000001"/>
    <n v="17.534130750000003"/>
    <n v="2.0645001700000023"/>
    <n v="24.677414560000003"/>
    <n v="19.023099709999997"/>
    <x v="0"/>
    <x v="1"/>
    <x v="0"/>
    <n v="3"/>
    <s v="Dr. Rohan Dutta"/>
  </r>
  <r>
    <s v="STU0576"/>
    <s v="Kiara Bedi"/>
    <x v="0"/>
    <n v="25"/>
    <x v="2"/>
    <s v="N/A"/>
    <n v="3.44"/>
    <n v="3.75"/>
    <n v="3.83"/>
    <n v="3.41"/>
    <n v="3.46"/>
    <n v="3.74"/>
    <n v="4.42"/>
    <n v="3.93"/>
    <n v="3.75"/>
    <x v="371"/>
    <n v="3.61"/>
    <n v="3.8600000000000003"/>
    <n v="81.361386699999997"/>
    <n v="65.003545619999997"/>
    <n v="85.23359284"/>
    <n v="60.187321830000002"/>
    <n v="93.963260419999997"/>
    <n v="78.686155889999995"/>
    <n v="72.414246790000007"/>
    <n v="60.219568600000002"/>
    <n v="16.35784108"/>
    <n v="25.046271009999998"/>
    <n v="15.277104530000003"/>
    <n v="12.194678190000005"/>
    <x v="1"/>
    <x v="0"/>
    <x v="4"/>
    <n v="3"/>
    <s v="Prof. Rahul Singh"/>
  </r>
  <r>
    <s v="STU0577"/>
    <s v="Pratik Dubey"/>
    <x v="1"/>
    <n v="27"/>
    <x v="3"/>
    <n v="4.09"/>
    <n v="4.09"/>
    <n v="4.09"/>
    <n v="4.09"/>
    <n v="4.67"/>
    <n v="3.93"/>
    <n v="4.17"/>
    <n v="4.5"/>
    <n v="3.85"/>
    <n v="3.77"/>
    <x v="32"/>
    <n v="4.21"/>
    <n v="4.0439999999999996"/>
    <n v="84.864291600000001"/>
    <n v="60"/>
    <n v="76.864386249999995"/>
    <n v="61.499338539999997"/>
    <n v="97.550631969999998"/>
    <n v="75.897352470000001"/>
    <n v="68.759290399999998"/>
    <n v="59.388194990000002"/>
    <n v="24.864291600000001"/>
    <n v="15.365047709999999"/>
    <n v="21.653279499999996"/>
    <n v="9.3710954099999952"/>
    <x v="2"/>
    <x v="3"/>
    <x v="4"/>
    <n v="3"/>
    <s v="Prof. Kavita Rao"/>
  </r>
  <r>
    <s v="STU0578"/>
    <s v="Usha Bhargav"/>
    <x v="0"/>
    <n v="25"/>
    <x v="2"/>
    <s v="N/A"/>
    <n v="4.33"/>
    <n v="4.25"/>
    <n v="4.32"/>
    <n v="4.5599999999999996"/>
    <n v="4.51"/>
    <n v="4.03"/>
    <n v="3.7"/>
    <n v="3.99"/>
    <n v="4.0599999999999996"/>
    <x v="372"/>
    <n v="4.37"/>
    <n v="4.0579999999999989"/>
    <n v="88.102559580000005"/>
    <n v="69.448064909999999"/>
    <n v="70"/>
    <n v="68.091638529999997"/>
    <n v="80"/>
    <n v="84.145757070000002"/>
    <n v="77.512908800000005"/>
    <n v="59.444667940000002"/>
    <n v="18.654494670000005"/>
    <n v="1.9083614700000027"/>
    <n v="-4.1457570700000019"/>
    <n v="18.068240860000003"/>
    <x v="2"/>
    <x v="3"/>
    <x v="2"/>
    <n v="3"/>
    <s v="Prof. Kavita Rao"/>
  </r>
  <r>
    <s v="STU0579"/>
    <s v="Riya Rathi"/>
    <x v="0"/>
    <n v="23"/>
    <x v="2"/>
    <n v="4.18"/>
    <n v="4.45"/>
    <n v="4.0999999999999996"/>
    <n v="3.96"/>
    <n v="4.5"/>
    <n v="4.07"/>
    <n v="3.84"/>
    <n v="3.18"/>
    <n v="4.3499999999999996"/>
    <n v="3.62"/>
    <x v="310"/>
    <n v="4.24"/>
    <n v="3.8119999999999998"/>
    <n v="95.385353100000003"/>
    <n v="60"/>
    <n v="70"/>
    <n v="69.594264260000003"/>
    <n v="87.432773269999998"/>
    <n v="72.517104369999998"/>
    <n v="71.327319320000001"/>
    <n v="57.318864099999999"/>
    <n v="35.385353100000003"/>
    <n v="0.40573573999999724"/>
    <n v="14.9156689"/>
    <n v="14.008455220000002"/>
    <x v="2"/>
    <x v="3"/>
    <x v="0"/>
    <n v="3"/>
    <s v="Prof. Kavita Rao"/>
  </r>
  <r>
    <s v="STU0580"/>
    <s v="Nidhi Basu"/>
    <x v="0"/>
    <n v="29"/>
    <x v="1"/>
    <n v="4.3600000000000003"/>
    <n v="4.12"/>
    <n v="3.54"/>
    <n v="4.01"/>
    <n v="4.6900000000000004"/>
    <n v="3.78"/>
    <n v="4.21"/>
    <n v="3.88"/>
    <n v="4.1100000000000003"/>
    <n v="4.07"/>
    <x v="241"/>
    <n v="4.1399999999999997"/>
    <n v="4.01"/>
    <n v="90.619884170000006"/>
    <n v="61.959934830000002"/>
    <n v="79.119813179999994"/>
    <n v="61.392885759999999"/>
    <n v="87.771203650000004"/>
    <n v="75.336814959999998"/>
    <n v="70.34819401"/>
    <n v="50"/>
    <n v="28.659949340000004"/>
    <n v="17.726927419999996"/>
    <n v="12.434388690000006"/>
    <n v="20.34819401"/>
    <x v="0"/>
    <x v="3"/>
    <x v="1"/>
    <n v="3"/>
    <s v="Prof. Kavita Rao"/>
  </r>
  <r>
    <s v="STU0581"/>
    <s v="Rajendra Malhotra"/>
    <x v="1"/>
    <n v="27"/>
    <x v="3"/>
    <n v="3.81"/>
    <n v="3.97"/>
    <s v="N/A"/>
    <n v="3.51"/>
    <n v="4.38"/>
    <n v="4.3499999999999996"/>
    <n v="3.84"/>
    <n v="3.77"/>
    <n v="3.88"/>
    <n v="4.12"/>
    <x v="373"/>
    <n v="3.92"/>
    <n v="3.992"/>
    <n v="82.800622050000001"/>
    <n v="66.247109809999998"/>
    <n v="81.261534190000006"/>
    <n v="67.772317869999995"/>
    <n v="92.284317790000003"/>
    <n v="79.725623130000002"/>
    <n v="70.300176469999997"/>
    <n v="56.517515779999997"/>
    <n v="16.553512240000003"/>
    <n v="13.489216320000011"/>
    <n v="12.55869466"/>
    <n v="13.78266069"/>
    <x v="0"/>
    <x v="3"/>
    <x v="2"/>
    <n v="3"/>
    <s v="Prof. Kavita Rao"/>
  </r>
  <r>
    <s v="STU0582"/>
    <s v="Rajeev Uppal"/>
    <x v="1"/>
    <n v="30"/>
    <x v="1"/>
    <n v="3.92"/>
    <n v="4.24"/>
    <n v="4.18"/>
    <n v="4.74"/>
    <n v="3.82"/>
    <n v="4.42"/>
    <n v="4.3099999999999996"/>
    <n v="3.66"/>
    <n v="4.2300000000000004"/>
    <n v="4.25"/>
    <x v="374"/>
    <n v="4.18"/>
    <n v="4.1740000000000004"/>
    <n v="82.678891770000007"/>
    <n v="67.050978409999999"/>
    <n v="85.302387670000002"/>
    <n v="66.151520950000005"/>
    <n v="93.339247169999993"/>
    <n v="71.440041989999997"/>
    <n v="68.767715569999993"/>
    <n v="62.098756170000001"/>
    <n v="15.627913360000008"/>
    <n v="19.150866719999996"/>
    <n v="21.899205179999996"/>
    <n v="6.6689593999999914"/>
    <x v="0"/>
    <x v="0"/>
    <x v="2"/>
    <n v="3"/>
    <s v="Prof. Rahul Singh"/>
  </r>
  <r>
    <s v="STU0583"/>
    <s v="Aarav Ganguly"/>
    <x v="1"/>
    <n v="22"/>
    <x v="0"/>
    <n v="4.29"/>
    <n v="3.64"/>
    <n v="3.99"/>
    <n v="3.48"/>
    <n v="4.24"/>
    <n v="3.46"/>
    <n v="3.86"/>
    <n v="3.87"/>
    <n v="4.05"/>
    <n v="3.58"/>
    <x v="184"/>
    <n v="3.93"/>
    <n v="3.7640000000000002"/>
    <n v="82.056578180000002"/>
    <n v="60"/>
    <n v="77.138269820000005"/>
    <n v="67.431116650000007"/>
    <n v="80.893392689999999"/>
    <n v="83.884732679999999"/>
    <n v="67.001962390000003"/>
    <n v="57.435367110000001"/>
    <n v="22.056578180000002"/>
    <n v="9.707153169999998"/>
    <n v="-2.9913399900000002"/>
    <n v="9.5665952800000014"/>
    <x v="0"/>
    <x v="4"/>
    <x v="0"/>
    <n v="3"/>
    <s v="Prof. Vikram Gupta"/>
  </r>
  <r>
    <s v="STU0584"/>
    <s v="Tanvi Pradhan"/>
    <x v="0"/>
    <n v="24"/>
    <x v="2"/>
    <n v="4.1900000000000004"/>
    <n v="4.46"/>
    <n v="4.32"/>
    <n v="4.25"/>
    <n v="4.32"/>
    <n v="4.04"/>
    <n v="4.08"/>
    <n v="4.1500000000000004"/>
    <n v="4.71"/>
    <n v="4.13"/>
    <x v="375"/>
    <n v="4.3099999999999996"/>
    <n v="4.2219999999999995"/>
    <n v="84.016517230000005"/>
    <n v="69.628771959999995"/>
    <n v="73.12569139"/>
    <n v="69.278262889999993"/>
    <n v="91.431101979999994"/>
    <n v="85"/>
    <n v="74.94639488"/>
    <n v="59.208924549999999"/>
    <n v="14.387745270000011"/>
    <n v="3.8474285000000066"/>
    <n v="6.431101979999994"/>
    <n v="15.737470330000001"/>
    <x v="2"/>
    <x v="2"/>
    <x v="0"/>
    <n v="3"/>
    <s v="Prof. Rajesh Mukherjee"/>
  </r>
  <r>
    <s v="STU0585"/>
    <s v="Manju Ramesh"/>
    <x v="1"/>
    <n v="26"/>
    <x v="3"/>
    <n v="4.34"/>
    <n v="4.6100000000000003"/>
    <n v="3.47"/>
    <s v="N/A"/>
    <n v="3.97"/>
    <n v="4.18"/>
    <n v="4.1100000000000003"/>
    <s v="N/A"/>
    <n v="3.04"/>
    <n v="4.1399999999999997"/>
    <x v="376"/>
    <n v="4.0999999999999996"/>
    <n v="3.8674999999999997"/>
    <n v="86.986428059999994"/>
    <n v="69.690771040000001"/>
    <n v="76.113369219999996"/>
    <n v="67.942811289999995"/>
    <n v="86.935738560000004"/>
    <n v="74.992102770000002"/>
    <n v="70.610910939999997"/>
    <n v="55.268082"/>
    <n v="17.295657019999993"/>
    <n v="8.1705579300000011"/>
    <n v="11.943635790000002"/>
    <n v="15.342828939999997"/>
    <x v="0"/>
    <x v="2"/>
    <x v="2"/>
    <n v="3"/>
    <s v="Prof. Rajesh Mukherjee"/>
  </r>
  <r>
    <s v="STU0586"/>
    <s v="Ritika Joshi"/>
    <x v="0"/>
    <n v="28"/>
    <x v="3"/>
    <n v="4.0999999999999996"/>
    <n v="3.64"/>
    <n v="4.55"/>
    <n v="3.67"/>
    <n v="4.3600000000000003"/>
    <n v="3.74"/>
    <n v="4.13"/>
    <n v="4.1100000000000003"/>
    <n v="4.59"/>
    <n v="3.86"/>
    <x v="43"/>
    <n v="4.0599999999999996"/>
    <n v="4.0860000000000003"/>
    <n v="90.992760529999998"/>
    <n v="60.961046580000001"/>
    <n v="79.331656010000003"/>
    <n v="57.217056679999999"/>
    <n v="94.908529669999993"/>
    <n v="73.836602690000007"/>
    <n v="69.594888859999998"/>
    <n v="59.099715060000001"/>
    <n v="30.031713949999997"/>
    <n v="22.114599330000004"/>
    <n v="21.071926979999986"/>
    <n v="10.495173799999996"/>
    <x v="0"/>
    <x v="1"/>
    <x v="0"/>
    <n v="3"/>
    <s v="Dr. Rohan Dutta"/>
  </r>
  <r>
    <s v="STU0587"/>
    <s v="Garima Saxena"/>
    <x v="0"/>
    <n v="27"/>
    <x v="3"/>
    <n v="4.1399999999999997"/>
    <n v="3.62"/>
    <n v="4.1399999999999997"/>
    <n v="3.93"/>
    <n v="3.7"/>
    <s v="N/A"/>
    <n v="4.13"/>
    <n v="4.1900000000000004"/>
    <n v="4.13"/>
    <n v="4.34"/>
    <x v="377"/>
    <n v="3.91"/>
    <n v="4.1974999999999998"/>
    <n v="80.570733799999999"/>
    <n v="75.148923890000006"/>
    <n v="85.591719010000006"/>
    <n v="56.495318439999998"/>
    <n v="93.593187909999997"/>
    <n v="69.614704900000007"/>
    <n v="77.188893759999999"/>
    <n v="50"/>
    <n v="5.4218099099999932"/>
    <n v="29.096400570000007"/>
    <n v="23.978483009999991"/>
    <n v="27.188893759999999"/>
    <x v="0"/>
    <x v="4"/>
    <x v="3"/>
    <n v="3"/>
    <s v="Prof. Vikram Gupta"/>
  </r>
  <r>
    <s v="STU0588"/>
    <s v="Shraddha Nayar"/>
    <x v="0"/>
    <n v="22"/>
    <x v="0"/>
    <n v="4.08"/>
    <n v="3.68"/>
    <n v="4.18"/>
    <n v="3.92"/>
    <n v="3.66"/>
    <n v="4.5"/>
    <n v="4.2"/>
    <n v="4.2"/>
    <n v="4.59"/>
    <n v="3.95"/>
    <x v="277"/>
    <n v="3.9"/>
    <n v="4.2879999999999994"/>
    <n v="82.738527619999999"/>
    <n v="65.451935180000007"/>
    <n v="70"/>
    <n v="74.393444180000003"/>
    <n v="80"/>
    <n v="82.550023060000001"/>
    <n v="66.652168360000005"/>
    <n v="50"/>
    <n v="17.286592439999993"/>
    <n v="-4.393444180000003"/>
    <n v="-2.5500230600000009"/>
    <n v="16.652168360000005"/>
    <x v="0"/>
    <x v="1"/>
    <x v="0"/>
    <n v="3"/>
    <s v="Dr. Rohan Dutta"/>
  </r>
  <r>
    <s v="STU0589"/>
    <s v="Priya Rathi"/>
    <x v="1"/>
    <n v="20"/>
    <x v="0"/>
    <n v="4.2300000000000004"/>
    <n v="3.74"/>
    <n v="4.01"/>
    <n v="4.24"/>
    <n v="4"/>
    <n v="4.55"/>
    <n v="3.66"/>
    <n v="4.28"/>
    <n v="4.07"/>
    <n v="4.59"/>
    <x v="109"/>
    <n v="4.04"/>
    <n v="4.2300000000000004"/>
    <n v="80.566292820000001"/>
    <n v="67.267009060000007"/>
    <n v="78.198616920000006"/>
    <n v="63.680312200000003"/>
    <n v="82.346492220000002"/>
    <n v="84.066721279999996"/>
    <n v="65.841065869999994"/>
    <n v="58.28599672"/>
    <n v="13.299283759999994"/>
    <n v="14.518304720000003"/>
    <n v="-1.7202290599999941"/>
    <n v="7.5550691499999942"/>
    <x v="0"/>
    <x v="0"/>
    <x v="3"/>
    <n v="3"/>
    <s v="Prof. Rahul Singh"/>
  </r>
  <r>
    <s v="STU0590"/>
    <s v="Seema Hegde"/>
    <x v="0"/>
    <n v="25"/>
    <x v="2"/>
    <n v="4.09"/>
    <n v="3.88"/>
    <n v="3.4"/>
    <n v="4.3600000000000003"/>
    <n v="4.68"/>
    <n v="3.58"/>
    <n v="3.57"/>
    <n v="4"/>
    <n v="4.37"/>
    <n v="3.93"/>
    <x v="287"/>
    <n v="4.08"/>
    <n v="3.8899999999999997"/>
    <n v="89.826577540000002"/>
    <n v="70.272994789999998"/>
    <n v="80.313426579999998"/>
    <n v="66.189662549999994"/>
    <n v="80"/>
    <n v="81.798608819999998"/>
    <n v="72.101341770000005"/>
    <n v="50"/>
    <n v="19.553582750000004"/>
    <n v="14.123764030000004"/>
    <n v="-1.7986088199999983"/>
    <n v="22.101341770000005"/>
    <x v="0"/>
    <x v="3"/>
    <x v="0"/>
    <n v="3"/>
    <s v="Prof. Kavita Rao"/>
  </r>
  <r>
    <s v="STU0591"/>
    <s v="Rahul Grover"/>
    <x v="1"/>
    <n v="28"/>
    <x v="3"/>
    <n v="4.18"/>
    <n v="4"/>
    <n v="3.69"/>
    <n v="4.88"/>
    <n v="4.1100000000000003"/>
    <n v="4.1500000000000004"/>
    <n v="4.08"/>
    <n v="3.58"/>
    <n v="3.61"/>
    <s v="N/A"/>
    <x v="45"/>
    <n v="4.17"/>
    <n v="3.855"/>
    <n v="99.9"/>
    <n v="72.395225920000001"/>
    <n v="77.585769010000007"/>
    <n v="63.955755629999999"/>
    <n v="80"/>
    <n v="82.127671960000001"/>
    <n v="66.865788420000001"/>
    <n v="58.269610020000002"/>
    <n v="27.504774080000004"/>
    <n v="13.630013380000008"/>
    <n v="-2.1276719600000007"/>
    <n v="8.5961783999999994"/>
    <x v="0"/>
    <x v="0"/>
    <x v="2"/>
    <n v="3"/>
    <s v="Prof. Rahul Singh"/>
  </r>
  <r>
    <s v="STU0592"/>
    <s v="Varun Hooda"/>
    <x v="1"/>
    <n v="25"/>
    <x v="2"/>
    <n v="4.38"/>
    <n v="3.99"/>
    <s v="4.42%"/>
    <n v="3.72"/>
    <n v="4.41"/>
    <n v="3.68"/>
    <n v="3.94"/>
    <n v="4.32"/>
    <n v="4.37"/>
    <n v="3.44"/>
    <x v="378"/>
    <n v="4.13"/>
    <n v="3.9500000000000006"/>
    <n v="81.661933989999994"/>
    <n v="62.456975370000002"/>
    <n v="79.387603380000002"/>
    <n v="66.231890759999999"/>
    <n v="94.923927190000001"/>
    <n v="71.001072449999995"/>
    <n v="70.388879410000001"/>
    <n v="58.302831519999998"/>
    <n v="19.204958619999992"/>
    <n v="13.155712620000003"/>
    <n v="23.922854740000005"/>
    <n v="12.086047890000003"/>
    <x v="0"/>
    <x v="3"/>
    <x v="0"/>
    <n v="3"/>
    <s v="Prof. Kavita Rao"/>
  </r>
  <r>
    <s v="STU0593"/>
    <s v="Charul Kaur"/>
    <x v="0"/>
    <n v="24"/>
    <x v="2"/>
    <n v="3.94"/>
    <n v="3.72"/>
    <n v="4.16"/>
    <n v="4.4400000000000004"/>
    <n v="4.16"/>
    <n v="3.6"/>
    <n v="3.83"/>
    <n v="3.42"/>
    <n v="4.1100000000000003"/>
    <n v="3.73"/>
    <x v="15"/>
    <n v="4.08"/>
    <n v="3.7380000000000004"/>
    <n v="79.817987270000003"/>
    <n v="70.161339299999995"/>
    <n v="89.289406110000002"/>
    <n v="62.381207719999999"/>
    <n v="97.689431560000003"/>
    <n v="85"/>
    <n v="72.180300399999993"/>
    <n v="68.08882448"/>
    <n v="9.6566479700000087"/>
    <n v="26.908198390000003"/>
    <n v="12.689431560000003"/>
    <n v="4.0914759199999935"/>
    <x v="0"/>
    <x v="0"/>
    <x v="0"/>
    <n v="3"/>
    <s v="Prof. Rahul Singh"/>
  </r>
  <r>
    <s v="STU0594"/>
    <s v="Uday Nagar"/>
    <x v="1"/>
    <n v="26"/>
    <x v="3"/>
    <n v="4.3899999999999997"/>
    <n v="4.25"/>
    <n v="3.66"/>
    <n v="4.37"/>
    <n v="4.33"/>
    <n v="3.78"/>
    <n v="3.84"/>
    <s v="N/A"/>
    <n v="3.77"/>
    <n v="4.03"/>
    <x v="28"/>
    <n v="4.2"/>
    <n v="3.8549999999999995"/>
    <n v="76.176176690000005"/>
    <n v="60.818097190000003"/>
    <n v="75.362819439999996"/>
    <n v="66.687002860000007"/>
    <n v="84.683327890000001"/>
    <n v="77.975440039999995"/>
    <n v="65"/>
    <n v="60.233531720000002"/>
    <n v="15.358079500000002"/>
    <n v="8.6758165799999887"/>
    <n v="6.7078878500000059"/>
    <n v="4.766468279999998"/>
    <x v="2"/>
    <x v="4"/>
    <x v="3"/>
    <n v="3"/>
    <s v="Prof. Vikram Gupta"/>
  </r>
  <r>
    <s v="STU0595"/>
    <s v="Pankaj Ramesh"/>
    <x v="1"/>
    <n v="30"/>
    <x v="1"/>
    <n v="4.72"/>
    <n v="4.1500000000000004"/>
    <n v="3.81"/>
    <n v="3.99"/>
    <n v="4.18"/>
    <n v="3.81"/>
    <n v="3.71"/>
    <n v="4.2300000000000004"/>
    <n v="3.98"/>
    <n v="3.44"/>
    <x v="152"/>
    <n v="4.17"/>
    <n v="3.8340000000000005"/>
    <n v="80.748899219999998"/>
    <n v="71.035643300000004"/>
    <n v="80.016785979999995"/>
    <n v="60.6735063"/>
    <n v="92.980723069999996"/>
    <n v="74.972645369999995"/>
    <n v="68.537731750000006"/>
    <n v="61.866349190000001"/>
    <n v="9.7132559199999946"/>
    <n v="19.343279679999995"/>
    <n v="18.008077700000001"/>
    <n v="6.671382560000005"/>
    <x v="0"/>
    <x v="4"/>
    <x v="4"/>
    <n v="3"/>
    <s v="Prof. Vikram Gupta"/>
  </r>
  <r>
    <s v="STU0596"/>
    <s v="Vishal Dasari"/>
    <x v="1"/>
    <n v="25"/>
    <x v="2"/>
    <n v="3.99"/>
    <n v="4.13"/>
    <n v="3.95"/>
    <n v="3.92"/>
    <n v="3.89"/>
    <n v="4.55"/>
    <n v="3.18"/>
    <n v="4.3099999999999996"/>
    <n v="4.38"/>
    <n v="3.15"/>
    <x v="61"/>
    <n v="3.98"/>
    <n v="3.9139999999999993"/>
    <n v="79.318871040000005"/>
    <n v="60"/>
    <n v="90"/>
    <n v="61.084401190000001"/>
    <n v="96.25352006"/>
    <n v="75.941749139999999"/>
    <n v="73.201967080000003"/>
    <n v="70"/>
    <n v="19.318871040000005"/>
    <n v="28.915598809999999"/>
    <n v="20.311770920000001"/>
    <n v="3.2019670800000029"/>
    <x v="0"/>
    <x v="2"/>
    <x v="2"/>
    <n v="3"/>
    <s v="Prof. Rajesh Mukherjee"/>
  </r>
  <r>
    <s v="STU0597"/>
    <s v="Sandeep Kapaddia"/>
    <x v="1"/>
    <n v="24"/>
    <x v="2"/>
    <s v="N/A"/>
    <n v="3.86"/>
    <n v="3.91"/>
    <n v="4.5"/>
    <n v="4.22"/>
    <n v="3.67"/>
    <n v="4.25"/>
    <n v="4.29"/>
    <n v="4.04"/>
    <n v="3.9"/>
    <x v="379"/>
    <n v="4.12"/>
    <n v="4.0299999999999994"/>
    <n v="77.648862550000004"/>
    <n v="72.463916510000004"/>
    <n v="70"/>
    <n v="56.58577107"/>
    <n v="83.874404760000004"/>
    <n v="81.767779540000006"/>
    <n v="73.093586799999997"/>
    <n v="68.24984791"/>
    <n v="5.1849460399999998"/>
    <n v="13.41422893"/>
    <n v="2.106625219999998"/>
    <n v="4.8437388899999974"/>
    <x v="0"/>
    <x v="0"/>
    <x v="4"/>
    <n v="3"/>
    <s v="Prof. Rahul Singh"/>
  </r>
  <r>
    <s v="STU0598"/>
    <s v="Sunita Tyagi"/>
    <x v="0"/>
    <n v="22"/>
    <x v="0"/>
    <n v="4.18"/>
    <n v="3.78"/>
    <n v="4.46"/>
    <n v="4.34"/>
    <n v="4.1100000000000003"/>
    <n v="3.93"/>
    <n v="4.67"/>
    <n v="4.3099999999999996"/>
    <n v="3.71"/>
    <n v="4.0999999999999996"/>
    <x v="380"/>
    <n v="4.17"/>
    <n v="4.1440000000000001"/>
    <n v="86.519742789999995"/>
    <n v="70.384178820000002"/>
    <n v="70"/>
    <n v="74.850271739999997"/>
    <n v="90.593910140000006"/>
    <n v="75.311415830000001"/>
    <n v="72.226955349999997"/>
    <n v="57.757728909999997"/>
    <n v="16.135563969999993"/>
    <n v="-4.8502717399999966"/>
    <n v="15.282494310000004"/>
    <n v="14.46922644"/>
    <x v="0"/>
    <x v="1"/>
    <x v="1"/>
    <n v="3"/>
    <s v="Dr. Rohan Dutta"/>
  </r>
  <r>
    <s v="STU0599"/>
    <s v="Kiran Issrani"/>
    <x v="1"/>
    <n v="24"/>
    <x v="2"/>
    <n v="3.71"/>
    <n v="4.28"/>
    <n v="4.17"/>
    <n v="3.41"/>
    <n v="3.66"/>
    <n v="3.82"/>
    <n v="4.54"/>
    <n v="4.04"/>
    <n v="4.54"/>
    <n v="3.88"/>
    <x v="381"/>
    <n v="3.85"/>
    <n v="4.1639999999999997"/>
    <n v="80.665195209999993"/>
    <n v="63.242241909999997"/>
    <n v="74.748246960000003"/>
    <n v="57.424708940000002"/>
    <n v="92.940899860000002"/>
    <n v="82.449386360000005"/>
    <n v="74.879069090000002"/>
    <n v="51.200967689999999"/>
    <n v="17.422953299999996"/>
    <n v="17.323538020000001"/>
    <n v="10.491513499999996"/>
    <n v="23.678101400000003"/>
    <x v="1"/>
    <x v="2"/>
    <x v="1"/>
    <n v="3"/>
    <s v="Prof. Rajesh Mukherjee"/>
  </r>
  <r>
    <s v="STU0600"/>
    <s v="Advik Nandakumar"/>
    <x v="1"/>
    <n v="28"/>
    <x v="3"/>
    <n v="4.1500000000000004"/>
    <n v="4.18"/>
    <n v="4.01"/>
    <n v="3.89"/>
    <n v="3.87"/>
    <n v="3.44"/>
    <n v="4.21"/>
    <n v="4.2"/>
    <n v="3.53"/>
    <n v="4.1399999999999997"/>
    <x v="187"/>
    <n v="4.0199999999999996"/>
    <n v="3.9039999999999999"/>
    <n v="80.068250660000004"/>
    <n v="71.887084729999998"/>
    <n v="81.130717149999995"/>
    <n v="58.50478493"/>
    <n v="94.382838079999999"/>
    <n v="71.096318139999994"/>
    <n v="73.096926999999994"/>
    <n v="59.556323720000002"/>
    <n v="8.1811659300000059"/>
    <n v="22.625932219999996"/>
    <n v="23.286519940000005"/>
    <n v="13.540603279999992"/>
    <x v="0"/>
    <x v="2"/>
    <x v="1"/>
    <n v="3"/>
    <s v="Prof. Rajesh Mukherjee"/>
  </r>
  <r>
    <s v="STU0601"/>
    <s v="Ramesh Kher"/>
    <x v="1"/>
    <n v="21"/>
    <x v="0"/>
    <n v="4.1900000000000004"/>
    <n v="3.97"/>
    <n v="4.1399999999999997"/>
    <n v="3.93"/>
    <n v="3.87"/>
    <n v="4.24"/>
    <n v="3.89"/>
    <n v="4.03"/>
    <n v="3.95"/>
    <n v="4.34"/>
    <x v="187"/>
    <n v="4.0199999999999996"/>
    <n v="4.09"/>
    <n v="90.274363089999994"/>
    <n v="61.503619239999999"/>
    <n v="82.440516830000007"/>
    <n v="66.254414920000002"/>
    <n v="99.9"/>
    <n v="85"/>
    <n v="71.424807189999996"/>
    <n v="58.14892639"/>
    <n v="28.770743849999995"/>
    <n v="16.186101910000005"/>
    <n v="14.900000000000006"/>
    <n v="13.275880799999996"/>
    <x v="0"/>
    <x v="4"/>
    <x v="3"/>
    <n v="3"/>
    <s v="Prof. Vikram Gupta"/>
  </r>
  <r>
    <s v="STU0602"/>
    <s v="Navneet Yerramsetti"/>
    <x v="1"/>
    <n v="21"/>
    <x v="0"/>
    <n v="4.22"/>
    <n v="4.08"/>
    <n v="4.12"/>
    <n v="3.72"/>
    <n v="4.3"/>
    <n v="3.94"/>
    <n v="4.01"/>
    <n v="4.25"/>
    <n v="4.05"/>
    <n v="4.03"/>
    <x v="382"/>
    <n v="4.09"/>
    <n v="4.056"/>
    <n v="89.784629269999996"/>
    <n v="67.494555039999995"/>
    <n v="77.869172230000004"/>
    <n v="62.69548219"/>
    <n v="80"/>
    <n v="80.737652440000005"/>
    <n v="69.914825140000005"/>
    <n v="61.340275490000003"/>
    <n v="22.290074230000002"/>
    <n v="15.173690040000004"/>
    <n v="-0.73765244000000507"/>
    <n v="8.5745496500000016"/>
    <x v="0"/>
    <x v="3"/>
    <x v="4"/>
    <n v="3"/>
    <s v="Prof. Kavita Rao"/>
  </r>
  <r>
    <s v="STU0603"/>
    <s v="Gaurav Khatri"/>
    <x v="1"/>
    <n v="20"/>
    <x v="0"/>
    <n v="4.1399999999999997"/>
    <n v="4.09"/>
    <n v="3.78"/>
    <n v="4.08"/>
    <n v="3.77"/>
    <n v="4.1399999999999997"/>
    <n v="3.61"/>
    <n v="4.47"/>
    <n v="4.1399999999999997"/>
    <n v="3.9"/>
    <x v="87"/>
    <n v="3.97"/>
    <n v="4.0519999999999996"/>
    <n v="79.601846280000004"/>
    <n v="68.95847612"/>
    <n v="84.819068549999997"/>
    <n v="65.301335960000003"/>
    <n v="82.100820970000001"/>
    <n v="81.159432280000004"/>
    <n v="71.260860410000006"/>
    <n v="52.92358969"/>
    <n v="10.643370160000003"/>
    <n v="19.517732589999994"/>
    <n v="0.94138868999999659"/>
    <n v="18.337270720000006"/>
    <x v="0"/>
    <x v="4"/>
    <x v="4"/>
    <n v="3"/>
    <s v="Prof. Vikram Gupta"/>
  </r>
  <r>
    <s v="STU0604"/>
    <s v="Rohan Dasari"/>
    <x v="1"/>
    <n v="30"/>
    <x v="1"/>
    <n v="3.7"/>
    <n v="3.64"/>
    <n v="3.96"/>
    <n v="3.89"/>
    <n v="4.03"/>
    <n v="3.91"/>
    <n v="3.73"/>
    <n v="3.73"/>
    <n v="3.53"/>
    <n v="4.5"/>
    <x v="383"/>
    <n v="3.84"/>
    <n v="3.88"/>
    <n v="89.011808239999993"/>
    <n v="79.791636550000007"/>
    <n v="75.001778189999996"/>
    <n v="62.140997130000002"/>
    <n v="90.664605280000004"/>
    <n v="74.734549490000006"/>
    <n v="67.613085350000006"/>
    <n v="58.47252889"/>
    <n v="9.2201716899999866"/>
    <n v="12.860781059999994"/>
    <n v="15.930055789999997"/>
    <n v="9.1405564600000062"/>
    <x v="1"/>
    <x v="3"/>
    <x v="3"/>
    <n v="3"/>
    <s v="Prof. Kavita Rao"/>
  </r>
  <r>
    <s v="STU0605"/>
    <s v="Shikha Manwani"/>
    <x v="0"/>
    <n v="28"/>
    <x v="3"/>
    <n v="4.51"/>
    <n v="4.1900000000000004"/>
    <n v="3.81"/>
    <n v="4.1399999999999997"/>
    <n v="4.21"/>
    <n v="4.1500000000000004"/>
    <n v="4.5"/>
    <s v="N/A"/>
    <n v="4.09"/>
    <n v="3.78"/>
    <x v="45"/>
    <n v="4.17"/>
    <n v="4.13"/>
    <n v="91.706107689999996"/>
    <n v="69.347316860000006"/>
    <n v="80.252383960000003"/>
    <n v="64.896472130000006"/>
    <n v="93.33428868"/>
    <n v="75.61528783"/>
    <n v="68.418703300000004"/>
    <n v="55.383196130000002"/>
    <n v="22.35879082999999"/>
    <n v="15.355911829999997"/>
    <n v="17.71900085"/>
    <n v="13.035507170000002"/>
    <x v="0"/>
    <x v="4"/>
    <x v="1"/>
    <n v="3"/>
    <s v="Prof. Vikram Gupta"/>
  </r>
  <r>
    <s v="STU0606"/>
    <s v="Shreya Bhatt"/>
    <x v="1"/>
    <n v="28"/>
    <x v="3"/>
    <n v="4.21"/>
    <n v="4.47"/>
    <n v="3.96"/>
    <n v="4"/>
    <n v="3.86"/>
    <n v="3.96"/>
    <n v="3.38"/>
    <n v="4.1500000000000004"/>
    <n v="4.5999999999999996"/>
    <n v="4.5599999999999996"/>
    <x v="285"/>
    <n v="4.0999999999999996"/>
    <n v="4.13"/>
    <n v="99.335466819999994"/>
    <n v="67.080187929999994"/>
    <n v="89.913190209999996"/>
    <n v="61.888786840000002"/>
    <n v="93.358540849999997"/>
    <n v="75.466448749999998"/>
    <n v="65"/>
    <n v="70"/>
    <n v="32.25527889"/>
    <n v="28.024403369999995"/>
    <n v="17.892092099999999"/>
    <n v="-5"/>
    <x v="0"/>
    <x v="2"/>
    <x v="0"/>
    <n v="3"/>
    <s v="Prof. Rajesh Mukherjee"/>
  </r>
  <r>
    <s v="STU0607"/>
    <s v="Ramesh Raj"/>
    <x v="1"/>
    <n v="30"/>
    <x v="1"/>
    <n v="4.0199999999999996"/>
    <n v="4.26"/>
    <n v="4.34"/>
    <n v="3.51"/>
    <n v="3.93"/>
    <s v="3.99%"/>
    <n v="3.77"/>
    <n v="3.99"/>
    <n v="3.73"/>
    <n v="3.85"/>
    <x v="384"/>
    <n v="4.01"/>
    <n v="3.835"/>
    <n v="76.478022910000007"/>
    <n v="69.004313109999998"/>
    <n v="81.202738429999997"/>
    <n v="63.673269089999998"/>
    <n v="86.045893219999996"/>
    <n v="76.110170350000004"/>
    <n v="68.727009210000006"/>
    <n v="58.770664910000001"/>
    <n v="7.4737098000000088"/>
    <n v="17.529469339999999"/>
    <n v="9.9357228699999922"/>
    <n v="9.9563443000000049"/>
    <x v="0"/>
    <x v="1"/>
    <x v="4"/>
    <n v="3"/>
    <s v="Dr. Rohan Dutta"/>
  </r>
  <r>
    <s v="STU0608"/>
    <s v="Ananya Jain"/>
    <x v="0"/>
    <n v="22"/>
    <x v="0"/>
    <n v="3.74"/>
    <n v="4.18"/>
    <n v="4.2300000000000004"/>
    <n v="3.83"/>
    <n v="4.04"/>
    <n v="4.21"/>
    <n v="4.21"/>
    <n v="4.16"/>
    <n v="4.2"/>
    <n v="4.24"/>
    <x v="58"/>
    <n v="4"/>
    <n v="4.2040000000000006"/>
    <n v="89.290701709999993"/>
    <n v="79.36391922"/>
    <n v="76.453302280000003"/>
    <n v="65.785495929999996"/>
    <n v="89.917054649999997"/>
    <n v="85"/>
    <n v="68.002650220000007"/>
    <n v="59.719026460000002"/>
    <n v="9.9267824899999937"/>
    <n v="10.667806350000006"/>
    <n v="4.9170546499999972"/>
    <n v="8.2836237600000047"/>
    <x v="0"/>
    <x v="1"/>
    <x v="3"/>
    <n v="3"/>
    <s v="Dr. Rohan Dutta"/>
  </r>
  <r>
    <s v="STU0609"/>
    <s v="Harshita Iyer"/>
    <x v="0"/>
    <n v="30"/>
    <x v="1"/>
    <n v="3.94"/>
    <n v="4.3600000000000003"/>
    <n v="4.26"/>
    <n v="4.4400000000000004"/>
    <n v="4.0199999999999996"/>
    <n v="4.12"/>
    <n v="4.3499999999999996"/>
    <s v="N/A"/>
    <n v="3.91"/>
    <n v="4.3499999999999996"/>
    <x v="133"/>
    <n v="4.2"/>
    <n v="4.1824999999999992"/>
    <n v="82.254094929999994"/>
    <n v="64.705906159999998"/>
    <n v="79.498361209999999"/>
    <n v="68.660389199999997"/>
    <n v="80"/>
    <n v="81.566141259999995"/>
    <n v="65"/>
    <n v="50"/>
    <n v="17.548188769999996"/>
    <n v="10.837972010000001"/>
    <n v="-1.5661412599999949"/>
    <n v="15"/>
    <x v="2"/>
    <x v="0"/>
    <x v="1"/>
    <n v="3"/>
    <s v="Prof. Rahul Singh"/>
  </r>
  <r>
    <s v="STU0610"/>
    <s v="Omkar Agarwal"/>
    <x v="1"/>
    <n v="21"/>
    <x v="0"/>
    <n v="3.62"/>
    <n v="4.47"/>
    <n v="4.21"/>
    <n v="4.2"/>
    <n v="4.0599999999999996"/>
    <n v="3.63"/>
    <n v="3.52"/>
    <n v="4.07"/>
    <n v="3.93"/>
    <n v="4.1500000000000004"/>
    <x v="16"/>
    <n v="4.1100000000000003"/>
    <n v="3.8600000000000003"/>
    <n v="94.256781329999995"/>
    <n v="66.628974479999997"/>
    <n v="77.744428990000003"/>
    <n v="62.616282579999996"/>
    <n v="93.161923380000005"/>
    <n v="75.194031260000003"/>
    <n v="76.21364595"/>
    <n v="50"/>
    <n v="27.627806849999999"/>
    <n v="15.128146410000006"/>
    <n v="17.967892120000002"/>
    <n v="26.21364595"/>
    <x v="0"/>
    <x v="2"/>
    <x v="3"/>
    <n v="3"/>
    <s v="Prof. Rajesh Mukherjee"/>
  </r>
  <r>
    <s v="STU0611"/>
    <s v="Ishita Bajaj"/>
    <x v="0"/>
    <n v="20"/>
    <x v="0"/>
    <n v="3.73"/>
    <n v="4.12"/>
    <n v="3.72"/>
    <n v="4.08"/>
    <n v="4.12"/>
    <n v="4.71"/>
    <n v="3.95"/>
    <n v="4.87"/>
    <n v="3.94"/>
    <n v="3.84"/>
    <x v="340"/>
    <n v="3.95"/>
    <n v="4.2620000000000005"/>
    <n v="77.924409130000001"/>
    <n v="60.317731010000003"/>
    <n v="77.159173300000006"/>
    <n v="65.921703699999995"/>
    <n v="88.793326269999994"/>
    <n v="77.70810041"/>
    <n v="66.136937700000004"/>
    <n v="56.832852750000001"/>
    <n v="17.606678119999998"/>
    <n v="11.237469600000011"/>
    <n v="11.085225859999994"/>
    <n v="9.3040849500000036"/>
    <x v="0"/>
    <x v="2"/>
    <x v="4"/>
    <n v="3"/>
    <s v="Prof. Rajesh Mukherjee"/>
  </r>
  <r>
    <s v="STU0612"/>
    <s v="Vishnu Chopra"/>
    <x v="1"/>
    <n v="23"/>
    <x v="2"/>
    <n v="3.94"/>
    <n v="4.3600000000000003"/>
    <n v="4.4400000000000004"/>
    <n v="4.28"/>
    <n v="4.29"/>
    <n v="4.8499999999999996"/>
    <n v="3.4"/>
    <n v="4.71"/>
    <n v="4.13"/>
    <n v="3.66"/>
    <x v="385"/>
    <n v="4.26"/>
    <n v="4.1500000000000004"/>
    <n v="75"/>
    <n v="67.004567249999994"/>
    <n v="90"/>
    <n v="71.510594870000006"/>
    <n v="81.734066159999998"/>
    <n v="80.724251269999996"/>
    <n v="65.999117369999993"/>
    <n v="58.819425840000001"/>
    <n v="7.9954327500000062"/>
    <n v="18.489405129999994"/>
    <n v="1.0098148900000012"/>
    <n v="7.1796915299999924"/>
    <x v="2"/>
    <x v="1"/>
    <x v="2"/>
    <n v="3"/>
    <s v="Dr. Rohan Dutta"/>
  </r>
  <r>
    <s v="STU0613"/>
    <s v="Atharv Puri"/>
    <x v="1"/>
    <n v="28"/>
    <x v="3"/>
    <n v="4.62"/>
    <n v="4.2"/>
    <n v="4.4800000000000004"/>
    <n v="3.94"/>
    <n v="3.94"/>
    <n v="3.89"/>
    <n v="4.72"/>
    <n v="4.32"/>
    <n v="4.01"/>
    <n v="4.29"/>
    <x v="386"/>
    <n v="4.24"/>
    <n v="4.2459999999999996"/>
    <n v="93.89240006"/>
    <n v="68.007750740000006"/>
    <n v="81.603392380000003"/>
    <n v="59.181275200000002"/>
    <n v="84.766961660000007"/>
    <n v="76.278688829999993"/>
    <n v="70.218462049999999"/>
    <n v="57.540703399999998"/>
    <n v="25.884649319999994"/>
    <n v="22.422117180000001"/>
    <n v="8.4882728300000139"/>
    <n v="12.677758650000001"/>
    <x v="2"/>
    <x v="4"/>
    <x v="1"/>
    <n v="3"/>
    <s v="Prof. Vikram Gupta"/>
  </r>
  <r>
    <s v="STU0614"/>
    <s v="Tanya Khatri"/>
    <x v="0"/>
    <n v="30"/>
    <x v="1"/>
    <n v="4.17"/>
    <n v="3.86"/>
    <n v="4.1900000000000004"/>
    <n v="3.83"/>
    <n v="4.26"/>
    <n v="4.3899999999999997"/>
    <n v="4.18"/>
    <n v="4.1100000000000003"/>
    <n v="3.86"/>
    <n v="3.48"/>
    <x v="62"/>
    <n v="4.0599999999999996"/>
    <n v="4.0039999999999996"/>
    <n v="92.385015210000006"/>
    <n v="71.279780959999997"/>
    <n v="74.206953530000007"/>
    <n v="63.98690972"/>
    <n v="81.346347629999997"/>
    <n v="80.575139660000005"/>
    <n v="68.976289750000007"/>
    <n v="54.062306700000001"/>
    <n v="21.105234250000009"/>
    <n v="10.220043810000007"/>
    <n v="0.77120796999999186"/>
    <n v="14.913983050000006"/>
    <x v="0"/>
    <x v="3"/>
    <x v="2"/>
    <n v="3"/>
    <s v="Prof. Kavita Rao"/>
  </r>
  <r>
    <s v="STU0615"/>
    <s v="Diya Vohra"/>
    <x v="0"/>
    <n v="26"/>
    <x v="3"/>
    <n v="3.43"/>
    <n v="3.54"/>
    <n v="3.85"/>
    <n v="4.49"/>
    <n v="3.91"/>
    <n v="4.26"/>
    <n v="4.0599999999999996"/>
    <n v="3.7"/>
    <n v="4.07"/>
    <n v="4.96"/>
    <x v="314"/>
    <n v="3.84"/>
    <n v="4.21"/>
    <n v="91.150250229999997"/>
    <n v="70.733805450000006"/>
    <n v="70.715718929999994"/>
    <n v="63.110335040000002"/>
    <n v="85.593639929999995"/>
    <n v="72.956560530000004"/>
    <n v="66.763017970000007"/>
    <n v="50"/>
    <n v="20.416444779999992"/>
    <n v="7.6053838899999917"/>
    <n v="12.63707939999999"/>
    <n v="16.763017970000007"/>
    <x v="1"/>
    <x v="0"/>
    <x v="3"/>
    <n v="3"/>
    <s v="Prof. Rahul Singh"/>
  </r>
  <r>
    <s v="STU0616"/>
    <s v="Pankaj Vohra"/>
    <x v="1"/>
    <n v="25"/>
    <x v="2"/>
    <s v="N/A"/>
    <n v="4.16"/>
    <n v="4.54"/>
    <n v="4.0999999999999996"/>
    <n v="4.04"/>
    <n v="4.03"/>
    <n v="3.37"/>
    <n v="4.1500000000000004"/>
    <n v="3.9"/>
    <n v="3.76"/>
    <x v="141"/>
    <n v="4.21"/>
    <n v="3.8420000000000001"/>
    <n v="75"/>
    <n v="63.743477640000002"/>
    <n v="75.00544592"/>
    <n v="69.130580089999995"/>
    <n v="82.552360370000002"/>
    <n v="80.78147294"/>
    <n v="69.623979419999998"/>
    <n v="65.778773150000006"/>
    <n v="11.256522359999998"/>
    <n v="5.8748658300000045"/>
    <n v="1.7708874300000019"/>
    <n v="3.8452062699999914"/>
    <x v="2"/>
    <x v="1"/>
    <x v="4"/>
    <n v="3"/>
    <s v="Dr. Rohan Dutta"/>
  </r>
  <r>
    <s v="STU0617"/>
    <s v="Girish Bakshi"/>
    <x v="1"/>
    <n v="30"/>
    <x v="1"/>
    <n v="3.5"/>
    <n v="3.92"/>
    <n v="3.97"/>
    <n v="3.95"/>
    <n v="4.6399999999999997"/>
    <s v="N/A"/>
    <n v="3.82"/>
    <n v="3.63"/>
    <n v="3.7"/>
    <n v="4.5199999999999996"/>
    <x v="298"/>
    <n v="4"/>
    <n v="3.9174999999999995"/>
    <n v="82.919446019999995"/>
    <n v="80"/>
    <n v="72.470706289999995"/>
    <n v="75"/>
    <n v="82.184743089999998"/>
    <n v="80.324608830000003"/>
    <n v="72.906938569999994"/>
    <n v="55.980632010000001"/>
    <n v="2.9194460199999952"/>
    <n v="-2.5292937100000046"/>
    <n v="1.8601342599999953"/>
    <n v="16.926306559999993"/>
    <x v="0"/>
    <x v="3"/>
    <x v="3"/>
    <n v="3"/>
    <s v="Prof. Kavita Rao"/>
  </r>
  <r>
    <s v="STU0618"/>
    <s v="Simran Rawat"/>
    <x v="0"/>
    <n v="22"/>
    <x v="0"/>
    <n v="3.59"/>
    <n v="4.45"/>
    <n v="4.4000000000000004"/>
    <n v="3.2"/>
    <n v="4.2699999999999996"/>
    <n v="4.2699999999999996"/>
    <n v="4.07"/>
    <n v="4.09"/>
    <n v="4.03"/>
    <n v="3.51"/>
    <x v="299"/>
    <n v="3.98"/>
    <n v="3.9939999999999998"/>
    <n v="83.601716260000003"/>
    <n v="69.106952710000002"/>
    <n v="74.790942000000001"/>
    <n v="62.218161209999998"/>
    <n v="88.70094392"/>
    <n v="81.039823560000002"/>
    <n v="71.122346429999993"/>
    <n v="50"/>
    <n v="14.494763550000002"/>
    <n v="12.572780790000003"/>
    <n v="7.6611203599999982"/>
    <n v="21.122346429999993"/>
    <x v="0"/>
    <x v="2"/>
    <x v="2"/>
    <n v="3"/>
    <s v="Prof. Rajesh Mukherjee"/>
  </r>
  <r>
    <s v="STU0619"/>
    <s v="Manju Tyagi"/>
    <x v="1"/>
    <n v="23"/>
    <x v="2"/>
    <n v="4.42"/>
    <n v="4.29"/>
    <n v="3.88"/>
    <n v="4.53"/>
    <n v="4.09"/>
    <n v="4.42"/>
    <n v="3.88"/>
    <n v="4.25"/>
    <n v="4.46"/>
    <n v="3.77"/>
    <x v="387"/>
    <n v="4.24"/>
    <n v="4.1560000000000006"/>
    <n v="85.970166759999998"/>
    <n v="68.829536399999995"/>
    <n v="70"/>
    <n v="61.589568550000003"/>
    <n v="80"/>
    <n v="77.500588469999997"/>
    <n v="71.297451390000006"/>
    <n v="69.7494145"/>
    <n v="17.140630360000003"/>
    <n v="8.4104314499999973"/>
    <n v="2.4994115300000033"/>
    <n v="1.5480368900000059"/>
    <x v="2"/>
    <x v="0"/>
    <x v="0"/>
    <n v="3"/>
    <s v="Prof. Rahul Singh"/>
  </r>
  <r>
    <s v="STU0620"/>
    <s v="Neetu Patel"/>
    <x v="1"/>
    <n v="22"/>
    <x v="0"/>
    <n v="4.25"/>
    <n v="4.6100000000000003"/>
    <n v="3.54"/>
    <n v="4.4400000000000004"/>
    <n v="3.71"/>
    <n v="3.89"/>
    <n v="3.6"/>
    <n v="3.9"/>
    <n v="3.61"/>
    <n v="3.86"/>
    <x v="135"/>
    <n v="4.1100000000000003"/>
    <n v="3.7719999999999998"/>
    <n v="84.626024909999998"/>
    <n v="62.343121529999998"/>
    <n v="79.652993570000007"/>
    <n v="66.253176330000002"/>
    <n v="94.572596779999998"/>
    <n v="76.639271429999994"/>
    <n v="70.173894439999998"/>
    <n v="63.818719270000003"/>
    <n v="22.28290338"/>
    <n v="13.399817240000004"/>
    <n v="17.933325350000004"/>
    <n v="6.3551751699999954"/>
    <x v="0"/>
    <x v="2"/>
    <x v="4"/>
    <n v="3"/>
    <s v="Prof. Rajesh Mukherjee"/>
  </r>
  <r>
    <s v="STU0621"/>
    <s v="Sandeep Pradhan"/>
    <x v="1"/>
    <n v="21"/>
    <x v="0"/>
    <n v="4.2"/>
    <n v="4.12"/>
    <n v="4.28"/>
    <n v="4.1500000000000004"/>
    <n v="3.84"/>
    <n v="3.95"/>
    <n v="3.5"/>
    <n v="3.97"/>
    <s v="N/A"/>
    <n v="4.5"/>
    <x v="145"/>
    <n v="4.12"/>
    <n v="3.98"/>
    <n v="77.953466750000004"/>
    <n v="72.241316330000004"/>
    <n v="83.374518629999997"/>
    <n v="66.933579309999999"/>
    <n v="80"/>
    <n v="75.018694499999995"/>
    <n v="73.251192529999997"/>
    <n v="69.784887459999993"/>
    <n v="5.7121504200000004"/>
    <n v="16.440939319999998"/>
    <n v="4.9813055000000048"/>
    <n v="3.4663050700000042"/>
    <x v="0"/>
    <x v="1"/>
    <x v="3"/>
    <n v="3"/>
    <s v="Dr. Rohan Dutta"/>
  </r>
  <r>
    <s v="STU0622"/>
    <s v="Alka Tandon"/>
    <x v="0"/>
    <n v="20"/>
    <x v="0"/>
    <n v="3.77"/>
    <n v="3.45"/>
    <n v="4.3899999999999997"/>
    <n v="4.05"/>
    <n v="3.83"/>
    <n v="3.64"/>
    <n v="4.22"/>
    <n v="3.83"/>
    <n v="4.2300000000000004"/>
    <n v="3.78"/>
    <x v="345"/>
    <n v="3.9"/>
    <n v="3.94"/>
    <n v="88.853364020000001"/>
    <n v="73.460424669999995"/>
    <n v="80.044186519999997"/>
    <n v="58.608440700000003"/>
    <n v="89.034726300000003"/>
    <n v="73.553034210000007"/>
    <n v="72.828366829999993"/>
    <n v="57.75324071"/>
    <n v="15.392939350000006"/>
    <n v="21.435745819999994"/>
    <n v="15.481692089999996"/>
    <n v="15.075126119999993"/>
    <x v="1"/>
    <x v="1"/>
    <x v="0"/>
    <n v="3"/>
    <s v="Dr. Rohan Dutta"/>
  </r>
  <r>
    <s v="STU0623"/>
    <s v="Sshreya Grover"/>
    <x v="1"/>
    <n v="23"/>
    <x v="2"/>
    <n v="3.75"/>
    <n v="4.1100000000000003"/>
    <n v="4.09"/>
    <n v="3.39"/>
    <n v="4.09"/>
    <n v="4.3"/>
    <n v="3.74"/>
    <n v="4.22"/>
    <n v="4.26"/>
    <n v="4.0599999999999996"/>
    <x v="140"/>
    <n v="3.89"/>
    <n v="4.1159999999999988"/>
    <n v="87.430822750000004"/>
    <n v="61.954235240000003"/>
    <n v="79.692398179999998"/>
    <n v="65.021694319999995"/>
    <n v="81.112726910000006"/>
    <n v="72.870826620000003"/>
    <n v="69.372384800000006"/>
    <n v="58.070183069999999"/>
    <n v="25.476587510000002"/>
    <n v="14.670703860000003"/>
    <n v="8.2419002900000038"/>
    <n v="11.302201730000007"/>
    <x v="1"/>
    <x v="2"/>
    <x v="2"/>
    <n v="3"/>
    <s v="Prof. Rajesh Mukherjee"/>
  </r>
  <r>
    <s v="STU0624"/>
    <s v="Sunil Sinha"/>
    <x v="1"/>
    <n v="29"/>
    <x v="1"/>
    <s v="N/A"/>
    <n v="4.04"/>
    <n v="3.75"/>
    <n v="3.3"/>
    <n v="4.2300000000000004"/>
    <n v="3.94"/>
    <n v="3.99"/>
    <n v="4.1500000000000004"/>
    <n v="4"/>
    <n v="4"/>
    <x v="342"/>
    <n v="3.83"/>
    <n v="4.016"/>
    <n v="87.061986070000003"/>
    <n v="65.231164010000001"/>
    <n v="74.929546189999996"/>
    <n v="56.811763300000003"/>
    <n v="93.201448170000006"/>
    <n v="76.033900669999994"/>
    <n v="65"/>
    <n v="57.303746420000003"/>
    <n v="21.830822060000003"/>
    <n v="18.117782889999994"/>
    <n v="17.167547500000012"/>
    <n v="7.6962535799999969"/>
    <x v="1"/>
    <x v="3"/>
    <x v="4"/>
    <n v="3"/>
    <s v="Prof. Kavita Rao"/>
  </r>
  <r>
    <s v="STU0625"/>
    <s v="Diya Ssinha"/>
    <x v="0"/>
    <n v="25"/>
    <x v="2"/>
    <n v="3.67"/>
    <n v="3.8"/>
    <n v="3.93"/>
    <n v="4.26"/>
    <n v="4.2300000000000004"/>
    <n v="4.2"/>
    <n v="3.99"/>
    <n v="4.1399999999999997"/>
    <n v="3.76"/>
    <s v="N/A"/>
    <x v="191"/>
    <n v="3.98"/>
    <n v="4.0225000000000009"/>
    <n v="76.597172790000002"/>
    <n v="60"/>
    <n v="73.857756989999999"/>
    <n v="59.833630110000001"/>
    <n v="80"/>
    <n v="79.426389929999999"/>
    <n v="76.391969450000005"/>
    <n v="70"/>
    <n v="16.597172790000002"/>
    <n v="14.024126879999997"/>
    <n v="0.57361007000000086"/>
    <n v="6.3919694500000048"/>
    <x v="0"/>
    <x v="0"/>
    <x v="2"/>
    <n v="3"/>
    <s v="Prof. Rahul Singh"/>
  </r>
  <r>
    <s v="STU0626"/>
    <s v="Suresh Marathe"/>
    <x v="1"/>
    <n v="28"/>
    <x v="3"/>
    <n v="4.09"/>
    <s v="N/A"/>
    <n v="3.93"/>
    <n v="3.99"/>
    <n v="4.13"/>
    <n v="4.08"/>
    <n v="3.81"/>
    <n v="4.62"/>
    <n v="4.2"/>
    <n v="4.12"/>
    <x v="388"/>
    <n v="4.04"/>
    <n v="4.1660000000000004"/>
    <n v="92.234465700000001"/>
    <n v="73.238530209999993"/>
    <n v="70.599627130000002"/>
    <n v="66.201689259999995"/>
    <n v="82.662383109999993"/>
    <n v="77.114322639999997"/>
    <n v="71.548075100000005"/>
    <n v="60.830015150000001"/>
    <n v="18.995935490000008"/>
    <n v="4.3979378700000069"/>
    <n v="5.5480604699999958"/>
    <n v="10.718059950000004"/>
    <x v="0"/>
    <x v="3"/>
    <x v="4"/>
    <n v="3"/>
    <s v="Prof. Kavita Rao"/>
  </r>
  <r>
    <s v="STU0627"/>
    <s v="Myra Reddy"/>
    <x v="0"/>
    <n v="29"/>
    <x v="1"/>
    <n v="3.91"/>
    <n v="4.4800000000000004"/>
    <n v="4.49"/>
    <n v="4.24"/>
    <n v="3.8"/>
    <n v="3.95"/>
    <n v="3.94"/>
    <n v="4.1500000000000004"/>
    <n v="4.05"/>
    <s v="N/A"/>
    <x v="389"/>
    <n v="4.18"/>
    <n v="4.0225"/>
    <n v="87.073630879999996"/>
    <n v="62.475011449999997"/>
    <n v="81.852977879999997"/>
    <n v="65.913929780000004"/>
    <n v="90.820006789999994"/>
    <n v="78.449546900000001"/>
    <n v="77.808792909999994"/>
    <n v="59.119043419999997"/>
    <n v="24.598619429999999"/>
    <n v="15.939048099999994"/>
    <n v="12.370459889999992"/>
    <n v="18.689749489999997"/>
    <x v="0"/>
    <x v="1"/>
    <x v="4"/>
    <n v="3"/>
    <s v="Dr. Rohan Dutta"/>
  </r>
  <r>
    <s v="STU0628"/>
    <s v="Zara Rana"/>
    <x v="0"/>
    <n v="22"/>
    <x v="0"/>
    <n v="3.72"/>
    <n v="4.13"/>
    <n v="3.94"/>
    <s v="N/A"/>
    <n v="3.77"/>
    <n v="3.66"/>
    <n v="4.43"/>
    <n v="4.1100000000000003"/>
    <s v="N/A"/>
    <n v="3.97"/>
    <x v="38"/>
    <n v="3.89"/>
    <n v="4.0424999999999995"/>
    <n v="84.30194453"/>
    <n v="71.728955420000005"/>
    <n v="76.291064570000003"/>
    <n v="63.271172370000002"/>
    <n v="91.27808623"/>
    <n v="76.575272040000002"/>
    <n v="67.344039260000002"/>
    <n v="60.741604809999998"/>
    <n v="12.572989109999995"/>
    <n v="13.019892200000001"/>
    <n v="14.702814189999998"/>
    <n v="6.6024344500000041"/>
    <x v="1"/>
    <x v="2"/>
    <x v="1"/>
    <n v="3"/>
    <s v="Prof. Rajesh Mukherjee"/>
  </r>
  <r>
    <s v="STU0629"/>
    <s v="Neha Narayan"/>
    <x v="0"/>
    <n v="28"/>
    <x v="3"/>
    <s v="N/A"/>
    <n v="3.71"/>
    <n v="4.1900000000000004"/>
    <n v="3.96"/>
    <n v="3.75"/>
    <n v="4.03"/>
    <s v="N/A"/>
    <n v="4.0999999999999996"/>
    <n v="4.12"/>
    <n v="4.21"/>
    <x v="390"/>
    <n v="3.9"/>
    <n v="4.1150000000000002"/>
    <n v="77.468405590000003"/>
    <n v="68.704825389999996"/>
    <n v="87.874317329999997"/>
    <n v="66.143977669999998"/>
    <n v="80"/>
    <n v="75.284441470000004"/>
    <n v="72.015486190000004"/>
    <n v="67.415446700000004"/>
    <n v="8.7635802000000069"/>
    <n v="21.730339659999999"/>
    <n v="4.7155585299999956"/>
    <n v="4.6000394900000003"/>
    <x v="0"/>
    <x v="1"/>
    <x v="3"/>
    <n v="3"/>
    <s v="Dr. Rohan Dutta"/>
  </r>
  <r>
    <s v="STU0630"/>
    <s v="Deepika Paul"/>
    <x v="0"/>
    <n v="30"/>
    <x v="1"/>
    <n v="4.34"/>
    <n v="4.3499999999999996"/>
    <n v="3.59"/>
    <n v="4.01"/>
    <n v="3.78"/>
    <n v="4.38"/>
    <n v="3.88"/>
    <n v="4"/>
    <n v="3.62"/>
    <n v="4.13"/>
    <x v="225"/>
    <n v="4.01"/>
    <n v="4.0019999999999998"/>
    <n v="79.915021530000004"/>
    <n v="71.737025349999996"/>
    <n v="73.73692011"/>
    <n v="73.973593649999998"/>
    <n v="94.859585510000002"/>
    <n v="71.269659369999999"/>
    <n v="74.05352852"/>
    <n v="62.594718829999998"/>
    <n v="8.1779961800000081"/>
    <n v="-0.23667353999999818"/>
    <n v="23.589926140000003"/>
    <n v="11.458809690000002"/>
    <x v="0"/>
    <x v="2"/>
    <x v="2"/>
    <n v="3"/>
    <s v="Prof. Rajesh Mukherjee"/>
  </r>
  <r>
    <s v="STU0631"/>
    <s v="Shraddha Kher"/>
    <x v="0"/>
    <n v="26"/>
    <x v="3"/>
    <n v="4.43"/>
    <n v="3.98"/>
    <n v="3.95"/>
    <n v="3.9"/>
    <n v="4.0999999999999996"/>
    <n v="4.6399999999999997"/>
    <n v="3.95"/>
    <n v="4.01"/>
    <n v="3.56"/>
    <n v="4.78"/>
    <x v="75"/>
    <n v="4.07"/>
    <n v="4.1880000000000006"/>
    <n v="86.019689139999997"/>
    <n v="73.538488959999995"/>
    <n v="76.635557680000005"/>
    <n v="70.144845410000002"/>
    <n v="93.238653110000001"/>
    <n v="67.446196760000007"/>
    <n v="71.032558699999996"/>
    <n v="68.968133780000002"/>
    <n v="12.481200180000002"/>
    <n v="6.4907122700000031"/>
    <n v="25.792456349999995"/>
    <n v="2.0644249199999933"/>
    <x v="0"/>
    <x v="4"/>
    <x v="3"/>
    <n v="3"/>
    <s v="Prof. Vikram Gupta"/>
  </r>
  <r>
    <s v="STU0632"/>
    <s v="Sakshi Narayan"/>
    <x v="0"/>
    <n v="25"/>
    <x v="2"/>
    <n v="3.79"/>
    <n v="4.45"/>
    <n v="3.74"/>
    <n v="3.2"/>
    <n v="3.82"/>
    <n v="3.88"/>
    <n v="3.33"/>
    <n v="3.66"/>
    <n v="3.8"/>
    <n v="3.83"/>
    <x v="352"/>
    <n v="3.8"/>
    <n v="3.7"/>
    <n v="87.861835139999997"/>
    <n v="73.280535880000002"/>
    <n v="73.648488510000007"/>
    <n v="68.27217838"/>
    <n v="95.983431069999995"/>
    <n v="69.508048389999999"/>
    <n v="70.378894509999995"/>
    <n v="67.862504079999994"/>
    <n v="14.581299259999994"/>
    <n v="5.3763101300000073"/>
    <n v="26.475382679999996"/>
    <n v="2.5163904300000013"/>
    <x v="1"/>
    <x v="2"/>
    <x v="2"/>
    <n v="3"/>
    <s v="Prof. Rajesh Mukherjee"/>
  </r>
  <r>
    <s v="STU0633"/>
    <s v="Nikhil Shukla"/>
    <x v="1"/>
    <n v="25"/>
    <x v="2"/>
    <n v="3.51"/>
    <n v="4.21"/>
    <n v="4.2699999999999996"/>
    <n v="4.1100000000000003"/>
    <n v="4.28"/>
    <n v="4.0599999999999996"/>
    <n v="4.1100000000000003"/>
    <n v="4.49"/>
    <n v="4.09"/>
    <n v="4.57"/>
    <x v="8"/>
    <n v="4.08"/>
    <n v="4.2640000000000002"/>
    <n v="78.019577769999998"/>
    <n v="64.931705519999994"/>
    <n v="81.455311199999997"/>
    <n v="65.174252179999996"/>
    <n v="92.590385429999998"/>
    <n v="82.368572470000004"/>
    <n v="72.354206520000005"/>
    <n v="61.263810040000003"/>
    <n v="13.087872250000004"/>
    <n v="16.281059020000001"/>
    <n v="10.221812959999994"/>
    <n v="11.090396480000003"/>
    <x v="0"/>
    <x v="3"/>
    <x v="3"/>
    <n v="3"/>
    <s v="Prof. Kavita Rao"/>
  </r>
  <r>
    <s v="STU0634"/>
    <s v="Anirudh Barua"/>
    <x v="1"/>
    <n v="29"/>
    <x v="1"/>
    <n v="4.1100000000000003"/>
    <n v="4.25"/>
    <n v="4.3499999999999996"/>
    <s v="N/A"/>
    <n v="4.12"/>
    <n v="4.09"/>
    <n v="4.25"/>
    <n v="4.2300000000000004"/>
    <n v="4.2"/>
    <n v="4.45"/>
    <x v="153"/>
    <n v="4.21"/>
    <n v="4.2439999999999998"/>
    <n v="81.802595310000001"/>
    <n v="64.767395070000006"/>
    <n v="79.116064769999994"/>
    <n v="62.920285120000003"/>
    <n v="96.223894779999995"/>
    <n v="70.568256329999997"/>
    <n v="69.798919209999994"/>
    <n v="64.033915890000003"/>
    <n v="17.035200239999995"/>
    <n v="16.195779649999992"/>
    <n v="25.655638449999998"/>
    <n v="5.765003319999991"/>
    <x v="2"/>
    <x v="1"/>
    <x v="3"/>
    <n v="3"/>
    <s v="Dr. Rohan Dutta"/>
  </r>
  <r>
    <s v="STU0635"/>
    <s v="Yuvraj Joshi"/>
    <x v="1"/>
    <n v="25"/>
    <x v="2"/>
    <n v="4.26"/>
    <n v="4.0199999999999996"/>
    <n v="4"/>
    <n v="4.2699999999999996"/>
    <n v="4.04"/>
    <n v="4.25"/>
    <n v="4.1900000000000004"/>
    <n v="3.85"/>
    <n v="4.12"/>
    <n v="4.24"/>
    <x v="316"/>
    <n v="4.12"/>
    <n v="4.13"/>
    <n v="82.132402709999994"/>
    <n v="67.825413299999994"/>
    <n v="78.228813650000006"/>
    <n v="72.385442870000006"/>
    <n v="91.023536730000004"/>
    <n v="85"/>
    <n v="70.032741250000001"/>
    <n v="52.916378379999998"/>
    <n v="14.30698941"/>
    <n v="5.8433707800000008"/>
    <n v="6.0235367300000036"/>
    <n v="17.116362870000003"/>
    <x v="0"/>
    <x v="0"/>
    <x v="2"/>
    <n v="3"/>
    <s v="Prof. Rahul Singh"/>
  </r>
  <r>
    <s v="STU0636"/>
    <s v="Shailesh Naair"/>
    <x v="1"/>
    <n v="29"/>
    <x v="1"/>
    <n v="4.53"/>
    <n v="4.1100000000000003"/>
    <n v="3.64"/>
    <n v="4.4400000000000004"/>
    <n v="4.63"/>
    <n v="4.53"/>
    <n v="3.97"/>
    <n v="4.2699999999999996"/>
    <n v="4.22"/>
    <n v="3.61"/>
    <x v="78"/>
    <n v="4.2699999999999996"/>
    <n v="4.1199999999999992"/>
    <n v="86.256755290000001"/>
    <n v="71.393537760000001"/>
    <n v="70"/>
    <n v="69.879108470000006"/>
    <n v="95.112549799999996"/>
    <n v="69.842303439999995"/>
    <n v="73.998781579999999"/>
    <n v="60.015262659999998"/>
    <n v="14.86321753"/>
    <n v="0.12089152999999442"/>
    <n v="25.270246360000002"/>
    <n v="13.983518920000002"/>
    <x v="2"/>
    <x v="3"/>
    <x v="2"/>
    <n v="3"/>
    <s v="Prof. Kavita Rao"/>
  </r>
  <r>
    <s v="STU0637"/>
    <s v="Vandana Lamba"/>
    <x v="0"/>
    <n v="27"/>
    <x v="3"/>
    <n v="4.13"/>
    <n v="3.97"/>
    <s v="N/A"/>
    <n v="4.62"/>
    <n v="4.1100000000000003"/>
    <n v="3.85"/>
    <n v="3.83"/>
    <n v="4.26"/>
    <n v="3.34"/>
    <n v="3.54"/>
    <x v="153"/>
    <n v="4.21"/>
    <n v="3.7640000000000002"/>
    <n v="88.913858279999999"/>
    <n v="60.72214125"/>
    <n v="80.273468089999994"/>
    <n v="65.436704219999996"/>
    <n v="88.111916500000007"/>
    <n v="74.719531989999993"/>
    <n v="70.764738919999999"/>
    <n v="52.962680730000002"/>
    <n v="28.19171703"/>
    <n v="14.836763869999999"/>
    <n v="13.392384510000014"/>
    <n v="17.802058189999997"/>
    <x v="2"/>
    <x v="0"/>
    <x v="4"/>
    <n v="3"/>
    <s v="Prof. Rahul Singh"/>
  </r>
  <r>
    <s v="STU0638"/>
    <s v="Sameer Joshi"/>
    <x v="1"/>
    <n v="26"/>
    <x v="3"/>
    <n v="4.08"/>
    <n v="3.63"/>
    <n v="4.21"/>
    <n v="3.84"/>
    <n v="4.1900000000000004"/>
    <n v="4.24"/>
    <n v="3.87"/>
    <n v="3.86"/>
    <n v="4.32"/>
    <n v="4.32"/>
    <x v="361"/>
    <n v="3.99"/>
    <n v="4.1219999999999999"/>
    <n v="85.413658850000004"/>
    <n v="72.853828280000002"/>
    <n v="70"/>
    <n v="71.655484299999998"/>
    <n v="92.023073569999994"/>
    <n v="79.405867889999996"/>
    <n v="72.553135749999996"/>
    <n v="53.977341539999998"/>
    <n v="12.559830570000003"/>
    <n v="-1.6554842999999977"/>
    <n v="12.617205679999998"/>
    <n v="18.575794209999998"/>
    <x v="0"/>
    <x v="1"/>
    <x v="0"/>
    <n v="3"/>
    <s v="Dr. Rohan Dutta"/>
  </r>
  <r>
    <s v="STU0639"/>
    <s v="Dinesh Zaveri"/>
    <x v="1"/>
    <n v="23"/>
    <x v="2"/>
    <n v="4.08"/>
    <n v="4.18"/>
    <n v="3.59"/>
    <n v="4.1399999999999997"/>
    <n v="4.4000000000000004"/>
    <n v="4.2"/>
    <n v="4.05"/>
    <n v="3.59"/>
    <n v="3.67"/>
    <n v="4.03"/>
    <x v="254"/>
    <n v="4.08"/>
    <n v="3.9079999999999999"/>
    <n v="81.147598790000004"/>
    <n v="61.459870709999997"/>
    <n v="77.719716590000004"/>
    <n v="61.229680500000001"/>
    <n v="93.521320939999995"/>
    <n v="75.559155989999994"/>
    <n v="68.96573325"/>
    <n v="55.505861920000001"/>
    <n v="19.687728080000007"/>
    <n v="16.490036090000004"/>
    <n v="17.962164950000002"/>
    <n v="13.459871329999999"/>
    <x v="0"/>
    <x v="3"/>
    <x v="2"/>
    <n v="3"/>
    <s v="Prof. Kavita Rao"/>
  </r>
  <r>
    <s v="STU0640"/>
    <s v="Omkar Duggal"/>
    <x v="1"/>
    <n v="28"/>
    <x v="3"/>
    <n v="3.69"/>
    <n v="3.99"/>
    <n v="4.4000000000000004"/>
    <n v="3.95"/>
    <n v="3.65"/>
    <n v="3.83"/>
    <n v="4.17"/>
    <n v="3.6"/>
    <n v="4.2300000000000004"/>
    <n v="4.7"/>
    <x v="309"/>
    <n v="3.94"/>
    <n v="4.1059999999999999"/>
    <n v="79.709013659999997"/>
    <n v="66.482245050000003"/>
    <n v="79.941047420000004"/>
    <n v="69.160056890000007"/>
    <n v="94.628020969999994"/>
    <n v="80.811869540000004"/>
    <n v="73.537861160000006"/>
    <n v="50"/>
    <n v="13.226768609999993"/>
    <n v="10.780990529999997"/>
    <n v="13.816151429999991"/>
    <n v="23.537861160000006"/>
    <x v="0"/>
    <x v="1"/>
    <x v="3"/>
    <n v="3"/>
    <s v="Dr. Rohan Dutta"/>
  </r>
  <r>
    <s v="STU0641"/>
    <s v="Riya Ooberoi"/>
    <x v="0"/>
    <n v="29"/>
    <x v="1"/>
    <n v="3.83"/>
    <n v="4.22"/>
    <n v="4.37"/>
    <n v="3.78"/>
    <n v="4.33"/>
    <n v="3.93"/>
    <n v="3.89"/>
    <n v="4"/>
    <n v="4.3499999999999996"/>
    <n v="4.22"/>
    <x v="200"/>
    <n v="4.1100000000000003"/>
    <n v="4.0780000000000003"/>
    <n v="92.538658299999994"/>
    <n v="70.823849580000001"/>
    <n v="70"/>
    <n v="69.482328120000005"/>
    <n v="99.9"/>
    <n v="79.922481860000005"/>
    <n v="67.258462260000002"/>
    <n v="65.315231049999994"/>
    <n v="21.714808719999994"/>
    <n v="0.51767187999999464"/>
    <n v="19.977518140000001"/>
    <n v="1.9432312100000075"/>
    <x v="0"/>
    <x v="1"/>
    <x v="0"/>
    <n v="3"/>
    <s v="Dr. Rohan Dutta"/>
  </r>
  <r>
    <s v="STU0642"/>
    <s v="Ritika Jindal"/>
    <x v="0"/>
    <n v="24"/>
    <x v="2"/>
    <n v="3.74"/>
    <n v="3.87"/>
    <n v="3.81"/>
    <n v="3.82"/>
    <n v="3.73"/>
    <n v="4.12"/>
    <n v="4.1399999999999997"/>
    <n v="3.79"/>
    <n v="3.9"/>
    <n v="4.1900000000000004"/>
    <x v="189"/>
    <n v="3.79"/>
    <n v="4.0280000000000005"/>
    <n v="91.292175119999996"/>
    <n v="74.705576969999996"/>
    <n v="73.832146820000006"/>
    <n v="67.516968969999994"/>
    <n v="94.123837690000002"/>
    <n v="68.659192430000004"/>
    <n v="74.860032309999994"/>
    <n v="59.526867770000003"/>
    <n v="16.58659815"/>
    <n v="6.315177850000012"/>
    <n v="25.464645259999998"/>
    <n v="15.333164539999991"/>
    <x v="1"/>
    <x v="2"/>
    <x v="3"/>
    <n v="3"/>
    <s v="Prof. Rajesh Mukherjee"/>
  </r>
  <r>
    <s v="STU0643"/>
    <s v="Jatin Khosla"/>
    <x v="1"/>
    <n v="28"/>
    <x v="3"/>
    <n v="3.87"/>
    <n v="3.81"/>
    <n v="4.58"/>
    <n v="4.3499999999999996"/>
    <n v="3.59"/>
    <n v="4.01"/>
    <n v="4.21"/>
    <n v="3.34"/>
    <n v="4.1500000000000004"/>
    <n v="4.12"/>
    <x v="91"/>
    <n v="4.04"/>
    <n v="3.9659999999999997"/>
    <n v="82.803912879999999"/>
    <n v="74.459085209999998"/>
    <n v="81.09026102"/>
    <n v="62.30150665"/>
    <n v="99.9"/>
    <n v="85"/>
    <n v="69.859615059999996"/>
    <n v="54.268599109999997"/>
    <n v="8.3448276700000008"/>
    <n v="18.788754369999999"/>
    <n v="14.900000000000006"/>
    <n v="15.591015949999999"/>
    <x v="0"/>
    <x v="1"/>
    <x v="1"/>
    <n v="3"/>
    <s v="Dr. Rohan Dutta"/>
  </r>
  <r>
    <s v="STU0644"/>
    <s v="Sneha Nathani"/>
    <x v="0"/>
    <n v="26"/>
    <x v="3"/>
    <n v="4.12"/>
    <n v="4.25"/>
    <n v="3.92"/>
    <n v="4.29"/>
    <s v="N/A"/>
    <s v="3.61%"/>
    <n v="3.97"/>
    <n v="4.54"/>
    <n v="5.2"/>
    <n v="4.04"/>
    <x v="105"/>
    <n v="4.1500000000000004"/>
    <n v="4.4375"/>
    <n v="91.75798073"/>
    <n v="67.938707690000001"/>
    <n v="79.795640629999994"/>
    <n v="64.217868710000005"/>
    <n v="89.24958479"/>
    <n v="78.792839529999995"/>
    <n v="67.267481840000002"/>
    <n v="66.552939539999997"/>
    <n v="23.819273039999999"/>
    <n v="15.577771919999989"/>
    <n v="10.456745260000005"/>
    <n v="0.71454230000000507"/>
    <x v="0"/>
    <x v="0"/>
    <x v="0"/>
    <n v="3"/>
    <s v="Prof. Rahul Singh"/>
  </r>
  <r>
    <s v="STU0645"/>
    <s v="Meenakshi Agarwal"/>
    <x v="0"/>
    <n v="25"/>
    <x v="2"/>
    <n v="4.32"/>
    <n v="4.0599999999999996"/>
    <n v="4.3"/>
    <n v="3.55"/>
    <n v="3.78"/>
    <n v="4.24"/>
    <n v="3.64"/>
    <n v="3.83"/>
    <n v="3.67"/>
    <n v="4.12"/>
    <x v="52"/>
    <n v="4"/>
    <n v="3.9"/>
    <n v="84.286676709999995"/>
    <n v="70.489679129999999"/>
    <n v="79.542738310000004"/>
    <n v="68.298867900000005"/>
    <n v="89.870713089999995"/>
    <n v="78.032578349999994"/>
    <n v="72.509249870000005"/>
    <n v="53.246486060000002"/>
    <n v="13.796997579999996"/>
    <n v="11.24387041"/>
    <n v="11.838134740000001"/>
    <n v="19.262763810000003"/>
    <x v="0"/>
    <x v="4"/>
    <x v="2"/>
    <n v="3"/>
    <s v="Prof. Vikram Gupta"/>
  </r>
  <r>
    <s v="STU0646"/>
    <s v="Preeti Kalra"/>
    <x v="0"/>
    <n v="23"/>
    <x v="2"/>
    <n v="4.12"/>
    <n v="4.5599999999999996"/>
    <n v="4.1100000000000003"/>
    <n v="4.28"/>
    <n v="3.7"/>
    <n v="3.84"/>
    <n v="3.47"/>
    <n v="4.16"/>
    <n v="3.98"/>
    <s v="N/A"/>
    <x v="391"/>
    <n v="4.1500000000000004"/>
    <n v="3.8625000000000003"/>
    <n v="88.506699650000002"/>
    <n v="67.223628739999995"/>
    <n v="73.470938390000001"/>
    <n v="64.082807590000002"/>
    <n v="89.464518190000007"/>
    <n v="71.192328880000005"/>
    <n v="74.226077799999999"/>
    <n v="63.767387909999997"/>
    <n v="21.283070910000006"/>
    <n v="9.388130799999999"/>
    <n v="18.272189310000002"/>
    <n v="10.458689890000002"/>
    <x v="0"/>
    <x v="2"/>
    <x v="4"/>
    <n v="3"/>
    <s v="Prof. Rajesh Mukherjee"/>
  </r>
  <r>
    <s v="STU0647"/>
    <s v="Sudha Jhaveri"/>
    <x v="0"/>
    <n v="25"/>
    <x v="2"/>
    <n v="4.1100000000000003"/>
    <n v="3.56"/>
    <n v="4.1399999999999997"/>
    <n v="4.3899999999999997"/>
    <n v="3.76"/>
    <n v="3.94"/>
    <n v="3.9"/>
    <n v="3.97"/>
    <n v="4.09"/>
    <n v="4.03"/>
    <x v="22"/>
    <n v="3.99"/>
    <n v="3.9859999999999998"/>
    <n v="87.037507020000007"/>
    <n v="66.767772620000002"/>
    <n v="70"/>
    <n v="74.328636020000005"/>
    <n v="92.688010410000004"/>
    <n v="77.125364090000005"/>
    <n v="70.976564510000003"/>
    <n v="50"/>
    <n v="20.269734400000004"/>
    <n v="-4.3286360200000047"/>
    <n v="15.562646319999999"/>
    <n v="20.976564510000003"/>
    <x v="0"/>
    <x v="0"/>
    <x v="0"/>
    <n v="3"/>
    <s v="Prof. Rahul Singh"/>
  </r>
  <r>
    <s v="STU0648"/>
    <s v="Ritika Bhateja"/>
    <x v="0"/>
    <n v="26"/>
    <x v="3"/>
    <n v="4.0999999999999996"/>
    <n v="4.38"/>
    <n v="4.0599999999999996"/>
    <n v="3.51"/>
    <n v="3.95"/>
    <n v="3.8"/>
    <n v="3.7"/>
    <n v="3.83"/>
    <n v="4.22"/>
    <n v="4.09"/>
    <x v="392"/>
    <n v="4"/>
    <n v="3.9279999999999999"/>
    <n v="79.168451669999996"/>
    <n v="73.955507979999993"/>
    <n v="74.732368899999997"/>
    <n v="70.223516029999999"/>
    <n v="80"/>
    <n v="71.105822259999997"/>
    <n v="66.129682149999994"/>
    <n v="61.591164999999997"/>
    <n v="5.212943690000003"/>
    <n v="4.5088528699999983"/>
    <n v="8.8941777400000035"/>
    <n v="4.538517149999997"/>
    <x v="0"/>
    <x v="2"/>
    <x v="0"/>
    <n v="3"/>
    <s v="Prof. Rajesh Mukherjee"/>
  </r>
  <r>
    <s v="STU0649"/>
    <s v="Anirudh Bakshi"/>
    <x v="1"/>
    <n v="26"/>
    <x v="3"/>
    <n v="4.26"/>
    <n v="4.0199999999999996"/>
    <n v="3.74"/>
    <n v="4.3"/>
    <n v="4.1100000000000003"/>
    <n v="4.1900000000000004"/>
    <n v="3.73"/>
    <n v="3.9"/>
    <n v="4.16"/>
    <n v="3.96"/>
    <x v="174"/>
    <n v="4.09"/>
    <n v="3.9880000000000004"/>
    <n v="91.686014290000003"/>
    <n v="74.154567709999995"/>
    <n v="76.681880939999999"/>
    <n v="65.840864389999993"/>
    <n v="91.215810930000004"/>
    <n v="83.505246389999996"/>
    <n v="67.685515120000005"/>
    <n v="65.959827369999999"/>
    <n v="17.531446580000008"/>
    <n v="10.841016550000006"/>
    <n v="7.7105645400000071"/>
    <n v="1.7256877500000058"/>
    <x v="0"/>
    <x v="0"/>
    <x v="2"/>
    <n v="3"/>
    <s v="Prof. Rahul Singh"/>
  </r>
  <r>
    <s v="STU0650"/>
    <s v="Chetan Choudhary"/>
    <x v="1"/>
    <n v="28"/>
    <x v="3"/>
    <n v="4.53"/>
    <s v="N/A"/>
    <n v="3.84"/>
    <n v="4.0599999999999996"/>
    <n v="4.79"/>
    <n v="4.4000000000000004"/>
    <s v="N/A"/>
    <n v="4.28"/>
    <n v="3.98"/>
    <n v="3.95"/>
    <x v="393"/>
    <n v="4.3099999999999996"/>
    <n v="4.1524999999999999"/>
    <n v="82.094892689999995"/>
    <n v="74.340259140000001"/>
    <n v="76.029666969999994"/>
    <n v="60.80623421"/>
    <n v="91.005437860000001"/>
    <n v="84.617869560000003"/>
    <n v="72.358893899999998"/>
    <n v="50"/>
    <n v="7.7546335499999941"/>
    <n v="15.223432759999994"/>
    <n v="6.3875682999999981"/>
    <n v="22.358893899999998"/>
    <x v="2"/>
    <x v="3"/>
    <x v="2"/>
    <n v="3"/>
    <s v="Prof. Kavita Rao"/>
  </r>
  <r>
    <s v="STU0651"/>
    <s v="Varun Kher"/>
    <x v="1"/>
    <n v="30"/>
    <x v="1"/>
    <n v="3.85"/>
    <n v="4.03"/>
    <n v="4.26"/>
    <n v="3.8"/>
    <n v="4.1399999999999997"/>
    <n v="4.18"/>
    <n v="3.69"/>
    <n v="3.97"/>
    <n v="4.7699999999999996"/>
    <n v="4.38"/>
    <x v="394"/>
    <n v="4.0199999999999996"/>
    <n v="4.1979999999999995"/>
    <n v="85.491195360000006"/>
    <n v="80"/>
    <n v="78.586330329999996"/>
    <n v="72.04632805"/>
    <n v="81.831708950000007"/>
    <n v="79.809795510000001"/>
    <n v="69.287920880000001"/>
    <n v="56.069142020000001"/>
    <n v="5.4911953600000061"/>
    <n v="6.5400022799999959"/>
    <n v="2.0219134400000058"/>
    <n v="13.21877886"/>
    <x v="0"/>
    <x v="1"/>
    <x v="0"/>
    <n v="3"/>
    <s v="Dr. Rohan Dutta"/>
  </r>
  <r>
    <s v="STU0652"/>
    <s v="Ashwin Khanna"/>
    <x v="1"/>
    <n v="21"/>
    <x v="0"/>
    <n v="4.24"/>
    <n v="3.85"/>
    <n v="4.25"/>
    <n v="3.62"/>
    <n v="4.28"/>
    <n v="4.4000000000000004"/>
    <n v="3.97"/>
    <n v="4.25"/>
    <n v="3.98"/>
    <n v="3.7"/>
    <x v="11"/>
    <n v="4.05"/>
    <n v="4.0600000000000005"/>
    <n v="79.034305450000005"/>
    <n v="60"/>
    <n v="85.712250920000002"/>
    <n v="55"/>
    <n v="93.269340729999996"/>
    <n v="85"/>
    <n v="65.215216560000002"/>
    <n v="50"/>
    <n v="19.034305450000005"/>
    <n v="30.712250920000002"/>
    <n v="8.2693407299999961"/>
    <n v="15.215216560000002"/>
    <x v="0"/>
    <x v="3"/>
    <x v="2"/>
    <n v="3"/>
    <s v="Prof. Kavita Rao"/>
  </r>
  <r>
    <s v="STU0653"/>
    <s v="Sakshi Patel"/>
    <x v="0"/>
    <n v="25"/>
    <x v="2"/>
    <n v="4.4000000000000004"/>
    <n v="4.03"/>
    <n v="4.25"/>
    <n v="3.66"/>
    <n v="4.0599999999999996"/>
    <n v="4.34"/>
    <n v="3.71"/>
    <n v="3.89"/>
    <n v="3.96"/>
    <n v="4.07"/>
    <x v="284"/>
    <n v="4.08"/>
    <n v="3.9940000000000007"/>
    <n v="76.650722250000001"/>
    <n v="69.013877539999996"/>
    <n v="84.836886879999994"/>
    <n v="64.284266430000002"/>
    <n v="82.019974880000007"/>
    <n v="83.631838070000001"/>
    <n v="73.141465960000005"/>
    <n v="55.356575239999998"/>
    <n v="7.6368447100000054"/>
    <n v="20.552620449999992"/>
    <n v="-1.611863189999994"/>
    <n v="17.784890720000007"/>
    <x v="0"/>
    <x v="4"/>
    <x v="2"/>
    <n v="3"/>
    <s v="Prof. Vikram Gupta"/>
  </r>
  <r>
    <s v="STU0654"/>
    <s v="Jayant Saini"/>
    <x v="1"/>
    <n v="30"/>
    <x v="1"/>
    <n v="3.62"/>
    <n v="3.48"/>
    <n v="3.7"/>
    <n v="4.5599999999999996"/>
    <n v="4.13"/>
    <n v="3.74"/>
    <n v="4.33"/>
    <n v="3.49"/>
    <n v="3.88"/>
    <n v="4.1500000000000004"/>
    <x v="395"/>
    <n v="3.9"/>
    <n v="3.9180000000000006"/>
    <n v="87.476671999999994"/>
    <n v="70.640073790000002"/>
    <n v="81.337497839999997"/>
    <n v="68.383302450000002"/>
    <n v="97.109103599999997"/>
    <n v="76.176735570000005"/>
    <n v="69.376191180000006"/>
    <n v="54.005447439999998"/>
    <n v="16.836598209999991"/>
    <n v="12.954195389999995"/>
    <n v="20.932368029999992"/>
    <n v="15.370743740000009"/>
    <x v="1"/>
    <x v="0"/>
    <x v="1"/>
    <n v="3"/>
    <s v="Prof. Rahul Singh"/>
  </r>
  <r>
    <s v="STU0655"/>
    <s v="Ekta Kohiir"/>
    <x v="0"/>
    <n v="22"/>
    <x v="0"/>
    <n v="3.37"/>
    <n v="4.2300000000000004"/>
    <n v="4.22"/>
    <n v="4.43"/>
    <n v="3.44"/>
    <n v="4.53"/>
    <n v="4.09"/>
    <n v="4.7"/>
    <n v="3.98"/>
    <n v="4.5"/>
    <x v="9"/>
    <n v="3.94"/>
    <n v="4.3600000000000003"/>
    <n v="80.313754739999993"/>
    <n v="63.119557839999999"/>
    <n v="74.081163910000001"/>
    <n v="65.039450689999995"/>
    <n v="89.141419350000007"/>
    <n v="69.855349189999998"/>
    <n v="72.934384899999998"/>
    <n v="60.36676859"/>
    <n v="17.194196899999994"/>
    <n v="9.0417132200000054"/>
    <n v="19.286070160000008"/>
    <n v="12.567616309999998"/>
    <x v="0"/>
    <x v="0"/>
    <x v="4"/>
    <n v="3"/>
    <s v="Prof. Rahul Singh"/>
  </r>
  <r>
    <s v="STU0656"/>
    <s v="Shraddha Narayan"/>
    <x v="0"/>
    <n v="20"/>
    <x v="0"/>
    <n v="3.89"/>
    <n v="3.56"/>
    <n v="4.13"/>
    <n v="4.42"/>
    <n v="4.46"/>
    <n v="4.03"/>
    <n v="4.18"/>
    <n v="4.05"/>
    <n v="4.4800000000000004"/>
    <n v="4.3899999999999997"/>
    <x v="57"/>
    <n v="4.09"/>
    <n v="4.2260000000000009"/>
    <n v="81.121776010000005"/>
    <n v="75.621566079999994"/>
    <n v="70"/>
    <n v="68.429263329999998"/>
    <n v="85.394962230000004"/>
    <n v="76.332996739999999"/>
    <n v="67.715410820000002"/>
    <n v="55.205380839999997"/>
    <n v="5.5002099300000111"/>
    <n v="1.5707366700000023"/>
    <n v="9.0619654900000057"/>
    <n v="12.510029980000006"/>
    <x v="0"/>
    <x v="3"/>
    <x v="0"/>
    <n v="3"/>
    <s v="Prof. Kavita Rao"/>
  </r>
  <r>
    <s v="STU0657"/>
    <s v="Esha Chaddha"/>
    <x v="0"/>
    <n v="28"/>
    <x v="3"/>
    <n v="3.82"/>
    <n v="4.12"/>
    <n v="3.69"/>
    <n v="4.04"/>
    <n v="4.49"/>
    <n v="4.2699999999999996"/>
    <n v="4.05"/>
    <n v="3.74"/>
    <n v="4.03"/>
    <n v="3.42"/>
    <x v="164"/>
    <n v="4.03"/>
    <n v="3.9019999999999997"/>
    <n v="80.1817779"/>
    <n v="73.633511929999997"/>
    <n v="70"/>
    <n v="71.604697290000004"/>
    <n v="91.037751490000005"/>
    <n v="81.016091270000004"/>
    <n v="73.301561570000004"/>
    <n v="56.87257082"/>
    <n v="6.5482659700000028"/>
    <n v="-1.6046972900000043"/>
    <n v="10.021660220000001"/>
    <n v="16.428990750000004"/>
    <x v="0"/>
    <x v="3"/>
    <x v="2"/>
    <n v="3"/>
    <s v="Prof. Kavita Rao"/>
  </r>
  <r>
    <s v="STU0658"/>
    <s v="Kabir Yadav"/>
    <x v="1"/>
    <n v="28"/>
    <x v="3"/>
    <n v="4.21"/>
    <n v="4.0599999999999996"/>
    <n v="4.3"/>
    <n v="3.91"/>
    <n v="4.05"/>
    <n v="3.68"/>
    <n v="4.42"/>
    <n v="4.22"/>
    <n v="4.09"/>
    <n v="4.83"/>
    <x v="200"/>
    <n v="4.1100000000000003"/>
    <n v="4.2480000000000002"/>
    <n v="84.051303669999996"/>
    <n v="65.760675050000003"/>
    <n v="80.866246230000002"/>
    <n v="69.348141799999993"/>
    <n v="81.625732220000003"/>
    <n v="85"/>
    <n v="69.484788710000004"/>
    <n v="57.656219200000002"/>
    <n v="18.290628619999993"/>
    <n v="11.518104430000008"/>
    <n v="-3.3742677799999967"/>
    <n v="11.828569510000001"/>
    <x v="0"/>
    <x v="1"/>
    <x v="3"/>
    <n v="3"/>
    <s v="Dr. Rohan Dutta"/>
  </r>
  <r>
    <s v="STU0659"/>
    <s v="Rohhan Uppal"/>
    <x v="1"/>
    <n v="29"/>
    <x v="1"/>
    <n v="4.3099999999999996"/>
    <n v="3.49"/>
    <n v="4.08"/>
    <n v="4.0999999999999996"/>
    <n v="4.2699999999999996"/>
    <n v="4.21"/>
    <n v="3.74"/>
    <n v="3.98"/>
    <n v="4.53"/>
    <n v="4.3"/>
    <x v="326"/>
    <n v="4.05"/>
    <n v="4.1520000000000001"/>
    <n v="85.3527287"/>
    <n v="61.48711419"/>
    <n v="78.893205050000006"/>
    <n v="73.197750819999996"/>
    <n v="85.725135609999995"/>
    <n v="77.229090940000006"/>
    <n v="65"/>
    <n v="65.904868719999996"/>
    <n v="23.86561451"/>
    <n v="5.6954542300000099"/>
    <n v="8.4960446699999892"/>
    <n v="-0.90486871999999607"/>
    <x v="0"/>
    <x v="4"/>
    <x v="0"/>
    <n v="3"/>
    <s v="Prof. Vikram Gupta"/>
  </r>
  <r>
    <s v="STU0660"/>
    <s v="Pranav Iyer"/>
    <x v="1"/>
    <n v="27"/>
    <x v="3"/>
    <n v="3.86"/>
    <n v="4.12"/>
    <n v="3.9"/>
    <n v="3.39"/>
    <n v="3.71"/>
    <n v="3.98"/>
    <n v="4.4800000000000004"/>
    <n v="4.18"/>
    <n v="3.58"/>
    <n v="3.98"/>
    <x v="396"/>
    <n v="3.8"/>
    <n v="4.04"/>
    <n v="81.060712609999996"/>
    <n v="72.04623196"/>
    <n v="79.824754900000002"/>
    <n v="60.308434849999998"/>
    <n v="88.395866609999999"/>
    <n v="81.22401868"/>
    <n v="73.841962730000006"/>
    <n v="50"/>
    <n v="9.0144806499999959"/>
    <n v="19.516320050000004"/>
    <n v="7.1718479299999984"/>
    <n v="23.841962730000006"/>
    <x v="1"/>
    <x v="2"/>
    <x v="1"/>
    <n v="3"/>
    <s v="Prof. Rajesh Mukherjee"/>
  </r>
  <r>
    <s v="STU0661"/>
    <s v="Chetaan Chauhan"/>
    <x v="1"/>
    <n v="26"/>
    <x v="3"/>
    <n v="3.92"/>
    <n v="3.73"/>
    <n v="3.97"/>
    <n v="3.99"/>
    <n v="3.9"/>
    <n v="4.2"/>
    <n v="4.05"/>
    <n v="4.75"/>
    <n v="4.07"/>
    <n v="4.0999999999999996"/>
    <x v="236"/>
    <n v="3.9"/>
    <n v="4.234"/>
    <n v="86.437413669999998"/>
    <n v="63.123064630000002"/>
    <n v="84.899992260000005"/>
    <n v="58.885046780000003"/>
    <n v="94.796302710000006"/>
    <n v="77.841839789999995"/>
    <n v="65.525450800000002"/>
    <n v="50"/>
    <n v="23.314349039999996"/>
    <n v="26.014945480000002"/>
    <n v="16.954462920000012"/>
    <n v="15.525450800000002"/>
    <x v="0"/>
    <x v="0"/>
    <x v="4"/>
    <n v="3"/>
    <s v="Prof. Rahul Singh"/>
  </r>
  <r>
    <s v="STU0662"/>
    <s v="Pooja Kumari"/>
    <x v="0"/>
    <n v="26"/>
    <x v="3"/>
    <n v="3.94"/>
    <n v="4.2300000000000004"/>
    <n v="3.94"/>
    <n v="3.85"/>
    <n v="4.47"/>
    <n v="3.66"/>
    <n v="4.1399999999999997"/>
    <n v="3.88"/>
    <n v="4.22"/>
    <n v="4.34"/>
    <x v="174"/>
    <n v="4.09"/>
    <n v="4.048"/>
    <n v="94.958696070000002"/>
    <n v="66.327358390000001"/>
    <n v="90"/>
    <n v="73.754959119999995"/>
    <n v="81.078334269999999"/>
    <n v="73.164259979999997"/>
    <n v="71.079486149999994"/>
    <n v="50.893671470000001"/>
    <n v="28.631337680000001"/>
    <n v="16.245040880000005"/>
    <n v="7.9140742900000021"/>
    <n v="20.185814679999993"/>
    <x v="0"/>
    <x v="3"/>
    <x v="3"/>
    <n v="3"/>
    <s v="Prof. Kavita Rao"/>
  </r>
  <r>
    <s v="STU0663"/>
    <s v="Anil Ahuja"/>
    <x v="1"/>
    <n v="20"/>
    <x v="0"/>
    <n v="3.85"/>
    <n v="4.45"/>
    <n v="3.52"/>
    <n v="3.52"/>
    <n v="3.78"/>
    <n v="4.26"/>
    <n v="4.07"/>
    <n v="4.2"/>
    <n v="4.03"/>
    <s v="N/A"/>
    <x v="397"/>
    <n v="3.82"/>
    <n v="4.1400000000000006"/>
    <n v="89.006833929999999"/>
    <n v="70.141475639999996"/>
    <n v="88.770983169999994"/>
    <n v="64.572670740000007"/>
    <n v="84.010248730000001"/>
    <n v="85"/>
    <n v="71.778397209999994"/>
    <n v="57.433377329999999"/>
    <n v="18.865358290000003"/>
    <n v="24.198312429999987"/>
    <n v="-0.98975126999999929"/>
    <n v="14.345019879999995"/>
    <x v="1"/>
    <x v="2"/>
    <x v="2"/>
    <n v="3"/>
    <s v="Prof. Rajesh Mukherjee"/>
  </r>
  <r>
    <s v="STU0664"/>
    <s v="Vipull Kumari"/>
    <x v="1"/>
    <n v="29"/>
    <x v="1"/>
    <n v="3.78"/>
    <n v="4.28"/>
    <n v="4.59"/>
    <n v="4.29"/>
    <n v="3.87"/>
    <n v="3.8"/>
    <n v="4.25"/>
    <n v="4.1399999999999997"/>
    <n v="3.91"/>
    <n v="4.46"/>
    <x v="24"/>
    <n v="4.16"/>
    <n v="4.1120000000000001"/>
    <n v="85.641579730000004"/>
    <n v="76.769946739999995"/>
    <n v="81.815542910000005"/>
    <n v="67.806565180000007"/>
    <n v="92.830695509999998"/>
    <n v="85"/>
    <n v="74.602111190000002"/>
    <n v="59.499133010000001"/>
    <n v="8.871632990000009"/>
    <n v="14.008977729999998"/>
    <n v="7.8306955099999982"/>
    <n v="15.102978180000001"/>
    <x v="0"/>
    <x v="1"/>
    <x v="3"/>
    <n v="3"/>
    <s v="Dr. Rohan Dutta"/>
  </r>
  <r>
    <s v="STU0665"/>
    <s v="Chetan Lall"/>
    <x v="1"/>
    <n v="28"/>
    <x v="3"/>
    <n v="4.24"/>
    <n v="3.35"/>
    <n v="3.83"/>
    <n v="3.95"/>
    <n v="4.28"/>
    <n v="4.21"/>
    <n v="3.83"/>
    <n v="3.82"/>
    <n v="4.54"/>
    <n v="3.8"/>
    <x v="307"/>
    <n v="3.93"/>
    <n v="4.04"/>
    <n v="89.891474299999999"/>
    <n v="60"/>
    <n v="70"/>
    <n v="70.133284360000005"/>
    <n v="87.915279859999998"/>
    <n v="85"/>
    <n v="71.765024519999997"/>
    <n v="59.91454615"/>
    <n v="29.891474299999999"/>
    <n v="-0.13328436000000465"/>
    <n v="2.9152798599999983"/>
    <n v="11.850478369999998"/>
    <x v="0"/>
    <x v="3"/>
    <x v="0"/>
    <n v="3"/>
    <s v="Prof. Kavita Rao"/>
  </r>
  <r>
    <s v="STU0666"/>
    <s v="Akash Bharadwaj"/>
    <x v="1"/>
    <n v="28"/>
    <x v="3"/>
    <n v="4.3"/>
    <n v="4.53"/>
    <n v="3.71"/>
    <n v="3.23"/>
    <n v="3.99"/>
    <n v="3.95"/>
    <n v="4.75"/>
    <n v="4.13"/>
    <n v="3.69"/>
    <n v="4.17"/>
    <x v="54"/>
    <n v="3.95"/>
    <n v="4.1379999999999999"/>
    <n v="87.089013620000003"/>
    <n v="69.205745919999998"/>
    <n v="75.763482490000001"/>
    <n v="71.866613020000003"/>
    <n v="81.398680659999997"/>
    <n v="74.686793730000005"/>
    <n v="65"/>
    <n v="61.741791399999997"/>
    <n v="17.883267700000005"/>
    <n v="3.8968694699999986"/>
    <n v="6.7118869299999915"/>
    <n v="3.2582086000000032"/>
    <x v="0"/>
    <x v="2"/>
    <x v="1"/>
    <n v="3"/>
    <s v="Prof. Rajesh Mukherjee"/>
  </r>
  <r>
    <s v="STU0667"/>
    <s v="Jatin Chandra"/>
    <x v="1"/>
    <n v="24"/>
    <x v="2"/>
    <n v="3.24"/>
    <n v="3.55"/>
    <n v="4.0999999999999996"/>
    <n v="4.49"/>
    <n v="4.2699999999999996"/>
    <n v="3.88"/>
    <n v="4.01"/>
    <n v="3.51"/>
    <n v="3.97"/>
    <n v="3.97"/>
    <x v="110"/>
    <n v="3.93"/>
    <n v="3.8679999999999999"/>
    <n v="82.405503190000005"/>
    <n v="74.487340939999996"/>
    <n v="88.324464610000007"/>
    <n v="62.705044020000003"/>
    <n v="80"/>
    <n v="73.526652350000006"/>
    <n v="68.775561890000006"/>
    <n v="66.770853310000007"/>
    <n v="7.9181622500000088"/>
    <n v="25.619420590000004"/>
    <n v="6.4733476499999938"/>
    <n v="2.0047085799999991"/>
    <x v="0"/>
    <x v="0"/>
    <x v="1"/>
    <n v="3"/>
    <s v="Prof. Rahul Singh"/>
  </r>
  <r>
    <s v="STU0668"/>
    <s v="Bhaskar Boose"/>
    <x v="1"/>
    <n v="24"/>
    <x v="2"/>
    <n v="4"/>
    <n v="4.2300000000000004"/>
    <n v="4.08"/>
    <n v="4.1399999999999997"/>
    <n v="4.43"/>
    <n v="3.85"/>
    <n v="4.54"/>
    <n v="3.87"/>
    <n v="3.93"/>
    <n v="4.28"/>
    <x v="111"/>
    <n v="4.18"/>
    <n v="4.0940000000000003"/>
    <n v="86.994980769999998"/>
    <n v="65.113509339999993"/>
    <n v="76.93498271"/>
    <n v="71.062347889999998"/>
    <n v="91.620990359999993"/>
    <n v="82.887413260000002"/>
    <n v="72.200988280000004"/>
    <n v="56.544992749999999"/>
    <n v="21.881471430000005"/>
    <n v="5.8726348200000018"/>
    <n v="8.7335770999999909"/>
    <n v="15.655995530000006"/>
    <x v="0"/>
    <x v="3"/>
    <x v="1"/>
    <n v="3"/>
    <s v="Prof. Kavita Rao"/>
  </r>
  <r>
    <s v="STU0669"/>
    <s v="Rohit Hooda"/>
    <x v="1"/>
    <n v="20"/>
    <x v="0"/>
    <n v="4.1399999999999997"/>
    <n v="3.73"/>
    <n v="4.25"/>
    <n v="3.56"/>
    <n v="4.12"/>
    <n v="4.57"/>
    <n v="3.93"/>
    <n v="4.2300000000000004"/>
    <n v="4.72"/>
    <n v="4.29"/>
    <x v="17"/>
    <n v="3.96"/>
    <n v="4.3479999999999999"/>
    <n v="85.72385731"/>
    <n v="70.714110090000005"/>
    <n v="80.461183700000007"/>
    <n v="67.703815910000003"/>
    <n v="96.080071570000001"/>
    <n v="74.669647400000002"/>
    <n v="67.545199120000007"/>
    <n v="56.631620409999996"/>
    <n v="15.009747219999994"/>
    <n v="12.757367790000004"/>
    <n v="21.410424169999999"/>
    <n v="10.91357871000001"/>
    <x v="0"/>
    <x v="1"/>
    <x v="0"/>
    <n v="3"/>
    <s v="Dr. Rohan Dutta"/>
  </r>
  <r>
    <s v="STU0670"/>
    <s v="Sanjay Dewan"/>
    <x v="1"/>
    <n v="30"/>
    <x v="1"/>
    <n v="3.81"/>
    <n v="3.85"/>
    <n v="3.9"/>
    <n v="4.3600000000000003"/>
    <n v="4.7"/>
    <n v="4.07"/>
    <n v="4.24"/>
    <n v="4.1399999999999997"/>
    <n v="3.93"/>
    <n v="3.92"/>
    <x v="36"/>
    <n v="4.12"/>
    <n v="4.0599999999999996"/>
    <n v="87.128772280000007"/>
    <n v="72.380481000000003"/>
    <n v="73.044661669999996"/>
    <n v="66.227241910000004"/>
    <n v="80"/>
    <n v="78.686721820000002"/>
    <n v="72.608715489999994"/>
    <n v="51.658909600000001"/>
    <n v="14.748291280000004"/>
    <n v="6.8174197599999928"/>
    <n v="1.3132781799999975"/>
    <n v="20.949805889999993"/>
    <x v="0"/>
    <x v="3"/>
    <x v="1"/>
    <n v="3"/>
    <s v="Prof. Kavita Rao"/>
  </r>
  <r>
    <s v="STU0671"/>
    <s v="Ashwin Chopra"/>
    <x v="1"/>
    <n v="25"/>
    <x v="2"/>
    <s v="N/A"/>
    <n v="4.28"/>
    <n v="4.41"/>
    <n v="3.4"/>
    <n v="4.0599999999999996"/>
    <n v="4.18"/>
    <n v="4.01"/>
    <n v="3.78"/>
    <n v="4.01"/>
    <n v="3.81"/>
    <x v="398"/>
    <n v="4.04"/>
    <n v="3.9579999999999997"/>
    <n v="96.422593829999997"/>
    <n v="73.434438069999999"/>
    <n v="70"/>
    <n v="59.089963640000001"/>
    <n v="90.454792889999993"/>
    <n v="83.930291139999994"/>
    <n v="69.49336065"/>
    <n v="60.533366600000001"/>
    <n v="22.988155759999998"/>
    <n v="10.910036359999999"/>
    <n v="6.5245017499999989"/>
    <n v="8.9599940499999988"/>
    <x v="0"/>
    <x v="1"/>
    <x v="2"/>
    <n v="3"/>
    <s v="Dr. Rohan Dutta"/>
  </r>
  <r>
    <s v="STU0672"/>
    <s v="Rajat Mukherjee"/>
    <x v="1"/>
    <n v="21"/>
    <x v="0"/>
    <n v="3.91"/>
    <n v="4.45"/>
    <n v="4.26"/>
    <n v="4.01"/>
    <n v="4.29"/>
    <n v="3.77"/>
    <n v="4.34"/>
    <n v="3.96"/>
    <n v="3.79"/>
    <n v="4.3"/>
    <x v="6"/>
    <n v="4.18"/>
    <n v="4.032"/>
    <n v="90.162418180000003"/>
    <n v="60.467711270000002"/>
    <n v="73.129089129999997"/>
    <n v="72.60445833"/>
    <n v="94.545979979999998"/>
    <n v="78.613231429999999"/>
    <n v="77.512050369999997"/>
    <n v="65.481716759999998"/>
    <n v="29.694706910000001"/>
    <n v="0.52463079999999707"/>
    <n v="15.932748549999999"/>
    <n v="12.03033361"/>
    <x v="0"/>
    <x v="2"/>
    <x v="1"/>
    <n v="3"/>
    <s v="Prof. Rajesh Mukherjee"/>
  </r>
  <r>
    <s v="STU0673"/>
    <s v="Atharv Dasari"/>
    <x v="1"/>
    <n v="28"/>
    <x v="3"/>
    <n v="3.79"/>
    <n v="3.83"/>
    <n v="4.49"/>
    <n v="4.71"/>
    <n v="3.51"/>
    <n v="4.1100000000000003"/>
    <n v="3.93"/>
    <s v="N/A"/>
    <n v="4.28"/>
    <n v="3.9"/>
    <x v="399"/>
    <n v="4.07"/>
    <n v="4.0549999999999997"/>
    <n v="82.847326499999994"/>
    <n v="75.571679349999997"/>
    <n v="80.364614040000006"/>
    <n v="55"/>
    <n v="96.906262760000004"/>
    <n v="80.108350669999993"/>
    <n v="68.320577249999999"/>
    <n v="67.711326119999995"/>
    <n v="7.2756471499999975"/>
    <n v="25.364614040000006"/>
    <n v="16.797912090000011"/>
    <n v="0.60925113000000408"/>
    <x v="0"/>
    <x v="0"/>
    <x v="0"/>
    <n v="3"/>
    <s v="Prof. Rahul Singh"/>
  </r>
  <r>
    <s v="STU0674"/>
    <s v="Ushaa Iyer"/>
    <x v="1"/>
    <n v="26"/>
    <x v="3"/>
    <n v="3.86"/>
    <n v="3.99"/>
    <n v="3.85"/>
    <n v="4.24"/>
    <n v="3.96"/>
    <n v="4.45"/>
    <n v="3.76"/>
    <n v="4.08"/>
    <n v="4"/>
    <n v="3.84"/>
    <x v="251"/>
    <n v="3.98"/>
    <n v="4.0259999999999998"/>
    <n v="90.648524699999996"/>
    <n v="64.450324710000004"/>
    <n v="82.037558390000001"/>
    <n v="62.922875959999999"/>
    <n v="85.011987309999995"/>
    <n v="85"/>
    <n v="72.176479479999998"/>
    <n v="53.219173929999997"/>
    <n v="26.198199989999992"/>
    <n v="19.114682430000002"/>
    <n v="1.1987309999994977E-2"/>
    <n v="18.957305550000001"/>
    <x v="0"/>
    <x v="0"/>
    <x v="2"/>
    <n v="3"/>
    <s v="Prof. Rahul Singh"/>
  </r>
  <r>
    <s v="STU0675"/>
    <s v="Sudha Patel"/>
    <x v="0"/>
    <n v="21"/>
    <x v="0"/>
    <n v="4.43"/>
    <n v="4.08"/>
    <n v="3.99"/>
    <n v="3.68"/>
    <n v="4.7300000000000004"/>
    <n v="3.71"/>
    <n v="4.3499999999999996"/>
    <n v="3.99"/>
    <n v="3.59"/>
    <n v="4.08"/>
    <x v="86"/>
    <n v="4.18"/>
    <n v="3.944"/>
    <n v="81.095736819999999"/>
    <n v="60.56868669"/>
    <n v="70.647597410000003"/>
    <n v="65.579737089999995"/>
    <n v="99.9"/>
    <n v="71.960417410000005"/>
    <n v="67.767742530000007"/>
    <n v="59.934229690000002"/>
    <n v="20.527050129999999"/>
    <n v="5.0678603200000083"/>
    <n v="27.939582590000001"/>
    <n v="7.8335128400000045"/>
    <x v="0"/>
    <x v="3"/>
    <x v="1"/>
    <n v="3"/>
    <s v="Prof. Kavita Rao"/>
  </r>
  <r>
    <s v="STU0676"/>
    <s v="Poonam Kumar"/>
    <x v="1"/>
    <n v="30"/>
    <x v="1"/>
    <n v="3.97"/>
    <n v="4.0999999999999996"/>
    <n v="4.33"/>
    <n v="3.9"/>
    <n v="3.86"/>
    <n v="3.97"/>
    <n v="3.82"/>
    <n v="4.1500000000000004"/>
    <n v="4.49"/>
    <n v="3.78"/>
    <x v="139"/>
    <n v="4.03"/>
    <n v="4.0419999999999998"/>
    <n v="79.872470820000004"/>
    <n v="65.211516750000001"/>
    <n v="84.059897789999994"/>
    <n v="74.811041759999995"/>
    <n v="99.9"/>
    <n v="74.112411449999996"/>
    <n v="69.536817220000003"/>
    <n v="52.350845540000002"/>
    <n v="14.660954070000003"/>
    <n v="9.2488560299999989"/>
    <n v="25.787588550000009"/>
    <n v="17.185971680000002"/>
    <x v="0"/>
    <x v="1"/>
    <x v="0"/>
    <n v="3"/>
    <s v="Dr. Rohan Dutta"/>
  </r>
  <r>
    <s v="STU0677"/>
    <s v="Nisha Zaveri"/>
    <x v="0"/>
    <n v="25"/>
    <x v="2"/>
    <n v="3.85"/>
    <n v="3.82"/>
    <n v="4.3499999999999996"/>
    <n v="4.16"/>
    <n v="3.84"/>
    <n v="4.16"/>
    <n v="3.34"/>
    <n v="4.1500000000000004"/>
    <n v="3.73"/>
    <n v="4.43"/>
    <x v="58"/>
    <n v="4"/>
    <n v="3.9620000000000006"/>
    <n v="79.308760329999998"/>
    <n v="69.509796769999994"/>
    <n v="70"/>
    <n v="65.051523919999994"/>
    <n v="86.546790119999997"/>
    <n v="79.84157802"/>
    <n v="77.425398040000005"/>
    <n v="58.817639620000001"/>
    <n v="9.7989635600000042"/>
    <n v="4.948476080000006"/>
    <n v="6.7052120999999971"/>
    <n v="18.607758420000003"/>
    <x v="0"/>
    <x v="1"/>
    <x v="3"/>
    <n v="3"/>
    <s v="Dr. Rohan Dutta"/>
  </r>
  <r>
    <s v="STU0678"/>
    <s v="Pooja Kaur"/>
    <x v="0"/>
    <n v="24"/>
    <x v="2"/>
    <n v="4.0199999999999996"/>
    <n v="4.4000000000000004"/>
    <n v="3.95"/>
    <n v="3.83"/>
    <n v="3.42"/>
    <n v="3.58"/>
    <n v="4.08"/>
    <n v="4.01"/>
    <n v="4.1100000000000003"/>
    <n v="3.59"/>
    <x v="400"/>
    <n v="3.92"/>
    <n v="3.8740000000000001"/>
    <n v="90.180655700000003"/>
    <n v="69.926989430000006"/>
    <n v="75.310320219999994"/>
    <n v="61.41346325"/>
    <n v="99.9"/>
    <n v="79.046325280000005"/>
    <n v="69.631400009999993"/>
    <n v="64.149108679999998"/>
    <n v="20.253666269999997"/>
    <n v="13.896856969999995"/>
    <n v="20.853674720000001"/>
    <n v="5.4822913299999954"/>
    <x v="0"/>
    <x v="2"/>
    <x v="0"/>
    <n v="3"/>
    <s v="Prof. Rajesh Mukherjee"/>
  </r>
  <r>
    <s v="STU0679"/>
    <s v="Sudeep Kalra"/>
    <x v="1"/>
    <n v="20"/>
    <x v="0"/>
    <n v="3.81"/>
    <n v="3.22"/>
    <n v="4.66"/>
    <n v="4.3899999999999997"/>
    <n v="4.1900000000000004"/>
    <n v="3.91"/>
    <n v="3.61"/>
    <n v="4.2699999999999996"/>
    <n v="3.65"/>
    <s v="N/A"/>
    <x v="319"/>
    <n v="4.05"/>
    <n v="3.86"/>
    <n v="82.368671070000005"/>
    <n v="62.927398310000001"/>
    <n v="78.498423000000003"/>
    <n v="65.941517849999997"/>
    <n v="92.829876409999997"/>
    <n v="76.944199580000003"/>
    <n v="75.673083129999995"/>
    <n v="50"/>
    <n v="19.441272760000004"/>
    <n v="12.556905150000006"/>
    <n v="15.885676829999994"/>
    <n v="25.673083129999995"/>
    <x v="0"/>
    <x v="1"/>
    <x v="4"/>
    <n v="3"/>
    <s v="Dr. Rohan Dutta"/>
  </r>
  <r>
    <s v="STU0680"/>
    <s v="Tanya Goswami"/>
    <x v="0"/>
    <n v="27"/>
    <x v="3"/>
    <n v="4"/>
    <n v="3.52"/>
    <n v="4.62"/>
    <n v="3.75"/>
    <n v="4.37"/>
    <n v="4.3099999999999996"/>
    <n v="4.22"/>
    <n v="3.49"/>
    <n v="4.0199999999999996"/>
    <n v="4.2699999999999996"/>
    <x v="358"/>
    <n v="4.05"/>
    <n v="4.0619999999999994"/>
    <n v="81.386293820000006"/>
    <n v="73.964605800000001"/>
    <n v="77.232400819999995"/>
    <n v="58.604169929999998"/>
    <n v="86.681409610000003"/>
    <n v="71.301043309999997"/>
    <n v="76.990430079999996"/>
    <n v="50"/>
    <n v="7.4216880200000048"/>
    <n v="18.628230889999998"/>
    <n v="15.380366300000006"/>
    <n v="26.990430079999996"/>
    <x v="0"/>
    <x v="1"/>
    <x v="2"/>
    <n v="3"/>
    <s v="Dr. Rohan Dutta"/>
  </r>
  <r>
    <s v="STU0681"/>
    <s v="Kabir Goswami"/>
    <x v="1"/>
    <n v="26"/>
    <x v="3"/>
    <n v="4.24"/>
    <n v="4.0599999999999996"/>
    <n v="3.91"/>
    <n v="4.0599999999999996"/>
    <n v="4.0999999999999996"/>
    <n v="3.72"/>
    <n v="3.82"/>
    <n v="4.18"/>
    <n v="3.87"/>
    <n v="4.13"/>
    <x v="25"/>
    <n v="4.07"/>
    <n v="3.944"/>
    <n v="81.432562520000005"/>
    <n v="72.700281340000004"/>
    <n v="74.105631220000006"/>
    <n v="68.474509530000006"/>
    <n v="91.409447389999997"/>
    <n v="78.880290360000004"/>
    <n v="70.984394080000001"/>
    <n v="62.555330900000001"/>
    <n v="8.7322811800000011"/>
    <n v="5.6311216900000005"/>
    <n v="12.529157029999993"/>
    <n v="8.42906318"/>
    <x v="0"/>
    <x v="4"/>
    <x v="4"/>
    <n v="3"/>
    <s v="Prof. Vikram Gupta"/>
  </r>
  <r>
    <s v="STU0682"/>
    <s v="Nandini Bhasin"/>
    <x v="1"/>
    <n v="25"/>
    <x v="2"/>
    <n v="4.12"/>
    <n v="4.24"/>
    <n v="4.38"/>
    <n v="3.94"/>
    <n v="4.13"/>
    <n v="3.86"/>
    <n v="4.24"/>
    <n v="4.12"/>
    <n v="4.0599999999999996"/>
    <n v="3.8"/>
    <x v="97"/>
    <n v="4.16"/>
    <n v="4.016"/>
    <n v="91.826291280000007"/>
    <n v="65.177429700000005"/>
    <n v="72.405403750000005"/>
    <n v="65.690759389999997"/>
    <n v="99.9"/>
    <n v="85"/>
    <n v="72.262284620000003"/>
    <n v="55.15208294"/>
    <n v="26.648861580000002"/>
    <n v="6.7146443600000083"/>
    <n v="14.900000000000006"/>
    <n v="17.110201680000003"/>
    <x v="0"/>
    <x v="1"/>
    <x v="1"/>
    <n v="3"/>
    <s v="Dr. Rohan Dutta"/>
  </r>
  <r>
    <s v="STU0683"/>
    <s v="Ayaan Marathe"/>
    <x v="1"/>
    <n v="24"/>
    <x v="2"/>
    <n v="3.74"/>
    <n v="3.73"/>
    <n v="4.18"/>
    <n v="3.91"/>
    <n v="3.97"/>
    <n v="4.3499999999999996"/>
    <n v="4"/>
    <n v="4.34"/>
    <n v="3.74"/>
    <n v="3.86"/>
    <x v="151"/>
    <n v="3.91"/>
    <n v="4.0579999999999998"/>
    <n v="79.796840939999996"/>
    <n v="69.756050200000004"/>
    <n v="76.350543619999996"/>
    <n v="64.779788289999999"/>
    <n v="83.699034819999994"/>
    <n v="80.205328129999998"/>
    <n v="66.512474870000005"/>
    <n v="52.4249492"/>
    <n v="10.040790739999991"/>
    <n v="11.570755329999997"/>
    <n v="3.4937066899999962"/>
    <n v="14.087525670000005"/>
    <x v="0"/>
    <x v="1"/>
    <x v="2"/>
    <n v="3"/>
    <s v="Dr. Rohan Dutta"/>
  </r>
  <r>
    <s v="STU0684"/>
    <s v="Tushar Verma"/>
    <x v="1"/>
    <n v="23"/>
    <x v="2"/>
    <n v="4.55"/>
    <n v="4.25"/>
    <n v="4.47"/>
    <n v="4.07"/>
    <n v="4.1900000000000004"/>
    <n v="4.04"/>
    <n v="4.01"/>
    <n v="4.04"/>
    <n v="3.3"/>
    <n v="3.48"/>
    <x v="401"/>
    <n v="4.3099999999999996"/>
    <n v="3.774"/>
    <n v="91.390832570000001"/>
    <n v="69.886884589999994"/>
    <n v="72.569946909999999"/>
    <n v="66.950741840000006"/>
    <n v="87.836595669999994"/>
    <n v="83.729316080000004"/>
    <n v="66.534423970000006"/>
    <n v="58.301090309999999"/>
    <n v="21.503947980000007"/>
    <n v="5.6192050699999925"/>
    <n v="4.1072795899999903"/>
    <n v="8.2333336600000067"/>
    <x v="2"/>
    <x v="4"/>
    <x v="2"/>
    <n v="3"/>
    <s v="Prof. Vikram Gupta"/>
  </r>
  <r>
    <s v="STU0685"/>
    <s v="Dhruv Yerramsetti"/>
    <x v="1"/>
    <n v="26"/>
    <x v="3"/>
    <n v="3.76"/>
    <n v="4.0999999999999996"/>
    <n v="3.77"/>
    <n v="4.18"/>
    <n v="5.01"/>
    <n v="3.26"/>
    <n v="4.3600000000000003"/>
    <n v="3.35"/>
    <n v="3.89"/>
    <n v="3.78"/>
    <x v="194"/>
    <n v="4.16"/>
    <n v="3.7280000000000002"/>
    <n v="84.295555890000003"/>
    <n v="67.191998600000005"/>
    <n v="89.618427920000002"/>
    <n v="67.415233069999999"/>
    <n v="90.895778849999999"/>
    <n v="80.906007689999996"/>
    <n v="65.815454250000002"/>
    <n v="66.043216400000006"/>
    <n v="17.103557289999998"/>
    <n v="22.203194850000003"/>
    <n v="9.9897711600000036"/>
    <n v="-0.22776215000000377"/>
    <x v="0"/>
    <x v="3"/>
    <x v="1"/>
    <n v="3"/>
    <s v="Prof. Kavita Rao"/>
  </r>
  <r>
    <s v="STU0686"/>
    <s v="Varun Rawat"/>
    <x v="1"/>
    <n v="24"/>
    <x v="2"/>
    <n v="4.45"/>
    <n v="3.64"/>
    <n v="4.7"/>
    <n v="4.0599999999999996"/>
    <n v="3.55"/>
    <n v="4.4000000000000004"/>
    <n v="4.12"/>
    <n v="4.0199999999999996"/>
    <n v="4.33"/>
    <n v="4.32"/>
    <x v="284"/>
    <n v="4.08"/>
    <n v="4.2379999999999995"/>
    <n v="85.889002090000005"/>
    <n v="73.692578350000005"/>
    <n v="85.668131900000006"/>
    <n v="61.611958729999998"/>
    <n v="97.858052689999994"/>
    <n v="75.711735059999995"/>
    <n v="68.528873849999997"/>
    <n v="57.500207809999999"/>
    <n v="12.19642374"/>
    <n v="24.056173170000008"/>
    <n v="22.146317629999999"/>
    <n v="11.028666039999997"/>
    <x v="0"/>
    <x v="1"/>
    <x v="2"/>
    <n v="3"/>
    <s v="Dr. Rohan Dutta"/>
  </r>
  <r>
    <s v="STU0687"/>
    <s v="Sanjay Kher"/>
    <x v="1"/>
    <n v="21"/>
    <x v="0"/>
    <n v="3.58"/>
    <n v="4.1900000000000004"/>
    <n v="4.3099999999999996"/>
    <n v="3.77"/>
    <n v="4.04"/>
    <n v="4.03"/>
    <n v="3.56"/>
    <n v="3.47"/>
    <n v="3.85"/>
    <n v="4.46"/>
    <x v="191"/>
    <n v="3.98"/>
    <n v="3.8740000000000001"/>
    <n v="81.863245480000003"/>
    <n v="70.455679430000004"/>
    <n v="70"/>
    <n v="71.015150009999999"/>
    <n v="91.092268450000006"/>
    <n v="85"/>
    <n v="69.672802849999997"/>
    <n v="57.341062360000002"/>
    <n v="11.40756605"/>
    <n v="-1.0151500099999993"/>
    <n v="6.0922684500000059"/>
    <n v="12.331740489999994"/>
    <x v="0"/>
    <x v="1"/>
    <x v="3"/>
    <n v="3"/>
    <s v="Dr. Rohan Dutta"/>
  </r>
  <r>
    <s v="STU0688"/>
    <s v="Deepika Ahuja"/>
    <x v="0"/>
    <n v="21"/>
    <x v="0"/>
    <n v="3.95"/>
    <n v="3.84"/>
    <n v="3.53"/>
    <n v="4.0999999999999996"/>
    <n v="4.13"/>
    <n v="3.77"/>
    <n v="4.76"/>
    <n v="3.77"/>
    <n v="3.59"/>
    <n v="4.12"/>
    <x v="171"/>
    <n v="3.91"/>
    <n v="4.0019999999999998"/>
    <n v="96.200902049999996"/>
    <n v="73.12558473"/>
    <n v="79.056839350000004"/>
    <n v="63.831704629999997"/>
    <n v="80"/>
    <n v="85"/>
    <n v="69.643005810000005"/>
    <n v="53.624839459999997"/>
    <n v="23.075317319999996"/>
    <n v="15.225134720000007"/>
    <n v="-5"/>
    <n v="16.018166350000008"/>
    <x v="0"/>
    <x v="3"/>
    <x v="1"/>
    <n v="3"/>
    <s v="Prof. Kavita Rao"/>
  </r>
  <r>
    <s v="STU0689"/>
    <s v="Tushar Rana"/>
    <x v="1"/>
    <n v="30"/>
    <x v="1"/>
    <n v="3.99"/>
    <n v="4.25"/>
    <n v="4.29"/>
    <n v="4.3499999999999996"/>
    <n v="3.48"/>
    <n v="3.77"/>
    <n v="3.88"/>
    <n v="4.05"/>
    <n v="4.13"/>
    <n v="3.79"/>
    <x v="402"/>
    <n v="4.07"/>
    <n v="3.9239999999999995"/>
    <n v="78.769344810000007"/>
    <n v="69.534085630000007"/>
    <n v="73.628412890000007"/>
    <n v="59.120904150000001"/>
    <n v="80"/>
    <n v="85"/>
    <n v="77.955579880000002"/>
    <n v="57.066139700000001"/>
    <n v="9.2352591799999999"/>
    <n v="14.507508740000006"/>
    <n v="-5"/>
    <n v="20.889440180000001"/>
    <x v="0"/>
    <x v="0"/>
    <x v="0"/>
    <n v="3"/>
    <s v="Prof. Rahul Singh"/>
  </r>
  <r>
    <s v="STU0690"/>
    <s v="Gaurav Trivedi"/>
    <x v="1"/>
    <n v="22"/>
    <x v="0"/>
    <n v="4.22"/>
    <n v="4.3499999999999996"/>
    <n v="4.4000000000000004"/>
    <n v="4.3600000000000003"/>
    <n v="4.0599999999999996"/>
    <n v="4.2699999999999996"/>
    <n v="4.0599999999999996"/>
    <n v="3.58"/>
    <n v="4.34"/>
    <n v="4.2300000000000004"/>
    <x v="403"/>
    <n v="4.28"/>
    <n v="4.0960000000000001"/>
    <n v="82.333622730000002"/>
    <n v="75.289355700000002"/>
    <n v="73.024459550000003"/>
    <n v="62.67173588"/>
    <n v="82.040356220000007"/>
    <n v="79.566062520000003"/>
    <n v="74.237128299999995"/>
    <n v="51.962967130000003"/>
    <n v="7.0442670300000003"/>
    <n v="10.352723670000003"/>
    <n v="2.474293700000004"/>
    <n v="22.274161169999992"/>
    <x v="2"/>
    <x v="1"/>
    <x v="0"/>
    <n v="3"/>
    <s v="Dr. Rohan Dutta"/>
  </r>
  <r>
    <s v="STU0691"/>
    <s v="Pooja Nandakumar"/>
    <x v="0"/>
    <n v="22"/>
    <x v="0"/>
    <n v="4.3099999999999996"/>
    <n v="3.93"/>
    <n v="3.86"/>
    <n v="4.22"/>
    <n v="3.96"/>
    <n v="3.58"/>
    <n v="4.5"/>
    <n v="3.91"/>
    <n v="3.68"/>
    <n v="3.43"/>
    <x v="404"/>
    <n v="4.0599999999999996"/>
    <n v="3.8200000000000003"/>
    <n v="84.568732549999993"/>
    <n v="68.522239279999994"/>
    <n v="72.650261670000006"/>
    <n v="66.405501990000005"/>
    <n v="99.9"/>
    <n v="68.233738399999993"/>
    <n v="71.238264979999997"/>
    <n v="52.777738200000002"/>
    <n v="16.046493269999999"/>
    <n v="6.2447596800000014"/>
    <n v="31.666261600000013"/>
    <n v="18.460526779999995"/>
    <x v="0"/>
    <x v="4"/>
    <x v="1"/>
    <n v="3"/>
    <s v="Prof. Vikram Gupta"/>
  </r>
  <r>
    <s v="STU0692"/>
    <s v="Girish Bansal"/>
    <x v="1"/>
    <n v="23"/>
    <x v="2"/>
    <n v="4.13"/>
    <n v="3.77"/>
    <n v="4.12"/>
    <n v="4.46"/>
    <n v="4.1500000000000004"/>
    <n v="4"/>
    <n v="3.66"/>
    <n v="4.6399999999999997"/>
    <n v="4.03"/>
    <n v="3.54"/>
    <x v="405"/>
    <n v="4.13"/>
    <n v="3.9740000000000002"/>
    <n v="94.235928450000003"/>
    <n v="79.046884640000002"/>
    <n v="70"/>
    <n v="66.180751920000006"/>
    <n v="80"/>
    <n v="83.264090809999999"/>
    <n v="71.041894679999999"/>
    <n v="62.388367379999998"/>
    <n v="15.189043810000001"/>
    <n v="3.8192480799999942"/>
    <n v="-3.264090809999999"/>
    <n v="8.6535273000000004"/>
    <x v="0"/>
    <x v="0"/>
    <x v="4"/>
    <n v="3"/>
    <s v="Prof. Rahul Singh"/>
  </r>
  <r>
    <s v="STU0693"/>
    <s v="Ramesh Lamba"/>
    <x v="1"/>
    <n v="24"/>
    <x v="2"/>
    <n v="4.13"/>
    <n v="3.84"/>
    <n v="4.1500000000000004"/>
    <n v="4.1399999999999997"/>
    <n v="4.5"/>
    <n v="4.33"/>
    <n v="4.54"/>
    <n v="3.85"/>
    <n v="4.28"/>
    <n v="4.25"/>
    <x v="13"/>
    <n v="4.1500000000000004"/>
    <n v="4.25"/>
    <n v="78.539589629999995"/>
    <n v="70.28492353"/>
    <n v="80.965457290000003"/>
    <n v="64.789710299999996"/>
    <n v="80"/>
    <n v="79.446636479999995"/>
    <n v="71.088476920000005"/>
    <n v="56.432183029999997"/>
    <n v="8.2546660999999943"/>
    <n v="16.175746990000007"/>
    <n v="0.55336352000000488"/>
    <n v="14.656293890000008"/>
    <x v="0"/>
    <x v="3"/>
    <x v="1"/>
    <n v="3"/>
    <s v="Prof. Kavita Rao"/>
  </r>
  <r>
    <s v="STU0694"/>
    <s v="Vipul Ssingh"/>
    <x v="1"/>
    <n v="22"/>
    <x v="0"/>
    <n v="4.03"/>
    <n v="4.04"/>
    <n v="4.42"/>
    <n v="4.2"/>
    <n v="4.5599999999999996"/>
    <n v="3.32"/>
    <n v="3.92"/>
    <n v="4.33"/>
    <n v="3.8"/>
    <n v="3.53"/>
    <x v="406"/>
    <n v="4.25"/>
    <n v="3.7800000000000002"/>
    <n v="84.235160500000006"/>
    <n v="65.320995730000007"/>
    <n v="70"/>
    <n v="75"/>
    <n v="80.321849229999998"/>
    <n v="72.715509749999995"/>
    <n v="72.712297070000005"/>
    <n v="59.53007324"/>
    <n v="18.914164769999999"/>
    <n v="-5"/>
    <n v="7.6063394800000026"/>
    <n v="13.182223830000005"/>
    <x v="2"/>
    <x v="3"/>
    <x v="4"/>
    <n v="3"/>
    <s v="Prof. Kavita Rao"/>
  </r>
  <r>
    <s v="STU0695"/>
    <s v="Anil Kalra"/>
    <x v="1"/>
    <n v="26"/>
    <x v="3"/>
    <n v="4.67"/>
    <n v="4.09"/>
    <n v="3.81"/>
    <n v="4.59"/>
    <n v="3.98"/>
    <n v="4.2699999999999996"/>
    <n v="3.97"/>
    <n v="3.89"/>
    <n v="3.94"/>
    <n v="4.57"/>
    <x v="407"/>
    <n v="4.2300000000000004"/>
    <n v="4.1280000000000001"/>
    <n v="96.013061449999995"/>
    <n v="60"/>
    <n v="77.105001869999995"/>
    <n v="64.009522329999996"/>
    <n v="87.105160220000002"/>
    <n v="76.544462240000001"/>
    <n v="65"/>
    <n v="55.661783110000002"/>
    <n v="36.013061449999995"/>
    <n v="13.095479539999999"/>
    <n v="10.56069798"/>
    <n v="9.3382168899999982"/>
    <x v="2"/>
    <x v="4"/>
    <x v="3"/>
    <n v="3"/>
    <s v="Prof. Vikram Gupta"/>
  </r>
  <r>
    <s v="STU0696"/>
    <s v="Karan Bajaj"/>
    <x v="1"/>
    <n v="28"/>
    <x v="3"/>
    <n v="3.7"/>
    <n v="4.96"/>
    <n v="4.83"/>
    <n v="4.8099999999999996"/>
    <n v="3.95"/>
    <n v="3.7"/>
    <n v="4.2300000000000004"/>
    <n v="3.72"/>
    <n v="3.96"/>
    <n v="3.75"/>
    <x v="408"/>
    <n v="4.45"/>
    <n v="3.8719999999999999"/>
    <n v="86.555299320000003"/>
    <n v="74.839215550000006"/>
    <n v="72.691983930000006"/>
    <n v="60.168168299999998"/>
    <n v="87.298954300000005"/>
    <n v="84.260775190000004"/>
    <n v="72.146378909999996"/>
    <n v="52.753586640000002"/>
    <n v="11.716083769999997"/>
    <n v="12.523815630000009"/>
    <n v="3.0381791100000015"/>
    <n v="19.392792269999994"/>
    <x v="2"/>
    <x v="2"/>
    <x v="1"/>
    <n v="3"/>
    <s v="Prof. Rajesh Mukherjee"/>
  </r>
  <r>
    <s v="STU0697"/>
    <s v="Kavya Iyer"/>
    <x v="0"/>
    <n v="24"/>
    <x v="2"/>
    <n v="4.1500000000000004"/>
    <n v="3.86"/>
    <n v="3.99"/>
    <n v="3.47"/>
    <n v="4.0199999999999996"/>
    <n v="3.95"/>
    <n v="4.18"/>
    <n v="3.9"/>
    <n v="3.73"/>
    <n v="4.08"/>
    <x v="345"/>
    <n v="3.9"/>
    <n v="3.968"/>
    <n v="90.216621540000006"/>
    <n v="68.609310230000006"/>
    <n v="70"/>
    <n v="65.656722770000002"/>
    <n v="99.9"/>
    <n v="85"/>
    <n v="67.871040059999999"/>
    <n v="50.072989749999998"/>
    <n v="21.60731131"/>
    <n v="4.3432772299999982"/>
    <n v="14.900000000000006"/>
    <n v="17.798050310000001"/>
    <x v="1"/>
    <x v="4"/>
    <x v="1"/>
    <n v="3"/>
    <s v="Prof. Vikram Gupta"/>
  </r>
  <r>
    <s v="STU0698"/>
    <s v="Shweta Mishra"/>
    <x v="0"/>
    <n v="22"/>
    <x v="0"/>
    <n v="3.77"/>
    <n v="3.96"/>
    <n v="3.62"/>
    <n v="3.17"/>
    <n v="4.07"/>
    <n v="3.73"/>
    <n v="3.79"/>
    <s v="N/A"/>
    <n v="3.98"/>
    <n v="3.85"/>
    <x v="409"/>
    <n v="3.72"/>
    <n v="3.8374999999999999"/>
    <n v="91.534426659999994"/>
    <n v="80"/>
    <n v="87.588391209999997"/>
    <n v="68.826205659999999"/>
    <n v="88.057529709999997"/>
    <n v="78.650158779999998"/>
    <n v="69.769339479999999"/>
    <n v="50"/>
    <n v="11.534426659999994"/>
    <n v="18.762185549999998"/>
    <n v="9.407370929999999"/>
    <n v="19.769339479999999"/>
    <x v="1"/>
    <x v="3"/>
    <x v="0"/>
    <n v="3"/>
    <s v="Prof. Kavita Rao"/>
  </r>
  <r>
    <s v="STU0699"/>
    <s v="Gaurav Baakshi"/>
    <x v="1"/>
    <n v="27"/>
    <x v="3"/>
    <n v="4.28"/>
    <n v="4.21"/>
    <n v="4.21"/>
    <n v="3.43"/>
    <n v="4.75"/>
    <n v="4.3"/>
    <n v="3.89"/>
    <n v="4.49"/>
    <n v="3.74"/>
    <n v="3.89"/>
    <x v="111"/>
    <n v="4.18"/>
    <n v="4.0620000000000003"/>
    <n v="85.468231230000001"/>
    <n v="66.833485719999999"/>
    <n v="70.674371239999999"/>
    <n v="60.173491169999998"/>
    <n v="82.567489820000006"/>
    <n v="83.342456569999996"/>
    <n v="77.49521781"/>
    <n v="56.666739010000001"/>
    <n v="18.634745510000002"/>
    <n v="10.500880070000001"/>
    <n v="-0.77496674999999016"/>
    <n v="20.828478799999999"/>
    <x v="0"/>
    <x v="3"/>
    <x v="4"/>
    <n v="3"/>
    <s v="Prof. Kavita Rao"/>
  </r>
  <r>
    <s v="STU0700"/>
    <s v="Rakesh Basu"/>
    <x v="1"/>
    <n v="20"/>
    <x v="0"/>
    <n v="4.2300000000000004"/>
    <n v="3.92"/>
    <n v="4.12"/>
    <n v="3.85"/>
    <n v="3.87"/>
    <n v="3.8"/>
    <n v="4.1399999999999997"/>
    <n v="3.93"/>
    <n v="4.1900000000000004"/>
    <n v="3.43"/>
    <x v="101"/>
    <n v="4"/>
    <n v="3.8979999999999997"/>
    <n v="86.010592009999996"/>
    <n v="65.98661645"/>
    <n v="77.395164539999996"/>
    <n v="75"/>
    <n v="91.661747800000001"/>
    <n v="66.829283079999996"/>
    <n v="73.01389811"/>
    <n v="50"/>
    <n v="20.023975559999997"/>
    <n v="2.3951645399999961"/>
    <n v="24.832464720000004"/>
    <n v="23.01389811"/>
    <x v="0"/>
    <x v="4"/>
    <x v="0"/>
    <n v="3"/>
    <s v="Prof. Vikram Gupta"/>
  </r>
  <r>
    <s v="STU0701"/>
    <s v="Aditya Jhaveri"/>
    <x v="1"/>
    <n v="28"/>
    <x v="3"/>
    <n v="3.97"/>
    <n v="3.87"/>
    <n v="4.33"/>
    <n v="4.1500000000000004"/>
    <n v="3.29"/>
    <n v="4.18"/>
    <n v="4.34"/>
    <n v="4.3099999999999996"/>
    <n v="3.87"/>
    <n v="4.34"/>
    <x v="129"/>
    <n v="3.92"/>
    <n v="4.2080000000000002"/>
    <n v="90.941255060000003"/>
    <n v="69.022005410000006"/>
    <n v="81.964775520000003"/>
    <n v="69.191150030000003"/>
    <n v="85.447251850000001"/>
    <n v="82.533528899999993"/>
    <n v="72.536058650000001"/>
    <n v="60.172427980000002"/>
    <n v="21.919249649999998"/>
    <n v="12.773625490000001"/>
    <n v="2.9137229500000075"/>
    <n v="12.363630669999999"/>
    <x v="0"/>
    <x v="1"/>
    <x v="1"/>
    <n v="3"/>
    <s v="Dr. Rohan Dutta"/>
  </r>
  <r>
    <s v="STU0702"/>
    <s v="Preeti Bedi"/>
    <x v="0"/>
    <n v="24"/>
    <x v="2"/>
    <n v="4.0599999999999996"/>
    <n v="4.21"/>
    <n v="3.83"/>
    <n v="4.21"/>
    <n v="3.89"/>
    <n v="3.94"/>
    <n v="4.03"/>
    <n v="3.5"/>
    <n v="4.53"/>
    <n v="4.0199999999999996"/>
    <x v="91"/>
    <n v="4.04"/>
    <n v="4.0039999999999996"/>
    <n v="99.9"/>
    <n v="75.890485200000001"/>
    <n v="70"/>
    <n v="60.583428419999997"/>
    <n v="99.9"/>
    <n v="81.108619540000007"/>
    <n v="69.619653409999998"/>
    <n v="50"/>
    <n v="24.009514800000005"/>
    <n v="9.4165715800000029"/>
    <n v="18.791380459999999"/>
    <n v="19.619653409999998"/>
    <x v="0"/>
    <x v="2"/>
    <x v="0"/>
    <n v="3"/>
    <s v="Prof. Rajesh Mukherjee"/>
  </r>
  <r>
    <s v="STU0703"/>
    <s v="Harshita Sethi"/>
    <x v="0"/>
    <n v="28"/>
    <x v="3"/>
    <n v="4.3600000000000003"/>
    <n v="3.7"/>
    <n v="3.98"/>
    <n v="4.51"/>
    <n v="3.94"/>
    <n v="4.17"/>
    <n v="4.37"/>
    <n v="4.2300000000000004"/>
    <n v="3.86"/>
    <n v="3.72"/>
    <x v="263"/>
    <n v="4.0999999999999996"/>
    <n v="4.0699999999999994"/>
    <n v="80.374886939999996"/>
    <n v="65.499281890000006"/>
    <n v="80.184425649999994"/>
    <n v="71.775309530000001"/>
    <n v="88.83120246"/>
    <n v="76.511438429999998"/>
    <n v="65"/>
    <n v="53.695334150000001"/>
    <n v="14.87560504999999"/>
    <n v="8.4091161199999931"/>
    <n v="12.319764030000002"/>
    <n v="11.304665849999999"/>
    <x v="0"/>
    <x v="0"/>
    <x v="1"/>
    <n v="3"/>
    <s v="Prof. Rahul Singh"/>
  </r>
  <r>
    <s v="STU0704"/>
    <s v="Ananya Walia"/>
    <x v="0"/>
    <n v="22"/>
    <x v="0"/>
    <n v="3.97"/>
    <n v="4.57"/>
    <n v="4.1100000000000003"/>
    <n v="3.86"/>
    <n v="3.59"/>
    <n v="4.0999999999999996"/>
    <n v="3.67"/>
    <n v="4.22"/>
    <n v="4.1399999999999997"/>
    <n v="4.12"/>
    <x v="187"/>
    <n v="4.0199999999999996"/>
    <n v="4.05"/>
    <n v="87.004916190000003"/>
    <n v="69.935082820000005"/>
    <n v="73.754001520000003"/>
    <n v="61.604604530000003"/>
    <n v="92.464745100000002"/>
    <n v="79.790780359999999"/>
    <n v="66.500858699999995"/>
    <n v="70"/>
    <n v="17.069833369999998"/>
    <n v="12.14939699"/>
    <n v="12.673964740000002"/>
    <n v="-3.4991413000000051"/>
    <x v="0"/>
    <x v="2"/>
    <x v="4"/>
    <n v="3"/>
    <s v="Prof. Rajesh Mukherjee"/>
  </r>
  <r>
    <s v="STU0705"/>
    <s v="Usha Dhanwade"/>
    <x v="0"/>
    <n v="28"/>
    <x v="3"/>
    <n v="3.64"/>
    <n v="4.33"/>
    <n v="3.59"/>
    <n v="4.42"/>
    <n v="4.13"/>
    <n v="3.67"/>
    <n v="4.6100000000000003"/>
    <n v="4.29"/>
    <n v="3.48"/>
    <n v="3.91"/>
    <x v="21"/>
    <n v="4.0199999999999996"/>
    <n v="3.992"/>
    <n v="83.639846019999993"/>
    <n v="60"/>
    <n v="83.206938890000004"/>
    <n v="60.256822470000003"/>
    <n v="94.005282410000007"/>
    <n v="76.09413198"/>
    <n v="74.295667829999999"/>
    <n v="59.00917948"/>
    <n v="23.639846019999993"/>
    <n v="22.950116420000001"/>
    <n v="17.911150430000006"/>
    <n v="15.286488349999999"/>
    <x v="0"/>
    <x v="0"/>
    <x v="1"/>
    <n v="3"/>
    <s v="Prof. Rahul Singh"/>
  </r>
  <r>
    <s v="STU0706"/>
    <s v="Shreya Vohra"/>
    <x v="1"/>
    <n v="29"/>
    <x v="1"/>
    <n v="4.72"/>
    <n v="3.9"/>
    <n v="4.2300000000000004"/>
    <n v="4.4400000000000004"/>
    <n v="4.22"/>
    <n v="4.42"/>
    <n v="4.0999999999999996"/>
    <n v="3.89"/>
    <n v="4.2"/>
    <n v="4.21"/>
    <x v="410"/>
    <n v="4.3"/>
    <n v="4.1639999999999997"/>
    <n v="79.415374479999997"/>
    <n v="70.013040110000006"/>
    <n v="78.63575041"/>
    <n v="61.84301541"/>
    <n v="91.019476089999998"/>
    <n v="82.680669699999996"/>
    <n v="76.032004560000004"/>
    <n v="58.938131919999996"/>
    <n v="9.4023343699999913"/>
    <n v="16.792735"/>
    <n v="8.338806390000002"/>
    <n v="17.093872640000008"/>
    <x v="2"/>
    <x v="4"/>
    <x v="2"/>
    <n v="3"/>
    <s v="Prof. Vikram Gupta"/>
  </r>
  <r>
    <s v="STU0707"/>
    <s v="Nikhil Dubey"/>
    <x v="1"/>
    <n v="23"/>
    <x v="2"/>
    <n v="3.47"/>
    <n v="3.81"/>
    <n v="4.92"/>
    <n v="4.25"/>
    <n v="3.75"/>
    <n v="4.04"/>
    <n v="3.73"/>
    <n v="3.96"/>
    <s v="N/A"/>
    <n v="4.05"/>
    <x v="91"/>
    <n v="4.04"/>
    <n v="3.9450000000000003"/>
    <n v="81.151127349999996"/>
    <n v="65.863956490000007"/>
    <n v="85.20779512"/>
    <n v="68.767429949999993"/>
    <n v="88.623936659999998"/>
    <n v="81.963006419999999"/>
    <n v="70.190182429999993"/>
    <n v="53.567755429999998"/>
    <n v="15.287170859999989"/>
    <n v="16.440365170000007"/>
    <n v="6.660930239999999"/>
    <n v="16.622426999999995"/>
    <x v="0"/>
    <x v="1"/>
    <x v="3"/>
    <n v="3"/>
    <s v="Dr. Rohan Dutta"/>
  </r>
  <r>
    <s v="STU0708"/>
    <s v="Devika Joshi"/>
    <x v="0"/>
    <n v="30"/>
    <x v="1"/>
    <n v="4.42"/>
    <n v="3.92"/>
    <n v="4.1500000000000004"/>
    <n v="3.59"/>
    <n v="3.66"/>
    <n v="4.1900000000000004"/>
    <n v="3.92"/>
    <n v="3.68"/>
    <s v="N/A"/>
    <n v="4.0199999999999996"/>
    <x v="71"/>
    <n v="3.95"/>
    <n v="3.9524999999999997"/>
    <n v="79.933596620000003"/>
    <n v="62.47511677"/>
    <n v="87.855173039999997"/>
    <n v="60.320941640000001"/>
    <n v="85.924828849999997"/>
    <n v="76.787832300000005"/>
    <n v="71.862785990000006"/>
    <n v="69.161090790000003"/>
    <n v="17.458479850000003"/>
    <n v="27.534231399999996"/>
    <n v="9.1369965499999921"/>
    <n v="2.7016952000000032"/>
    <x v="0"/>
    <x v="4"/>
    <x v="2"/>
    <n v="3"/>
    <s v="Prof. Vikram Gupta"/>
  </r>
  <r>
    <s v="STU0709"/>
    <s v="Usha Ekbote"/>
    <x v="0"/>
    <n v="30"/>
    <x v="1"/>
    <n v="4.09"/>
    <n v="4.1900000000000004"/>
    <n v="4.1500000000000004"/>
    <n v="3.84"/>
    <n v="4.1500000000000004"/>
    <n v="4.3"/>
    <n v="4.45"/>
    <n v="3.35"/>
    <n v="3.87"/>
    <n v="3.92"/>
    <x v="15"/>
    <n v="4.08"/>
    <n v="3.9780000000000002"/>
    <n v="89.460843269999998"/>
    <n v="76.876453130000002"/>
    <n v="81.834865449999995"/>
    <n v="60.187857559999998"/>
    <n v="98.356406070000006"/>
    <n v="74.954425110000003"/>
    <n v="72.774205809999998"/>
    <n v="60.560105559999997"/>
    <n v="12.584390139999996"/>
    <n v="21.647007889999998"/>
    <n v="23.401980960000003"/>
    <n v="12.214100250000001"/>
    <x v="0"/>
    <x v="2"/>
    <x v="1"/>
    <n v="3"/>
    <s v="Prof. Rajesh Mukherjee"/>
  </r>
  <r>
    <s v="STU0710"/>
    <s v="Manju Ahluwalia"/>
    <x v="1"/>
    <n v="20"/>
    <x v="0"/>
    <n v="4.3600000000000003"/>
    <n v="4.37"/>
    <n v="4.2699999999999996"/>
    <n v="4.16"/>
    <n v="3.54"/>
    <n v="4.5199999999999996"/>
    <n v="3.94"/>
    <n v="4.13"/>
    <n v="4.04"/>
    <n v="4.3899999999999997"/>
    <x v="150"/>
    <n v="4.1399999999999997"/>
    <n v="4.2039999999999997"/>
    <n v="84.180012750000003"/>
    <n v="64.098391890000002"/>
    <n v="84.698595549999993"/>
    <n v="66.060742649999995"/>
    <n v="94.528356369999997"/>
    <n v="85"/>
    <n v="72.705470730000002"/>
    <n v="66.935650440000003"/>
    <n v="20.081620860000001"/>
    <n v="18.637852899999999"/>
    <n v="9.5283563699999974"/>
    <n v="5.7698202899999984"/>
    <x v="0"/>
    <x v="2"/>
    <x v="2"/>
    <n v="3"/>
    <s v="Prof. Rajesh Mukherjee"/>
  </r>
  <r>
    <s v="STU0711"/>
    <s v="Aditi Lall"/>
    <x v="0"/>
    <n v="26"/>
    <x v="3"/>
    <n v="4.18"/>
    <n v="4.4800000000000004"/>
    <n v="3.99"/>
    <n v="4.5"/>
    <n v="3.74"/>
    <n v="3.65"/>
    <n v="3.62"/>
    <n v="3.87"/>
    <n v="3.86"/>
    <n v="4.04"/>
    <x v="411"/>
    <n v="4.18"/>
    <n v="3.8079999999999998"/>
    <n v="79.857198049999994"/>
    <n v="71.740309170000003"/>
    <n v="71.307143569999994"/>
    <n v="69.371668029999995"/>
    <n v="91.959343200000006"/>
    <n v="71.853517289999999"/>
    <n v="72.232532300000003"/>
    <n v="58.181081040000002"/>
    <n v="8.1168888799999905"/>
    <n v="1.9354755399999988"/>
    <n v="20.105825910000007"/>
    <n v="14.05145126"/>
    <x v="0"/>
    <x v="0"/>
    <x v="3"/>
    <n v="3"/>
    <s v="Prof. Rahul Singh"/>
  </r>
  <r>
    <s v="STU0712"/>
    <s v="Mohit Malhotra"/>
    <x v="1"/>
    <n v="28"/>
    <x v="3"/>
    <n v="4.3899999999999997"/>
    <n v="4.03"/>
    <n v="4.4800000000000004"/>
    <n v="4.12"/>
    <n v="4.2"/>
    <n v="4.13"/>
    <n v="4.3600000000000003"/>
    <n v="4.3099999999999996"/>
    <n v="4.47"/>
    <n v="4.2300000000000004"/>
    <x v="261"/>
    <n v="4.24"/>
    <n v="4.3"/>
    <n v="94.470111779999996"/>
    <n v="72.368322610000007"/>
    <n v="75.155147990000003"/>
    <n v="63.508589489999999"/>
    <n v="95.966923609999995"/>
    <n v="85"/>
    <n v="69.184738359999997"/>
    <n v="53.506871969999999"/>
    <n v="22.101789169999989"/>
    <n v="11.646558500000005"/>
    <n v="10.966923609999995"/>
    <n v="15.677866389999998"/>
    <x v="2"/>
    <x v="1"/>
    <x v="0"/>
    <n v="3"/>
    <s v="Dr. Rohan Dutta"/>
  </r>
  <r>
    <s v="STU0713"/>
    <s v="Yuvraj Bharadwaj"/>
    <x v="1"/>
    <n v="26"/>
    <x v="3"/>
    <n v="4.08"/>
    <n v="3.87"/>
    <n v="4.13"/>
    <n v="3.81"/>
    <s v="N/A"/>
    <n v="4.57"/>
    <n v="4.1900000000000004"/>
    <n v="4.83"/>
    <n v="4.08"/>
    <n v="3.89"/>
    <x v="369"/>
    <n v="3.97"/>
    <n v="4.3120000000000003"/>
    <n v="89.138773040000004"/>
    <n v="71.677510229999996"/>
    <n v="88.31995569"/>
    <n v="65.674629719999999"/>
    <n v="88.093165490000004"/>
    <n v="71.62944195"/>
    <n v="68.966099080000006"/>
    <n v="53.05169909"/>
    <n v="17.461262810000008"/>
    <n v="22.645325970000002"/>
    <n v="16.463723540000004"/>
    <n v="15.914399990000007"/>
    <x v="0"/>
    <x v="1"/>
    <x v="4"/>
    <n v="3"/>
    <s v="Dr. Rohan Dutta"/>
  </r>
  <r>
    <s v="STU0714"/>
    <s v="Vandana Goswami"/>
    <x v="0"/>
    <n v="29"/>
    <x v="1"/>
    <n v="3.56"/>
    <n v="3.74"/>
    <n v="4.29"/>
    <n v="4.22"/>
    <n v="3.82"/>
    <n v="3.94"/>
    <n v="4.03"/>
    <n v="4.1900000000000004"/>
    <n v="4.32"/>
    <n v="4.13"/>
    <x v="292"/>
    <n v="3.93"/>
    <n v="4.1219999999999999"/>
    <n v="75"/>
    <n v="65.832896210000001"/>
    <n v="70"/>
    <n v="59.048145460000001"/>
    <n v="94.897386580000003"/>
    <n v="84.264093959999997"/>
    <n v="70.375132100000002"/>
    <n v="56.97275071"/>
    <n v="9.1671037899999988"/>
    <n v="10.951854539999999"/>
    <n v="10.633292620000006"/>
    <n v="13.402381390000002"/>
    <x v="0"/>
    <x v="1"/>
    <x v="0"/>
    <n v="3"/>
    <s v="Dr. Rohan Dutta"/>
  </r>
  <r>
    <s v="STU0715"/>
    <s v="Aarav Kaushik"/>
    <x v="1"/>
    <n v="26"/>
    <x v="3"/>
    <n v="3.75"/>
    <n v="4.4800000000000004"/>
    <n v="4.4400000000000004"/>
    <n v="3.97"/>
    <n v="3.53"/>
    <n v="3.7"/>
    <n v="3.88"/>
    <n v="4.07"/>
    <n v="4.43"/>
    <n v="4.07"/>
    <x v="130"/>
    <n v="4.03"/>
    <n v="4.0299999999999994"/>
    <n v="93.961148379999997"/>
    <n v="63.055433520000001"/>
    <n v="80.110857539999998"/>
    <n v="66.526600999999999"/>
    <n v="80"/>
    <n v="79.206205870000005"/>
    <n v="66.580947039999998"/>
    <n v="50"/>
    <n v="30.905714859999996"/>
    <n v="13.584256539999998"/>
    <n v="0.79379412999999488"/>
    <n v="16.580947039999998"/>
    <x v="0"/>
    <x v="2"/>
    <x v="0"/>
    <n v="3"/>
    <s v="Prof. Rajesh Mukherjee"/>
  </r>
  <r>
    <s v="STU0716"/>
    <s v="Mohit Chopra"/>
    <x v="1"/>
    <n v="21"/>
    <x v="0"/>
    <n v="4.3099999999999996"/>
    <n v="4.37"/>
    <n v="3.97"/>
    <s v="N/A"/>
    <n v="3.85"/>
    <n v="3.81"/>
    <n v="4.13"/>
    <n v="3.58"/>
    <s v="N/A"/>
    <n v="4.22"/>
    <x v="378"/>
    <n v="4.13"/>
    <n v="3.9349999999999996"/>
    <n v="77.727151719999995"/>
    <n v="66.887723739999998"/>
    <n v="70"/>
    <n v="70.537658969999995"/>
    <n v="85.51341506"/>
    <n v="80.313692669999995"/>
    <n v="72.01967338"/>
    <n v="50.396287469999997"/>
    <n v="10.839427979999996"/>
    <n v="-0.53765896999999541"/>
    <n v="5.1997223900000051"/>
    <n v="21.623385910000003"/>
    <x v="0"/>
    <x v="2"/>
    <x v="3"/>
    <n v="3"/>
    <s v="Prof. Rajesh Mukherjee"/>
  </r>
  <r>
    <s v="STU0717"/>
    <s v="Ira Singhania"/>
    <x v="0"/>
    <n v="22"/>
    <x v="0"/>
    <n v="4.16"/>
    <n v="3.69"/>
    <n v="4"/>
    <n v="4.38"/>
    <n v="4.67"/>
    <n v="3.81"/>
    <n v="4.16"/>
    <n v="3.8"/>
    <n v="4.54"/>
    <n v="3.45"/>
    <x v="374"/>
    <n v="4.18"/>
    <n v="3.9519999999999995"/>
    <n v="89.901892630000006"/>
    <n v="60.153965599999999"/>
    <n v="70"/>
    <n v="57.687112419999998"/>
    <n v="82.577806440000003"/>
    <n v="84.236001400000006"/>
    <n v="71.267634569999998"/>
    <n v="50"/>
    <n v="29.747927030000007"/>
    <n v="12.312887580000002"/>
    <n v="-1.658194960000003"/>
    <n v="21.267634569999998"/>
    <x v="0"/>
    <x v="3"/>
    <x v="0"/>
    <n v="3"/>
    <s v="Prof. Kavita Rao"/>
  </r>
  <r>
    <s v="STU0718"/>
    <s v="Ayaan Malhotra"/>
    <x v="1"/>
    <n v="25"/>
    <x v="2"/>
    <n v="4.3099999999999996"/>
    <n v="3.67"/>
    <n v="4.26"/>
    <n v="4.16"/>
    <n v="4.4000000000000004"/>
    <s v="N/A"/>
    <n v="4.28"/>
    <n v="4.18"/>
    <n v="4.58"/>
    <n v="3.8"/>
    <x v="412"/>
    <n v="4.16"/>
    <n v="4.21"/>
    <n v="84.882018860000002"/>
    <n v="64.509725290000006"/>
    <n v="73.53606533"/>
    <n v="68.425304760000003"/>
    <n v="95.493416980000006"/>
    <n v="81.259162140000001"/>
    <n v="68.451369499999998"/>
    <n v="55.547766709999998"/>
    <n v="20.372293569999997"/>
    <n v="5.1107605699999965"/>
    <n v="14.234254840000006"/>
    <n v="12.903602790000001"/>
    <x v="0"/>
    <x v="3"/>
    <x v="0"/>
    <n v="3"/>
    <s v="Prof. Kavita Rao"/>
  </r>
  <r>
    <s v="STU0719"/>
    <s v="Rahul Iiyengar"/>
    <x v="1"/>
    <n v="21"/>
    <x v="0"/>
    <n v="3.72"/>
    <n v="3.38"/>
    <n v="4.3"/>
    <n v="4.33"/>
    <n v="3.86"/>
    <n v="3.61"/>
    <n v="3.89"/>
    <n v="4.0199999999999996"/>
    <n v="4.26"/>
    <n v="4.07"/>
    <x v="70"/>
    <n v="3.92"/>
    <n v="3.97"/>
    <n v="84.539353309999996"/>
    <n v="70.744104050000004"/>
    <n v="85.910295450000007"/>
    <n v="67.130231690000002"/>
    <n v="93.565000600000005"/>
    <n v="78.522736980000005"/>
    <n v="72.010777709999999"/>
    <n v="50"/>
    <n v="13.795249259999991"/>
    <n v="18.780063760000004"/>
    <n v="15.04226362"/>
    <n v="22.010777709999999"/>
    <x v="0"/>
    <x v="0"/>
    <x v="0"/>
    <n v="3"/>
    <s v="Prof. Rahul Singh"/>
  </r>
  <r>
    <s v="STU0720"/>
    <s v="Priya Iyengar"/>
    <x v="1"/>
    <n v="26"/>
    <x v="3"/>
    <n v="3.89"/>
    <n v="3.54"/>
    <n v="4.07"/>
    <n v="4.57"/>
    <n v="4.62"/>
    <n v="3.87"/>
    <n v="4.34"/>
    <n v="3.78"/>
    <n v="3.71"/>
    <n v="3.77"/>
    <x v="199"/>
    <n v="4.1399999999999997"/>
    <n v="3.8939999999999997"/>
    <n v="83.622851420000003"/>
    <n v="73.790133330000003"/>
    <n v="79.280950939999997"/>
    <n v="75"/>
    <n v="82.801534450000005"/>
    <n v="74.104020599999998"/>
    <n v="74.726212090000004"/>
    <n v="55.43724272"/>
    <n v="9.8327180900000002"/>
    <n v="4.2809509399999968"/>
    <n v="8.6975138500000071"/>
    <n v="19.288969370000004"/>
    <x v="0"/>
    <x v="3"/>
    <x v="1"/>
    <n v="3"/>
    <s v="Prof. Kavita Rao"/>
  </r>
  <r>
    <s v="STU0721"/>
    <s v="Ajay Isranni"/>
    <x v="1"/>
    <n v="30"/>
    <x v="1"/>
    <n v="4.21"/>
    <n v="3.94"/>
    <n v="3.94"/>
    <n v="4.18"/>
    <n v="3.99"/>
    <n v="4.13"/>
    <n v="3.85"/>
    <n v="4.0599999999999996"/>
    <n v="4.34"/>
    <n v="4"/>
    <x v="39"/>
    <n v="4.05"/>
    <n v="4.0759999999999996"/>
    <n v="83.658014600000001"/>
    <n v="78.671337129999998"/>
    <n v="71.984066310000003"/>
    <n v="56.702398510000002"/>
    <n v="98.382593830000005"/>
    <n v="69.711644199999995"/>
    <n v="70.726646869999996"/>
    <n v="63.340629560000004"/>
    <n v="4.9866774700000036"/>
    <n v="15.281667800000001"/>
    <n v="28.67094963000001"/>
    <n v="7.3860173099999926"/>
    <x v="0"/>
    <x v="4"/>
    <x v="0"/>
    <n v="3"/>
    <s v="Prof. Vikram Gupta"/>
  </r>
  <r>
    <s v="STU0722"/>
    <s v="Sannjay Manwani"/>
    <x v="1"/>
    <n v="29"/>
    <x v="1"/>
    <n v="4.42"/>
    <n v="3.54"/>
    <n v="3.96"/>
    <n v="4.41"/>
    <n v="4.05"/>
    <n v="4.07"/>
    <n v="3.83"/>
    <n v="3.82"/>
    <n v="4.7"/>
    <n v="3.71"/>
    <x v="8"/>
    <n v="4.08"/>
    <n v="4.0260000000000007"/>
    <n v="75"/>
    <n v="72.969206749999998"/>
    <n v="85.455816400000003"/>
    <n v="70.842140099999995"/>
    <n v="92.092888509999995"/>
    <n v="85"/>
    <n v="76.424360280000002"/>
    <n v="52.334772639999997"/>
    <n v="2.0307932500000021"/>
    <n v="14.613676300000009"/>
    <n v="7.0928885099999945"/>
    <n v="24.089587640000005"/>
    <x v="0"/>
    <x v="4"/>
    <x v="0"/>
    <n v="3"/>
    <s v="Prof. Vikram Gupta"/>
  </r>
  <r>
    <s v="STU0723"/>
    <s v="Rekhha Yadav"/>
    <x v="1"/>
    <n v="30"/>
    <x v="1"/>
    <n v="4.67"/>
    <n v="3.78"/>
    <n v="4.1100000000000003"/>
    <n v="3.96"/>
    <n v="4.41"/>
    <n v="4.0599999999999996"/>
    <n v="4"/>
    <n v="4.2"/>
    <n v="3.75"/>
    <n v="4.47"/>
    <x v="413"/>
    <n v="4.1900000000000004"/>
    <n v="4.0959999999999992"/>
    <n v="89.466572220000003"/>
    <n v="71.858715059999994"/>
    <n v="90"/>
    <n v="75"/>
    <n v="96.788954770000004"/>
    <n v="80.958577559999995"/>
    <n v="70.542742840000003"/>
    <n v="55.28916684"/>
    <n v="17.607857160000009"/>
    <n v="15"/>
    <n v="15.830377210000009"/>
    <n v="15.253576000000002"/>
    <x v="0"/>
    <x v="4"/>
    <x v="3"/>
    <n v="3"/>
    <s v="Prof. Vikram Gupta"/>
  </r>
  <r>
    <s v="STU0724"/>
    <s v="Reyansh Singhania"/>
    <x v="1"/>
    <n v="30"/>
    <x v="1"/>
    <n v="4.3899999999999997"/>
    <n v="4.07"/>
    <n v="4.18"/>
    <n v="4.42"/>
    <n v="4.3099999999999996"/>
    <n v="3.85"/>
    <n v="4.08"/>
    <n v="4.03"/>
    <n v="4.08"/>
    <n v="3.81"/>
    <x v="190"/>
    <n v="4.2699999999999996"/>
    <n v="3.9699999999999998"/>
    <n v="85.777527770000006"/>
    <n v="60"/>
    <n v="73.242793730000002"/>
    <n v="60.923067039999999"/>
    <n v="90.624888549999994"/>
    <n v="85"/>
    <n v="69.767610959999999"/>
    <n v="70"/>
    <n v="25.777527770000006"/>
    <n v="12.319726690000003"/>
    <n v="5.6248885499999943"/>
    <n v="-0.23238904000000105"/>
    <x v="2"/>
    <x v="0"/>
    <x v="1"/>
    <n v="3"/>
    <s v="Prof. Rahul Singh"/>
  </r>
  <r>
    <s v="STU0725"/>
    <s v="Naveen Kalra"/>
    <x v="1"/>
    <n v="27"/>
    <x v="3"/>
    <n v="3.84"/>
    <n v="4.2699999999999996"/>
    <n v="4.3600000000000003"/>
    <n v="3.8"/>
    <n v="3.93"/>
    <n v="5.01"/>
    <n v="3.86"/>
    <n v="3.76"/>
    <n v="4.3899999999999997"/>
    <n v="4.46"/>
    <x v="91"/>
    <n v="4.04"/>
    <n v="4.2960000000000003"/>
    <n v="79.737414119999997"/>
    <n v="75.780519440000006"/>
    <n v="73.778122870000004"/>
    <n v="65.553788569999995"/>
    <n v="96.156781390000006"/>
    <n v="84.488826309999993"/>
    <n v="75.015896740000002"/>
    <n v="67.180769789999999"/>
    <n v="3.9568946799999907"/>
    <n v="8.2243343000000095"/>
    <n v="11.667955080000013"/>
    <n v="7.8351269500000029"/>
    <x v="0"/>
    <x v="1"/>
    <x v="2"/>
    <n v="3"/>
    <s v="Dr. Rohan Dutta"/>
  </r>
  <r>
    <s v="STU0726"/>
    <s v="Priya Rawat"/>
    <x v="1"/>
    <n v="25"/>
    <x v="2"/>
    <n v="4.42"/>
    <n v="3.71"/>
    <n v="4.25"/>
    <n v="4.22"/>
    <n v="4.2699999999999996"/>
    <n v="4.3"/>
    <n v="4.01"/>
    <n v="4.12"/>
    <n v="3.66"/>
    <n v="3.38"/>
    <x v="380"/>
    <n v="4.17"/>
    <n v="3.8939999999999997"/>
    <n v="81.750834859999998"/>
    <n v="67.513367479999999"/>
    <n v="70"/>
    <n v="62.922261020000001"/>
    <n v="99.9"/>
    <n v="76.066254790000002"/>
    <n v="75.144578100000004"/>
    <n v="57.211768120000002"/>
    <n v="14.237467379999998"/>
    <n v="7.0777389799999995"/>
    <n v="23.833745210000004"/>
    <n v="17.932809980000002"/>
    <x v="0"/>
    <x v="4"/>
    <x v="2"/>
    <n v="3"/>
    <s v="Prof. Vikram Gupta"/>
  </r>
  <r>
    <s v="STU0727"/>
    <s v="Dhruv Goel"/>
    <x v="1"/>
    <n v="21"/>
    <x v="0"/>
    <n v="3.69"/>
    <n v="4.24"/>
    <n v="4.21"/>
    <s v="N/A"/>
    <n v="3.8"/>
    <n v="4.53"/>
    <n v="4.33"/>
    <n v="3.79"/>
    <n v="4.5999999999999996"/>
    <n v="3.77"/>
    <x v="60"/>
    <n v="3.99"/>
    <n v="4.2039999999999997"/>
    <n v="86.153654149999994"/>
    <n v="70.076407660000001"/>
    <n v="70"/>
    <n v="66.40452793"/>
    <n v="80"/>
    <n v="71.924569829999996"/>
    <n v="71.246414720000004"/>
    <n v="50"/>
    <n v="16.077246489999993"/>
    <n v="3.5954720699999996"/>
    <n v="8.0754301700000042"/>
    <n v="21.246414720000004"/>
    <x v="0"/>
    <x v="2"/>
    <x v="0"/>
    <n v="3"/>
    <s v="Prof. Rajesh Mukherjee"/>
  </r>
  <r>
    <s v="STU0728"/>
    <s v="Aarav Khanna"/>
    <x v="1"/>
    <n v="25"/>
    <x v="2"/>
    <n v="4.17"/>
    <n v="4.1500000000000004"/>
    <n v="4.2300000000000004"/>
    <n v="4.07"/>
    <n v="3.5"/>
    <n v="4.05"/>
    <n v="4.09"/>
    <n v="4.53"/>
    <n v="3.57"/>
    <n v="4.78"/>
    <x v="272"/>
    <n v="4.0199999999999996"/>
    <n v="4.2040000000000006"/>
    <n v="88.125957139999997"/>
    <n v="64.346106149999997"/>
    <n v="81.561542059999994"/>
    <n v="73.290568230000005"/>
    <n v="94.700636029999998"/>
    <n v="71.063015489999998"/>
    <n v="71.441810660000002"/>
    <n v="64.905158189999995"/>
    <n v="23.77985099"/>
    <n v="8.2709738299999884"/>
    <n v="23.63762054"/>
    <n v="6.536652470000007"/>
    <x v="0"/>
    <x v="1"/>
    <x v="3"/>
    <n v="3"/>
    <s v="Dr. Rohan Dutta"/>
  </r>
  <r>
    <s v="STU0729"/>
    <s v="Rahul Lamba"/>
    <x v="1"/>
    <n v="27"/>
    <x v="3"/>
    <n v="3.79"/>
    <n v="4.08"/>
    <n v="4.34"/>
    <n v="4.22"/>
    <n v="3.67"/>
    <n v="3.7"/>
    <n v="4.1500000000000004"/>
    <n v="4.29"/>
    <n v="4.24"/>
    <n v="4.22"/>
    <x v="187"/>
    <n v="4.0199999999999996"/>
    <n v="4.12"/>
    <n v="89.749627140000001"/>
    <n v="78.872470030000002"/>
    <n v="70"/>
    <n v="70.111198639999998"/>
    <n v="94.085428010000001"/>
    <n v="77.578983480000005"/>
    <n v="73.689781460000006"/>
    <n v="57.902016789999998"/>
    <n v="10.877157109999999"/>
    <n v="-0.11119863999999779"/>
    <n v="16.506444529999996"/>
    <n v="15.787764670000008"/>
    <x v="0"/>
    <x v="1"/>
    <x v="4"/>
    <n v="3"/>
    <s v="Dr. Rohan Dutta"/>
  </r>
  <r>
    <s v="STU0730"/>
    <s v="Sanjay Jhaveri"/>
    <x v="1"/>
    <n v="22"/>
    <x v="0"/>
    <n v="4.21"/>
    <n v="4.5199999999999996"/>
    <n v="4.2300000000000004"/>
    <n v="3.59"/>
    <n v="3.85"/>
    <n v="4.05"/>
    <n v="4.4800000000000004"/>
    <n v="4.03"/>
    <n v="3.9"/>
    <n v="3.88"/>
    <x v="284"/>
    <n v="4.08"/>
    <n v="4.0679999999999996"/>
    <n v="96.839974330000004"/>
    <n v="65.457735319999998"/>
    <n v="76.645139459999996"/>
    <n v="66.382630410000004"/>
    <n v="97.610597389999995"/>
    <n v="85"/>
    <n v="77.349786379999998"/>
    <n v="53.350713399999997"/>
    <n v="31.382239010000006"/>
    <n v="10.262509049999991"/>
    <n v="12.610597389999995"/>
    <n v="23.999072980000001"/>
    <x v="0"/>
    <x v="2"/>
    <x v="1"/>
    <n v="3"/>
    <s v="Prof. Rajesh Mukherjee"/>
  </r>
  <r>
    <s v="STU0731"/>
    <s v="Tanvi Anand"/>
    <x v="0"/>
    <n v="20"/>
    <x v="0"/>
    <n v="5"/>
    <n v="4.28"/>
    <n v="4.3499999999999996"/>
    <n v="3.9"/>
    <n v="3.95"/>
    <n v="3.96"/>
    <n v="4.3600000000000003"/>
    <n v="4.1500000000000004"/>
    <n v="3.89"/>
    <n v="4.4800000000000004"/>
    <x v="414"/>
    <n v="4.3"/>
    <n v="4.1680000000000001"/>
    <n v="88.267054610000002"/>
    <n v="68.476573889999997"/>
    <n v="70"/>
    <n v="62.467403269999998"/>
    <n v="80"/>
    <n v="78.716704109999995"/>
    <n v="71.746552280000003"/>
    <n v="65.041931050000002"/>
    <n v="19.790480720000005"/>
    <n v="7.5325967300000016"/>
    <n v="1.2832958900000051"/>
    <n v="6.7046212300000008"/>
    <x v="2"/>
    <x v="4"/>
    <x v="3"/>
    <n v="3"/>
    <s v="Prof. Vikram Gupta"/>
  </r>
  <r>
    <s v="STU0732"/>
    <s v="Jatin Dewan"/>
    <x v="1"/>
    <n v="27"/>
    <x v="3"/>
    <n v="3.86"/>
    <s v="4.36%"/>
    <n v="3.59"/>
    <n v="4.0199999999999996"/>
    <n v="3.97"/>
    <n v="4.29"/>
    <n v="3.99"/>
    <n v="4.34"/>
    <n v="3.81"/>
    <n v="4.1900000000000004"/>
    <x v="270"/>
    <n v="3.86"/>
    <n v="4.1240000000000006"/>
    <n v="90.823463390000001"/>
    <n v="66.486732309999994"/>
    <n v="70"/>
    <n v="55"/>
    <n v="91.530085679999999"/>
    <n v="77.714697090000001"/>
    <n v="70.222314740000002"/>
    <n v="59.516107150000003"/>
    <n v="24.336731080000007"/>
    <n v="15"/>
    <n v="13.815388589999998"/>
    <n v="10.706207589999998"/>
    <x v="1"/>
    <x v="0"/>
    <x v="4"/>
    <n v="3"/>
    <s v="Prof. Rahul Singh"/>
  </r>
  <r>
    <s v="STU0733"/>
    <s v="Siddharth Kaushik"/>
    <x v="1"/>
    <n v="21"/>
    <x v="0"/>
    <n v="4.1500000000000004"/>
    <n v="4.08"/>
    <n v="4.04"/>
    <n v="3.83"/>
    <n v="3.36"/>
    <s v="4.17%"/>
    <n v="4.21"/>
    <n v="4.17"/>
    <n v="4.34"/>
    <n v="3.95"/>
    <x v="415"/>
    <n v="3.89"/>
    <n v="4.1674999999999995"/>
    <n v="88.830054529999998"/>
    <n v="71.243949529999995"/>
    <n v="75.387280000000004"/>
    <n v="65.670511619999999"/>
    <n v="93.360699990000001"/>
    <n v="84.590024220000004"/>
    <n v="69.739692169999998"/>
    <n v="63.911849940000003"/>
    <n v="17.586105000000003"/>
    <n v="9.7167683800000049"/>
    <n v="8.7706757699999969"/>
    <n v="5.8278422299999946"/>
    <x v="1"/>
    <x v="4"/>
    <x v="0"/>
    <n v="3"/>
    <s v="Prof. Vikram Gupta"/>
  </r>
  <r>
    <s v="STU0734"/>
    <s v="Pratik Chauhan"/>
    <x v="1"/>
    <n v="22"/>
    <x v="0"/>
    <n v="4.09"/>
    <n v="4.08"/>
    <n v="3.45"/>
    <n v="3.85"/>
    <n v="3.79"/>
    <n v="4.51"/>
    <n v="3.69"/>
    <n v="4.4800000000000004"/>
    <n v="3.75"/>
    <n v="3.99"/>
    <x v="416"/>
    <n v="3.85"/>
    <n v="4.0840000000000005"/>
    <n v="96.343989480000005"/>
    <n v="65.160832069999998"/>
    <n v="87.66940185"/>
    <n v="66.755432490000004"/>
    <n v="89.716603829999997"/>
    <n v="82.049865359999998"/>
    <n v="68.770609550000003"/>
    <n v="57.416070449999999"/>
    <n v="31.183157410000007"/>
    <n v="20.913969359999996"/>
    <n v="7.6667384699999985"/>
    <n v="11.354539100000004"/>
    <x v="1"/>
    <x v="4"/>
    <x v="2"/>
    <n v="3"/>
    <s v="Prof. Vikram Gupta"/>
  </r>
  <r>
    <s v="STU0735"/>
    <s v="Monika Vohra"/>
    <x v="0"/>
    <n v="21"/>
    <x v="0"/>
    <n v="3.93"/>
    <n v="3.98"/>
    <n v="4.4000000000000004"/>
    <n v="4.33"/>
    <n v="3.98"/>
    <n v="3.99"/>
    <n v="4.7"/>
    <n v="3.92"/>
    <n v="4.1399999999999997"/>
    <n v="3.86"/>
    <x v="36"/>
    <n v="4.12"/>
    <n v="4.1219999999999999"/>
    <n v="84.56782982"/>
    <n v="68.548651059999997"/>
    <n v="86.055876350000005"/>
    <n v="66.71368674"/>
    <n v="93.714439540000001"/>
    <n v="78.560624700000005"/>
    <n v="66.601263099999997"/>
    <n v="54.929389860000001"/>
    <n v="16.019178760000003"/>
    <n v="19.342189610000005"/>
    <n v="15.153814839999995"/>
    <n v="11.671873239999996"/>
    <x v="0"/>
    <x v="1"/>
    <x v="1"/>
    <n v="3"/>
    <s v="Dr. Rohan Dutta"/>
  </r>
  <r>
    <s v="STU0736"/>
    <s v="Anika Nair"/>
    <x v="1"/>
    <n v="27"/>
    <x v="3"/>
    <n v="4.41"/>
    <n v="4.2300000000000004"/>
    <n v="3.77"/>
    <n v="4.4800000000000004"/>
    <n v="4.26"/>
    <n v="4.04"/>
    <n v="4.03"/>
    <n v="3.96"/>
    <n v="4.1900000000000004"/>
    <n v="4.43"/>
    <x v="2"/>
    <n v="4.2300000000000004"/>
    <n v="4.1300000000000008"/>
    <n v="83.534029410000002"/>
    <n v="66.75813771"/>
    <n v="70"/>
    <n v="74.094942990000007"/>
    <n v="92.792441030000006"/>
    <n v="85"/>
    <n v="72.436442130000003"/>
    <n v="52.609640579999997"/>
    <n v="16.775891700000003"/>
    <n v="-4.0949429900000069"/>
    <n v="7.7924410300000062"/>
    <n v="19.826801550000006"/>
    <x v="2"/>
    <x v="0"/>
    <x v="3"/>
    <n v="3"/>
    <s v="Prof. Rahul Singh"/>
  </r>
  <r>
    <s v="STU0737"/>
    <s v="Tarun Sahgal"/>
    <x v="1"/>
    <n v="20"/>
    <x v="0"/>
    <n v="4.33"/>
    <n v="3.84"/>
    <n v="3.91"/>
    <n v="3.36"/>
    <n v="4.3499999999999996"/>
    <n v="4.1900000000000004"/>
    <n v="4.3899999999999997"/>
    <n v="3.89"/>
    <n v="4.4800000000000004"/>
    <n v="4.1100000000000003"/>
    <x v="329"/>
    <n v="3.96"/>
    <n v="4.2120000000000006"/>
    <n v="92.798418589999997"/>
    <n v="72.304133129999997"/>
    <n v="76.614538999999994"/>
    <n v="67.177624109999996"/>
    <n v="84.875173480000001"/>
    <n v="79.670659180000001"/>
    <n v="69.002499130000004"/>
    <n v="52.204250870000003"/>
    <n v="20.49428546"/>
    <n v="9.4369148899999971"/>
    <n v="5.2045142999999996"/>
    <n v="16.798248260000001"/>
    <x v="0"/>
    <x v="3"/>
    <x v="0"/>
    <n v="3"/>
    <s v="Prof. Kavita Rao"/>
  </r>
  <r>
    <s v="STU0738"/>
    <s v="Tanvi Basu"/>
    <x v="0"/>
    <n v="30"/>
    <x v="1"/>
    <n v="4.45"/>
    <n v="4.17"/>
    <n v="4.1900000000000004"/>
    <n v="3.58"/>
    <n v="4.03"/>
    <n v="3.73"/>
    <n v="3.79"/>
    <n v="3.46"/>
    <n v="4.24"/>
    <n v="4.0199999999999996"/>
    <x v="15"/>
    <n v="4.08"/>
    <n v="3.8480000000000003"/>
    <n v="84.853459009999995"/>
    <n v="65.776168080000005"/>
    <n v="77.674458880000003"/>
    <n v="65.308859749999996"/>
    <n v="99.9"/>
    <n v="81.486421250000006"/>
    <n v="69.830001429999996"/>
    <n v="65.525858299999996"/>
    <n v="19.07729092999999"/>
    <n v="12.365599130000007"/>
    <n v="18.413578749999999"/>
    <n v="4.3041431299999999"/>
    <x v="0"/>
    <x v="4"/>
    <x v="0"/>
    <n v="3"/>
    <s v="Prof. Vikram Gupta"/>
  </r>
  <r>
    <s v="STU0739"/>
    <s v="Nisha Rana"/>
    <x v="0"/>
    <n v="26"/>
    <x v="3"/>
    <n v="3.76"/>
    <n v="3.93"/>
    <n v="3.88"/>
    <n v="3.91"/>
    <n v="4.47"/>
    <n v="4.0599999999999996"/>
    <n v="4.01"/>
    <n v="4.03"/>
    <n v="4.4000000000000004"/>
    <n v="3.88"/>
    <x v="361"/>
    <n v="3.99"/>
    <n v="4.0759999999999996"/>
    <n v="79.593290449999998"/>
    <n v="69.947194800000005"/>
    <n v="83.343395979999997"/>
    <n v="73.399980909999996"/>
    <n v="99.9"/>
    <n v="71.880644910000001"/>
    <n v="68.328769930000007"/>
    <n v="61.210159419999997"/>
    <n v="9.6460956499999924"/>
    <n v="9.9434150700000004"/>
    <n v="28.019355090000005"/>
    <n v="7.1186105100000105"/>
    <x v="0"/>
    <x v="3"/>
    <x v="0"/>
    <n v="3"/>
    <s v="Prof. Kavita Rao"/>
  </r>
  <r>
    <s v="STU0740"/>
    <s v="Ravi Israni"/>
    <x v="1"/>
    <n v="20"/>
    <x v="0"/>
    <n v="4.0199999999999996"/>
    <n v="4.68"/>
    <n v="3.98"/>
    <n v="4.29"/>
    <n v="4.22"/>
    <s v="N/A"/>
    <n v="3.79"/>
    <n v="3.99"/>
    <n v="3.56"/>
    <n v="3.46"/>
    <x v="310"/>
    <n v="4.24"/>
    <n v="3.7"/>
    <n v="96.541965289999993"/>
    <n v="64.86147253"/>
    <n v="81.603792909999996"/>
    <n v="67.472441489999994"/>
    <n v="80"/>
    <n v="78.367115380000001"/>
    <n v="74.957413720000005"/>
    <n v="53.284962419999999"/>
    <n v="31.680492759999993"/>
    <n v="14.131351420000001"/>
    <n v="1.6328846199999987"/>
    <n v="21.672451300000006"/>
    <x v="2"/>
    <x v="2"/>
    <x v="4"/>
    <n v="3"/>
    <s v="Prof. Rajesh Mukherjee"/>
  </r>
  <r>
    <s v="STU0741"/>
    <s v="Deveesh Bhasin"/>
    <x v="1"/>
    <n v="25"/>
    <x v="2"/>
    <n v="3.98"/>
    <n v="4.6100000000000003"/>
    <n v="3.9"/>
    <n v="3.86"/>
    <n v="4.2300000000000004"/>
    <n v="3.7"/>
    <n v="4.3499999999999996"/>
    <n v="4.05"/>
    <n v="3.81"/>
    <n v="3.86"/>
    <x v="417"/>
    <n v="4.12"/>
    <n v="3.9540000000000006"/>
    <n v="80.867601820000004"/>
    <n v="68.456628539999997"/>
    <n v="70.174983440000005"/>
    <n v="67.946434249999996"/>
    <n v="87.835475400000007"/>
    <n v="72.320572639999995"/>
    <n v="68.501405500000004"/>
    <n v="53.533968010000002"/>
    <n v="12.410973280000007"/>
    <n v="2.2285491900000096"/>
    <n v="15.514902760000012"/>
    <n v="14.967437490000002"/>
    <x v="0"/>
    <x v="2"/>
    <x v="1"/>
    <n v="3"/>
    <s v="Prof. Rajesh Mukherjee"/>
  </r>
  <r>
    <s v="STU0742"/>
    <s v="Divya Khosla"/>
    <x v="1"/>
    <n v="28"/>
    <x v="3"/>
    <n v="3.99"/>
    <n v="3.73"/>
    <n v="3.83"/>
    <n v="3.87"/>
    <n v="4.5999999999999996"/>
    <n v="4.26"/>
    <n v="4.1500000000000004"/>
    <n v="3.85"/>
    <n v="4.24"/>
    <n v="4.01"/>
    <x v="249"/>
    <n v="4"/>
    <n v="4.1019999999999994"/>
    <n v="95.900101860000007"/>
    <n v="77.962224239999998"/>
    <n v="74.671005269999995"/>
    <n v="69.021578969999993"/>
    <n v="80.678468229999993"/>
    <n v="83.83476795"/>
    <n v="66.492757139999995"/>
    <n v="67.503757980000003"/>
    <n v="17.937877620000009"/>
    <n v="5.6494263000000018"/>
    <n v="-3.1562997200000069"/>
    <n v="-1.0110008400000083"/>
    <x v="0"/>
    <x v="3"/>
    <x v="2"/>
    <n v="3"/>
    <s v="Prof. Kavita Rao"/>
  </r>
  <r>
    <s v="STU0743"/>
    <s v="Vikram Lall"/>
    <x v="1"/>
    <n v="20"/>
    <x v="0"/>
    <n v="3.7"/>
    <s v="N/A"/>
    <s v="N/A"/>
    <n v="3.89"/>
    <n v="3.97"/>
    <n v="3.57"/>
    <n v="4.28"/>
    <n v="3.97"/>
    <n v="3.74"/>
    <n v="3.74"/>
    <x v="418"/>
    <n v="3.85"/>
    <n v="3.8600000000000003"/>
    <n v="87.029775670000006"/>
    <n v="70.095678860000007"/>
    <n v="78.765565640000005"/>
    <n v="60.812269120000003"/>
    <n v="80"/>
    <n v="85"/>
    <n v="73.053436970000007"/>
    <n v="70"/>
    <n v="16.93409681"/>
    <n v="17.953296520000002"/>
    <n v="-5"/>
    <n v="3.053436970000007"/>
    <x v="1"/>
    <x v="3"/>
    <x v="1"/>
    <n v="3"/>
    <s v="Prof. Kavita Rao"/>
  </r>
  <r>
    <s v="STU0744"/>
    <s v="Aashwin Nayar"/>
    <x v="1"/>
    <n v="21"/>
    <x v="0"/>
    <n v="4.0999999999999996"/>
    <n v="4.3"/>
    <n v="3.54"/>
    <n v="3.76"/>
    <n v="4.05"/>
    <n v="3.86"/>
    <n v="4.1100000000000003"/>
    <n v="4.5599999999999996"/>
    <n v="3.58"/>
    <n v="4.5599999999999996"/>
    <x v="419"/>
    <n v="3.95"/>
    <n v="4.1339999999999995"/>
    <n v="92.361713420000001"/>
    <n v="78.16922984"/>
    <n v="79.67466057"/>
    <n v="65.848241889999997"/>
    <n v="83.555690819999995"/>
    <n v="73.961830750000004"/>
    <n v="65"/>
    <n v="70"/>
    <n v="14.192483580000001"/>
    <n v="13.826418680000003"/>
    <n v="9.593860069999991"/>
    <n v="-5"/>
    <x v="0"/>
    <x v="2"/>
    <x v="4"/>
    <n v="3"/>
    <s v="Prof. Rajesh Mukherjee"/>
  </r>
  <r>
    <s v="STU0745"/>
    <s v="Jayantt Ahmed"/>
    <x v="1"/>
    <n v="21"/>
    <x v="0"/>
    <n v="4.1399999999999997"/>
    <n v="4.24"/>
    <n v="4.18"/>
    <n v="3.89"/>
    <n v="3.53"/>
    <n v="4.08"/>
    <n v="4.01"/>
    <n v="4"/>
    <n v="4.1500000000000004"/>
    <n v="4.22"/>
    <x v="298"/>
    <n v="4"/>
    <n v="4.0920000000000005"/>
    <n v="95.884332799999996"/>
    <n v="60"/>
    <n v="86.641998819999998"/>
    <n v="66.404607470000002"/>
    <n v="88.217969729999993"/>
    <n v="74.187673340000003"/>
    <n v="66.622132350000001"/>
    <n v="60.657131749999998"/>
    <n v="35.884332799999996"/>
    <n v="20.237391349999996"/>
    <n v="14.03029638999999"/>
    <n v="5.9650006000000033"/>
    <x v="0"/>
    <x v="2"/>
    <x v="3"/>
    <n v="3"/>
    <s v="Prof. Rajesh Mukherjee"/>
  </r>
  <r>
    <s v="STU0746"/>
    <s v="Ishaan Bhargav"/>
    <x v="1"/>
    <n v="28"/>
    <x v="3"/>
    <n v="4.16"/>
    <n v="4.0999999999999996"/>
    <n v="4.07"/>
    <n v="4.75"/>
    <n v="4.1900000000000004"/>
    <n v="4.0199999999999996"/>
    <n v="3.54"/>
    <n v="3.96"/>
    <n v="4.21"/>
    <n v="3.64"/>
    <x v="255"/>
    <n v="4.25"/>
    <n v="3.8740000000000001"/>
    <n v="88.712161030000004"/>
    <n v="60"/>
    <n v="77.090925920000004"/>
    <n v="71.485135319999998"/>
    <n v="97.382282079999996"/>
    <n v="78.14563407"/>
    <n v="65"/>
    <n v="63.040669080000001"/>
    <n v="28.712161030000004"/>
    <n v="5.605790600000006"/>
    <n v="19.236648009999996"/>
    <n v="1.9593309199999993"/>
    <x v="2"/>
    <x v="0"/>
    <x v="0"/>
    <n v="3"/>
    <s v="Prof. Rahul Singh"/>
  </r>
  <r>
    <s v="STU0747"/>
    <s v="Aditya Rana"/>
    <x v="1"/>
    <n v="29"/>
    <x v="1"/>
    <n v="4.6399999999999997"/>
    <n v="4.13"/>
    <n v="4.09"/>
    <n v="3.59"/>
    <n v="4.28"/>
    <n v="4.12"/>
    <n v="4.2"/>
    <s v="N/A"/>
    <n v="4.01"/>
    <n v="4.01"/>
    <x v="76"/>
    <n v="4.1500000000000004"/>
    <n v="4.085"/>
    <n v="97.581153560000004"/>
    <n v="66.508161630000004"/>
    <n v="73.311640639999993"/>
    <n v="75"/>
    <n v="96.989217049999993"/>
    <n v="81.758809150000005"/>
    <n v="65"/>
    <n v="58.128233829999999"/>
    <n v="31.072991930000001"/>
    <n v="-1.6883593600000069"/>
    <n v="15.230407899999989"/>
    <n v="6.8717661700000008"/>
    <x v="0"/>
    <x v="4"/>
    <x v="1"/>
    <n v="3"/>
    <s v="Prof. Vikram Gupta"/>
  </r>
  <r>
    <s v="STU0748"/>
    <s v="Rahul Saxena"/>
    <x v="1"/>
    <n v="26"/>
    <x v="3"/>
    <n v="3.48"/>
    <n v="3.89"/>
    <n v="4.13"/>
    <n v="3.94"/>
    <n v="4.4000000000000004"/>
    <n v="4.46"/>
    <n v="4.51"/>
    <n v="3.68"/>
    <n v="3.92"/>
    <n v="4.3899999999999997"/>
    <x v="224"/>
    <n v="3.97"/>
    <n v="4.1920000000000002"/>
    <n v="87.834311700000001"/>
    <n v="60.060103320000003"/>
    <n v="74.644189519999998"/>
    <n v="70.419044889999995"/>
    <n v="83.549707690000005"/>
    <n v="76.455276889999993"/>
    <n v="74.115929010000002"/>
    <n v="55.464882170000003"/>
    <n v="27.774208379999997"/>
    <n v="4.2251446300000026"/>
    <n v="7.094430800000012"/>
    <n v="18.651046839999999"/>
    <x v="0"/>
    <x v="3"/>
    <x v="1"/>
    <n v="3"/>
    <s v="Prof. Kavita Rao"/>
  </r>
  <r>
    <s v="STU0749"/>
    <s v="Sameer Reddy"/>
    <x v="1"/>
    <n v="22"/>
    <x v="0"/>
    <s v="N/A"/>
    <n v="3.98"/>
    <n v="3.99"/>
    <n v="4.03"/>
    <n v="4.4400000000000004"/>
    <n v="4.16"/>
    <n v="4.58"/>
    <n v="4.45"/>
    <n v="4.04"/>
    <n v="4.0599999999999996"/>
    <x v="135"/>
    <n v="4.1100000000000003"/>
    <n v="4.258"/>
    <n v="91.034851290000006"/>
    <n v="71.344594079999993"/>
    <n v="74.55856747"/>
    <n v="64.366813089999994"/>
    <n v="85.854876300000001"/>
    <n v="85"/>
    <n v="70.973784409999993"/>
    <n v="70"/>
    <n v="19.690257210000013"/>
    <n v="10.191754380000006"/>
    <n v="0.85487630000000081"/>
    <n v="0.97378440999999327"/>
    <x v="0"/>
    <x v="3"/>
    <x v="1"/>
    <n v="3"/>
    <s v="Prof. Kavita Rao"/>
  </r>
  <r>
    <s v="STU0750"/>
    <s v="Shivam Sinha"/>
    <x v="1"/>
    <n v="21"/>
    <x v="0"/>
    <n v="4.0999999999999996"/>
    <n v="4.3600000000000003"/>
    <n v="3.89"/>
    <n v="4.26"/>
    <n v="4.4800000000000004"/>
    <n v="3.82"/>
    <n v="3.85"/>
    <n v="3.58"/>
    <n v="4.3499999999999996"/>
    <n v="3.83"/>
    <x v="42"/>
    <n v="4.22"/>
    <n v="3.8860000000000001"/>
    <n v="87.257511739999998"/>
    <n v="74.879782129999995"/>
    <n v="70"/>
    <n v="67.054618669999996"/>
    <n v="87.987788420000001"/>
    <n v="76.877322530000001"/>
    <n v="67.229006990000002"/>
    <n v="60.690227870000001"/>
    <n v="12.377729610000003"/>
    <n v="2.9453813300000036"/>
    <n v="11.11046589"/>
    <n v="6.5387791200000009"/>
    <x v="2"/>
    <x v="3"/>
    <x v="0"/>
    <n v="3"/>
    <s v="Prof. Kavita Rao"/>
  </r>
  <r>
    <s v="STU0751"/>
    <s v="Garimma Sahani"/>
    <x v="1"/>
    <n v="23"/>
    <x v="2"/>
    <n v="4.6900000000000004"/>
    <n v="4.53"/>
    <n v="3.77"/>
    <n v="4.4000000000000004"/>
    <n v="4.58"/>
    <n v="4.54"/>
    <n v="4.6500000000000004"/>
    <n v="3.72"/>
    <s v="N/A"/>
    <n v="3.93"/>
    <x v="328"/>
    <n v="4.3899999999999997"/>
    <n v="4.2100000000000009"/>
    <n v="87.842573360000003"/>
    <n v="64.173575139999997"/>
    <n v="74.089373420000001"/>
    <n v="70.886631109999996"/>
    <n v="88.153112969999995"/>
    <n v="81.435486539999999"/>
    <n v="70.116969049999994"/>
    <n v="68.851899149999994"/>
    <n v="23.668998220000006"/>
    <n v="3.202742310000005"/>
    <n v="6.7176264299999957"/>
    <n v="1.2650699000000003"/>
    <x v="2"/>
    <x v="4"/>
    <x v="1"/>
    <n v="3"/>
    <s v="Prof. Vikram Gupta"/>
  </r>
  <r>
    <s v="STU0752"/>
    <s v="Seema Bbharadwaj"/>
    <x v="0"/>
    <n v="28"/>
    <x v="3"/>
    <n v="3.66"/>
    <n v="3.77"/>
    <n v="4.33"/>
    <n v="4.43"/>
    <n v="3.86"/>
    <n v="4.6100000000000003"/>
    <n v="3.96"/>
    <n v="4.17"/>
    <n v="4.46"/>
    <n v="3.81"/>
    <x v="37"/>
    <n v="4.01"/>
    <n v="4.202"/>
    <n v="98.988128639999999"/>
    <n v="68.157734930000004"/>
    <n v="70"/>
    <n v="70.018329629999997"/>
    <n v="95.635598439999995"/>
    <n v="85"/>
    <n v="67.511837240000006"/>
    <n v="59.270702960000001"/>
    <n v="30.830393709999996"/>
    <n v="-1.8329629999996655E-2"/>
    <n v="10.635598439999995"/>
    <n v="8.2411342800000043"/>
    <x v="0"/>
    <x v="0"/>
    <x v="2"/>
    <n v="3"/>
    <s v="Prof. Rahul Singh"/>
  </r>
  <r>
    <s v="STU0753"/>
    <s v="Shailesh Thakur"/>
    <x v="1"/>
    <n v="22"/>
    <x v="0"/>
    <n v="4.2"/>
    <n v="3.43"/>
    <n v="4.5999999999999996"/>
    <n v="3.97"/>
    <n v="4.16"/>
    <n v="4.1900000000000004"/>
    <n v="3.51"/>
    <n v="4.24"/>
    <n v="4.63"/>
    <n v="3.96"/>
    <x v="75"/>
    <n v="4.07"/>
    <n v="4.1059999999999999"/>
    <n v="81.182182429999997"/>
    <n v="65.723417319999996"/>
    <n v="71.875426439999998"/>
    <n v="69.008592739999997"/>
    <n v="99.9"/>
    <n v="72.973157920000006"/>
    <n v="73.96978301"/>
    <n v="60.118451729999997"/>
    <n v="15.458765110000002"/>
    <n v="2.8668337000000008"/>
    <n v="26.92684208"/>
    <n v="13.851331280000004"/>
    <x v="0"/>
    <x v="1"/>
    <x v="0"/>
    <n v="3"/>
    <s v="Dr. Rohan Dutta"/>
  </r>
  <r>
    <s v="STU0754"/>
    <s v="Garima Jhaveri"/>
    <x v="0"/>
    <n v="30"/>
    <x v="1"/>
    <n v="4.3"/>
    <n v="3.99"/>
    <n v="4.92"/>
    <n v="4.6100000000000003"/>
    <n v="4.18"/>
    <n v="4.34"/>
    <n v="3.91"/>
    <n v="4.3499999999999996"/>
    <n v="3.93"/>
    <n v="3.74"/>
    <x v="420"/>
    <n v="4.4000000000000004"/>
    <n v="4.0540000000000003"/>
    <n v="82.172470349999998"/>
    <n v="69.463334489999994"/>
    <n v="86.046178119999993"/>
    <n v="65.167256710000004"/>
    <n v="81.481649270000005"/>
    <n v="85"/>
    <n v="69.698983650000002"/>
    <n v="50.77904212"/>
    <n v="12.709135860000004"/>
    <n v="20.87892140999999"/>
    <n v="-3.5183507299999945"/>
    <n v="18.919941530000003"/>
    <x v="2"/>
    <x v="1"/>
    <x v="4"/>
    <n v="3"/>
    <s v="Dr. Rohan Dutta"/>
  </r>
  <r>
    <s v="STU0755"/>
    <s v="Kavya Das"/>
    <x v="0"/>
    <n v="25"/>
    <x v="2"/>
    <s v="4,2"/>
    <n v="3.61"/>
    <n v="4.0599999999999996"/>
    <n v="4.38"/>
    <n v="3.65"/>
    <n v="4.0599999999999996"/>
    <n v="3.47"/>
    <n v="3.93"/>
    <n v="3.73"/>
    <n v="4.33"/>
    <x v="421"/>
    <n v="3.93"/>
    <n v="3.9039999999999999"/>
    <n v="83.035561970000003"/>
    <n v="76.361943539999999"/>
    <n v="86.182144399999999"/>
    <n v="63.866585870000002"/>
    <n v="83.884526600000001"/>
    <n v="80.399334800000005"/>
    <n v="71.445376710000005"/>
    <n v="69.403461980000003"/>
    <n v="6.6736184300000048"/>
    <n v="22.315558529999997"/>
    <n v="3.4851917999999955"/>
    <n v="2.041914730000002"/>
    <x v="0"/>
    <x v="0"/>
    <x v="3"/>
    <n v="3"/>
    <s v="Prof. Rahul Singh"/>
  </r>
  <r>
    <s v="STU0756"/>
    <s v="Rudra Israni"/>
    <x v="1"/>
    <n v="25"/>
    <x v="2"/>
    <n v="3.62"/>
    <n v="3.82"/>
    <n v="4.04"/>
    <n v="3.55"/>
    <n v="4.05"/>
    <n v="4.07"/>
    <n v="4.1100000000000003"/>
    <n v="4.05"/>
    <n v="3.3"/>
    <n v="3.76"/>
    <x v="422"/>
    <n v="3.82"/>
    <n v="3.8579999999999997"/>
    <n v="82.123846319999998"/>
    <n v="67.336317570000006"/>
    <n v="82.677497630000005"/>
    <n v="65.469899659999996"/>
    <n v="81.368990940000003"/>
    <n v="84.201671820000001"/>
    <n v="65"/>
    <n v="62.319280409999998"/>
    <n v="14.787528749999993"/>
    <n v="17.207597970000009"/>
    <n v="-2.8326808799999981"/>
    <n v="2.6807195900000025"/>
    <x v="1"/>
    <x v="3"/>
    <x v="1"/>
    <n v="3"/>
    <s v="Prof. Kavita Rao"/>
  </r>
  <r>
    <s v="STU0757"/>
    <s v="Garima Paul"/>
    <x v="0"/>
    <n v="25"/>
    <x v="2"/>
    <n v="4.3099999999999996"/>
    <n v="3.89"/>
    <n v="4.37"/>
    <n v="3.6"/>
    <n v="4.28"/>
    <n v="4.32"/>
    <n v="4.26"/>
    <n v="3.7"/>
    <n v="4.3499999999999996"/>
    <n v="3.91"/>
    <x v="423"/>
    <n v="4.09"/>
    <n v="4.1080000000000005"/>
    <n v="91.942554450000003"/>
    <n v="74.771168869999997"/>
    <n v="70"/>
    <n v="65.058255639999999"/>
    <n v="83.037547529999998"/>
    <n v="85"/>
    <n v="67.657035800000003"/>
    <n v="54.344246130000002"/>
    <n v="17.171385580000006"/>
    <n v="4.9417443600000013"/>
    <n v="-1.9624524700000023"/>
    <n v="13.312789670000001"/>
    <x v="0"/>
    <x v="1"/>
    <x v="0"/>
    <n v="3"/>
    <s v="Dr. Rohan Dutta"/>
  </r>
  <r>
    <s v="STU0758"/>
    <s v="Neetu Sahani"/>
    <x v="1"/>
    <n v="26"/>
    <x v="3"/>
    <n v="4.21"/>
    <n v="4.1100000000000003"/>
    <n v="4.54"/>
    <s v="N/A"/>
    <n v="4"/>
    <n v="4.0999999999999996"/>
    <n v="4.3499999999999996"/>
    <n v="3.98"/>
    <n v="3.91"/>
    <n v="3.6"/>
    <x v="219"/>
    <n v="4.22"/>
    <n v="3.9880000000000004"/>
    <n v="81.978330339999999"/>
    <n v="60"/>
    <n v="70"/>
    <n v="62.260468940000003"/>
    <n v="98.028699419999995"/>
    <n v="74.681776260000007"/>
    <n v="70.951836729999997"/>
    <n v="56.249801910000002"/>
    <n v="21.978330339999999"/>
    <n v="7.7395310599999974"/>
    <n v="23.346923159999989"/>
    <n v="14.702034819999994"/>
    <x v="2"/>
    <x v="1"/>
    <x v="1"/>
    <n v="3"/>
    <s v="Dr. Rohan Dutta"/>
  </r>
  <r>
    <s v="STU0759"/>
    <s v="Suresh Walia"/>
    <x v="1"/>
    <n v="27"/>
    <x v="3"/>
    <n v="4.3899999999999997"/>
    <n v="3.5"/>
    <n v="4.3499999999999996"/>
    <n v="4.1100000000000003"/>
    <s v="N/A"/>
    <n v="4.1100000000000003"/>
    <n v="3.52"/>
    <n v="3.8"/>
    <n v="4.17"/>
    <n v="4.21"/>
    <x v="424"/>
    <n v="4.09"/>
    <n v="3.9619999999999997"/>
    <n v="92.119355119999994"/>
    <n v="64.625339269999998"/>
    <n v="74.206572379999997"/>
    <n v="64.86744874"/>
    <n v="93.588286719999999"/>
    <n v="76.916501370000006"/>
    <n v="72.906282289999993"/>
    <n v="61.978328269999999"/>
    <n v="27.494015849999997"/>
    <n v="9.3391236399999968"/>
    <n v="16.671785349999993"/>
    <n v="10.927954019999994"/>
    <x v="0"/>
    <x v="4"/>
    <x v="3"/>
    <n v="3"/>
    <s v="Prof. Vikram Gupta"/>
  </r>
  <r>
    <s v="STU0760"/>
    <s v="Rohan Jani"/>
    <x v="1"/>
    <n v="28"/>
    <x v="3"/>
    <n v="3.96"/>
    <n v="3.79"/>
    <n v="3.8"/>
    <n v="4.2"/>
    <n v="4.1500000000000004"/>
    <n v="3.57"/>
    <n v="4.01"/>
    <n v="4.2300000000000004"/>
    <n v="4.1100000000000003"/>
    <n v="3.99"/>
    <x v="251"/>
    <n v="3.98"/>
    <n v="3.9820000000000007"/>
    <n v="80.245115310000003"/>
    <n v="73.860580119999995"/>
    <n v="76.415124469999995"/>
    <n v="68.03086433"/>
    <n v="87.466463529999999"/>
    <n v="67.881188570000006"/>
    <n v="76.189265719999995"/>
    <n v="59.649788739999998"/>
    <n v="6.3845351900000082"/>
    <n v="8.384260139999995"/>
    <n v="19.585274959999992"/>
    <n v="16.539476979999996"/>
    <x v="0"/>
    <x v="0"/>
    <x v="4"/>
    <n v="3"/>
    <s v="Prof. Rahul Singh"/>
  </r>
  <r>
    <s v="STU0761"/>
    <s v="Sonali Chandra"/>
    <x v="0"/>
    <n v="29"/>
    <x v="1"/>
    <n v="4.22"/>
    <n v="4.32"/>
    <n v="3.36"/>
    <n v="4.41"/>
    <n v="3.57"/>
    <n v="4.1900000000000004"/>
    <n v="4.03"/>
    <n v="4.47"/>
    <n v="3.97"/>
    <n v="4.2699999999999996"/>
    <x v="61"/>
    <n v="3.98"/>
    <n v="4.1859999999999999"/>
    <n v="89.652188940000002"/>
    <n v="70.495307060000002"/>
    <n v="70"/>
    <n v="65.625603679999998"/>
    <n v="95.263052959999996"/>
    <n v="81.425610730000002"/>
    <n v="76.649175200000002"/>
    <n v="59.121789219999997"/>
    <n v="19.15688188"/>
    <n v="4.3743963200000024"/>
    <n v="13.837442229999994"/>
    <n v="17.527385980000005"/>
    <x v="0"/>
    <x v="0"/>
    <x v="4"/>
    <n v="3"/>
    <s v="Prof. Rahul Singh"/>
  </r>
  <r>
    <s v="STU0762"/>
    <s v="Shweta Bhargava"/>
    <x v="0"/>
    <n v="25"/>
    <x v="2"/>
    <n v="4.43"/>
    <s v="N/A"/>
    <n v="4.21"/>
    <n v="4.03"/>
    <n v="4.16"/>
    <n v="4.4800000000000004"/>
    <n v="4.09"/>
    <n v="4.25"/>
    <n v="4.04"/>
    <n v="3.64"/>
    <x v="320"/>
    <n v="4.21"/>
    <n v="4.0999999999999996"/>
    <n v="96.634476149999998"/>
    <n v="75.630567350000007"/>
    <n v="71.709718089999996"/>
    <n v="63.742898719999999"/>
    <n v="97.691350139999997"/>
    <n v="79.980122679999994"/>
    <n v="76.840381429999994"/>
    <n v="53.685716909999996"/>
    <n v="21.003908799999991"/>
    <n v="7.9668193699999961"/>
    <n v="17.711227460000003"/>
    <n v="23.154664519999997"/>
    <x v="2"/>
    <x v="4"/>
    <x v="2"/>
    <n v="3"/>
    <s v="Prof. Vikram Gupta"/>
  </r>
  <r>
    <s v="STU0763"/>
    <s v="Anjali Trivedi"/>
    <x v="0"/>
    <n v="26"/>
    <x v="3"/>
    <n v="3.59"/>
    <n v="4.12"/>
    <n v="3.79"/>
    <n v="4.2300000000000004"/>
    <n v="4.34"/>
    <n v="4.1500000000000004"/>
    <n v="3.82"/>
    <n v="4.17"/>
    <n v="4.29"/>
    <n v="4.24"/>
    <x v="225"/>
    <n v="4.01"/>
    <n v="4.1340000000000003"/>
    <n v="92.331969670000007"/>
    <n v="62.535818890000002"/>
    <n v="80.707161729999996"/>
    <n v="63.524407750000002"/>
    <n v="93.299971009999993"/>
    <n v="77.389255559999995"/>
    <n v="76.007186039999993"/>
    <n v="50"/>
    <n v="29.796150780000005"/>
    <n v="17.182753979999994"/>
    <n v="15.910715449999998"/>
    <n v="26.007186039999993"/>
    <x v="0"/>
    <x v="3"/>
    <x v="0"/>
    <n v="3"/>
    <s v="Prof. Kavita Rao"/>
  </r>
  <r>
    <s v="STU0764"/>
    <s v="Kavya Srivastava"/>
    <x v="0"/>
    <n v="29"/>
    <x v="1"/>
    <n v="4.0599999999999996"/>
    <n v="4.24"/>
    <n v="4.22"/>
    <n v="4.1900000000000004"/>
    <n v="4.75"/>
    <n v="4.0999999999999996"/>
    <n v="4.13"/>
    <n v="4.25"/>
    <n v="4.26"/>
    <n v="3.95"/>
    <x v="235"/>
    <n v="4.29"/>
    <n v="4.1379999999999999"/>
    <n v="82.464458919999998"/>
    <n v="70.277932460000002"/>
    <n v="78.521140470000006"/>
    <n v="66.510038960000003"/>
    <n v="85.448670930000006"/>
    <n v="82.574214420000004"/>
    <n v="69.911759070000002"/>
    <n v="54.940766709999998"/>
    <n v="12.186526459999996"/>
    <n v="12.011101510000003"/>
    <n v="2.8744565100000017"/>
    <n v="14.970992360000004"/>
    <x v="2"/>
    <x v="3"/>
    <x v="0"/>
    <n v="3"/>
    <s v="Prof. Kavita Rao"/>
  </r>
  <r>
    <s v="STU0765"/>
    <s v="Divya Joshi"/>
    <x v="1"/>
    <n v="20"/>
    <x v="0"/>
    <n v="3.53"/>
    <n v="3.83"/>
    <n v="4.32"/>
    <n v="4.13"/>
    <n v="4.09"/>
    <n v="4.04"/>
    <n v="3.89"/>
    <n v="4.25"/>
    <n v="3.88"/>
    <n v="4.18"/>
    <x v="251"/>
    <n v="3.98"/>
    <n v="4.048"/>
    <n v="90.946496580000002"/>
    <n v="70.100431639999996"/>
    <n v="77.271573660000001"/>
    <n v="63.395791750000001"/>
    <n v="86.777262559999997"/>
    <n v="79.478885550000001"/>
    <n v="65.163755789999996"/>
    <n v="64.692425270000001"/>
    <n v="20.846064940000005"/>
    <n v="13.875781910000001"/>
    <n v="7.2983770099999958"/>
    <n v="0.47133051999999509"/>
    <x v="0"/>
    <x v="1"/>
    <x v="4"/>
    <n v="3"/>
    <s v="Dr. Rohan Dutta"/>
  </r>
  <r>
    <s v="STU0766"/>
    <s v="Ishaan Rawat"/>
    <x v="1"/>
    <n v="21"/>
    <x v="0"/>
    <n v="4.54"/>
    <n v="3.97"/>
    <n v="4.32"/>
    <n v="4.24"/>
    <n v="4.04"/>
    <n v="3.9"/>
    <n v="4.1100000000000003"/>
    <n v="3.88"/>
    <n v="3.78"/>
    <n v="3.89"/>
    <x v="312"/>
    <n v="4.22"/>
    <n v="3.9119999999999999"/>
    <n v="87.411097749999996"/>
    <n v="74.567272650000007"/>
    <n v="78.732424940000001"/>
    <n v="62.637529469999997"/>
    <n v="83.613085280000007"/>
    <n v="76.535685509999993"/>
    <n v="74.414638069999995"/>
    <n v="70"/>
    <n v="12.843825099999989"/>
    <n v="16.094895470000004"/>
    <n v="7.0773997700000137"/>
    <n v="4.4146380699999952"/>
    <x v="2"/>
    <x v="4"/>
    <x v="1"/>
    <n v="3"/>
    <s v="Prof. Vikram Gupta"/>
  </r>
  <r>
    <s v="STU0767"/>
    <s v="Poonam Yadav"/>
    <x v="1"/>
    <n v="25"/>
    <x v="2"/>
    <n v="4"/>
    <n v="4.2300000000000004"/>
    <n v="3.4"/>
    <n v="4.2"/>
    <n v="4.47"/>
    <n v="4.33"/>
    <n v="4.4800000000000004"/>
    <n v="3.66"/>
    <n v="3.74"/>
    <n v="3.6"/>
    <x v="181"/>
    <n v="4.0599999999999996"/>
    <n v="3.9620000000000006"/>
    <n v="77.547009450000004"/>
    <n v="67.007857430000001"/>
    <n v="70.582466740000001"/>
    <n v="72.128031429999993"/>
    <n v="86.93218727"/>
    <n v="77.734209849999999"/>
    <n v="76.164997720000002"/>
    <n v="61.066797280000003"/>
    <n v="10.539152020000003"/>
    <n v="-1.545564689999992"/>
    <n v="9.1979774200000008"/>
    <n v="15.098200439999999"/>
    <x v="0"/>
    <x v="3"/>
    <x v="1"/>
    <n v="3"/>
    <s v="Prof. Kavita Rao"/>
  </r>
  <r>
    <s v="STU0768"/>
    <s v="Nikhil Chandra"/>
    <x v="1"/>
    <n v="26"/>
    <x v="3"/>
    <n v="3.54"/>
    <n v="4"/>
    <n v="3.62"/>
    <n v="3.45"/>
    <n v="3.74"/>
    <n v="4.5199999999999996"/>
    <n v="3.89"/>
    <n v="4.3099999999999996"/>
    <n v="4.26"/>
    <n v="3.78"/>
    <x v="425"/>
    <n v="3.67"/>
    <n v="4.1519999999999992"/>
    <n v="86.052670629999994"/>
    <n v="79.636406350000001"/>
    <n v="77.430622740000004"/>
    <n v="66.213852529999997"/>
    <n v="88.120351150000005"/>
    <n v="75.823429090000005"/>
    <n v="68.256807379999998"/>
    <n v="59.905036639999999"/>
    <n v="6.4162642799999929"/>
    <n v="11.216770210000007"/>
    <n v="12.29692206"/>
    <n v="8.3517707399999992"/>
    <x v="1"/>
    <x v="2"/>
    <x v="2"/>
    <n v="3"/>
    <s v="Prof. Rajesh Mukherjee"/>
  </r>
  <r>
    <s v="STU0769"/>
    <s v="Aarav Kathuria"/>
    <x v="1"/>
    <n v="25"/>
    <x v="2"/>
    <n v="4.16"/>
    <n v="4.47"/>
    <n v="4.21"/>
    <n v="4.13"/>
    <n v="3.79"/>
    <n v="3.78"/>
    <n v="4.1100000000000003"/>
    <n v="3.88"/>
    <n v="4.33"/>
    <n v="3.76"/>
    <x v="289"/>
    <n v="4.1500000000000004"/>
    <n v="3.972"/>
    <n v="86.798487289999997"/>
    <n v="62.680664620000002"/>
    <n v="89.302236960000002"/>
    <n v="60.851766099999999"/>
    <n v="86.725918140000005"/>
    <n v="85"/>
    <n v="73.338542419999996"/>
    <n v="59.719365660000001"/>
    <n v="24.117822669999995"/>
    <n v="28.450470860000003"/>
    <n v="1.7259181400000045"/>
    <n v="13.619176759999995"/>
    <x v="0"/>
    <x v="2"/>
    <x v="0"/>
    <n v="3"/>
    <s v="Prof. Rajesh Mukherjee"/>
  </r>
  <r>
    <s v="STU0770"/>
    <s v="Harshita Bose"/>
    <x v="0"/>
    <n v="27"/>
    <x v="3"/>
    <n v="4.28"/>
    <n v="4.2"/>
    <n v="4.22"/>
    <n v="3.97"/>
    <n v="3.99"/>
    <n v="4.3499999999999996"/>
    <n v="4.22"/>
    <n v="4.16"/>
    <n v="4.08"/>
    <n v="3.81"/>
    <x v="162"/>
    <n v="4.13"/>
    <n v="4.1240000000000006"/>
    <n v="88.606526709999997"/>
    <n v="67.264547129999997"/>
    <n v="82.486189640000006"/>
    <n v="60.231576259999997"/>
    <n v="80"/>
    <n v="69.553420389999999"/>
    <n v="72.649909289999997"/>
    <n v="58.628754270000002"/>
    <n v="21.34197958"/>
    <n v="22.254613380000009"/>
    <n v="10.446579610000001"/>
    <n v="14.021155019999995"/>
    <x v="0"/>
    <x v="4"/>
    <x v="2"/>
    <n v="3"/>
    <s v="Prof. Vikram Gupta"/>
  </r>
  <r>
    <s v="STU0771"/>
    <s v="Vinay Sehgal"/>
    <x v="1"/>
    <n v="30"/>
    <x v="1"/>
    <n v="4.08"/>
    <n v="3.71"/>
    <n v="4.72"/>
    <n v="3.7"/>
    <n v="4.41"/>
    <n v="3.98"/>
    <n v="3.88"/>
    <n v="4.25"/>
    <n v="3.68"/>
    <n v="4.29"/>
    <x v="36"/>
    <n v="4.12"/>
    <n v="4.016"/>
    <n v="92.79203253"/>
    <n v="70.750220279999994"/>
    <n v="81.244359189999997"/>
    <n v="68.355810910000002"/>
    <n v="85.148579310000002"/>
    <n v="79.834789670000006"/>
    <n v="67.097963680000007"/>
    <n v="63.176134740000002"/>
    <n v="22.041812250000007"/>
    <n v="12.888548279999995"/>
    <n v="5.313789639999996"/>
    <n v="3.9218289400000046"/>
    <x v="0"/>
    <x v="1"/>
    <x v="3"/>
    <n v="3"/>
    <s v="Dr. Rohan Dutta"/>
  </r>
  <r>
    <s v="STU0772"/>
    <s v="Tanvi Marathe"/>
    <x v="0"/>
    <n v="28"/>
    <x v="3"/>
    <n v="3.64"/>
    <n v="4.51"/>
    <n v="4.3499999999999996"/>
    <n v="3.96"/>
    <n v="3.89"/>
    <n v="3.7"/>
    <n v="4"/>
    <n v="4.7"/>
    <n v="3.87"/>
    <n v="3.64"/>
    <x v="231"/>
    <n v="4.07"/>
    <n v="3.9820000000000002"/>
    <n v="81.250368850000001"/>
    <n v="71.78643409"/>
    <n v="90"/>
    <n v="67.991001710000006"/>
    <n v="89.855861820000001"/>
    <n v="78.310084950000004"/>
    <n v="65.088025270000003"/>
    <n v="66.795326950000003"/>
    <n v="9.4639347600000008"/>
    <n v="22.008998289999994"/>
    <n v="11.545776869999997"/>
    <n v="-1.7073016800000005"/>
    <x v="0"/>
    <x v="2"/>
    <x v="4"/>
    <n v="3"/>
    <s v="Prof. Rajesh Mukherjee"/>
  </r>
  <r>
    <s v="STU0773"/>
    <s v="Varun Rathi"/>
    <x v="1"/>
    <n v="26"/>
    <x v="3"/>
    <n v="3.92"/>
    <n v="3.66"/>
    <n v="4.1399999999999997"/>
    <n v="4.17"/>
    <n v="3.75"/>
    <n v="4.34"/>
    <n v="4.1900000000000004"/>
    <n v="3.87"/>
    <n v="4.38"/>
    <n v="3.71"/>
    <x v="184"/>
    <n v="3.93"/>
    <n v="4.0980000000000008"/>
    <n v="86.376445790000005"/>
    <n v="63.827494129999998"/>
    <n v="78.119757480000004"/>
    <n v="68.999401280000001"/>
    <n v="80.516016609999994"/>
    <n v="75.524914390000006"/>
    <n v="71.783964409999996"/>
    <n v="59.516899039999998"/>
    <n v="22.548951660000007"/>
    <n v="9.1203562000000034"/>
    <n v="4.9911022199999877"/>
    <n v="12.267065369999997"/>
    <x v="0"/>
    <x v="0"/>
    <x v="0"/>
    <n v="3"/>
    <s v="Prof. Rahul Singh"/>
  </r>
  <r>
    <s v="STU0774"/>
    <s v="Sanchit Trivedi"/>
    <x v="1"/>
    <n v="20"/>
    <x v="0"/>
    <n v="3.66"/>
    <n v="4.13"/>
    <n v="4.1100000000000003"/>
    <n v="3.91"/>
    <n v="4.12"/>
    <n v="4.1900000000000004"/>
    <n v="4.3600000000000003"/>
    <n v="3.97"/>
    <n v="3.75"/>
    <n v="4.18"/>
    <x v="426"/>
    <n v="3.99"/>
    <n v="4.0900000000000007"/>
    <n v="90.169452559999996"/>
    <n v="65.918834810000007"/>
    <n v="70.896178469999995"/>
    <n v="65.493744489999997"/>
    <n v="89.722215579999997"/>
    <n v="68.054683859999997"/>
    <n v="71.545225070000001"/>
    <n v="60.389997430000001"/>
    <n v="24.250617749999989"/>
    <n v="5.4024339799999979"/>
    <n v="21.667531719999999"/>
    <n v="11.15522764"/>
    <x v="0"/>
    <x v="2"/>
    <x v="1"/>
    <n v="3"/>
    <s v="Prof. Rajesh Mukherjee"/>
  </r>
  <r>
    <s v="STU0775"/>
    <s v="Abhishek Bajaj"/>
    <x v="1"/>
    <n v="22"/>
    <x v="0"/>
    <n v="3.81"/>
    <n v="4.41"/>
    <n v="4.17"/>
    <n v="4.5599999999999996"/>
    <n v="4.32"/>
    <n v="4.28"/>
    <n v="3.3"/>
    <n v="3.83"/>
    <n v="4.1900000000000004"/>
    <n v="4.2300000000000004"/>
    <x v="255"/>
    <n v="4.25"/>
    <n v="3.9660000000000002"/>
    <n v="81.344202440000004"/>
    <n v="76.049466280000004"/>
    <n v="70"/>
    <n v="65.78897001"/>
    <n v="89.245884430000004"/>
    <n v="68.441133249999993"/>
    <n v="72.689336139999995"/>
    <n v="67.92162313"/>
    <n v="5.2947361599999994"/>
    <n v="4.2110299900000001"/>
    <n v="20.804751180000011"/>
    <n v="4.7677130099999943"/>
    <x v="2"/>
    <x v="0"/>
    <x v="2"/>
    <n v="3"/>
    <s v="Prof. Rahul Singh"/>
  </r>
  <r>
    <s v="STU0776"/>
    <s v="Simran Singh"/>
    <x v="0"/>
    <n v="21"/>
    <x v="0"/>
    <n v="4.59"/>
    <n v="4.2699999999999996"/>
    <n v="4.2699999999999996"/>
    <n v="3.19"/>
    <n v="4.0999999999999996"/>
    <n v="4.26"/>
    <n v="4.58"/>
    <n v="4.13"/>
    <n v="3.83"/>
    <n v="4.16"/>
    <x v="15"/>
    <n v="4.08"/>
    <n v="4.1919999999999993"/>
    <n v="86.275897400000005"/>
    <n v="61.659187639999999"/>
    <n v="78.312218639999998"/>
    <n v="56.001841169999999"/>
    <n v="85.061162550000006"/>
    <n v="70.341990469999999"/>
    <n v="72.653224739999999"/>
    <n v="53.56593857"/>
    <n v="24.616709760000006"/>
    <n v="22.310377469999999"/>
    <n v="14.719172080000007"/>
    <n v="19.087286169999999"/>
    <x v="0"/>
    <x v="4"/>
    <x v="1"/>
    <n v="3"/>
    <s v="Prof. Vikram Gupta"/>
  </r>
  <r>
    <s v="STU0777"/>
    <s v="Rajat Bhatt"/>
    <x v="1"/>
    <n v="22"/>
    <x v="0"/>
    <n v="4.21"/>
    <n v="4.25"/>
    <n v="4.62"/>
    <n v="4.37"/>
    <n v="3.73"/>
    <n v="4.1500000000000004"/>
    <n v="4.2"/>
    <n v="4.71"/>
    <s v="N/A"/>
    <n v="4.1500000000000004"/>
    <x v="386"/>
    <n v="4.24"/>
    <n v="4.3025000000000002"/>
    <n v="83.901312680000004"/>
    <n v="67.873732529999998"/>
    <n v="80.168350520000004"/>
    <n v="75"/>
    <n v="87.762189309999997"/>
    <n v="77.026985319999994"/>
    <n v="71.710951219999998"/>
    <n v="52.890128359999999"/>
    <n v="16.027580150000006"/>
    <n v="5.1683505200000042"/>
    <n v="10.735203990000002"/>
    <n v="18.82082286"/>
    <x v="2"/>
    <x v="1"/>
    <x v="4"/>
    <n v="3"/>
    <s v="Dr. Rohan Dutta"/>
  </r>
  <r>
    <s v="STU0778"/>
    <s v="Sai Jain"/>
    <x v="0"/>
    <n v="25"/>
    <x v="2"/>
    <n v="4.3099999999999996"/>
    <n v="3.99"/>
    <n v="4.29"/>
    <n v="4.7699999999999996"/>
    <n v="3.66"/>
    <n v="4.0999999999999996"/>
    <n v="4.2300000000000004"/>
    <n v="3.24"/>
    <n v="3.4"/>
    <n v="4.32"/>
    <x v="133"/>
    <n v="4.2"/>
    <n v="3.8579999999999997"/>
    <n v="78.57658807"/>
    <n v="70.961909079999998"/>
    <n v="80.807923590000001"/>
    <n v="66.171502590000003"/>
    <n v="89.368624580000002"/>
    <n v="71.794493720000006"/>
    <n v="68.626255779999994"/>
    <n v="53.463168209999999"/>
    <n v="7.6146789900000016"/>
    <n v="14.636420999999999"/>
    <n v="17.574130859999997"/>
    <n v="15.163087569999995"/>
    <x v="2"/>
    <x v="0"/>
    <x v="3"/>
    <n v="3"/>
    <s v="Prof. Rahul Singh"/>
  </r>
  <r>
    <s v="STU0779"/>
    <s v="Yogesh Chauhan"/>
    <x v="1"/>
    <n v="22"/>
    <x v="0"/>
    <n v="4.2300000000000004"/>
    <s v="N/A"/>
    <n v="4.22"/>
    <n v="3.92"/>
    <n v="3.98"/>
    <n v="3.64"/>
    <n v="4.34"/>
    <n v="4.42"/>
    <n v="4.28"/>
    <n v="3.58"/>
    <x v="424"/>
    <n v="4.09"/>
    <n v="4.0519999999999996"/>
    <n v="92.016037249999997"/>
    <n v="61.286118369999997"/>
    <n v="75.564265899999995"/>
    <n v="60.152123940000003"/>
    <n v="81.496816420000002"/>
    <n v="85"/>
    <n v="70.549773869999996"/>
    <n v="50"/>
    <n v="30.72991888"/>
    <n v="15.412141959999992"/>
    <n v="-3.5031835799999982"/>
    <n v="20.549773869999996"/>
    <x v="0"/>
    <x v="4"/>
    <x v="4"/>
    <n v="3"/>
    <s v="Prof. Vikram Gupta"/>
  </r>
  <r>
    <s v="STU0780"/>
    <s v="Surbhi Kumari"/>
    <x v="1"/>
    <n v="24"/>
    <x v="2"/>
    <n v="4.26"/>
    <n v="4.34"/>
    <n v="4.43"/>
    <n v="4.5599999999999996"/>
    <n v="4.6900000000000004"/>
    <n v="4.5999999999999996"/>
    <n v="3.73"/>
    <n v="4.2699999999999996"/>
    <n v="4.4000000000000004"/>
    <n v="4.0599999999999996"/>
    <x v="427"/>
    <n v="4.46"/>
    <n v="4.2119999999999997"/>
    <n v="91.187495929999997"/>
    <n v="66.897203880000006"/>
    <n v="77.740493180000001"/>
    <n v="66.025905429999995"/>
    <n v="87.058574609999994"/>
    <n v="77.538828550000005"/>
    <n v="69.344718850000007"/>
    <n v="59.675032100000003"/>
    <n v="24.290292049999991"/>
    <n v="11.714587750000007"/>
    <n v="9.5197460599999886"/>
    <n v="9.6696867500000039"/>
    <x v="2"/>
    <x v="3"/>
    <x v="2"/>
    <n v="3"/>
    <s v="Prof. Kavita Rao"/>
  </r>
  <r>
    <s v="STU0781"/>
    <s v="Kunal Puri"/>
    <x v="1"/>
    <n v="30"/>
    <x v="1"/>
    <s v="3,78"/>
    <n v="3.73"/>
    <n v="4.57"/>
    <n v="4.17"/>
    <n v="4.24"/>
    <n v="4.51"/>
    <n v="4.12"/>
    <n v="3.62"/>
    <n v="4.0999999999999996"/>
    <n v="4.26"/>
    <x v="428"/>
    <n v="4.18"/>
    <n v="4.1219999999999999"/>
    <n v="91.432988859999995"/>
    <n v="78.01054972"/>
    <n v="70"/>
    <n v="69.316141299999998"/>
    <n v="99.899589399999996"/>
    <n v="81.620581720000004"/>
    <n v="85"/>
    <n v="54.186636960000001"/>
    <n v="13.422439139999994"/>
    <n v="0.68385870000000182"/>
    <n v="18.279007679999992"/>
    <n v="30.813363039999999"/>
    <x v="0"/>
    <x v="1"/>
    <x v="2"/>
    <n v="3"/>
    <s v="Dr. Rohan Dutta"/>
  </r>
  <r>
    <s v="STU0782"/>
    <s v="Sudha Kumari"/>
    <x v="0"/>
    <n v="30"/>
    <x v="1"/>
    <n v="3.84"/>
    <n v="4.2699999999999996"/>
    <n v="3.96"/>
    <n v="4.3099999999999996"/>
    <n v="4.12"/>
    <n v="3.9"/>
    <n v="2.86"/>
    <n v="4.0599999999999996"/>
    <n v="3.79"/>
    <n v="4.2"/>
    <x v="285"/>
    <n v="4.0999999999999996"/>
    <n v="3.7619999999999996"/>
    <n v="90.199473179999998"/>
    <n v="60"/>
    <n v="74.036050399999993"/>
    <n v="69.405159159999997"/>
    <n v="88.475387220000002"/>
    <n v="78.942609759999996"/>
    <n v="65"/>
    <n v="52.851501149999997"/>
    <n v="30.199473179999998"/>
    <n v="4.6308912399999969"/>
    <n v="9.5327774600000055"/>
    <n v="12.148498850000003"/>
    <x v="0"/>
    <x v="0"/>
    <x v="3"/>
    <n v="3"/>
    <s v="Prof. Rahul Singh"/>
  </r>
  <r>
    <s v="STU0783"/>
    <s v="Renu Jhaveri"/>
    <x v="0"/>
    <n v="24"/>
    <x v="2"/>
    <n v="3.51"/>
    <n v="3.97"/>
    <n v="4.2"/>
    <n v="4.18"/>
    <n v="3.87"/>
    <n v="4.1399999999999997"/>
    <n v="3.72"/>
    <n v="3.83"/>
    <s v="N/A"/>
    <s v="N/A"/>
    <x v="170"/>
    <n v="3.95"/>
    <n v="3.8966666666666665"/>
    <n v="77.257055930000007"/>
    <n v="67.862153070000005"/>
    <n v="77.536243510000006"/>
    <n v="61.861718150000002"/>
    <n v="99.9"/>
    <n v="77.647615549999998"/>
    <n v="69.724653959999998"/>
    <n v="50"/>
    <n v="9.394902860000002"/>
    <n v="15.674525360000004"/>
    <n v="22.252384450000008"/>
    <n v="19.724653959999998"/>
    <x v="0"/>
    <x v="1"/>
    <x v="2"/>
    <n v="3"/>
    <s v="Dr. Rohan Dutta"/>
  </r>
  <r>
    <s v="STU0784"/>
    <s v="Saanvi Ghosh"/>
    <x v="0"/>
    <n v="29"/>
    <x v="1"/>
    <n v="3.83"/>
    <n v="3.33"/>
    <n v="4.17"/>
    <n v="3.97"/>
    <n v="4.57"/>
    <n v="4.37"/>
    <n v="4.0999999999999996"/>
    <n v="4.08"/>
    <n v="4.1900000000000004"/>
    <n v="3.99"/>
    <x v="74"/>
    <n v="3.97"/>
    <n v="4.145999999999999"/>
    <n v="88.406255009999995"/>
    <n v="60"/>
    <n v="83.480812389999997"/>
    <n v="68.708708799999997"/>
    <n v="93.479499500000003"/>
    <n v="80.730229829999999"/>
    <n v="69.234350169999999"/>
    <n v="54.306062500000003"/>
    <n v="28.406255009999995"/>
    <n v="14.77210359"/>
    <n v="12.749269670000004"/>
    <n v="14.928287669999996"/>
    <x v="0"/>
    <x v="3"/>
    <x v="2"/>
    <n v="3"/>
    <s v="Prof. Kavita Rao"/>
  </r>
  <r>
    <s v="STU0785"/>
    <s v="Ffalguni Nathani"/>
    <x v="1"/>
    <n v="21"/>
    <x v="0"/>
    <n v="4.33"/>
    <n v="4.25"/>
    <n v="3.98"/>
    <n v="4.01"/>
    <n v="3.97"/>
    <n v="4.37"/>
    <n v="4.1100000000000003"/>
    <n v="4.4000000000000004"/>
    <n v="3.9"/>
    <n v="4.1900000000000004"/>
    <x v="125"/>
    <n v="4.1100000000000003"/>
    <n v="4.1940000000000008"/>
    <n v="79.489932179999997"/>
    <n v="66.369757770000007"/>
    <n v="72.757634659999994"/>
    <n v="66.104843819999999"/>
    <n v="91.076912530000001"/>
    <n v="78.827451730000007"/>
    <n v="79.036655580000001"/>
    <n v="59.703963979999997"/>
    <n v="13.12017440999999"/>
    <n v="6.6527908399999944"/>
    <n v="12.249460799999994"/>
    <n v="19.332691600000004"/>
    <x v="0"/>
    <x v="4"/>
    <x v="4"/>
    <n v="3"/>
    <s v="Prof. Vikram Gupta"/>
  </r>
  <r>
    <s v="STU0786"/>
    <s v="Naveen Bajpai"/>
    <x v="1"/>
    <n v="28"/>
    <x v="3"/>
    <n v="3.71"/>
    <n v="4.51"/>
    <n v="3.37"/>
    <n v="4.21"/>
    <n v="3.71"/>
    <n v="3.61"/>
    <n v="3.45"/>
    <n v="4.51"/>
    <n v="4.13"/>
    <n v="3.68"/>
    <x v="236"/>
    <n v="3.9"/>
    <n v="3.8759999999999999"/>
    <n v="94.437736340000001"/>
    <n v="72.768665369999994"/>
    <n v="82.451485120000001"/>
    <n v="65.956067500000003"/>
    <n v="93.541997069999994"/>
    <n v="76.622911930000001"/>
    <n v="72.82733005"/>
    <n v="55.689610729999998"/>
    <n v="21.669070970000007"/>
    <n v="16.495417619999998"/>
    <n v="16.919085139999993"/>
    <n v="17.137719320000002"/>
    <x v="0"/>
    <x v="2"/>
    <x v="4"/>
    <n v="3"/>
    <s v="Prof. Rajesh Mukherjee"/>
  </r>
  <r>
    <s v="STU0787"/>
    <s v="Dhrruv Khosla"/>
    <x v="1"/>
    <n v="27"/>
    <x v="3"/>
    <n v="3.81"/>
    <n v="4.7"/>
    <n v="4.45"/>
    <n v="3.79"/>
    <n v="4.75"/>
    <n v="4.07"/>
    <n v="4.12"/>
    <n v="4.07"/>
    <n v="4.2"/>
    <n v="3.46"/>
    <x v="429"/>
    <n v="4.3"/>
    <n v="3.9840000000000004"/>
    <n v="88.988875469999996"/>
    <n v="77.839586400000002"/>
    <n v="73.944028230000001"/>
    <n v="62.67919895"/>
    <n v="80.178042689999998"/>
    <n v="77.099183870000005"/>
    <n v="71.711878679999998"/>
    <n v="59.745496119999999"/>
    <n v="11.149289069999995"/>
    <n v="11.264829280000001"/>
    <n v="3.0788588199999936"/>
    <n v="11.96638256"/>
    <x v="2"/>
    <x v="3"/>
    <x v="0"/>
    <n v="3"/>
    <s v="Prof. Kavita Rao"/>
  </r>
  <r>
    <s v="STU0788"/>
    <s v="Sunita Bajaj"/>
    <x v="0"/>
    <n v="25"/>
    <x v="2"/>
    <n v="3.64"/>
    <n v="4.75"/>
    <n v="4.29"/>
    <n v="4.04"/>
    <n v="4.26"/>
    <n v="4.0199999999999996"/>
    <n v="3.68"/>
    <n v="3.58"/>
    <n v="4.18"/>
    <s v="N/A"/>
    <x v="149"/>
    <n v="4.2"/>
    <n v="3.8649999999999998"/>
    <n v="96.496192539999996"/>
    <n v="69.603586640000003"/>
    <n v="78.863406370000007"/>
    <n v="62.582883649999999"/>
    <n v="90.08239768"/>
    <n v="80.739061899999996"/>
    <n v="75.444226749999999"/>
    <n v="58.623349920000003"/>
    <n v="26.892605899999992"/>
    <n v="16.280522720000008"/>
    <n v="9.3433357800000039"/>
    <n v="16.820876829999996"/>
    <x v="0"/>
    <x v="2"/>
    <x v="0"/>
    <n v="3"/>
    <s v="Prof. Rajesh Mukherjee"/>
  </r>
  <r>
    <s v="STU0789"/>
    <s v="Kunal Chauhan"/>
    <x v="1"/>
    <n v="23"/>
    <x v="2"/>
    <n v="4.25"/>
    <n v="4.0199999999999996"/>
    <n v="4.37"/>
    <n v="3.83"/>
    <n v="3.91"/>
    <n v="4.1100000000000003"/>
    <n v="4.17"/>
    <n v="3.69"/>
    <n v="3.67"/>
    <n v="3.64"/>
    <x v="8"/>
    <n v="4.08"/>
    <n v="3.8560000000000003"/>
    <n v="79.710839879999995"/>
    <n v="76.08643524"/>
    <n v="82.646356499999996"/>
    <n v="55"/>
    <n v="87.623723350000006"/>
    <n v="80.516247609999994"/>
    <n v="74.675025610000006"/>
    <n v="56.189617310000003"/>
    <n v="3.6244046399999945"/>
    <n v="27.646356499999996"/>
    <n v="7.1074757400000124"/>
    <n v="18.485408300000003"/>
    <x v="0"/>
    <x v="1"/>
    <x v="1"/>
    <n v="3"/>
    <s v="Dr. Rohan Dutta"/>
  </r>
  <r>
    <s v="STU0790"/>
    <s v="Vishal Raamesh"/>
    <x v="1"/>
    <n v="26"/>
    <x v="3"/>
    <n v="4.25"/>
    <n v="3.98"/>
    <n v="4.34"/>
    <n v="4.24"/>
    <n v="3.75"/>
    <n v="3.74"/>
    <n v="4.54"/>
    <n v="4.1399999999999997"/>
    <n v="4.16"/>
    <n v="3.99"/>
    <x v="16"/>
    <n v="4.1100000000000003"/>
    <n v="4.1139999999999999"/>
    <n v="84.174734259999994"/>
    <n v="60"/>
    <n v="70"/>
    <n v="75"/>
    <n v="92.952662869999997"/>
    <n v="74.051026660000005"/>
    <n v="74.251188130000003"/>
    <n v="55.186605360000001"/>
    <n v="24.174734259999994"/>
    <n v="-5"/>
    <n v="18.901636209999992"/>
    <n v="19.064582770000001"/>
    <x v="0"/>
    <x v="1"/>
    <x v="1"/>
    <n v="3"/>
    <s v="Dr. Rohan Dutta"/>
  </r>
  <r>
    <s v="STU0791"/>
    <s v="Tanya Sinha"/>
    <x v="0"/>
    <n v="20"/>
    <x v="0"/>
    <n v="4.04"/>
    <n v="3.88"/>
    <n v="3.62"/>
    <n v="4.18"/>
    <n v="3.9"/>
    <n v="4.2300000000000004"/>
    <n v="4.2699999999999996"/>
    <n v="3.89"/>
    <n v="3.82"/>
    <n v="4"/>
    <x v="188"/>
    <n v="3.92"/>
    <n v="4.0419999999999998"/>
    <n v="80.150865830000001"/>
    <n v="72.545372549999996"/>
    <n v="75.988948500000006"/>
    <n v="68.932584829999996"/>
    <n v="99.297242080000004"/>
    <n v="77.884010169999996"/>
    <n v="69.38221763"/>
    <n v="69.395173"/>
    <n v="7.6054932800000046"/>
    <n v="7.0563636700000103"/>
    <n v="21.413231910000007"/>
    <n v="-1.2955370000000244E-2"/>
    <x v="0"/>
    <x v="0"/>
    <x v="1"/>
    <n v="3"/>
    <s v="Prof. Rahul Singh"/>
  </r>
  <r>
    <s v="STU0792"/>
    <s v="Aditya Agarwal"/>
    <x v="1"/>
    <n v="29"/>
    <x v="1"/>
    <n v="3.91"/>
    <n v="3.83"/>
    <n v="4.46"/>
    <n v="3.87"/>
    <n v="3.78"/>
    <n v="3.73"/>
    <n v="4.33"/>
    <n v="4.26"/>
    <n v="3.92"/>
    <n v="3.96"/>
    <x v="275"/>
    <n v="3.97"/>
    <n v="4.0400000000000009"/>
    <n v="88.856216020000005"/>
    <n v="60"/>
    <n v="77.380049150000005"/>
    <n v="62.681832180000001"/>
    <n v="88.935013029999993"/>
    <n v="76.593958839999999"/>
    <n v="78.287640580000001"/>
    <n v="50"/>
    <n v="28.856216020000005"/>
    <n v="14.698216970000004"/>
    <n v="12.341054189999994"/>
    <n v="28.287640580000001"/>
    <x v="0"/>
    <x v="1"/>
    <x v="1"/>
    <n v="3"/>
    <s v="Dr. Rohan Dutta"/>
  </r>
  <r>
    <s v="STU0793"/>
    <s v="Prerna Khosla"/>
    <x v="0"/>
    <n v="21"/>
    <x v="0"/>
    <n v="4.16"/>
    <n v="3.96"/>
    <n v="3.75"/>
    <n v="4.0599999999999996"/>
    <n v="4.22"/>
    <n v="3.78"/>
    <n v="3.98"/>
    <n v="4.05"/>
    <n v="4.7699999999999996"/>
    <n v="4.41"/>
    <x v="80"/>
    <n v="4.03"/>
    <n v="4.1979999999999995"/>
    <n v="86.556287589999997"/>
    <n v="68.869722710000005"/>
    <n v="81.289788569999999"/>
    <n v="62.230548419999998"/>
    <n v="86.761649809999994"/>
    <n v="75.581974020000004"/>
    <n v="69.926480530000006"/>
    <n v="51.415109440000002"/>
    <n v="17.686564879999992"/>
    <n v="19.059240150000001"/>
    <n v="11.17967578999999"/>
    <n v="18.511371090000004"/>
    <x v="0"/>
    <x v="3"/>
    <x v="0"/>
    <n v="3"/>
    <s v="Prof. Kavita Rao"/>
  </r>
  <r>
    <s v="STU0794"/>
    <s v="Anjali Vohra"/>
    <x v="0"/>
    <n v="25"/>
    <x v="2"/>
    <n v="3.93"/>
    <n v="3.76"/>
    <n v="3.78"/>
    <n v="4.6900000000000004"/>
    <n v="4.12"/>
    <n v="3.86"/>
    <n v="4.25"/>
    <n v="4.0599999999999996"/>
    <n v="3.65"/>
    <n v="3.87"/>
    <x v="404"/>
    <n v="4.0599999999999996"/>
    <n v="3.9379999999999997"/>
    <n v="95.897995879999996"/>
    <n v="65.048560879999997"/>
    <n v="70.108402040000001"/>
    <n v="64.486921170000002"/>
    <n v="93.041867460000006"/>
    <n v="66.505268009999995"/>
    <n v="65"/>
    <n v="54.099956970000001"/>
    <n v="30.849435"/>
    <n v="5.6214808699999992"/>
    <n v="26.536599450000011"/>
    <n v="10.900043029999999"/>
    <x v="0"/>
    <x v="0"/>
    <x v="1"/>
    <n v="3"/>
    <s v="Prof. Rahul Singh"/>
  </r>
  <r>
    <s v="STU0795"/>
    <s v="Karran Goel"/>
    <x v="1"/>
    <n v="25"/>
    <x v="2"/>
    <n v="5.0599999999999996"/>
    <n v="3.9"/>
    <s v="N/A"/>
    <n v="4.09"/>
    <n v="3.87"/>
    <n v="4"/>
    <n v="4.01"/>
    <n v="3.32"/>
    <n v="4.08"/>
    <n v="4.12"/>
    <x v="2"/>
    <n v="4.2300000000000004"/>
    <n v="3.9060000000000001"/>
    <n v="90.621837499999998"/>
    <n v="69.218310549999998"/>
    <n v="81.555105019999999"/>
    <n v="68.12014035"/>
    <n v="88.429351620000006"/>
    <n v="83.759069859999997"/>
    <n v="66.202821839999999"/>
    <n v="56.853779240000001"/>
    <n v="21.40352695"/>
    <n v="13.434964669999999"/>
    <n v="4.6702817600000088"/>
    <n v="9.3490425999999971"/>
    <x v="2"/>
    <x v="4"/>
    <x v="3"/>
    <n v="3"/>
    <s v="Prof. Vikram Gupta"/>
  </r>
  <r>
    <s v="STU0796"/>
    <s v="Ananya Grover"/>
    <x v="0"/>
    <n v="21"/>
    <x v="0"/>
    <n v="3.87"/>
    <n v="4.04"/>
    <s v="N/A"/>
    <n v="3.93"/>
    <n v="4.1100000000000003"/>
    <n v="4.33"/>
    <n v="4.1500000000000004"/>
    <n v="4.5599999999999996"/>
    <n v="4.28"/>
    <n v="3.96"/>
    <x v="265"/>
    <n v="3.99"/>
    <n v="4.2560000000000002"/>
    <n v="89.412804820000005"/>
    <n v="70.278104780000007"/>
    <n v="75.183249270000005"/>
    <n v="58.792538630000003"/>
    <n v="90.314285260000005"/>
    <n v="81.084385049999995"/>
    <n v="70.671066850000003"/>
    <n v="50"/>
    <n v="19.134700039999998"/>
    <n v="16.390710640000002"/>
    <n v="9.2299002100000109"/>
    <n v="20.671066850000003"/>
    <x v="0"/>
    <x v="3"/>
    <x v="4"/>
    <n v="3"/>
    <s v="Prof. Kavita Rao"/>
  </r>
  <r>
    <s v="STU0797"/>
    <s v="Rakesh Dasgupta"/>
    <x v="1"/>
    <n v="24"/>
    <x v="2"/>
    <n v="4.33"/>
    <n v="3.96"/>
    <n v="3.8"/>
    <n v="3.97"/>
    <n v="4.04"/>
    <n v="3.68"/>
    <n v="3.73"/>
    <n v="4.0199999999999996"/>
    <n v="4.12"/>
    <n v="4.2300000000000004"/>
    <x v="102"/>
    <n v="4.0199999999999996"/>
    <n v="3.9560000000000004"/>
    <n v="91.897930040000006"/>
    <n v="62.177534549999997"/>
    <n v="70"/>
    <n v="61.596638579999997"/>
    <n v="86.749572889999996"/>
    <n v="78.950603810000004"/>
    <n v="72.846594690000003"/>
    <n v="54.956813400000001"/>
    <n v="29.720395490000008"/>
    <n v="8.4033614200000031"/>
    <n v="7.798969079999992"/>
    <n v="17.889781290000002"/>
    <x v="0"/>
    <x v="4"/>
    <x v="3"/>
    <n v="3"/>
    <s v="Prof. Vikram Gupta"/>
  </r>
  <r>
    <s v="STU0798"/>
    <s v="Devesh Bakshi"/>
    <x v="1"/>
    <n v="30"/>
    <x v="1"/>
    <n v="4.5"/>
    <n v="4.3899999999999997"/>
    <n v="3.89"/>
    <n v="3.95"/>
    <n v="4.1900000000000004"/>
    <n v="4.54"/>
    <n v="3.73"/>
    <n v="4.1900000000000004"/>
    <s v="N/A"/>
    <n v="3.91"/>
    <x v="389"/>
    <n v="4.18"/>
    <n v="4.0925000000000002"/>
    <n v="84.612834219999996"/>
    <n v="62.372563909999997"/>
    <n v="77.236239769999997"/>
    <n v="64.856862919999998"/>
    <n v="98.573214780000001"/>
    <n v="75.734048639999997"/>
    <n v="73.99413783"/>
    <n v="65.940863980000003"/>
    <n v="22.24027031"/>
    <n v="12.37937685"/>
    <n v="22.839166140000003"/>
    <n v="8.0532738499999965"/>
    <x v="0"/>
    <x v="4"/>
    <x v="2"/>
    <n v="3"/>
    <s v="Prof. Vikram Gupta"/>
  </r>
  <r>
    <s v="STU0799"/>
    <s v="Surbhi Saxenna"/>
    <x v="1"/>
    <n v="27"/>
    <x v="3"/>
    <n v="3.79"/>
    <n v="3.84"/>
    <n v="3.77"/>
    <n v="3.92"/>
    <n v="3.97"/>
    <n v="3.96"/>
    <n v="4.09"/>
    <n v="4.12"/>
    <n v="3.63"/>
    <n v="4.0199999999999996"/>
    <x v="262"/>
    <n v="3.86"/>
    <n v="3.964"/>
    <n v="84.74964602"/>
    <n v="66.581173219999997"/>
    <n v="79.47302766"/>
    <n v="64.845344080000004"/>
    <n v="84.039357019999997"/>
    <n v="74.805471850000004"/>
    <n v="71.304750690000006"/>
    <n v="68.261930550000002"/>
    <n v="18.168472800000004"/>
    <n v="14.627683579999996"/>
    <n v="9.2338851699999935"/>
    <n v="3.0428201400000034"/>
    <x v="1"/>
    <x v="3"/>
    <x v="4"/>
    <n v="3"/>
    <s v="Prof. Kavita Rao"/>
  </r>
  <r>
    <s v="STU0800"/>
    <s v="Navneet Jani"/>
    <x v="1"/>
    <n v="29"/>
    <x v="1"/>
    <n v="4"/>
    <n v="4.1100000000000003"/>
    <n v="4.17"/>
    <n v="4.3099999999999996"/>
    <n v="4.13"/>
    <n v="3.76"/>
    <n v="4.47"/>
    <n v="4.26"/>
    <n v="3.66"/>
    <n v="4.45"/>
    <x v="241"/>
    <n v="4.1399999999999997"/>
    <n v="4.1199999999999992"/>
    <n v="87.775012340000004"/>
    <n v="60"/>
    <n v="70.376717869999993"/>
    <n v="66.855854730000004"/>
    <n v="91.360219639999997"/>
    <n v="83.353773450000006"/>
    <n v="75.8008478"/>
    <n v="55.409234130000002"/>
    <n v="27.775012340000004"/>
    <n v="3.5208631399999888"/>
    <n v="8.0064461899999912"/>
    <n v="20.391613669999998"/>
    <x v="0"/>
    <x v="0"/>
    <x v="1"/>
    <n v="3"/>
    <s v="Prof. Rahul Singh"/>
  </r>
  <r>
    <s v="STU0801"/>
    <s v="Shreya Verma"/>
    <x v="1"/>
    <n v="20"/>
    <x v="0"/>
    <n v="4.03"/>
    <n v="4.09"/>
    <n v="3.88"/>
    <n v="4.37"/>
    <n v="4.24"/>
    <n v="3.39"/>
    <n v="3.76"/>
    <n v="3.93"/>
    <n v="3.74"/>
    <n v="3.82"/>
    <x v="18"/>
    <n v="4.12"/>
    <n v="3.7280000000000002"/>
    <n v="81.757939620000002"/>
    <n v="63.595145670000001"/>
    <n v="70.972782370000004"/>
    <n v="65.296810530000002"/>
    <n v="86.551232909999996"/>
    <n v="74.041343909999995"/>
    <n v="69.183060459999993"/>
    <n v="57.553264570000003"/>
    <n v="18.162793950000001"/>
    <n v="5.6759718400000025"/>
    <n v="12.509889000000001"/>
    <n v="11.62979588999999"/>
    <x v="0"/>
    <x v="0"/>
    <x v="4"/>
    <n v="3"/>
    <s v="Prof. Rahul Singh"/>
  </r>
  <r>
    <s v="STU0802"/>
    <s v="Chetan Ahluwalia"/>
    <x v="1"/>
    <n v="20"/>
    <x v="0"/>
    <n v="3.89"/>
    <n v="3.29"/>
    <n v="4.22"/>
    <s v="N/A"/>
    <n v="3.64"/>
    <n v="3.84"/>
    <n v="3.91"/>
    <n v="3.74"/>
    <n v="4.13"/>
    <n v="3.85"/>
    <x v="430"/>
    <n v="3.76"/>
    <n v="3.8940000000000006"/>
    <n v="77.594989720000001"/>
    <n v="74.041650630000007"/>
    <n v="88.007569549999999"/>
    <n v="65.111887780000004"/>
    <n v="86.992611620000005"/>
    <n v="77.072308800000002"/>
    <n v="67.153965799999995"/>
    <n v="63.769888620000003"/>
    <n v="3.5533390899999944"/>
    <n v="22.895681769999996"/>
    <n v="9.9203028200000034"/>
    <n v="3.3840771799999914"/>
    <x v="1"/>
    <x v="1"/>
    <x v="0"/>
    <n v="3"/>
    <s v="Dr. Rohan Dutta"/>
  </r>
  <r>
    <s v="STU0803"/>
    <s v="Siddharth Ahmed"/>
    <x v="1"/>
    <n v="23"/>
    <x v="2"/>
    <n v="3.08"/>
    <s v="N/A"/>
    <n v="3.91"/>
    <n v="4.13"/>
    <n v="4.1900000000000004"/>
    <n v="4.3"/>
    <n v="3.74"/>
    <n v="4.33"/>
    <n v="3.95"/>
    <n v="4.5"/>
    <x v="131"/>
    <n v="3.83"/>
    <n v="4.1639999999999997"/>
    <n v="86.627043389999997"/>
    <n v="67.626485329999994"/>
    <n v="80.148704839999994"/>
    <n v="59.478219199999998"/>
    <n v="89.838891340000004"/>
    <n v="74.717749999999995"/>
    <n v="77.279635499999998"/>
    <n v="63.935620710000002"/>
    <n v="19.000558060000003"/>
    <n v="20.670485639999995"/>
    <n v="15.121141340000008"/>
    <n v="13.344014789999996"/>
    <x v="1"/>
    <x v="3"/>
    <x v="3"/>
    <n v="3"/>
    <s v="Prof. Kavita Rao"/>
  </r>
  <r>
    <s v="STU0804"/>
    <s v="Rajendra Patel"/>
    <x v="1"/>
    <n v="21"/>
    <x v="0"/>
    <n v="4.2699999999999996"/>
    <n v="3.91"/>
    <n v="4.2300000000000004"/>
    <n v="3.78"/>
    <n v="4.62"/>
    <n v="3.61"/>
    <n v="4.5"/>
    <n v="4.16"/>
    <n v="4.18"/>
    <n v="4.1100000000000003"/>
    <x v="24"/>
    <n v="4.16"/>
    <n v="4.1120000000000001"/>
    <n v="83.285179020000001"/>
    <n v="63.59064103"/>
    <n v="78.775577749999997"/>
    <n v="64.75404691"/>
    <n v="83.155580069999999"/>
    <n v="82.649657430000005"/>
    <n v="76.38101795"/>
    <n v="61.669871880000002"/>
    <n v="19.694537990000001"/>
    <n v="14.021530839999997"/>
    <n v="0.50592263999999432"/>
    <n v="14.711146069999998"/>
    <x v="0"/>
    <x v="3"/>
    <x v="1"/>
    <n v="3"/>
    <s v="Prof. Kavita Rao"/>
  </r>
  <r>
    <s v="STU0805"/>
    <s v="Advik Nagar"/>
    <x v="1"/>
    <n v="25"/>
    <x v="2"/>
    <n v="3.97"/>
    <n v="4.58"/>
    <n v="3.72"/>
    <n v="4.29"/>
    <n v="3.88"/>
    <n v="4.46"/>
    <n v="3.66"/>
    <n v="4.3600000000000003"/>
    <n v="3.45"/>
    <n v="4.2300000000000004"/>
    <x v="382"/>
    <n v="4.09"/>
    <n v="4.032"/>
    <n v="86.210464189999996"/>
    <n v="66.308346330000006"/>
    <n v="79.112290790000003"/>
    <n v="65.97330384"/>
    <n v="82.225239040000005"/>
    <n v="73.70821918"/>
    <n v="76.614040430000003"/>
    <n v="60.40688016"/>
    <n v="19.90211785999999"/>
    <n v="13.138986950000003"/>
    <n v="8.5170198600000049"/>
    <n v="16.207160270000003"/>
    <x v="0"/>
    <x v="2"/>
    <x v="2"/>
    <n v="3"/>
    <s v="Prof. Rajesh Mukherjee"/>
  </r>
  <r>
    <s v="STU0806"/>
    <s v="Shreya Duggaal"/>
    <x v="1"/>
    <n v="23"/>
    <x v="2"/>
    <n v="4.1900000000000004"/>
    <n v="3.99"/>
    <n v="4.1500000000000004"/>
    <n v="4.6399999999999997"/>
    <n v="4.7"/>
    <n v="4.83"/>
    <n v="4.38"/>
    <n v="3.66"/>
    <n v="4.07"/>
    <n v="4.1900000000000004"/>
    <x v="431"/>
    <n v="4.33"/>
    <n v="4.2260000000000009"/>
    <n v="89.978523999999993"/>
    <n v="63.550156579999999"/>
    <n v="71.456649319999997"/>
    <n v="71.391869869999994"/>
    <n v="86.76171334"/>
    <n v="73.85638161"/>
    <n v="72.523468010000002"/>
    <n v="53.056869409999997"/>
    <n v="26.428367419999994"/>
    <n v="6.477945000000318E-2"/>
    <n v="12.90533173"/>
    <n v="19.466598600000005"/>
    <x v="2"/>
    <x v="3"/>
    <x v="2"/>
    <n v="3"/>
    <s v="Prof. Kavita Rao"/>
  </r>
  <r>
    <s v="STU0807"/>
    <s v="Kiran Lall"/>
    <x v="1"/>
    <n v="21"/>
    <x v="0"/>
    <n v="4.79"/>
    <n v="4"/>
    <n v="4.22"/>
    <n v="3.87"/>
    <n v="4.08"/>
    <n v="3.9"/>
    <n v="4.17"/>
    <n v="4.01"/>
    <s v="3,84"/>
    <n v="4.4400000000000004"/>
    <x v="123"/>
    <n v="4.1900000000000004"/>
    <n v="4.13"/>
    <n v="80.599377660000002"/>
    <n v="67.043521729999995"/>
    <n v="70"/>
    <n v="66.293140199999996"/>
    <n v="98.636483549999994"/>
    <n v="78.855352379999999"/>
    <n v="72.063759579999996"/>
    <n v="50"/>
    <n v="13.555855930000007"/>
    <n v="3.7068598000000037"/>
    <n v="19.781131169999995"/>
    <n v="22.063759579999996"/>
    <x v="0"/>
    <x v="4"/>
    <x v="3"/>
    <n v="3"/>
    <s v="Prof. Vikram Gupta"/>
  </r>
  <r>
    <s v="STU0808"/>
    <s v="Tanya Bhargava"/>
    <x v="0"/>
    <n v="24"/>
    <x v="2"/>
    <n v="3.82"/>
    <n v="3.36"/>
    <n v="3.91"/>
    <n v="3.97"/>
    <n v="3.97"/>
    <n v="4.21"/>
    <s v="3,51"/>
    <n v="3.74"/>
    <n v="4.41"/>
    <n v="3.77"/>
    <x v="84"/>
    <n v="3.81"/>
    <n v="4.0324999999999998"/>
    <n v="86.817362309999993"/>
    <n v="63.839078299999997"/>
    <n v="76.452811679999996"/>
    <n v="59.717771110000001"/>
    <n v="90.172575019999996"/>
    <n v="80.479813809999996"/>
    <n v="70.517507050000006"/>
    <n v="58.082219170000002"/>
    <n v="22.978284009999996"/>
    <n v="16.735040569999995"/>
    <n v="9.6927612100000005"/>
    <n v="12.435287880000004"/>
    <x v="1"/>
    <x v="0"/>
    <x v="0"/>
    <n v="3"/>
    <s v="Prof. Rahul Singh"/>
  </r>
  <r>
    <s v="STU0809"/>
    <s v="Shreya Hooda"/>
    <x v="1"/>
    <n v="24"/>
    <x v="2"/>
    <n v="3.64"/>
    <n v="3.98"/>
    <n v="3.59"/>
    <n v="3.31"/>
    <n v="3.82"/>
    <n v="4.5199999999999996"/>
    <n v="4.09"/>
    <n v="4.3"/>
    <n v="4.01"/>
    <n v="4.18"/>
    <x v="432"/>
    <n v="3.67"/>
    <n v="4.2200000000000006"/>
    <n v="87.391970549999996"/>
    <n v="64.205434260000004"/>
    <n v="71.104709"/>
    <n v="69.465356869999994"/>
    <n v="81.790575770000004"/>
    <n v="76.439575809999994"/>
    <n v="74.980380080000003"/>
    <n v="62.269973180000001"/>
    <n v="23.186536289999992"/>
    <n v="1.639352130000006"/>
    <n v="5.35099996000001"/>
    <n v="12.710406900000002"/>
    <x v="1"/>
    <x v="2"/>
    <x v="2"/>
    <n v="3"/>
    <s v="Prof. Rajesh Mukherjee"/>
  </r>
  <r>
    <s v="STU0810"/>
    <s v="Vishnu Rathi"/>
    <x v="1"/>
    <n v="27"/>
    <x v="3"/>
    <n v="3.77"/>
    <n v="3.61"/>
    <n v="4.09"/>
    <n v="4.17"/>
    <n v="4.16"/>
    <n v="4.03"/>
    <n v="4.2699999999999996"/>
    <n v="4.07"/>
    <n v="4.1399999999999997"/>
    <n v="3.86"/>
    <x v="364"/>
    <n v="3.96"/>
    <n v="4.0739999999999998"/>
    <n v="86.004924369999998"/>
    <n v="75.633123949999998"/>
    <n v="81.764356980000002"/>
    <n v="66.147779740000004"/>
    <n v="95.37960434"/>
    <n v="69.839749870000006"/>
    <n v="69.443749519999997"/>
    <n v="70"/>
    <n v="10.37180042"/>
    <n v="15.616577239999998"/>
    <n v="25.539854469999995"/>
    <n v="-0.55625048000000277"/>
    <x v="0"/>
    <x v="0"/>
    <x v="1"/>
    <n v="3"/>
    <s v="Prof. Rahul Singh"/>
  </r>
  <r>
    <s v="STU0811"/>
    <s v="Chetan Jain"/>
    <x v="1"/>
    <n v="29"/>
    <x v="1"/>
    <n v="4.16"/>
    <n v="4.46"/>
    <n v="3.43"/>
    <n v="3.94"/>
    <n v="4.07"/>
    <n v="3.77"/>
    <n v="3.87"/>
    <n v="4.0999999999999996"/>
    <n v="3.34"/>
    <n v="4.03"/>
    <x v="433"/>
    <n v="4.01"/>
    <n v="3.8220000000000001"/>
    <n v="86.798808919999999"/>
    <n v="69.119093629999995"/>
    <n v="80.365248289999997"/>
    <n v="65.356520320000001"/>
    <n v="83.099610589999998"/>
    <n v="80.717337839999999"/>
    <n v="76.119528919999993"/>
    <n v="54.080941840000001"/>
    <n v="17.679715290000004"/>
    <n v="15.008727969999995"/>
    <n v="2.3822727499999985"/>
    <n v="22.038587079999992"/>
    <x v="0"/>
    <x v="2"/>
    <x v="4"/>
    <n v="3"/>
    <s v="Prof. Rajesh Mukherjee"/>
  </r>
  <r>
    <s v="STU0812"/>
    <s v="Madhavi Choubey"/>
    <x v="0"/>
    <n v="27"/>
    <x v="3"/>
    <n v="3.79"/>
    <n v="4.28"/>
    <n v="3.89"/>
    <n v="3.9"/>
    <n v="3.95"/>
    <n v="4.12"/>
    <n v="3.62"/>
    <n v="4.28"/>
    <n v="4.45"/>
    <n v="3.92"/>
    <x v="230"/>
    <n v="3.96"/>
    <n v="4.0780000000000003"/>
    <n v="81.22105114"/>
    <n v="71.286782619999997"/>
    <n v="72.536408809999998"/>
    <n v="60.603996739999999"/>
    <n v="87.385659720000007"/>
    <n v="73.705541510000003"/>
    <n v="79.173788290000005"/>
    <n v="64.878375629999994"/>
    <n v="9.9342685200000034"/>
    <n v="11.932412069999998"/>
    <n v="13.680118210000003"/>
    <n v="14.295412660000011"/>
    <x v="0"/>
    <x v="2"/>
    <x v="0"/>
    <n v="3"/>
    <s v="Prof. Rajesh Mukherjee"/>
  </r>
  <r>
    <s v="STU0813"/>
    <s v="Chetan Kaur"/>
    <x v="1"/>
    <n v="27"/>
    <x v="3"/>
    <n v="3.9"/>
    <n v="4.09"/>
    <n v="4.0999999999999996"/>
    <n v="4.09"/>
    <n v="3.81"/>
    <n v="4.1100000000000003"/>
    <n v="3.66"/>
    <n v="4.1100000000000003"/>
    <n v="3.95"/>
    <n v="4.18"/>
    <x v="317"/>
    <n v="4"/>
    <n v="4.0020000000000007"/>
    <n v="79.232409410000002"/>
    <n v="69.397257679999996"/>
    <n v="74.297931030000001"/>
    <n v="66.618361969999995"/>
    <n v="89.833558699999998"/>
    <n v="85"/>
    <n v="76.080923170000005"/>
    <n v="54.19294593"/>
    <n v="9.8351517300000069"/>
    <n v="7.6795690600000057"/>
    <n v="4.8335586999999975"/>
    <n v="21.887977240000005"/>
    <x v="0"/>
    <x v="1"/>
    <x v="3"/>
    <n v="3"/>
    <s v="Dr. Rohan Dutta"/>
  </r>
  <r>
    <s v="STU0814"/>
    <s v="Gaurav Bhatt"/>
    <x v="1"/>
    <n v="20"/>
    <x v="0"/>
    <n v="3.92"/>
    <n v="4.2300000000000004"/>
    <n v="3.78"/>
    <n v="4.25"/>
    <n v="3.88"/>
    <n v="4.3499999999999996"/>
    <n v="3.98"/>
    <n v="4.12"/>
    <n v="3.51"/>
    <n v="4.54"/>
    <x v="384"/>
    <n v="4.01"/>
    <n v="4.0999999999999996"/>
    <n v="86.621824660000001"/>
    <n v="74.125642529999993"/>
    <n v="70"/>
    <n v="65.767053610000005"/>
    <n v="97.289273800000004"/>
    <n v="76.444244710000007"/>
    <n v="67.630373789999993"/>
    <n v="59.207592570000003"/>
    <n v="12.496182130000008"/>
    <n v="4.2329463899999951"/>
    <n v="20.845029089999997"/>
    <n v="8.4227812199999903"/>
    <x v="0"/>
    <x v="0"/>
    <x v="3"/>
    <n v="3"/>
    <s v="Prof. Rahul Singh"/>
  </r>
  <r>
    <s v="STU0815"/>
    <s v="Rajeev Meher"/>
    <x v="1"/>
    <n v="25"/>
    <x v="2"/>
    <n v="4.12"/>
    <n v="4.24"/>
    <n v="3.98"/>
    <n v="4.4800000000000004"/>
    <n v="3.9"/>
    <n v="4.03"/>
    <n v="4.28"/>
    <n v="4.12"/>
    <n v="4.17"/>
    <n v="4.1500000000000004"/>
    <x v="241"/>
    <n v="4.1399999999999997"/>
    <n v="4.1500000000000004"/>
    <n v="83.564669129999999"/>
    <n v="66.132148790000002"/>
    <n v="77.840761270000002"/>
    <n v="70.960327759999998"/>
    <n v="80"/>
    <n v="82.074190669999993"/>
    <n v="68.234840890000001"/>
    <n v="50"/>
    <n v="17.432520339999996"/>
    <n v="6.8804335100000031"/>
    <n v="-2.074190669999993"/>
    <n v="18.234840890000001"/>
    <x v="0"/>
    <x v="0"/>
    <x v="1"/>
    <n v="3"/>
    <s v="Prof. Rahul Singh"/>
  </r>
  <r>
    <s v="STU0816"/>
    <s v="Sneha Sanyal"/>
    <x v="0"/>
    <n v="27"/>
    <x v="3"/>
    <n v="4.08"/>
    <n v="4.4400000000000004"/>
    <n v="3.94"/>
    <n v="4.7"/>
    <n v="3.95"/>
    <n v="3.74"/>
    <n v="3.87"/>
    <n v="4.1900000000000004"/>
    <n v="4.2699999999999996"/>
    <n v="3.61"/>
    <x v="312"/>
    <n v="4.22"/>
    <n v="3.9359999999999999"/>
    <n v="92.219616500000001"/>
    <n v="80"/>
    <n v="88.410727829999999"/>
    <n v="67.786020609999994"/>
    <n v="80"/>
    <n v="75.245937920000003"/>
    <n v="70.890915449999994"/>
    <n v="62.176755929999999"/>
    <n v="12.219616500000001"/>
    <n v="20.624707220000005"/>
    <n v="4.7540620799999971"/>
    <n v="8.7141595199999955"/>
    <x v="2"/>
    <x v="0"/>
    <x v="0"/>
    <n v="3"/>
    <s v="Prof. Rahul Singh"/>
  </r>
  <r>
    <s v="STU0817"/>
    <s v="Mahesh Marwah"/>
    <x v="1"/>
    <n v="28"/>
    <x v="3"/>
    <n v="4.1500000000000004"/>
    <n v="4.24"/>
    <n v="3.72"/>
    <n v="3.67"/>
    <n v="4.04"/>
    <n v="4.07"/>
    <n v="4.33"/>
    <n v="4.6900000000000004"/>
    <n v="3.67"/>
    <n v="3.69"/>
    <x v="434"/>
    <n v="3.96"/>
    <n v="4.09"/>
    <n v="91.3321787"/>
    <n v="67.823457660000003"/>
    <n v="70"/>
    <n v="67.831351299999994"/>
    <n v="85.997969299999994"/>
    <n v="83.417581810000001"/>
    <n v="70.286601730000001"/>
    <n v="56.836126780000001"/>
    <n v="23.508721039999998"/>
    <n v="2.1686487000000056"/>
    <n v="2.5803874899999926"/>
    <n v="13.45047495"/>
    <x v="0"/>
    <x v="2"/>
    <x v="4"/>
    <n v="3"/>
    <s v="Prof. Rajesh Mukherjee"/>
  </r>
  <r>
    <s v="STU0818"/>
    <s v="Bhavana Deshmukh"/>
    <x v="0"/>
    <n v="29"/>
    <x v="1"/>
    <n v="4"/>
    <n v="4.16"/>
    <n v="4.3099999999999996"/>
    <n v="4.68"/>
    <n v="4.08"/>
    <n v="4.09"/>
    <n v="3.77"/>
    <n v="4.0999999999999996"/>
    <n v="4.16"/>
    <n v="4.2699999999999996"/>
    <x v="104"/>
    <n v="4.25"/>
    <n v="4.0779999999999994"/>
    <n v="90.281124750000004"/>
    <n v="70.966300189999998"/>
    <n v="76.637881800000002"/>
    <n v="69.807169680000001"/>
    <n v="94.118825569999998"/>
    <n v="76.038579569999996"/>
    <n v="74.475164590000006"/>
    <n v="50.111622410000003"/>
    <n v="19.314824560000005"/>
    <n v="6.8307121200000012"/>
    <n v="18.080246000000002"/>
    <n v="24.363542180000003"/>
    <x v="2"/>
    <x v="0"/>
    <x v="3"/>
    <n v="3"/>
    <s v="Prof. Rahul Singh"/>
  </r>
  <r>
    <s v="STU0819"/>
    <s v="Anjali Deshmukh"/>
    <x v="0"/>
    <n v="23"/>
    <x v="2"/>
    <n v="3.78"/>
    <s v="N/A"/>
    <n v="3.35"/>
    <n v="3.58"/>
    <n v="3.73"/>
    <n v="3.87"/>
    <n v="4.05"/>
    <n v="4.2"/>
    <n v="4.22"/>
    <n v="3.67"/>
    <x v="435"/>
    <n v="3.61"/>
    <n v="4.0019999999999998"/>
    <n v="98.279438049999996"/>
    <n v="68.774226929999998"/>
    <n v="79.995316459999998"/>
    <n v="65.435744979999996"/>
    <n v="84.0413791"/>
    <n v="78.946067009999993"/>
    <n v="65"/>
    <n v="52.657095949999999"/>
    <n v="29.505211119999998"/>
    <n v="14.559571480000002"/>
    <n v="5.0953120900000073"/>
    <n v="12.342904050000001"/>
    <x v="1"/>
    <x v="4"/>
    <x v="0"/>
    <n v="3"/>
    <s v="Prof. Vikram Gupta"/>
  </r>
  <r>
    <s v="STU0820"/>
    <s v="Shraddha Jindal"/>
    <x v="0"/>
    <n v="24"/>
    <x v="2"/>
    <n v="3.86"/>
    <n v="4.0199999999999996"/>
    <n v="4.1399999999999997"/>
    <n v="4.16"/>
    <n v="3.87"/>
    <n v="4.54"/>
    <n v="3.55"/>
    <n v="4.2"/>
    <n v="4.3"/>
    <n v="4.03"/>
    <x v="37"/>
    <n v="4.01"/>
    <n v="4.1240000000000006"/>
    <n v="86.180398010000005"/>
    <n v="75.383564739999997"/>
    <n v="74.460371170000002"/>
    <n v="68.355352780000004"/>
    <n v="90.373601820000005"/>
    <n v="77.770378109999996"/>
    <n v="71.351467389999996"/>
    <n v="55.979329020000002"/>
    <n v="10.796833270000008"/>
    <n v="6.1050183899999979"/>
    <n v="12.603223710000009"/>
    <n v="15.372138369999995"/>
    <x v="0"/>
    <x v="0"/>
    <x v="2"/>
    <n v="3"/>
    <s v="Prof. Rahul Singh"/>
  </r>
  <r>
    <s v="STU0821"/>
    <s v="Ashok Tandon"/>
    <x v="1"/>
    <n v="26"/>
    <x v="3"/>
    <n v="4.0199999999999996"/>
    <n v="4.09"/>
    <n v="3.75"/>
    <n v="4.45"/>
    <s v="N/A"/>
    <n v="3.7"/>
    <n v="4.4800000000000004"/>
    <n v="3.51"/>
    <n v="3.92"/>
    <n v="3.96"/>
    <x v="436"/>
    <n v="4.08"/>
    <n v="3.9140000000000001"/>
    <n v="89.904569379999998"/>
    <n v="60"/>
    <n v="71.661064929999995"/>
    <n v="66.168127490000003"/>
    <n v="81.10422423"/>
    <n v="72.294148160000006"/>
    <n v="65"/>
    <n v="57.95240407"/>
    <n v="29.904569379999998"/>
    <n v="5.4929374399999915"/>
    <n v="8.8100760699999938"/>
    <n v="7.04759593"/>
    <x v="0"/>
    <x v="0"/>
    <x v="1"/>
    <n v="3"/>
    <s v="Prof. Rahul Singh"/>
  </r>
  <r>
    <s v="STU0822"/>
    <s v="Sunita Mishra"/>
    <x v="0"/>
    <n v="23"/>
    <x v="2"/>
    <n v="4.25"/>
    <n v="4.3099999999999996"/>
    <n v="4.24"/>
    <n v="5.0599999999999996"/>
    <n v="4"/>
    <n v="4.1100000000000003"/>
    <n v="3.61"/>
    <n v="3.82"/>
    <n v="3.85"/>
    <n v="4.1399999999999997"/>
    <x v="437"/>
    <n v="4.37"/>
    <n v="3.9060000000000001"/>
    <n v="82.208528560000005"/>
    <n v="74.429211890000005"/>
    <n v="72.467829850000001"/>
    <n v="67.460106139999994"/>
    <n v="99.9"/>
    <n v="80.446308540000004"/>
    <n v="76.364591039999993"/>
    <n v="57.764579750000003"/>
    <n v="7.77931667"/>
    <n v="5.0077237100000076"/>
    <n v="19.453691460000002"/>
    <n v="18.600011289999991"/>
    <x v="2"/>
    <x v="0"/>
    <x v="3"/>
    <n v="3"/>
    <s v="Prof. Rahul Singh"/>
  </r>
  <r>
    <s v="STU0823"/>
    <s v="Harshita Tyagi"/>
    <x v="0"/>
    <n v="20"/>
    <x v="0"/>
    <s v="N/A"/>
    <n v="3.9"/>
    <n v="4.25"/>
    <n v="4.21"/>
    <n v="3.77"/>
    <n v="3.76"/>
    <n v="4.8600000000000003"/>
    <n v="3.56"/>
    <n v="4.1900000000000004"/>
    <n v="3.91"/>
    <x v="34"/>
    <n v="4.03"/>
    <n v="4.056"/>
    <n v="82.035446590000006"/>
    <n v="70.574940589999997"/>
    <n v="80.684886610000007"/>
    <n v="63.77143847"/>
    <n v="90.165705610000003"/>
    <n v="77.042150269999993"/>
    <n v="77.706782309999994"/>
    <n v="56.115361270000001"/>
    <n v="11.460506000000009"/>
    <n v="16.913448140000007"/>
    <n v="13.12355534000001"/>
    <n v="21.591421039999993"/>
    <x v="0"/>
    <x v="1"/>
    <x v="1"/>
    <n v="3"/>
    <s v="Dr. Rohan Dutta"/>
  </r>
  <r>
    <s v="STU0824"/>
    <s v="Sanchit Dhawan"/>
    <x v="1"/>
    <n v="20"/>
    <x v="0"/>
    <n v="3.79"/>
    <n v="4.26"/>
    <n v="4.33"/>
    <n v="4.04"/>
    <n v="4.42"/>
    <n v="4.1500000000000004"/>
    <n v="3.81"/>
    <n v="4.42"/>
    <n v="3.73"/>
    <n v="4.1900000000000004"/>
    <x v="51"/>
    <n v="4.17"/>
    <n v="4.0600000000000005"/>
    <n v="81.155097889999993"/>
    <n v="64.386121619999997"/>
    <n v="70"/>
    <n v="69.68310194"/>
    <n v="93.357891190000004"/>
    <n v="75.624999310000007"/>
    <n v="67.963595650000002"/>
    <n v="63.594881770000001"/>
    <n v="16.768976269999996"/>
    <n v="0.31689805999999976"/>
    <n v="17.732891879999997"/>
    <n v="4.3687138800000014"/>
    <x v="0"/>
    <x v="3"/>
    <x v="4"/>
    <n v="3"/>
    <s v="Prof. Kavita Rao"/>
  </r>
  <r>
    <s v="STU0825"/>
    <s v="Avni Saini"/>
    <x v="0"/>
    <n v="24"/>
    <x v="2"/>
    <n v="4.08"/>
    <n v="4.08"/>
    <n v="4.21"/>
    <n v="3.97"/>
    <n v="3.89"/>
    <n v="3.7"/>
    <n v="3.95"/>
    <n v="4.45"/>
    <n v="4.24"/>
    <n v="4.37"/>
    <x v="438"/>
    <n v="4.05"/>
    <n v="4.1420000000000012"/>
    <n v="94.480031440000005"/>
    <n v="62.223159750000001"/>
    <n v="70"/>
    <n v="71.583453910000003"/>
    <n v="94.974739170000007"/>
    <n v="82.217282859999997"/>
    <n v="67.369916480000001"/>
    <n v="52.624473680000001"/>
    <n v="32.256871690000004"/>
    <n v="-1.5834539100000029"/>
    <n v="12.757456310000009"/>
    <n v="14.745442799999999"/>
    <x v="0"/>
    <x v="1"/>
    <x v="4"/>
    <n v="3"/>
    <s v="Dr. Rohan Dutta"/>
  </r>
  <r>
    <s v="STU0826"/>
    <s v="Abhishek Meher"/>
    <x v="1"/>
    <n v="20"/>
    <x v="0"/>
    <n v="4.1399999999999997"/>
    <n v="4.0599999999999996"/>
    <s v="N/A"/>
    <s v="N/A"/>
    <n v="4.3099999999999996"/>
    <n v="4.1399999999999997"/>
    <n v="3.62"/>
    <n v="4.25"/>
    <n v="4.29"/>
    <n v="4.05"/>
    <x v="439"/>
    <n v="4.17"/>
    <n v="4.07"/>
    <n v="88.359128510000005"/>
    <n v="60"/>
    <n v="73.630177470000007"/>
    <n v="68.078666429999998"/>
    <n v="98.592091710000005"/>
    <n v="85"/>
    <n v="67.743130669999999"/>
    <n v="65.574920820000003"/>
    <n v="28.359128510000005"/>
    <n v="5.5515110400000083"/>
    <n v="13.592091710000005"/>
    <n v="2.1682098499999967"/>
    <x v="0"/>
    <x v="3"/>
    <x v="0"/>
    <n v="3"/>
    <s v="Prof. Kavita Rao"/>
  </r>
  <r>
    <s v="STU0827"/>
    <s v="Sanchit Ghosh"/>
    <x v="1"/>
    <n v="25"/>
    <x v="2"/>
    <n v="4.13"/>
    <n v="3.68"/>
    <n v="4.45"/>
    <n v="3.94"/>
    <n v="4.53"/>
    <n v="3.9"/>
    <n v="4.37"/>
    <n v="4.46"/>
    <n v="3.4"/>
    <n v="4.3499999999999996"/>
    <x v="178"/>
    <n v="4.1500000000000004"/>
    <n v="4.0959999999999992"/>
    <n v="82.268772200000001"/>
    <n v="69.108322189999996"/>
    <n v="74.166944599999994"/>
    <n v="63.623978459999996"/>
    <n v="89.630978249999998"/>
    <n v="80.09149472"/>
    <n v="65"/>
    <n v="58.508701639999998"/>
    <n v="13.160450010000005"/>
    <n v="10.542966139999997"/>
    <n v="9.5394835299999983"/>
    <n v="6.4912983600000018"/>
    <x v="0"/>
    <x v="3"/>
    <x v="4"/>
    <n v="3"/>
    <s v="Prof. Kavita Rao"/>
  </r>
  <r>
    <s v="STU0828"/>
    <s v="Shraddha Dewan"/>
    <x v="0"/>
    <n v="25"/>
    <x v="2"/>
    <n v="4.78"/>
    <n v="4.2"/>
    <n v="4.05"/>
    <n v="4.53"/>
    <n v="3.81"/>
    <n v="4.26"/>
    <n v="4.6100000000000003"/>
    <n v="3.67"/>
    <n v="4.43"/>
    <n v="3.84"/>
    <x v="190"/>
    <n v="4.2699999999999996"/>
    <n v="4.1619999999999999"/>
    <n v="81.139399240000003"/>
    <n v="65.235348999999999"/>
    <n v="89.817826640000007"/>
    <n v="61.859902150000003"/>
    <n v="84.92699288"/>
    <n v="81.388278549999995"/>
    <n v="71.069570429999999"/>
    <n v="53.5569451"/>
    <n v="15.904050240000004"/>
    <n v="27.957924490000003"/>
    <n v="3.5387143300000048"/>
    <n v="17.512625329999999"/>
    <x v="2"/>
    <x v="4"/>
    <x v="1"/>
    <n v="3"/>
    <s v="Prof. Vikram Gupta"/>
  </r>
  <r>
    <s v="STU0829"/>
    <s v="Sonali Lamba"/>
    <x v="0"/>
    <n v="29"/>
    <x v="1"/>
    <n v="3.93"/>
    <n v="3.8"/>
    <n v="3.62"/>
    <n v="3.82"/>
    <n v="4.0999999999999996"/>
    <n v="4.21"/>
    <n v="3.79"/>
    <n v="3.96"/>
    <n v="4.41"/>
    <n v="4.26"/>
    <x v="440"/>
    <n v="3.85"/>
    <n v="4.1260000000000003"/>
    <n v="86.528968559999996"/>
    <n v="73.019577760000004"/>
    <n v="70"/>
    <n v="62.674472510000001"/>
    <n v="99.9"/>
    <n v="79.734063370000001"/>
    <n v="69.910518400000001"/>
    <n v="54.696013180000001"/>
    <n v="13.509390799999991"/>
    <n v="7.3255274899999989"/>
    <n v="20.165936630000004"/>
    <n v="15.214505219999999"/>
    <x v="1"/>
    <x v="3"/>
    <x v="0"/>
    <n v="3"/>
    <s v="Prof. Kavita Rao"/>
  </r>
  <r>
    <s v="STU0830"/>
    <s v="Aadhya Nathani"/>
    <x v="0"/>
    <n v="29"/>
    <x v="1"/>
    <n v="4.28"/>
    <n v="4.5599999999999996"/>
    <n v="4.12"/>
    <n v="3.93"/>
    <n v="3.56"/>
    <n v="3.97"/>
    <n v="3.56"/>
    <n v="4.04"/>
    <n v="3.86"/>
    <n v="4.28"/>
    <x v="176"/>
    <n v="4.09"/>
    <n v="3.9420000000000002"/>
    <n v="86.649575240000004"/>
    <n v="68.597569160000006"/>
    <n v="79.675534740000003"/>
    <n v="66.645791220000007"/>
    <n v="91.072186200000004"/>
    <n v="75.509274820000002"/>
    <n v="74.668558829999995"/>
    <n v="53.899210959999998"/>
    <n v="18.052006079999998"/>
    <n v="13.029743519999997"/>
    <n v="15.562911380000003"/>
    <n v="20.769347869999997"/>
    <x v="0"/>
    <x v="2"/>
    <x v="3"/>
    <n v="3"/>
    <s v="Prof. Rajesh Mukherjee"/>
  </r>
  <r>
    <s v="STU0831"/>
    <s v="Pari Hegde"/>
    <x v="0"/>
    <n v="30"/>
    <x v="1"/>
    <n v="4.4000000000000004"/>
    <n v="3.96"/>
    <n v="4.1100000000000003"/>
    <n v="4.01"/>
    <n v="4.0599999999999996"/>
    <n v="3.91"/>
    <n v="4.49"/>
    <n v="4.59"/>
    <n v="4.1500000000000004"/>
    <n v="3.64"/>
    <x v="441"/>
    <n v="4.1100000000000003"/>
    <n v="4.1560000000000006"/>
    <n v="80.875058089999996"/>
    <n v="69.471337419999998"/>
    <n v="75.886495760000003"/>
    <n v="56.578011600000004"/>
    <n v="87.700426449999995"/>
    <n v="80.921809420000002"/>
    <n v="65"/>
    <n v="62.55053556"/>
    <n v="11.403720669999998"/>
    <n v="19.308484159999999"/>
    <n v="6.7786170299999924"/>
    <n v="2.4494644399999999"/>
    <x v="0"/>
    <x v="4"/>
    <x v="4"/>
    <n v="3"/>
    <s v="Prof. Vikram Gupta"/>
  </r>
  <r>
    <s v="STU0832"/>
    <s v="Bhaskar Chopra"/>
    <x v="1"/>
    <n v="24"/>
    <x v="2"/>
    <n v="3.55"/>
    <n v="3.58"/>
    <n v="4.13"/>
    <n v="3.98"/>
    <n v="4.1399999999999997"/>
    <n v="3.91"/>
    <n v="3.88"/>
    <n v="3.74"/>
    <n v="4.08"/>
    <n v="3.66"/>
    <x v="88"/>
    <n v="3.88"/>
    <n v="3.8540000000000005"/>
    <n v="87.660900749999996"/>
    <n v="69.971453519999997"/>
    <n v="79.023166840000002"/>
    <n v="65.782426049999998"/>
    <n v="82.779153269999995"/>
    <n v="85"/>
    <n v="67.274380739999998"/>
    <n v="50"/>
    <n v="17.689447229999999"/>
    <n v="13.240740790000004"/>
    <n v="-2.2208467300000052"/>
    <n v="17.274380739999998"/>
    <x v="1"/>
    <x v="3"/>
    <x v="0"/>
    <n v="3"/>
    <s v="Prof. Kavita Rao"/>
  </r>
  <r>
    <s v="STU0833"/>
    <s v="Swati Bhatt"/>
    <x v="1"/>
    <n v="26"/>
    <x v="3"/>
    <n v="4.62"/>
    <n v="4.25"/>
    <n v="3.88"/>
    <n v="3.82"/>
    <n v="4.2699999999999996"/>
    <n v="4.2"/>
    <n v="3.76"/>
    <n v="4.08"/>
    <n v="4.54"/>
    <n v="4.25"/>
    <x v="95"/>
    <n v="4.17"/>
    <n v="4.1659999999999995"/>
    <n v="94.624500659999995"/>
    <n v="78.996700009999998"/>
    <n v="70"/>
    <n v="62.78815693"/>
    <n v="99.9"/>
    <n v="80.351614249999997"/>
    <n v="69.554175180000001"/>
    <n v="51.630414090000002"/>
    <n v="15.627800649999998"/>
    <n v="7.2118430700000005"/>
    <n v="19.548385750000008"/>
    <n v="17.923761089999999"/>
    <x v="0"/>
    <x v="4"/>
    <x v="0"/>
    <n v="3"/>
    <s v="Prof. Vikram Gupta"/>
  </r>
  <r>
    <s v="STU0834"/>
    <s v="Nishaa Agrawal"/>
    <x v="1"/>
    <n v="20"/>
    <x v="0"/>
    <n v="3.93"/>
    <n v="3.68"/>
    <n v="3.28"/>
    <n v="3.73"/>
    <n v="4.49"/>
    <n v="4.5599999999999996"/>
    <n v="3.93"/>
    <n v="3.91"/>
    <n v="3.7"/>
    <n v="3.68"/>
    <x v="66"/>
    <n v="3.82"/>
    <n v="3.9560000000000004"/>
    <n v="88.200845639999997"/>
    <n v="73.17745884"/>
    <n v="72.89885975"/>
    <n v="68.692228830000005"/>
    <n v="99.9"/>
    <n v="67.364331719999996"/>
    <n v="72.560159889999994"/>
    <n v="60.551948510000003"/>
    <n v="15.023386799999997"/>
    <n v="4.2066309199999949"/>
    <n v="32.53566828000001"/>
    <n v="12.008211379999992"/>
    <x v="1"/>
    <x v="3"/>
    <x v="2"/>
    <n v="3"/>
    <s v="Prof. Kavita Rao"/>
  </r>
  <r>
    <s v="STU0835"/>
    <s v="Priya Yerraamsetti"/>
    <x v="1"/>
    <n v="29"/>
    <x v="1"/>
    <n v="3.9"/>
    <n v="3.9"/>
    <n v="4.22"/>
    <s v=" 4.13 "/>
    <n v="4.33"/>
    <n v="3.78"/>
    <n v="4.05"/>
    <n v="4.2"/>
    <s v="N/A"/>
    <n v="4.1100000000000003"/>
    <x v="442"/>
    <n v="4.09"/>
    <n v="4.0350000000000001"/>
    <n v="85.810137490000002"/>
    <n v="66.955007670000001"/>
    <n v="70"/>
    <n v="70.400927999999993"/>
    <n v="90.15504104"/>
    <n v="78.282399170000005"/>
    <n v="66.156558709999999"/>
    <n v="68.876193079999993"/>
    <n v="18.855129820000002"/>
    <n v="-0.40092799999999329"/>
    <n v="11.872641869999995"/>
    <n v="-2.7196343699999943"/>
    <x v="0"/>
    <x v="3"/>
    <x v="4"/>
    <n v="3"/>
    <s v="Prof. Kavita Rao"/>
  </r>
  <r>
    <s v="STU0836"/>
    <s v="Ishaan Reddy"/>
    <x v="1"/>
    <n v="21"/>
    <x v="0"/>
    <n v="4.29"/>
    <n v="3.93"/>
    <s v="N/A"/>
    <n v="4.07"/>
    <n v="4.1100000000000003"/>
    <n v="4.67"/>
    <n v="4.0199999999999996"/>
    <n v="4.49"/>
    <n v="3.62"/>
    <n v="4.22"/>
    <x v="443"/>
    <n v="4.0999999999999996"/>
    <n v="4.2039999999999997"/>
    <n v="83.941920850000002"/>
    <n v="64.649209810000002"/>
    <n v="81.155355650000004"/>
    <n v="68.235780180000006"/>
    <n v="89.588983010000007"/>
    <n v="77.945197070000006"/>
    <n v="72.866494900000006"/>
    <n v="54.779986559999998"/>
    <n v="19.29271104"/>
    <n v="12.919575469999998"/>
    <n v="11.643785940000001"/>
    <n v="18.086508340000009"/>
    <x v="0"/>
    <x v="4"/>
    <x v="2"/>
    <n v="3"/>
    <s v="Prof. Vikram Gupta"/>
  </r>
  <r>
    <s v="STU0837"/>
    <s v="Shreya Kohir"/>
    <x v="1"/>
    <n v="22"/>
    <x v="0"/>
    <n v="4.09"/>
    <n v="4.0999999999999996"/>
    <n v="4.38"/>
    <n v="4.46"/>
    <n v="4.07"/>
    <n v="4.43"/>
    <n v="3.98"/>
    <n v="3.85"/>
    <n v="3.79"/>
    <n v="4.08"/>
    <x v="444"/>
    <n v="4.22"/>
    <n v="4.0260000000000007"/>
    <n v="88.792546700000003"/>
    <n v="60.617655130000003"/>
    <n v="81.373329369999993"/>
    <n v="61.835825249999999"/>
    <n v="99.9"/>
    <n v="85"/>
    <n v="70.231169309999999"/>
    <n v="57.307967310000002"/>
    <n v="28.17489157"/>
    <n v="19.537504119999994"/>
    <n v="14.900000000000006"/>
    <n v="12.923201999999996"/>
    <x v="2"/>
    <x v="0"/>
    <x v="2"/>
    <n v="3"/>
    <s v="Prof. Rahul Singh"/>
  </r>
  <r>
    <s v="STU0838"/>
    <s v="Tushar Ahmed"/>
    <x v="1"/>
    <n v="22"/>
    <x v="0"/>
    <n v="3.88"/>
    <n v="4.24"/>
    <n v="3.62"/>
    <n v="4.43"/>
    <n v="3.48"/>
    <n v="4.18"/>
    <s v="N/A"/>
    <n v="4.26"/>
    <n v="4.28"/>
    <n v="4.2699999999999996"/>
    <x v="307"/>
    <n v="3.93"/>
    <n v="4.2474999999999996"/>
    <n v="86.966157339999995"/>
    <n v="70.274884729999997"/>
    <n v="82.706544780000002"/>
    <n v="62.007956790000001"/>
    <n v="86.619533320000002"/>
    <n v="76.305902739999993"/>
    <n v="75.290807360000002"/>
    <n v="50.087572360000003"/>
    <n v="16.691272609999999"/>
    <n v="20.69858799"/>
    <n v="10.313630580000009"/>
    <n v="25.203234999999999"/>
    <x v="0"/>
    <x v="0"/>
    <x v="0"/>
    <n v="3"/>
    <s v="Prof. Rahul Singh"/>
  </r>
  <r>
    <s v="STU0839"/>
    <s v="Mukesh Nagar"/>
    <x v="1"/>
    <n v="28"/>
    <x v="3"/>
    <n v="4.5"/>
    <n v="4.1500000000000004"/>
    <n v="3.86"/>
    <n v="3.76"/>
    <n v="4.3"/>
    <n v="3.89"/>
    <s v="N/A"/>
    <n v="4.5599999999999996"/>
    <n v="4.01"/>
    <n v="4.0599999999999996"/>
    <x v="142"/>
    <n v="4.1100000000000003"/>
    <n v="4.13"/>
    <n v="99.9"/>
    <n v="73.945139920000003"/>
    <n v="73.058502230000002"/>
    <n v="65.904372690000002"/>
    <n v="87.170791390000005"/>
    <n v="82.095407480000006"/>
    <n v="66.691804820000002"/>
    <n v="52.623130600000003"/>
    <n v="25.954860080000003"/>
    <n v="7.1541295399999996"/>
    <n v="5.0753839099999993"/>
    <n v="14.068674219999998"/>
    <x v="0"/>
    <x v="4"/>
    <x v="4"/>
    <n v="3"/>
    <s v="Prof. Vikram Gupta"/>
  </r>
  <r>
    <s v="STU0840"/>
    <s v="Shweta Rawat"/>
    <x v="0"/>
    <n v="22"/>
    <x v="0"/>
    <n v="3.41"/>
    <n v="4.05"/>
    <n v="4.22"/>
    <n v="4.72"/>
    <n v="3.67"/>
    <n v="3.99"/>
    <s v="N/A"/>
    <n v="4.21"/>
    <n v="3.82"/>
    <n v="3.71"/>
    <x v="225"/>
    <n v="4.01"/>
    <n v="3.9325000000000001"/>
    <n v="82.644494690000002"/>
    <n v="66.519075369999996"/>
    <n v="78.954257130000002"/>
    <n v="65.330485749999994"/>
    <n v="85.871708720000001"/>
    <n v="85"/>
    <n v="75.760432190000003"/>
    <n v="62.483004149999999"/>
    <n v="16.125419320000006"/>
    <n v="13.623771380000008"/>
    <n v="0.87170872000000088"/>
    <n v="13.277428040000004"/>
    <x v="0"/>
    <x v="0"/>
    <x v="4"/>
    <n v="3"/>
    <s v="Prof. Rahul Singh"/>
  </r>
  <r>
    <s v="STU0841"/>
    <s v="Kiara Das"/>
    <x v="0"/>
    <n v="26"/>
    <x v="3"/>
    <n v="3.95"/>
    <n v="4.58"/>
    <n v="3.95"/>
    <n v="4.3499999999999996"/>
    <n v="4.45"/>
    <n v="3.82"/>
    <n v="3.79"/>
    <n v="4.3"/>
    <n v="3.82"/>
    <n v="3.7"/>
    <x v="445"/>
    <n v="4.26"/>
    <n v="3.8860000000000001"/>
    <n v="92.278184049999993"/>
    <n v="71.882845549999999"/>
    <n v="70.939434460000001"/>
    <n v="75"/>
    <n v="99.9"/>
    <n v="82.29928357"/>
    <n v="70.345771499999998"/>
    <n v="57.358232090000001"/>
    <n v="20.395338499999994"/>
    <n v="-4.0605655399999989"/>
    <n v="17.600716430000006"/>
    <n v="12.987539409999997"/>
    <x v="2"/>
    <x v="2"/>
    <x v="4"/>
    <n v="3"/>
    <s v="Prof. Rajesh Mukherjee"/>
  </r>
  <r>
    <s v="STU0842"/>
    <s v="Sanjeeev Israni"/>
    <x v="1"/>
    <n v="25"/>
    <x v="2"/>
    <n v="4.0199999999999996"/>
    <n v="4.54"/>
    <n v="3.69"/>
    <n v="3.83"/>
    <n v="3.53"/>
    <n v="3.75"/>
    <n v="4.12"/>
    <n v="4.08"/>
    <n v="4.03"/>
    <n v="3.82"/>
    <x v="129"/>
    <n v="3.92"/>
    <n v="3.96"/>
    <n v="75"/>
    <n v="72.381372470000002"/>
    <n v="78.881502429999998"/>
    <n v="71.633822289999998"/>
    <n v="87.153311869999996"/>
    <n v="71.401498900000007"/>
    <n v="75.033392190000001"/>
    <n v="58.614790769999999"/>
    <n v="2.6186275299999977"/>
    <n v="7.2476801399999999"/>
    <n v="15.751812969999989"/>
    <n v="16.418601420000002"/>
    <x v="0"/>
    <x v="2"/>
    <x v="1"/>
    <n v="3"/>
    <s v="Prof. Rajesh Mukherjee"/>
  </r>
  <r>
    <s v="STU0843"/>
    <s v="Anil Bose"/>
    <x v="1"/>
    <n v="27"/>
    <x v="3"/>
    <n v="4.38"/>
    <n v="3.9"/>
    <n v="4.1100000000000003"/>
    <n v="3.15"/>
    <n v="4.24"/>
    <n v="3.57"/>
    <n v="4.1100000000000003"/>
    <n v="4.7300000000000004"/>
    <n v="4.3600000000000003"/>
    <n v="4.6500000000000004"/>
    <x v="12"/>
    <n v="3.96"/>
    <n v="4.2840000000000007"/>
    <n v="85.585812919999995"/>
    <n v="64.542220330000006"/>
    <n v="78.677207249999995"/>
    <n v="67.485173430000003"/>
    <n v="97.394041439999995"/>
    <n v="80.832874169999997"/>
    <n v="69.438102290000003"/>
    <n v="70"/>
    <n v="21.043592589999989"/>
    <n v="11.192033819999992"/>
    <n v="16.561167269999999"/>
    <n v="-0.56189770999999666"/>
    <x v="0"/>
    <x v="4"/>
    <x v="4"/>
    <n v="3"/>
    <s v="Prof. Vikram Gupta"/>
  </r>
  <r>
    <s v="STU0844"/>
    <s v="Rudra Pandey"/>
    <x v="1"/>
    <n v="29"/>
    <x v="1"/>
    <n v="4.2699999999999996"/>
    <n v="4.1399999999999997"/>
    <n v="4.57"/>
    <n v="4.17"/>
    <n v="3.76"/>
    <n v="4.16"/>
    <n v="4"/>
    <n v="3.99"/>
    <n v="4.12"/>
    <n v="4.1900000000000004"/>
    <x v="446"/>
    <n v="4.18"/>
    <n v="4.0920000000000005"/>
    <n v="86.657699190000002"/>
    <n v="78.331893449999995"/>
    <n v="81.136999919999994"/>
    <n v="68.724228690000004"/>
    <n v="89.989132150000003"/>
    <n v="79.935759430000004"/>
    <n v="66.810093170000002"/>
    <n v="55.216035869999999"/>
    <n v="8.3258057400000069"/>
    <n v="12.41277122999999"/>
    <n v="10.053372719999999"/>
    <n v="11.594057300000003"/>
    <x v="0"/>
    <x v="1"/>
    <x v="3"/>
    <n v="3"/>
    <s v="Dr. Rohan Dutta"/>
  </r>
  <r>
    <s v="STU0845"/>
    <s v="Riya Barua"/>
    <x v="0"/>
    <n v="28"/>
    <x v="3"/>
    <n v="4.3600000000000003"/>
    <n v="4.3899999999999997"/>
    <n v="3.85"/>
    <n v="3.98"/>
    <n v="3.57"/>
    <n v="4.08"/>
    <n v="4.13"/>
    <n v="4.57"/>
    <n v="3.69"/>
    <n v="4.21"/>
    <x v="80"/>
    <n v="4.03"/>
    <n v="4.136000000000001"/>
    <n v="90.185364250000006"/>
    <n v="72.715478700000006"/>
    <n v="72.198148930000002"/>
    <n v="63.820315880000003"/>
    <n v="93.037863569999999"/>
    <n v="70.601127259999998"/>
    <n v="70.440766199999999"/>
    <n v="50"/>
    <n v="17.469885550000001"/>
    <n v="8.3778330499999996"/>
    <n v="22.436736310000001"/>
    <n v="20.440766199999999"/>
    <x v="0"/>
    <x v="2"/>
    <x v="4"/>
    <n v="3"/>
    <s v="Prof. Rajesh Mukherjee"/>
  </r>
  <r>
    <s v="STU0846"/>
    <s v="Rajeev Dubey"/>
    <x v="1"/>
    <n v="26"/>
    <x v="3"/>
    <n v="3.66"/>
    <n v="3.83"/>
    <n v="3.94"/>
    <s v="N/A"/>
    <n v="4.3"/>
    <n v="3.42"/>
    <n v="3.84"/>
    <n v="4.3"/>
    <n v="3.93"/>
    <n v="4.01"/>
    <x v="447"/>
    <n v="3.93"/>
    <n v="3.9"/>
    <n v="89.753549960000001"/>
    <n v="60"/>
    <n v="70"/>
    <n v="60.967365239999999"/>
    <n v="99.9"/>
    <n v="73.684411760000003"/>
    <n v="70.499003389999999"/>
    <n v="53.45108862"/>
    <n v="29.753549960000001"/>
    <n v="9.0326347600000005"/>
    <n v="26.215588240000002"/>
    <n v="17.047914769999998"/>
    <x v="0"/>
    <x v="3"/>
    <x v="4"/>
    <n v="3"/>
    <s v="Prof. Kavita Rao"/>
  </r>
  <r>
    <s v="STU0847"/>
    <s v="Naandini Jani"/>
    <x v="1"/>
    <n v="30"/>
    <x v="1"/>
    <n v="3.45"/>
    <n v="4.0599999999999996"/>
    <n v="3.72"/>
    <n v="3.89"/>
    <n v="3.78"/>
    <n v="4.41"/>
    <n v="3.89"/>
    <n v="3.99"/>
    <n v="4.3600000000000003"/>
    <n v="4.1900000000000004"/>
    <x v="448"/>
    <n v="3.78"/>
    <n v="4.168000000000001"/>
    <n v="90.070966609999999"/>
    <n v="68.791107850000003"/>
    <n v="72.29218865"/>
    <n v="64.509055430000004"/>
    <n v="85.944058839999997"/>
    <n v="80.684638879999994"/>
    <n v="66.735370239999995"/>
    <n v="51.24188839"/>
    <n v="21.279858759999996"/>
    <n v="7.7831332199999963"/>
    <n v="5.2594199600000024"/>
    <n v="15.493481849999995"/>
    <x v="1"/>
    <x v="2"/>
    <x v="2"/>
    <n v="3"/>
    <s v="Prof. Rajesh Mukherjee"/>
  </r>
  <r>
    <s v="STU0848"/>
    <s v="Aditya Kumar"/>
    <x v="1"/>
    <n v="25"/>
    <x v="2"/>
    <n v="3.9"/>
    <n v="3.98"/>
    <n v="3.9"/>
    <n v="4.03"/>
    <n v="3.95"/>
    <n v="4.05"/>
    <n v="3.98"/>
    <n v="4.03"/>
    <n v="4.16"/>
    <n v="3.81"/>
    <x v="54"/>
    <n v="3.95"/>
    <n v="4.0059999999999993"/>
    <n v="88.222170129999995"/>
    <n v="72.519924090000004"/>
    <n v="70"/>
    <n v="64.370126240000005"/>
    <n v="85.513081709999994"/>
    <n v="71.092453500000005"/>
    <n v="72.011592429999993"/>
    <n v="50"/>
    <n v="15.702246039999991"/>
    <n v="5.6298737599999953"/>
    <n v="14.42062820999999"/>
    <n v="22.011592429999993"/>
    <x v="0"/>
    <x v="0"/>
    <x v="0"/>
    <n v="3"/>
    <s v="Prof. Rahul Singh"/>
  </r>
  <r>
    <s v="STU0849"/>
    <s v="Tarun Chauhan"/>
    <x v="1"/>
    <n v="20"/>
    <x v="0"/>
    <n v="4.0199999999999996"/>
    <n v="3.94"/>
    <n v="4.63"/>
    <n v="3.44"/>
    <n v="4.42"/>
    <n v="4.24"/>
    <n v="4.5"/>
    <n v="3.46"/>
    <n v="3.73"/>
    <n v="4.05"/>
    <x v="423"/>
    <n v="4.09"/>
    <n v="3.996"/>
    <n v="88.484654039999995"/>
    <n v="60"/>
    <n v="70.361490770000003"/>
    <n v="57.848343900000003"/>
    <n v="97.404090280000005"/>
    <n v="71.472636390000005"/>
    <n v="76.525317520000002"/>
    <n v="51.780399449999997"/>
    <n v="28.484654039999995"/>
    <n v="12.51314687"/>
    <n v="25.93145389"/>
    <n v="24.744918070000004"/>
    <x v="0"/>
    <x v="1"/>
    <x v="1"/>
    <n v="3"/>
    <s v="Dr. Rohan Dutta"/>
  </r>
  <r>
    <s v="STU0850"/>
    <s v="Varun Nnathani"/>
    <x v="1"/>
    <n v="21"/>
    <x v="0"/>
    <n v="4"/>
    <n v="3.9"/>
    <n v="3.35"/>
    <n v="4.18"/>
    <n v="4.04"/>
    <n v="4.13"/>
    <n v="3.92"/>
    <n v="4.26"/>
    <n v="3.77"/>
    <n v="4.5199999999999996"/>
    <x v="449"/>
    <n v="3.89"/>
    <n v="4.12"/>
    <n v="92.909657249999995"/>
    <n v="60"/>
    <n v="84.210811410000005"/>
    <n v="67.818017789999999"/>
    <n v="82.469820979999994"/>
    <n v="84.451217920000005"/>
    <n v="77.37237958"/>
    <n v="51.823105890000001"/>
    <n v="32.909657249999995"/>
    <n v="16.392793620000006"/>
    <n v="-1.9813969400000104"/>
    <n v="25.54927369"/>
    <x v="1"/>
    <x v="0"/>
    <x v="3"/>
    <n v="3"/>
    <s v="Prof. Rahul Singh"/>
  </r>
  <r>
    <s v="STU0851"/>
    <s v="Rohan Marwah"/>
    <x v="1"/>
    <n v="22"/>
    <x v="0"/>
    <n v="3.55"/>
    <n v="3.9"/>
    <n v="4.47"/>
    <n v="3.83"/>
    <n v="4.22"/>
    <n v="3.89"/>
    <n v="4.75"/>
    <n v="4.3899999999999997"/>
    <n v="4.46"/>
    <n v="3.77"/>
    <x v="154"/>
    <n v="3.99"/>
    <n v="4.2520000000000007"/>
    <n v="83.243314729999994"/>
    <n v="60"/>
    <n v="74.720067169999993"/>
    <n v="59.142103990000003"/>
    <n v="94.144009969999999"/>
    <n v="81.239048440000005"/>
    <n v="68.205526309999996"/>
    <n v="62.094173439999999"/>
    <n v="23.243314729999994"/>
    <n v="15.57796317999999"/>
    <n v="12.904961529999994"/>
    <n v="6.1113528699999975"/>
    <x v="0"/>
    <x v="1"/>
    <x v="1"/>
    <n v="3"/>
    <s v="Dr. Rohan Dutta"/>
  </r>
  <r>
    <s v="STU0852"/>
    <s v="Sneha Sahgal"/>
    <x v="0"/>
    <n v="21"/>
    <x v="0"/>
    <n v="4.83"/>
    <n v="3.96"/>
    <n v="3.69"/>
    <n v="3.8"/>
    <n v="4.4000000000000004"/>
    <n v="4.25"/>
    <n v="4.29"/>
    <n v="3.97"/>
    <n v="4.13"/>
    <s v="N/A"/>
    <x v="450"/>
    <n v="4.1399999999999997"/>
    <n v="4.16"/>
    <n v="84.318342459999997"/>
    <n v="60"/>
    <n v="79.321484260000005"/>
    <n v="64.164866070000002"/>
    <n v="92.507966929999995"/>
    <n v="81.299232160000003"/>
    <n v="67.87344324"/>
    <n v="53.959045230000001"/>
    <n v="24.318342459999997"/>
    <n v="15.156618190000003"/>
    <n v="11.208734769999992"/>
    <n v="13.914398009999999"/>
    <x v="0"/>
    <x v="4"/>
    <x v="1"/>
    <n v="3"/>
    <s v="Prof. Vikram Gupta"/>
  </r>
  <r>
    <s v="STU0853"/>
    <s v="Sanchit Kohir"/>
    <x v="1"/>
    <n v="30"/>
    <x v="1"/>
    <n v="3.5"/>
    <n v="4.13"/>
    <n v="4.21"/>
    <n v="3.89"/>
    <n v="4.12"/>
    <n v="4.0199999999999996"/>
    <n v="4.09"/>
    <n v="3.84"/>
    <n v="3.81"/>
    <n v="3.85"/>
    <x v="275"/>
    <n v="3.97"/>
    <n v="3.9219999999999997"/>
    <n v="87.440584360000003"/>
    <n v="60.407725650000003"/>
    <n v="81.592606410000002"/>
    <n v="66.149927989999995"/>
    <n v="85.288946129999999"/>
    <n v="84.181086339999993"/>
    <n v="76.418451509999997"/>
    <n v="56.268289350000003"/>
    <n v="27.032858709999999"/>
    <n v="15.442678420000007"/>
    <n v="1.1078597900000062"/>
    <n v="20.150162159999994"/>
    <x v="0"/>
    <x v="1"/>
    <x v="1"/>
    <n v="3"/>
    <s v="Dr. Rohan Dutta"/>
  </r>
  <r>
    <s v="STU0854"/>
    <s v="Vikram Xalxo"/>
    <x v="1"/>
    <n v="20"/>
    <x v="0"/>
    <n v="4.57"/>
    <n v="4.2300000000000004"/>
    <n v="3.94"/>
    <n v="3.73"/>
    <n v="3.89"/>
    <n v="4.13"/>
    <n v="3.42"/>
    <n v="4.3099999999999996"/>
    <n v="4.3499999999999996"/>
    <n v="4.0199999999999996"/>
    <x v="75"/>
    <n v="4.07"/>
    <n v="4.0460000000000003"/>
    <n v="77.911633780000003"/>
    <n v="74.817616540000003"/>
    <n v="75.471670759999995"/>
    <n v="67.184501510000004"/>
    <n v="91.700686849999997"/>
    <n v="66.850510970000002"/>
    <n v="70.960595819999995"/>
    <n v="58.231700289999999"/>
    <n v="3.0940172399999994"/>
    <n v="8.2871692499999909"/>
    <n v="24.850175879999995"/>
    <n v="12.728895529999996"/>
    <x v="0"/>
    <x v="4"/>
    <x v="0"/>
    <n v="3"/>
    <s v="Prof. Vikram Gupta"/>
  </r>
  <r>
    <s v="STU0855"/>
    <s v="Rajeev Jain"/>
    <x v="1"/>
    <n v="20"/>
    <x v="0"/>
    <n v="3.95"/>
    <s v="N/A"/>
    <s v="N/A"/>
    <n v="4.47"/>
    <n v="4.13"/>
    <n v="4.58"/>
    <n v="4.4800000000000004"/>
    <n v="3.68"/>
    <n v="3.16"/>
    <n v="3.64"/>
    <x v="451"/>
    <n v="4.18"/>
    <n v="3.9079999999999999"/>
    <n v="79.6464517"/>
    <n v="74.814343210000004"/>
    <n v="84.99681932"/>
    <n v="55"/>
    <n v="98.623760709999999"/>
    <n v="81.51944666"/>
    <n v="70.568964399999999"/>
    <n v="58.503592580000003"/>
    <n v="4.832108489999996"/>
    <n v="29.99681932"/>
    <n v="17.104314049999999"/>
    <n v="12.065371819999996"/>
    <x v="0"/>
    <x v="0"/>
    <x v="2"/>
    <n v="3"/>
    <s v="Prof. Rahul Singh"/>
  </r>
  <r>
    <s v="STU0856"/>
    <s v="Neha Mukherjee"/>
    <x v="0"/>
    <n v="26"/>
    <x v="3"/>
    <n v="4.0999999999999996"/>
    <n v="3.93"/>
    <n v="4.1900000000000004"/>
    <n v="4.1900000000000004"/>
    <n v="4.34"/>
    <n v="4.13"/>
    <n v="3.92"/>
    <n v="3.85"/>
    <n v="3.93"/>
    <n v="4.47"/>
    <x v="108"/>
    <n v="4.1500000000000004"/>
    <n v="4.0600000000000005"/>
    <n v="88.997146520000001"/>
    <n v="72.070017919999998"/>
    <n v="87.011450310000001"/>
    <n v="68.801389"/>
    <n v="98.404505080000007"/>
    <n v="80.291243350000002"/>
    <n v="69.026647519999997"/>
    <n v="64.723500119999997"/>
    <n v="16.927128600000003"/>
    <n v="18.21006131"/>
    <n v="18.113261730000005"/>
    <n v="4.3031474000000003"/>
    <x v="0"/>
    <x v="3"/>
    <x v="3"/>
    <n v="3"/>
    <s v="Prof. Kavita Rao"/>
  </r>
  <r>
    <s v="STU0857"/>
    <s v="Deepak Bajpai"/>
    <x v="1"/>
    <n v="26"/>
    <x v="3"/>
    <n v="3.98"/>
    <n v="3.94"/>
    <n v="4.25"/>
    <n v="3.97"/>
    <n v="3.89"/>
    <n v="3.49"/>
    <n v="4.5599999999999996"/>
    <n v="3.67"/>
    <n v="3.8"/>
    <n v="4.1399999999999997"/>
    <x v="90"/>
    <n v="4.01"/>
    <n v="3.9319999999999999"/>
    <n v="78.327619659999996"/>
    <n v="69.218818900000002"/>
    <n v="71.596849329999998"/>
    <n v="60.436513429999998"/>
    <n v="98.714185459999996"/>
    <n v="77.477918399999993"/>
    <n v="73.571604140000005"/>
    <n v="51.501643700000002"/>
    <n v="9.1088007599999941"/>
    <n v="11.1603359"/>
    <n v="21.236267060000003"/>
    <n v="22.069960440000003"/>
    <x v="0"/>
    <x v="1"/>
    <x v="1"/>
    <n v="3"/>
    <s v="Dr. Rohan Dutta"/>
  </r>
  <r>
    <s v="STU0858"/>
    <s v="Anshul Basu"/>
    <x v="1"/>
    <n v="28"/>
    <x v="3"/>
    <n v="4.21"/>
    <n v="3.87"/>
    <n v="4.2699999999999996"/>
    <n v="3.88"/>
    <n v="3.9"/>
    <n v="4.01"/>
    <n v="3.86"/>
    <n v="4.32"/>
    <n v="4.4000000000000004"/>
    <n v="3.94"/>
    <x v="98"/>
    <n v="4.03"/>
    <n v="4.1059999999999999"/>
    <n v="92.437059009999999"/>
    <n v="66.334184179999994"/>
    <n v="70.659812509999995"/>
    <n v="58.378716429999997"/>
    <n v="95.517763299999999"/>
    <n v="75.535233309999995"/>
    <n v="75.966829880000006"/>
    <n v="61.333092129999997"/>
    <n v="26.102874830000005"/>
    <n v="12.281096079999998"/>
    <n v="19.982529990000003"/>
    <n v="14.633737750000009"/>
    <x v="0"/>
    <x v="1"/>
    <x v="0"/>
    <n v="3"/>
    <s v="Dr. Rohan Dutta"/>
  </r>
  <r>
    <s v="STU0859"/>
    <s v="Sunil Marwah"/>
    <x v="1"/>
    <n v="30"/>
    <x v="1"/>
    <n v="4.57"/>
    <n v="3.73"/>
    <n v="3.78"/>
    <n v="4.01"/>
    <n v="3.9"/>
    <n v="4"/>
    <n v="3.96"/>
    <n v="3.49"/>
    <n v="4.28"/>
    <n v="4.0999999999999996"/>
    <x v="317"/>
    <n v="4"/>
    <n v="3.9659999999999997"/>
    <n v="85.332889170000001"/>
    <n v="80"/>
    <n v="77.779347920000006"/>
    <n v="63.998736639999997"/>
    <n v="80.747840400000001"/>
    <n v="85"/>
    <n v="65"/>
    <n v="55.791503229999996"/>
    <n v="5.3328891700000014"/>
    <n v="13.780611280000009"/>
    <n v="-4.2521595999999988"/>
    <n v="9.2084967700000036"/>
    <x v="0"/>
    <x v="4"/>
    <x v="0"/>
    <n v="3"/>
    <s v="Prof. Vikram Gupta"/>
  </r>
  <r>
    <s v="STU0860"/>
    <s v="Ira Qureshi"/>
    <x v="0"/>
    <n v="30"/>
    <x v="1"/>
    <n v="4.1100000000000003"/>
    <n v="4.03"/>
    <n v="4.18"/>
    <n v="3.83"/>
    <n v="3.82"/>
    <n v="3.91"/>
    <n v="4.16"/>
    <n v="4.03"/>
    <n v="4.24"/>
    <n v="3.8"/>
    <x v="154"/>
    <n v="3.99"/>
    <n v="4.0280000000000005"/>
    <n v="77.707403650000003"/>
    <n v="77.088097899999994"/>
    <n v="77.249734340000003"/>
    <n v="59.211400439999998"/>
    <n v="84.728059779999995"/>
    <n v="78.133578819999997"/>
    <n v="75.213742389999993"/>
    <n v="50.087413840000004"/>
    <n v="0.61930575000000943"/>
    <n v="18.038333900000005"/>
    <n v="6.5944809599999985"/>
    <n v="25.12632854999999"/>
    <x v="0"/>
    <x v="1"/>
    <x v="0"/>
    <n v="3"/>
    <s v="Dr. Rohan Dutta"/>
  </r>
  <r>
    <s v="STU0861"/>
    <s v="Vikram Singh"/>
    <x v="1"/>
    <n v="26"/>
    <x v="3"/>
    <s v="N/A"/>
    <n v="4.1100000000000003"/>
    <n v="4.1100000000000003"/>
    <n v="4.25"/>
    <n v="3.95"/>
    <n v="4.09"/>
    <n v="3.91"/>
    <s v="N/A"/>
    <n v="4.01"/>
    <n v="4.1100000000000003"/>
    <x v="452"/>
    <n v="4.1100000000000003"/>
    <n v="4.03"/>
    <n v="83.918360469999996"/>
    <n v="60"/>
    <n v="71.104788350000007"/>
    <n v="65.581813350000004"/>
    <n v="96.158130220000004"/>
    <n v="76.009793970000004"/>
    <n v="74.471067270000006"/>
    <n v="51.74351102"/>
    <n v="23.918360469999996"/>
    <n v="5.5229750000000024"/>
    <n v="20.14833625"/>
    <n v="22.727556250000006"/>
    <x v="0"/>
    <x v="0"/>
    <x v="3"/>
    <n v="3"/>
    <s v="Prof. Rahul Singh"/>
  </r>
  <r>
    <s v="STU0862"/>
    <s v="Bhavna Bhateja"/>
    <x v="0"/>
    <n v="25"/>
    <x v="2"/>
    <n v="4.67"/>
    <n v="3.72"/>
    <n v="4.21"/>
    <n v="3.65"/>
    <n v="4.0599999999999996"/>
    <n v="3.76"/>
    <n v="4.21"/>
    <n v="3.75"/>
    <n v="3.59"/>
    <n v="4.28"/>
    <x v="62"/>
    <n v="4.0599999999999996"/>
    <n v="3.9180000000000001"/>
    <n v="84.314129289999997"/>
    <n v="73.893432540000006"/>
    <n v="77.582509540000004"/>
    <n v="66.496180229999993"/>
    <n v="90.427809620000005"/>
    <n v="79.768744209999994"/>
    <n v="69.501991189999998"/>
    <n v="50"/>
    <n v="10.420696749999991"/>
    <n v="11.086329310000011"/>
    <n v="10.659065410000011"/>
    <n v="19.501991189999998"/>
    <x v="0"/>
    <x v="4"/>
    <x v="3"/>
    <n v="3"/>
    <s v="Prof. Vikram Gupta"/>
  </r>
  <r>
    <s v="STU0863"/>
    <s v="Varun Saxena"/>
    <x v="1"/>
    <n v="23"/>
    <x v="2"/>
    <n v="3.3"/>
    <n v="3.79"/>
    <n v="4.29"/>
    <n v="3.94"/>
    <n v="4.45"/>
    <n v="4.03"/>
    <n v="3.6"/>
    <n v="4.28"/>
    <n v="4.08"/>
    <n v="3.8"/>
    <x v="340"/>
    <n v="3.95"/>
    <n v="3.9579999999999997"/>
    <n v="94.682766790000002"/>
    <n v="72.917688999999996"/>
    <n v="70"/>
    <n v="65.433143950000002"/>
    <n v="80.222271379999995"/>
    <n v="79.411856069999999"/>
    <n v="68.43832879"/>
    <n v="65.383029820000004"/>
    <n v="21.765077790000007"/>
    <n v="4.5668560499999984"/>
    <n v="0.81041530999999623"/>
    <n v="3.0552989699999955"/>
    <x v="0"/>
    <x v="3"/>
    <x v="4"/>
    <n v="3"/>
    <s v="Prof. Kavita Rao"/>
  </r>
  <r>
    <s v="STU0864"/>
    <s v="Ttanya Trivedi"/>
    <x v="1"/>
    <n v="29"/>
    <x v="1"/>
    <n v="4.03"/>
    <n v="3.32"/>
    <n v="4.09"/>
    <n v="4.09"/>
    <n v="4.29"/>
    <n v="3.3"/>
    <n v="4.26"/>
    <n v="4.17"/>
    <n v="3.77"/>
    <n v="3.97"/>
    <x v="434"/>
    <n v="3.96"/>
    <n v="3.8939999999999997"/>
    <n v="83.544465720000005"/>
    <n v="68.458982199999994"/>
    <n v="73.31004867"/>
    <n v="70.145790419999997"/>
    <n v="93.192575629999993"/>
    <n v="67.471149569999994"/>
    <n v="72.266714469999997"/>
    <n v="53.737782090000003"/>
    <n v="15.085483520000011"/>
    <n v="3.1642582500000032"/>
    <n v="25.721426059999999"/>
    <n v="18.528932379999993"/>
    <x v="0"/>
    <x v="3"/>
    <x v="1"/>
    <n v="3"/>
    <s v="Prof. Kavita Rao"/>
  </r>
  <r>
    <s v="STU0865"/>
    <s v="Deepali Gulati"/>
    <x v="0"/>
    <n v="29"/>
    <x v="1"/>
    <n v="3.75"/>
    <n v="4.41"/>
    <n v="4.17"/>
    <n v="3.48"/>
    <n v="3.92"/>
    <n v="3.95"/>
    <n v="3.79"/>
    <n v="3.93"/>
    <n v="4.03"/>
    <n v="4.25"/>
    <x v="170"/>
    <n v="3.95"/>
    <n v="3.9899999999999998"/>
    <n v="75"/>
    <n v="68.096452249999999"/>
    <n v="85.585654239999997"/>
    <n v="67.752702819999996"/>
    <n v="92.221588609999998"/>
    <n v="81.992269399999998"/>
    <n v="68.939015749999996"/>
    <n v="54.063121109999997"/>
    <n v="6.9035477500000013"/>
    <n v="17.832951420000001"/>
    <n v="10.22931921"/>
    <n v="14.875894639999999"/>
    <x v="0"/>
    <x v="2"/>
    <x v="3"/>
    <n v="3"/>
    <s v="Prof. Rajesh Mukherjee"/>
  </r>
  <r>
    <s v="STU0866"/>
    <s v="Aadhya Raj"/>
    <x v="0"/>
    <n v="27"/>
    <x v="3"/>
    <n v="3.72"/>
    <n v="4.18"/>
    <n v="4.41"/>
    <n v="3.97"/>
    <n v="4.18"/>
    <n v="3.86"/>
    <n v="4.76"/>
    <n v="4.32"/>
    <n v="3.98"/>
    <n v="4.4800000000000004"/>
    <x v="57"/>
    <n v="4.09"/>
    <n v="4.2799999999999994"/>
    <n v="86.713593130000007"/>
    <n v="71.882931060000004"/>
    <n v="79.991391649999997"/>
    <n v="72.904729009999997"/>
    <n v="98.18748162"/>
    <n v="73.884588089999994"/>
    <n v="73.50229204"/>
    <n v="56.663448420000002"/>
    <n v="14.830662070000002"/>
    <n v="7.0866626400000001"/>
    <n v="24.302893530000006"/>
    <n v="16.838843619999999"/>
    <x v="0"/>
    <x v="1"/>
    <x v="1"/>
    <n v="3"/>
    <s v="Dr. Rohan Dutta"/>
  </r>
  <r>
    <s v="STU0867"/>
    <s v="Vipul Pandey"/>
    <x v="1"/>
    <n v="24"/>
    <x v="2"/>
    <n v="3.82"/>
    <n v="4.1399999999999997"/>
    <n v="4.1100000000000003"/>
    <n v="3.81"/>
    <n v="3.82"/>
    <n v="4.0599999999999996"/>
    <n v="4.3499999999999996"/>
    <n v="4.63"/>
    <n v="3.92"/>
    <n v="3.86"/>
    <x v="136"/>
    <n v="3.94"/>
    <n v="4.1639999999999997"/>
    <n v="81.780841330000001"/>
    <n v="67.021037219999997"/>
    <n v="83.881675509999994"/>
    <n v="61.39739694"/>
    <n v="96.457905429999997"/>
    <n v="81.576950429999997"/>
    <n v="70.203180849999995"/>
    <n v="64.577920919999997"/>
    <n v="14.759804110000005"/>
    <n v="22.484278569999994"/>
    <n v="14.880955"/>
    <n v="5.6252599299999986"/>
    <x v="0"/>
    <x v="2"/>
    <x v="4"/>
    <n v="3"/>
    <s v="Prof. Rajesh Mukherjee"/>
  </r>
  <r>
    <s v="STU0868"/>
    <s v="Sneha Dhanwade"/>
    <x v="0"/>
    <n v="23"/>
    <x v="2"/>
    <n v="3.8"/>
    <n v="3.47"/>
    <n v="3.97"/>
    <n v="4"/>
    <n v="4.03"/>
    <n v="3.94"/>
    <n v="4"/>
    <n v="3.81"/>
    <n v="4.03"/>
    <n v="4.53"/>
    <x v="210"/>
    <n v="3.85"/>
    <n v="4.0620000000000003"/>
    <n v="79.899282420000006"/>
    <n v="68.321203139999994"/>
    <n v="80.865138939999994"/>
    <n v="61.565266200000003"/>
    <n v="99.9"/>
    <n v="72.306914329999998"/>
    <n v="74.413553690000001"/>
    <n v="66.861228260000004"/>
    <n v="11.578079280000011"/>
    <n v="19.299872739999991"/>
    <n v="27.593085670000008"/>
    <n v="7.5523254299999962"/>
    <x v="1"/>
    <x v="3"/>
    <x v="3"/>
    <n v="3"/>
    <s v="Prof. Kavita Rao"/>
  </r>
  <r>
    <s v="STU0869"/>
    <s v="Ritika Mannwani"/>
    <x v="0"/>
    <n v="29"/>
    <x v="1"/>
    <n v="3.96"/>
    <n v="3.63"/>
    <n v="3.97"/>
    <n v="4.1500000000000004"/>
    <n v="3.69"/>
    <n v="4.18"/>
    <n v="4.07"/>
    <n v="4.33"/>
    <n v="3.64"/>
    <n v="4.4800000000000004"/>
    <x v="453"/>
    <n v="3.88"/>
    <n v="4.1399999999999997"/>
    <n v="76.557849340000004"/>
    <n v="77.959721560000006"/>
    <n v="75.667867990000005"/>
    <n v="60.690512269999999"/>
    <n v="80.152639960000002"/>
    <n v="75.019025310000004"/>
    <n v="65.193093599999997"/>
    <n v="66.077804389999997"/>
    <n v="-1.4018722200000013"/>
    <n v="14.977355720000006"/>
    <n v="5.1336146499999984"/>
    <n v="-0.88471078999999975"/>
    <x v="1"/>
    <x v="0"/>
    <x v="3"/>
    <n v="3"/>
    <s v="Prof. Rahul Singh"/>
  </r>
  <r>
    <s v="STU0870"/>
    <s v="Advik Kumar"/>
    <x v="1"/>
    <n v="25"/>
    <x v="2"/>
    <n v="3.64"/>
    <n v="3.54"/>
    <n v="4.2300000000000004"/>
    <n v="4.2699999999999996"/>
    <s v="N/A"/>
    <n v="3.77"/>
    <n v="3.66"/>
    <n v="4.3"/>
    <n v="3.2"/>
    <n v="4.21"/>
    <x v="454"/>
    <n v="3.92"/>
    <n v="3.8280000000000003"/>
    <n v="96.679184710000001"/>
    <n v="67.404541949999995"/>
    <n v="70.660455920000004"/>
    <n v="61.979434580000003"/>
    <n v="97.045826270000006"/>
    <n v="76.7715824"/>
    <n v="74.129696960000004"/>
    <n v="50.150728059999999"/>
    <n v="29.274642760000006"/>
    <n v="8.6810213400000009"/>
    <n v="20.274243870000006"/>
    <n v="23.978968900000005"/>
    <x v="0"/>
    <x v="0"/>
    <x v="4"/>
    <n v="3"/>
    <s v="Prof. Rahul Singh"/>
  </r>
  <r>
    <s v="STU0871"/>
    <s v="Ffalguni Srivastava"/>
    <x v="1"/>
    <n v="28"/>
    <x v="3"/>
    <n v="4.0999999999999996"/>
    <n v="4.13"/>
    <n v="4.6900000000000004"/>
    <n v="3.75"/>
    <n v="4.4800000000000004"/>
    <n v="4.12"/>
    <n v="4.1900000000000004"/>
    <n v="3.69"/>
    <n v="4.12"/>
    <n v="3.68"/>
    <x v="455"/>
    <n v="4.2300000000000004"/>
    <n v="3.96"/>
    <n v="95.496640040000003"/>
    <n v="71.440103059999998"/>
    <n v="73.414278120000006"/>
    <n v="61.306844470000001"/>
    <n v="99.9"/>
    <n v="73.589466920000007"/>
    <n v="72.134789620000006"/>
    <n v="55.660426149999999"/>
    <n v="24.056536980000004"/>
    <n v="12.107433650000004"/>
    <n v="26.310533079999999"/>
    <n v="16.474363470000007"/>
    <x v="2"/>
    <x v="1"/>
    <x v="1"/>
    <n v="3"/>
    <s v="Dr. Rohan Dutta"/>
  </r>
  <r>
    <s v="STU0872"/>
    <s v="Mmukesh Sahgal"/>
    <x v="1"/>
    <n v="30"/>
    <x v="1"/>
    <n v="4.34"/>
    <n v="3.93"/>
    <n v="3.64"/>
    <n v="3.82"/>
    <s v="4,37"/>
    <n v="4.49"/>
    <n v="3.58"/>
    <n v="3.41"/>
    <n v="5.0199999999999996"/>
    <n v="3.79"/>
    <x v="447"/>
    <n v="3.93"/>
    <n v="4.0579999999999998"/>
    <n v="84.227782980000001"/>
    <n v="70.241631089999998"/>
    <n v="70"/>
    <n v="62.109559590000003"/>
    <n v="99.9"/>
    <n v="81.336665999999994"/>
    <n v="69.546405239999999"/>
    <n v="60.397095759999999"/>
    <n v="13.986151890000002"/>
    <n v="7.8904404099999965"/>
    <n v="18.563334000000012"/>
    <n v="9.1493094799999994"/>
    <x v="0"/>
    <x v="4"/>
    <x v="0"/>
    <n v="3"/>
    <s v="Prof. Vikram Gupta"/>
  </r>
  <r>
    <s v="STU0873"/>
    <s v="Sandeep Chandra"/>
    <x v="1"/>
    <n v="28"/>
    <x v="3"/>
    <n v="4.5"/>
    <n v="4.04"/>
    <n v="4.01"/>
    <n v="3.65"/>
    <n v="4.53"/>
    <n v="4.5"/>
    <n v="4.18"/>
    <n v="3.63"/>
    <n v="3.84"/>
    <n v="3.72"/>
    <x v="76"/>
    <n v="4.1500000000000004"/>
    <n v="3.9739999999999993"/>
    <n v="82.845371799999995"/>
    <n v="67.088843530000005"/>
    <n v="76.43679951"/>
    <n v="68.262882540000007"/>
    <n v="87.124949439999995"/>
    <n v="77.894056800000001"/>
    <n v="67.920349939999994"/>
    <n v="59.83141638"/>
    <n v="15.75652826999999"/>
    <n v="8.1739169699999934"/>
    <n v="9.2308926399999933"/>
    <n v="8.0889335599999939"/>
    <x v="0"/>
    <x v="3"/>
    <x v="2"/>
    <n v="3"/>
    <s v="Prof. Kavita Rao"/>
  </r>
  <r>
    <s v="STU0874"/>
    <s v="Surbhi Sanyal"/>
    <x v="1"/>
    <n v="27"/>
    <x v="3"/>
    <n v="4.1900000000000004"/>
    <n v="4.4400000000000004"/>
    <n v="4.29"/>
    <n v="3.9"/>
    <n v="4.32"/>
    <n v="3.21"/>
    <n v="4.08"/>
    <n v="4.33"/>
    <n v="4.53"/>
    <n v="3.97"/>
    <x v="407"/>
    <n v="4.2300000000000004"/>
    <n v="4.024"/>
    <n v="88.261825220000006"/>
    <n v="66.762532669999999"/>
    <n v="72.097181500000005"/>
    <n v="67.081989100000001"/>
    <n v="80"/>
    <n v="76.363785859999993"/>
    <n v="67.085672299999999"/>
    <n v="50.040974570000003"/>
    <n v="21.499292550000007"/>
    <n v="5.0151924000000037"/>
    <n v="3.636214140000007"/>
    <n v="17.044697729999996"/>
    <x v="2"/>
    <x v="2"/>
    <x v="0"/>
    <n v="3"/>
    <s v="Prof. Rajesh Mukherjee"/>
  </r>
  <r>
    <s v="STU0875"/>
    <s v="Myra Chadha"/>
    <x v="0"/>
    <n v="26"/>
    <x v="3"/>
    <n v="3.86"/>
    <n v="4.28"/>
    <n v="3.34"/>
    <n v="4.0199999999999996"/>
    <n v="3.8"/>
    <n v="3.69"/>
    <n v="3.73"/>
    <n v="4.16"/>
    <n v="3.51"/>
    <n v="3.8"/>
    <x v="223"/>
    <n v="3.86"/>
    <n v="3.778"/>
    <n v="75"/>
    <n v="70.468015980000004"/>
    <n v="70.888302809999999"/>
    <n v="58.69219708"/>
    <n v="99.9"/>
    <n v="85"/>
    <n v="74.481357489999994"/>
    <n v="50"/>
    <n v="4.5319840199999959"/>
    <n v="12.196105729999999"/>
    <n v="14.900000000000006"/>
    <n v="24.481357489999994"/>
    <x v="1"/>
    <x v="2"/>
    <x v="4"/>
    <n v="3"/>
    <s v="Prof. Rajesh Mukherjee"/>
  </r>
  <r>
    <s v="STU0876"/>
    <s v="Kunal Lall"/>
    <x v="1"/>
    <n v="22"/>
    <x v="0"/>
    <n v="4.07"/>
    <n v="4.75"/>
    <n v="3.83"/>
    <n v="3.63"/>
    <n v="3.6"/>
    <n v="3.7"/>
    <n v="3.96"/>
    <n v="4.18"/>
    <n v="3.73"/>
    <n v="4.26"/>
    <x v="4"/>
    <n v="3.98"/>
    <n v="3.9659999999999997"/>
    <n v="75"/>
    <n v="80"/>
    <n v="82.017590979999994"/>
    <n v="63.695612490000002"/>
    <n v="83.273665190000003"/>
    <n v="69.599093339999996"/>
    <n v="71.140944219999994"/>
    <n v="61.498351790000001"/>
    <n v="-5"/>
    <n v="18.321978489999992"/>
    <n v="13.674571850000007"/>
    <n v="9.6425924299999934"/>
    <x v="0"/>
    <x v="2"/>
    <x v="3"/>
    <n v="3"/>
    <s v="Prof. Rajesh Mukherjee"/>
  </r>
  <r>
    <s v="STU0877"/>
    <s v="Alok Ahhmed"/>
    <x v="1"/>
    <n v="21"/>
    <x v="0"/>
    <n v="3.68"/>
    <n v="3.64"/>
    <n v="4.58"/>
    <s v="N/A"/>
    <n v="4.21"/>
    <n v="4.07"/>
    <n v="4.0199999999999996"/>
    <n v="4.46"/>
    <n v="4.53"/>
    <n v="3.83"/>
    <x v="456"/>
    <n v="4.03"/>
    <n v="4.1820000000000004"/>
    <n v="93.160163359999999"/>
    <n v="69.902074529999993"/>
    <n v="82.328015769999993"/>
    <n v="66.529527709999996"/>
    <n v="88.106535789999995"/>
    <n v="78.9822712"/>
    <n v="68.009977809999995"/>
    <n v="61.153475299999997"/>
    <n v="23.258088830000005"/>
    <n v="15.798488059999997"/>
    <n v="9.1242645899999957"/>
    <n v="6.8565025099999986"/>
    <x v="0"/>
    <x v="1"/>
    <x v="0"/>
    <n v="3"/>
    <s v="Dr. Rohan Dutta"/>
  </r>
  <r>
    <s v="STU0878"/>
    <s v="Kunal Malhotra"/>
    <x v="1"/>
    <n v="23"/>
    <x v="2"/>
    <n v="4.09"/>
    <n v="3.99"/>
    <n v="4.1100000000000003"/>
    <n v="4.16"/>
    <n v="3.66"/>
    <n v="4.01"/>
    <n v="3.79"/>
    <n v="4.2699999999999996"/>
    <n v="4.3899999999999997"/>
    <s v="4.4%"/>
    <x v="52"/>
    <n v="4"/>
    <n v="4.1150000000000002"/>
    <n v="77.246569309999998"/>
    <n v="74.442981750000001"/>
    <n v="90"/>
    <n v="60.956545030000001"/>
    <n v="93.943409619999997"/>
    <n v="76.372166669999999"/>
    <n v="78.432547249999999"/>
    <n v="54.491782049999998"/>
    <n v="2.8035875599999969"/>
    <n v="29.043454969999999"/>
    <n v="17.571242949999998"/>
    <n v="23.940765200000001"/>
    <x v="0"/>
    <x v="0"/>
    <x v="0"/>
    <n v="3"/>
    <s v="Prof. Rahul Singh"/>
  </r>
  <r>
    <s v="STU0879"/>
    <s v="Bhavana Meher"/>
    <x v="0"/>
    <n v="22"/>
    <x v="0"/>
    <n v="4.55"/>
    <n v="4.51"/>
    <n v="4.3899999999999997"/>
    <n v="3.79"/>
    <n v="3.29"/>
    <n v="3.36"/>
    <n v="4.55"/>
    <n v="4.2"/>
    <n v="3.84"/>
    <n v="4.33"/>
    <x v="200"/>
    <n v="4.1100000000000003"/>
    <n v="4.056"/>
    <n v="85.832990510000002"/>
    <n v="62.217948049999997"/>
    <n v="70"/>
    <n v="64.529462379999998"/>
    <n v="90.736480240000006"/>
    <n v="75.086651369999998"/>
    <n v="71.989915150000002"/>
    <n v="59.585286019999998"/>
    <n v="23.615042460000005"/>
    <n v="5.4705376200000018"/>
    <n v="15.649828870000007"/>
    <n v="12.404629130000004"/>
    <x v="0"/>
    <x v="4"/>
    <x v="1"/>
    <n v="3"/>
    <s v="Prof. Vikram Gupta"/>
  </r>
  <r>
    <s v="STU0880"/>
    <s v="Ayaan Puri"/>
    <x v="1"/>
    <n v="23"/>
    <x v="2"/>
    <n v="4.03"/>
    <n v="3.71"/>
    <s v="N/A"/>
    <n v="3.55"/>
    <n v="4"/>
    <n v="3.54"/>
    <n v="3.55"/>
    <n v="3.73"/>
    <n v="3.87"/>
    <n v="4.04"/>
    <x v="457"/>
    <n v="3.82"/>
    <n v="3.746"/>
    <n v="85.099013319999997"/>
    <n v="62.587421020000001"/>
    <n v="84.721808060000001"/>
    <n v="58.111916530000002"/>
    <n v="89.632251249999996"/>
    <n v="83.940695959999999"/>
    <n v="70.628618970000005"/>
    <n v="54.931136180000003"/>
    <n v="22.511592299999997"/>
    <n v="26.609891529999999"/>
    <n v="5.6915552899999966"/>
    <n v="15.697482790000002"/>
    <x v="1"/>
    <x v="4"/>
    <x v="3"/>
    <n v="3"/>
    <s v="Prof. Vikram Gupta"/>
  </r>
  <r>
    <s v="STU0881"/>
    <s v="Priya Kher"/>
    <x v="1"/>
    <n v="30"/>
    <x v="1"/>
    <n v="3.89"/>
    <n v="3.74"/>
    <n v="3.96"/>
    <n v="4.2300000000000004"/>
    <n v="4.01"/>
    <n v="3.79"/>
    <n v="4.08"/>
    <n v="3.82"/>
    <n v="3.95"/>
    <n v="4.05"/>
    <x v="183"/>
    <n v="3.97"/>
    <n v="3.9380000000000002"/>
    <n v="89.465699450000002"/>
    <n v="61.140648810000002"/>
    <n v="70"/>
    <n v="69.592849099999995"/>
    <n v="91.146369849999999"/>
    <n v="84.350634339999999"/>
    <n v="70.947762690000005"/>
    <n v="59.945196780000003"/>
    <n v="28.325050640000001"/>
    <n v="0.40715090000000487"/>
    <n v="6.7957355100000001"/>
    <n v="11.002565910000001"/>
    <x v="0"/>
    <x v="0"/>
    <x v="1"/>
    <n v="3"/>
    <s v="Prof. Rahul Singh"/>
  </r>
  <r>
    <s v="STU0882"/>
    <s v="Sunita Israni"/>
    <x v="0"/>
    <n v="25"/>
    <x v="2"/>
    <n v="3.51"/>
    <n v="3.75"/>
    <n v="3.8"/>
    <n v="4.18"/>
    <n v="3.97"/>
    <n v="4.2300000000000004"/>
    <n v="4.41"/>
    <n v="4.51"/>
    <n v="3.96"/>
    <n v="3.09"/>
    <x v="458"/>
    <n v="3.84"/>
    <n v="4.04"/>
    <n v="85.387372119999995"/>
    <n v="61.415046340000004"/>
    <n v="74.686193000000003"/>
    <n v="61.427349100000001"/>
    <n v="92.032091829999999"/>
    <n v="70.612082319999999"/>
    <n v="67.150674179999996"/>
    <n v="60.284952439999998"/>
    <n v="23.972325779999991"/>
    <n v="13.258843900000002"/>
    <n v="21.42000951"/>
    <n v="6.8657217399999979"/>
    <x v="1"/>
    <x v="0"/>
    <x v="4"/>
    <n v="3"/>
    <s v="Prof. Rahul Singh"/>
  </r>
  <r>
    <s v="STU0883"/>
    <s v="Neetu Kohir"/>
    <x v="1"/>
    <n v="23"/>
    <x v="2"/>
    <n v="3.63"/>
    <n v="4"/>
    <n v="3.94"/>
    <n v="3.95"/>
    <n v="4.0199999999999996"/>
    <n v="4.21"/>
    <n v="4"/>
    <n v="4.3899999999999997"/>
    <n v="4.25"/>
    <n v="3.88"/>
    <x v="459"/>
    <n v="3.91"/>
    <n v="4.1459999999999999"/>
    <n v="80.898692150000002"/>
    <n v="60"/>
    <n v="75.471722240000005"/>
    <n v="59.586212150000001"/>
    <n v="98.754984379999996"/>
    <n v="80.518102889999994"/>
    <n v="69.721933269999994"/>
    <n v="52.213753599999997"/>
    <n v="20.898692150000002"/>
    <n v="15.885510090000004"/>
    <n v="18.236881490000002"/>
    <n v="17.508179669999997"/>
    <x v="0"/>
    <x v="3"/>
    <x v="4"/>
    <n v="3"/>
    <s v="Prof. Kavita Rao"/>
  </r>
  <r>
    <s v="STU0884"/>
    <s v="Vishal Saxena"/>
    <x v="1"/>
    <n v="30"/>
    <x v="1"/>
    <n v="4.47"/>
    <s v="N/A"/>
    <n v="4.1900000000000004"/>
    <n v="4.22"/>
    <n v="4.33"/>
    <n v="3.59"/>
    <n v="4.7300000000000004"/>
    <n v="4.17"/>
    <n v="4.4400000000000004"/>
    <n v="3.95"/>
    <x v="460"/>
    <n v="4.3"/>
    <n v="4.1760000000000002"/>
    <n v="93.983027480000004"/>
    <n v="71.986834709999997"/>
    <n v="82.558084609999995"/>
    <n v="70.091685060000003"/>
    <n v="82.325113169999995"/>
    <n v="73.711213319999999"/>
    <n v="70.066132609999997"/>
    <n v="65.17671181"/>
    <n v="21.996192770000007"/>
    <n v="12.466399549999991"/>
    <n v="8.6138998499999957"/>
    <n v="4.8894207999999963"/>
    <x v="2"/>
    <x v="4"/>
    <x v="1"/>
    <n v="3"/>
    <s v="Prof. Vikram Gupta"/>
  </r>
  <r>
    <s v="STU0885"/>
    <s v="Rajeev Patel"/>
    <x v="1"/>
    <n v="21"/>
    <x v="0"/>
    <n v="3.46"/>
    <n v="4.09"/>
    <n v="3.87"/>
    <n v="4.24"/>
    <n v="4.37"/>
    <n v="3.94"/>
    <n v="3.89"/>
    <n v="4.1100000000000003"/>
    <s v="N/A"/>
    <n v="4.25"/>
    <x v="90"/>
    <n v="4.01"/>
    <n v="4.0475000000000003"/>
    <n v="89.517371929999996"/>
    <n v="70.323541890000001"/>
    <n v="70"/>
    <n v="56.862496120000003"/>
    <n v="97.963341639999996"/>
    <n v="75.406991199999993"/>
    <n v="75.820216470000005"/>
    <n v="65.896499419999998"/>
    <n v="19.193830039999995"/>
    <n v="13.137503879999997"/>
    <n v="22.556350440000003"/>
    <n v="9.9237170500000076"/>
    <x v="0"/>
    <x v="3"/>
    <x v="3"/>
    <n v="3"/>
    <s v="Prof. Kavita Rao"/>
  </r>
  <r>
    <s v="STU0886"/>
    <s v="Vvikas Nayar"/>
    <x v="1"/>
    <n v="25"/>
    <x v="2"/>
    <n v="4.34"/>
    <n v="3.81"/>
    <n v="4.2"/>
    <n v="4.1399999999999997"/>
    <n v="3.97"/>
    <n v="4.5199999999999996"/>
    <n v="4.62"/>
    <n v="3.94"/>
    <n v="4.04"/>
    <n v="3.82"/>
    <x v="57"/>
    <n v="4.09"/>
    <n v="4.1880000000000006"/>
    <n v="90.631473940000006"/>
    <n v="60"/>
    <n v="72.309296239999995"/>
    <n v="63.794303069999998"/>
    <n v="85.277145270000005"/>
    <n v="81.012926460000003"/>
    <n v="75.455448439999998"/>
    <n v="61.594259889999996"/>
    <n v="30.631473940000006"/>
    <n v="8.5149931699999968"/>
    <n v="4.2642188100000027"/>
    <n v="13.861188550000001"/>
    <x v="0"/>
    <x v="4"/>
    <x v="1"/>
    <n v="3"/>
    <s v="Prof. Vikram Gupta"/>
  </r>
  <r>
    <s v="STU0887"/>
    <s v="Anjali Ahuja"/>
    <x v="0"/>
    <n v="23"/>
    <x v="2"/>
    <n v="4.21"/>
    <n v="4.29"/>
    <n v="3.55"/>
    <n v="4.2"/>
    <n v="3.99"/>
    <n v="3.94"/>
    <n v="3.79"/>
    <n v="3.43"/>
    <n v="4.1900000000000004"/>
    <n v="4.09"/>
    <x v="11"/>
    <n v="4.05"/>
    <n v="3.8880000000000003"/>
    <n v="89.099397280000005"/>
    <n v="63.153234320000003"/>
    <n v="78.240367629999994"/>
    <n v="64.087352969999998"/>
    <n v="80.936422440000001"/>
    <n v="76.847716349999999"/>
    <n v="68.103256900000005"/>
    <n v="50"/>
    <n v="25.946162960000002"/>
    <n v="14.153014659999997"/>
    <n v="4.0887060900000023"/>
    <n v="18.103256900000005"/>
    <x v="0"/>
    <x v="2"/>
    <x v="0"/>
    <n v="3"/>
    <s v="Prof. Rajesh Mukherjee"/>
  </r>
  <r>
    <s v="STU0888"/>
    <s v="Kavita Bajaj"/>
    <x v="0"/>
    <n v="25"/>
    <x v="2"/>
    <n v="4.2"/>
    <n v="4.43"/>
    <n v="4.28"/>
    <n v="3.67"/>
    <n v="4.4800000000000004"/>
    <n v="3.91"/>
    <n v="4.0599999999999996"/>
    <n v="4.4800000000000004"/>
    <n v="4.21"/>
    <n v="3.89"/>
    <x v="461"/>
    <n v="4.21"/>
    <n v="4.1100000000000003"/>
    <n v="88.930607469999998"/>
    <n v="64.495749169999996"/>
    <n v="80.835635179999997"/>
    <n v="59.778518650000002"/>
    <n v="87.183462160000005"/>
    <n v="75.313115640000007"/>
    <n v="66.300267489999996"/>
    <n v="55.071453730000002"/>
    <n v="24.434858300000002"/>
    <n v="21.057116529999995"/>
    <n v="11.870346519999998"/>
    <n v="11.228813759999994"/>
    <x v="2"/>
    <x v="3"/>
    <x v="4"/>
    <n v="3"/>
    <s v="Prof. Kavita Rao"/>
  </r>
  <r>
    <s v="STU0889"/>
    <s v="Uday Khosla"/>
    <x v="1"/>
    <n v="20"/>
    <x v="0"/>
    <n v="3.69"/>
    <n v="4.12"/>
    <n v="4.1900000000000004"/>
    <n v="4.4000000000000004"/>
    <n v="4.3600000000000003"/>
    <n v="4.38"/>
    <n v="4.38"/>
    <n v="4.25"/>
    <n v="4.01"/>
    <n v="3.83"/>
    <x v="289"/>
    <n v="4.1500000000000004"/>
    <n v="4.17"/>
    <n v="87.156869040000004"/>
    <n v="71.236001119999997"/>
    <n v="81.112216930000002"/>
    <n v="68.982076550000002"/>
    <n v="91.948412820000001"/>
    <n v="77.39006741"/>
    <n v="74.237792170000006"/>
    <n v="50"/>
    <n v="15.920867920000006"/>
    <n v="12.13014038"/>
    <n v="14.558345410000001"/>
    <n v="24.237792170000006"/>
    <x v="0"/>
    <x v="0"/>
    <x v="2"/>
    <n v="3"/>
    <s v="Prof. Rahul Singh"/>
  </r>
  <r>
    <s v="STU0890"/>
    <s v="Saanvi Narayan"/>
    <x v="0"/>
    <n v="27"/>
    <x v="3"/>
    <n v="3.61"/>
    <n v="4.08"/>
    <n v="4.03"/>
    <n v="3.96"/>
    <n v="3.88"/>
    <n v="3.64"/>
    <n v="3.89"/>
    <n v="3.88"/>
    <n v="3.82"/>
    <n v="4.37"/>
    <x v="248"/>
    <n v="3.91"/>
    <n v="3.9200000000000004"/>
    <n v="79.879285370000005"/>
    <n v="67.677019470000005"/>
    <n v="70"/>
    <n v="68.993715879999996"/>
    <n v="80"/>
    <n v="81.448976270000003"/>
    <n v="71.066523079999996"/>
    <n v="56.640593299999999"/>
    <n v="12.2022659"/>
    <n v="1.0062841200000037"/>
    <n v="-1.4489762700000028"/>
    <n v="14.425929779999997"/>
    <x v="0"/>
    <x v="2"/>
    <x v="3"/>
    <n v="3"/>
    <s v="Prof. Rajesh Mukherjee"/>
  </r>
  <r>
    <s v="STU0891"/>
    <s v="Ramesh Talwar"/>
    <x v="1"/>
    <n v="27"/>
    <x v="3"/>
    <n v="4.4000000000000004"/>
    <n v="3.5"/>
    <n v="3.87"/>
    <n v="3.73"/>
    <n v="3.75"/>
    <n v="3.74"/>
    <n v="3.79"/>
    <n v="3.98"/>
    <n v="4.21"/>
    <n v="4.8600000000000003"/>
    <x v="462"/>
    <n v="3.85"/>
    <n v="4.1159999999999997"/>
    <n v="83.427053639999997"/>
    <n v="70.074176019999996"/>
    <n v="72.335003619999995"/>
    <n v="59.914326840000001"/>
    <n v="83.907299330000001"/>
    <n v="77.272071080000003"/>
    <n v="73.416365529999993"/>
    <n v="63.1582504"/>
    <n v="13.352877620000001"/>
    <n v="12.420676779999994"/>
    <n v="6.6352282499999973"/>
    <n v="10.258115129999993"/>
    <x v="1"/>
    <x v="4"/>
    <x v="3"/>
    <n v="3"/>
    <s v="Prof. Vikram Gupta"/>
  </r>
  <r>
    <s v="STU0892"/>
    <s v="Hemant Hegde"/>
    <x v="1"/>
    <n v="28"/>
    <x v="3"/>
    <n v="4.33"/>
    <n v="4"/>
    <n v="3.97"/>
    <n v="3.91"/>
    <n v="3.78"/>
    <n v="4.1100000000000003"/>
    <n v="4.42"/>
    <n v="4.37"/>
    <n v="3.9"/>
    <n v="3.52"/>
    <x v="101"/>
    <n v="4"/>
    <n v="4.0640000000000001"/>
    <n v="80.605850469999993"/>
    <n v="72.053862370000004"/>
    <n v="77.029795329999999"/>
    <n v="60.642349930000002"/>
    <n v="85.032037169999995"/>
    <n v="74.957297780000005"/>
    <n v="79.544982959999999"/>
    <n v="64.188374080000003"/>
    <n v="8.5519880999999884"/>
    <n v="16.387445399999997"/>
    <n v="10.074739389999991"/>
    <n v="15.356608879999996"/>
    <x v="0"/>
    <x v="4"/>
    <x v="1"/>
    <n v="3"/>
    <s v="Prof. Vikram Gupta"/>
  </r>
  <r>
    <s v="STU0893"/>
    <s v="Rakesh Zaveri"/>
    <x v="1"/>
    <n v="23"/>
    <x v="2"/>
    <n v="3.66"/>
    <n v="3.76"/>
    <n v="4.3"/>
    <n v="4.0999999999999996"/>
    <n v="4.1900000000000004"/>
    <n v="4.66"/>
    <n v="3.7"/>
    <n v="4.2699999999999996"/>
    <n v="3.84"/>
    <n v="4.4800000000000004"/>
    <x v="169"/>
    <n v="4"/>
    <n v="4.1899999999999995"/>
    <n v="80.820179629999998"/>
    <n v="69.076930469999994"/>
    <n v="73.32745113"/>
    <n v="68.095089450000003"/>
    <n v="99.9"/>
    <n v="81.647293410000003"/>
    <n v="69.777945630000005"/>
    <n v="56.48892317"/>
    <n v="11.743249160000005"/>
    <n v="5.2323616799999968"/>
    <n v="18.252706590000003"/>
    <n v="13.289022460000005"/>
    <x v="0"/>
    <x v="1"/>
    <x v="2"/>
    <n v="3"/>
    <s v="Dr. Rohan Dutta"/>
  </r>
  <r>
    <s v="STU0894"/>
    <s v="Krishna Bakshi"/>
    <x v="1"/>
    <n v="29"/>
    <x v="1"/>
    <n v="4.17"/>
    <n v="3.74"/>
    <n v="4.04"/>
    <n v="4.16"/>
    <n v="3.83"/>
    <n v="4.07"/>
    <n v="3.99"/>
    <s v="N/A"/>
    <n v="3.84"/>
    <n v="4.12"/>
    <x v="281"/>
    <n v="3.99"/>
    <n v="4.0049999999999999"/>
    <n v="90.336016700000002"/>
    <n v="62.613195490000003"/>
    <n v="73.363911509999994"/>
    <n v="68.475192149999998"/>
    <n v="87.645869390000001"/>
    <n v="71.716017100000002"/>
    <n v="65"/>
    <n v="50"/>
    <n v="27.722821209999999"/>
    <n v="4.8887193599999961"/>
    <n v="15.929852289999999"/>
    <n v="15"/>
    <x v="0"/>
    <x v="4"/>
    <x v="3"/>
    <n v="3"/>
    <s v="Prof. Vikram Gupta"/>
  </r>
  <r>
    <s v="STU0895"/>
    <s v="Jyoti Lall"/>
    <x v="0"/>
    <n v="30"/>
    <x v="1"/>
    <n v="4.17"/>
    <n v="4.4800000000000004"/>
    <n v="4.47"/>
    <n v="3.91"/>
    <n v="3.84"/>
    <n v="4.43"/>
    <n v="4.5599999999999996"/>
    <n v="4.1100000000000003"/>
    <n v="4.0999999999999996"/>
    <n v="3.92"/>
    <x v="159"/>
    <n v="4.17"/>
    <n v="4.2239999999999993"/>
    <n v="75"/>
    <n v="68.431160590000005"/>
    <n v="78.97503055"/>
    <n v="68.28209631"/>
    <n v="89.691475999999994"/>
    <n v="74.524271299999995"/>
    <n v="75.246348710000007"/>
    <n v="64.331858330000003"/>
    <n v="6.5688394099999954"/>
    <n v="10.69293424"/>
    <n v="15.167204699999999"/>
    <n v="10.914490380000004"/>
    <x v="0"/>
    <x v="2"/>
    <x v="1"/>
    <n v="3"/>
    <s v="Prof. Rajesh Mukherjee"/>
  </r>
  <r>
    <s v="STU0896"/>
    <s v="Kavya Singhania"/>
    <x v="0"/>
    <n v="20"/>
    <x v="0"/>
    <n v="4.09"/>
    <n v="3.65"/>
    <n v="3.83"/>
    <n v="3.73"/>
    <n v="3.91"/>
    <n v="4.21"/>
    <n v="4.2699999999999996"/>
    <n v="4.38"/>
    <n v="4.2"/>
    <n v="3.87"/>
    <x v="463"/>
    <n v="3.84"/>
    <n v="4.1859999999999999"/>
    <n v="90.731896210000002"/>
    <n v="60.699942829999998"/>
    <n v="72.946957170000005"/>
    <n v="69.190619850000004"/>
    <n v="95.224237489999993"/>
    <n v="69.633183819999999"/>
    <n v="72.575233699999998"/>
    <n v="55.677627350000002"/>
    <n v="30.031953380000004"/>
    <n v="3.7563373200000001"/>
    <n v="25.591053669999994"/>
    <n v="16.897606349999997"/>
    <x v="1"/>
    <x v="4"/>
    <x v="4"/>
    <n v="3"/>
    <s v="Prof. Vikram Gupta"/>
  </r>
  <r>
    <s v="STU0897"/>
    <s v="Nikhil Duggal"/>
    <x v="1"/>
    <n v="24"/>
    <x v="2"/>
    <n v="3.94"/>
    <n v="4.24"/>
    <n v="3.97"/>
    <n v="3.3"/>
    <n v="4.1100000000000003"/>
    <n v="4.0599999999999996"/>
    <n v="4.1900000000000004"/>
    <n v="4"/>
    <n v="3.75"/>
    <n v="4.2699999999999996"/>
    <x v="248"/>
    <n v="3.91"/>
    <n v="4.0540000000000003"/>
    <n v="80.91565301"/>
    <n v="61.86723817"/>
    <n v="70"/>
    <n v="62.95624961"/>
    <n v="99.9"/>
    <n v="81.275284869999993"/>
    <n v="70.797157889999994"/>
    <n v="61.423356239999997"/>
    <n v="19.04841484"/>
    <n v="7.0437503899999996"/>
    <n v="18.624715130000013"/>
    <n v="9.3738016499999972"/>
    <x v="0"/>
    <x v="2"/>
    <x v="3"/>
    <n v="3"/>
    <s v="Prof. Rajesh Mukherjee"/>
  </r>
  <r>
    <s v="STU0898"/>
    <s v="Shweta Ghosh"/>
    <x v="0"/>
    <n v="23"/>
    <x v="2"/>
    <n v="3.98"/>
    <n v="4.2699999999999996"/>
    <n v="4.08"/>
    <n v="3.81"/>
    <s v="N/A"/>
    <n v="4.21"/>
    <n v="4.1500000000000004"/>
    <n v="3.59"/>
    <n v="4.41"/>
    <n v="4.4400000000000004"/>
    <x v="388"/>
    <n v="4.04"/>
    <n v="4.16"/>
    <n v="83.473622109999994"/>
    <n v="65.869734629999996"/>
    <n v="72.591393080000003"/>
    <n v="59.115593369999999"/>
    <n v="85.759203409999998"/>
    <n v="83.409587419999994"/>
    <n v="69.820384110000006"/>
    <n v="60.979316240000003"/>
    <n v="17.603887479999997"/>
    <n v="13.475799710000004"/>
    <n v="2.3496159900000038"/>
    <n v="8.8410678700000034"/>
    <x v="0"/>
    <x v="2"/>
    <x v="3"/>
    <n v="3"/>
    <s v="Prof. Rajesh Mukherjee"/>
  </r>
  <r>
    <s v="STU0899"/>
    <s v="Pranav Bhatt"/>
    <x v="1"/>
    <n v="28"/>
    <x v="3"/>
    <n v="4.3899999999999997"/>
    <n v="4.2300000000000004"/>
    <n v="3.9"/>
    <n v="3.55"/>
    <n v="4.57"/>
    <n v="4.12"/>
    <n v="3.36"/>
    <n v="3.86"/>
    <n v="4.4000000000000004"/>
    <n v="4.29"/>
    <x v="464"/>
    <n v="4.13"/>
    <n v="4.0060000000000002"/>
    <n v="84.737475970000006"/>
    <n v="68.201220989999996"/>
    <n v="79.675641060000004"/>
    <n v="64.73112716"/>
    <n v="93.400694360000003"/>
    <n v="84.928452140000005"/>
    <n v="69.475129089999996"/>
    <n v="50"/>
    <n v="16.53625498000001"/>
    <n v="14.944513900000004"/>
    <n v="8.4722422199999983"/>
    <n v="19.475129089999996"/>
    <x v="0"/>
    <x v="3"/>
    <x v="0"/>
    <n v="3"/>
    <s v="Prof. Kavita Rao"/>
  </r>
  <r>
    <s v="STU0900"/>
    <s v="Ishaan Tyagi"/>
    <x v="1"/>
    <n v="26"/>
    <x v="3"/>
    <n v="4.3600000000000003"/>
    <n v="3.5"/>
    <n v="4.12"/>
    <n v="3.72"/>
    <n v="4.04"/>
    <n v="3.78"/>
    <n v="3.91"/>
    <n v="4.09"/>
    <n v="4.46"/>
    <n v="3.97"/>
    <x v="306"/>
    <n v="3.95"/>
    <n v="4.0419999999999998"/>
    <n v="86.318200899999994"/>
    <n v="70.234120970000006"/>
    <n v="82.760014960000007"/>
    <n v="62.427102499999997"/>
    <n v="94.413411210000007"/>
    <n v="73.770471610000001"/>
    <n v="71.314558469999994"/>
    <n v="64.717643679999995"/>
    <n v="16.084079929999987"/>
    <n v="20.33291246000001"/>
    <n v="20.642939600000005"/>
    <n v="6.5969147899999996"/>
    <x v="0"/>
    <x v="4"/>
    <x v="0"/>
    <n v="3"/>
    <s v="Prof. Vikram Gupta"/>
  </r>
  <r>
    <s v="STU0901"/>
    <s v="Aditya Basu"/>
    <x v="1"/>
    <n v="23"/>
    <x v="2"/>
    <n v="3.84"/>
    <n v="4.1500000000000004"/>
    <n v="3.83"/>
    <n v="4.1900000000000004"/>
    <n v="3.94"/>
    <n v="4.54"/>
    <n v="3.74"/>
    <n v="4.04"/>
    <n v="4.57"/>
    <n v="4.03"/>
    <x v="192"/>
    <n v="3.99"/>
    <n v="4.1840000000000002"/>
    <n v="82.146803809999994"/>
    <n v="69.719089460000006"/>
    <n v="87.636956339999998"/>
    <n v="69.424847909999997"/>
    <n v="96.553655879999994"/>
    <n v="79.880499950000001"/>
    <n v="65"/>
    <n v="52.169552150000001"/>
    <n v="12.427714349999988"/>
    <n v="18.212108430000001"/>
    <n v="16.673155929999993"/>
    <n v="12.830447849999999"/>
    <x v="0"/>
    <x v="0"/>
    <x v="0"/>
    <n v="3"/>
    <s v="Prof. Rahul Singh"/>
  </r>
  <r>
    <s v="STU0902"/>
    <s v="Bhaskar Nathani"/>
    <x v="1"/>
    <n v="27"/>
    <x v="3"/>
    <n v="3.97"/>
    <n v="3.71"/>
    <n v="3.99"/>
    <n v="4.0199999999999996"/>
    <n v="4.0999999999999996"/>
    <n v="3.7"/>
    <n v="3.9"/>
    <n v="4.07"/>
    <n v="3.98"/>
    <n v="4.22"/>
    <x v="329"/>
    <n v="3.96"/>
    <n v="3.9740000000000002"/>
    <n v="82.163657009999994"/>
    <n v="62.971437459999997"/>
    <n v="76.274369219999997"/>
    <n v="59.635075360000002"/>
    <n v="94.166130710000004"/>
    <n v="77.777530420000005"/>
    <n v="73.913196139999997"/>
    <n v="70"/>
    <n v="19.192219549999997"/>
    <n v="16.639293859999995"/>
    <n v="16.388600289999999"/>
    <n v="3.9131961399999966"/>
    <x v="0"/>
    <x v="3"/>
    <x v="3"/>
    <n v="3"/>
    <s v="Prof. Kavita Rao"/>
  </r>
  <r>
    <s v="STU0903"/>
    <s v="Ramesh Deshmukh"/>
    <x v="1"/>
    <n v="20"/>
    <x v="0"/>
    <n v="4.25"/>
    <n v="4.79"/>
    <n v="3.94"/>
    <n v="3.98"/>
    <n v="3.55"/>
    <n v="4.4000000000000004"/>
    <n v="3.44"/>
    <n v="3.96"/>
    <n v="4.0599999999999996"/>
    <n v="3.94"/>
    <x v="217"/>
    <n v="4.0999999999999996"/>
    <n v="3.96"/>
    <n v="87.976782700000001"/>
    <n v="66.58645396"/>
    <n v="72.247642709999994"/>
    <n v="59.285778690000001"/>
    <n v="97.249200389999999"/>
    <n v="79.979103989999999"/>
    <n v="73.195653230000005"/>
    <n v="69.541606770000001"/>
    <n v="21.390328740000001"/>
    <n v="12.961864019999993"/>
    <n v="17.2700964"/>
    <n v="3.6540464600000035"/>
    <x v="0"/>
    <x v="2"/>
    <x v="2"/>
    <n v="3"/>
    <s v="Prof. Rajesh Mukherjee"/>
  </r>
  <r>
    <s v="STU0904"/>
    <s v="Mahesh Tandon"/>
    <x v="1"/>
    <n v="28"/>
    <x v="3"/>
    <n v="3.6"/>
    <n v="4.33"/>
    <n v="4.09"/>
    <n v="3.97"/>
    <n v="3.89"/>
    <n v="3.65"/>
    <n v="4.22"/>
    <n v="3.87"/>
    <n v="4.1500000000000004"/>
    <n v="4.45"/>
    <x v="61"/>
    <n v="3.98"/>
    <n v="4.0679999999999996"/>
    <n v="75"/>
    <n v="73.611644560000002"/>
    <n v="72.562843020000003"/>
    <n v="73.91967683"/>
    <n v="87.331988390000006"/>
    <n v="76.739007630000003"/>
    <n v="76.045216159999995"/>
    <n v="52.646550320000003"/>
    <n v="1.388355439999998"/>
    <n v="-1.3568338099999977"/>
    <n v="10.592980760000003"/>
    <n v="23.398665839999992"/>
    <x v="0"/>
    <x v="2"/>
    <x v="3"/>
    <n v="3"/>
    <s v="Prof. Rajesh Mukherjee"/>
  </r>
  <r>
    <s v="STU0905"/>
    <s v="Girish Nathani"/>
    <x v="1"/>
    <n v="27"/>
    <x v="3"/>
    <n v="3.24"/>
    <n v="4.05"/>
    <s v="N/A"/>
    <n v="4.4000000000000004"/>
    <n v="3.65"/>
    <n v="4.09"/>
    <n v="4.0199999999999996"/>
    <n v="3.53"/>
    <s v="N/A"/>
    <n v="3.89"/>
    <x v="465"/>
    <n v="3.84"/>
    <n v="3.8824999999999998"/>
    <n v="77.396439229999999"/>
    <n v="72.621126849999996"/>
    <n v="75.987856219999998"/>
    <n v="63.216914119999998"/>
    <n v="80.480127300000007"/>
    <n v="82.089266170000002"/>
    <n v="68.32328081"/>
    <n v="59.208257750000001"/>
    <n v="4.7753123800000026"/>
    <n v="12.770942099999999"/>
    <n v="-1.6091388699999953"/>
    <n v="9.1150230599999986"/>
    <x v="1"/>
    <x v="0"/>
    <x v="2"/>
    <n v="3"/>
    <s v="Prof. Rahul Singh"/>
  </r>
  <r>
    <s v="STU0906"/>
    <s v="Anjali Barua"/>
    <x v="0"/>
    <n v="30"/>
    <x v="1"/>
    <n v="4.09"/>
    <n v="4.09"/>
    <n v="3.89"/>
    <n v="4.03"/>
    <n v="4.26"/>
    <n v="4.66"/>
    <n v="4.55"/>
    <n v="4.49"/>
    <n v="3.6"/>
    <n v="4.0599999999999996"/>
    <x v="75"/>
    <n v="4.07"/>
    <n v="4.2720000000000002"/>
    <n v="81.534422849999999"/>
    <n v="73.20039362"/>
    <n v="81.802537549999997"/>
    <n v="74.026401879999995"/>
    <n v="92.170217730000005"/>
    <n v="74.999851919999998"/>
    <n v="70.37641988"/>
    <n v="54.35490411"/>
    <n v="8.3340292299999987"/>
    <n v="7.7761356700000022"/>
    <n v="17.170365810000007"/>
    <n v="16.021515770000001"/>
    <x v="0"/>
    <x v="3"/>
    <x v="2"/>
    <n v="3"/>
    <s v="Prof. Kavita Rao"/>
  </r>
  <r>
    <s v="STU0907"/>
    <s v="Vandana Yerramsetti"/>
    <x v="0"/>
    <n v="26"/>
    <x v="3"/>
    <n v="4.47"/>
    <n v="4.55"/>
    <n v="4.01"/>
    <n v="4.07"/>
    <n v="4.83"/>
    <n v="4.76"/>
    <n v="3.93"/>
    <n v="3.4"/>
    <n v="4.01"/>
    <n v="4.33"/>
    <x v="160"/>
    <n v="4.3899999999999997"/>
    <n v="4.0860000000000003"/>
    <n v="78.4178158"/>
    <n v="72.207802869999995"/>
    <n v="70.345990130000004"/>
    <n v="59.354483979999998"/>
    <n v="85.789292130000007"/>
    <n v="76.914960660000006"/>
    <n v="68.842677140000006"/>
    <n v="52.385654840000001"/>
    <n v="6.2100129300000049"/>
    <n v="10.991506150000006"/>
    <n v="8.8743314700000013"/>
    <n v="16.457022300000006"/>
    <x v="2"/>
    <x v="3"/>
    <x v="2"/>
    <n v="3"/>
    <s v="Prof. Kavita Rao"/>
  </r>
  <r>
    <s v="STU0908"/>
    <s v="Bhaskar Pillai"/>
    <x v="1"/>
    <n v="24"/>
    <x v="2"/>
    <n v="4.3"/>
    <n v="4.3499999999999996"/>
    <n v="4.17"/>
    <n v="4.47"/>
    <n v="3.96"/>
    <n v="3.67"/>
    <n v="4.05"/>
    <n v="4.41"/>
    <n v="4.72"/>
    <n v="3.76"/>
    <x v="406"/>
    <n v="4.25"/>
    <n v="4.1219999999999999"/>
    <n v="75.472269460000007"/>
    <n v="62.790155579999997"/>
    <n v="74.511054400000006"/>
    <n v="66.046731170000001"/>
    <n v="80"/>
    <n v="74.672341320000001"/>
    <n v="76.413854349999994"/>
    <n v="64.459408960000005"/>
    <n v="12.68211388000001"/>
    <n v="8.4643232300000051"/>
    <n v="5.327658679999999"/>
    <n v="11.954445389999989"/>
    <x v="2"/>
    <x v="0"/>
    <x v="0"/>
    <n v="3"/>
    <s v="Prof. Rahul Singh"/>
  </r>
  <r>
    <s v="STU0909"/>
    <s v="Akash Pillai"/>
    <x v="1"/>
    <n v="27"/>
    <x v="3"/>
    <n v="3.46"/>
    <n v="3.96"/>
    <n v="4.38"/>
    <n v="4.07"/>
    <n v="4.12"/>
    <s v="N/A"/>
    <n v="4.32"/>
    <n v="4.01"/>
    <n v="4.24"/>
    <n v="4.51"/>
    <x v="101"/>
    <n v="4"/>
    <n v="4.2699999999999996"/>
    <n v="86.787724819999994"/>
    <n v="70.162981529999996"/>
    <n v="70"/>
    <n v="65.370543789999999"/>
    <n v="90.704049999999995"/>
    <n v="80.208110540000007"/>
    <n v="71.060562790000006"/>
    <n v="60.948932710000001"/>
    <n v="16.624743289999998"/>
    <n v="4.6294562100000007"/>
    <n v="10.495939459999988"/>
    <n v="10.111630080000005"/>
    <x v="0"/>
    <x v="1"/>
    <x v="3"/>
    <n v="3"/>
    <s v="Dr. Rohan Dutta"/>
  </r>
  <r>
    <s v="STU0910"/>
    <s v="Usha Rastogi"/>
    <x v="0"/>
    <n v="21"/>
    <x v="0"/>
    <s v="3.99%"/>
    <n v="4.1500000000000004"/>
    <n v="3.87"/>
    <n v="4.09"/>
    <n v="3.81"/>
    <n v="4.38"/>
    <n v="4.12"/>
    <n v="4.5"/>
    <n v="4.28"/>
    <n v="3.94"/>
    <x v="466"/>
    <n v="3.98"/>
    <n v="4.2440000000000007"/>
    <n v="93.506017619999994"/>
    <n v="72.930405059999998"/>
    <n v="77.321334480000004"/>
    <n v="65.033720500000001"/>
    <n v="80"/>
    <n v="73.054754799999998"/>
    <n v="71.692688590000003"/>
    <n v="60.426654980000002"/>
    <n v="20.575612559999996"/>
    <n v="12.287613980000003"/>
    <n v="6.9452452000000022"/>
    <n v="11.266033610000001"/>
    <x v="0"/>
    <x v="2"/>
    <x v="4"/>
    <n v="3"/>
    <s v="Prof. Rajesh Mukherjee"/>
  </r>
  <r>
    <s v="STU0911"/>
    <s v="Saii Goswami"/>
    <x v="1"/>
    <n v="23"/>
    <x v="2"/>
    <n v="3.68"/>
    <n v="4.45"/>
    <n v="4.43"/>
    <n v="3.89"/>
    <n v="3.91"/>
    <n v="3.88"/>
    <n v="3.93"/>
    <n v="3.97"/>
    <n v="4.09"/>
    <n v="4.25"/>
    <x v="75"/>
    <n v="4.07"/>
    <n v="4.024"/>
    <n v="79.320295160000001"/>
    <n v="73.801799209999999"/>
    <n v="82.622570170000003"/>
    <n v="62.646467579999999"/>
    <n v="89.178933380000004"/>
    <n v="72.887658450000004"/>
    <n v="68.798481659999993"/>
    <n v="64.045309149999994"/>
    <n v="5.5184959500000019"/>
    <n v="19.976102590000004"/>
    <n v="16.29127493"/>
    <n v="4.7531725099999989"/>
    <x v="0"/>
    <x v="2"/>
    <x v="3"/>
    <n v="3"/>
    <s v="Prof. Rajesh Mukherjee"/>
  </r>
  <r>
    <s v="STU0912"/>
    <s v="Sandeep Shukla"/>
    <x v="1"/>
    <n v="27"/>
    <x v="3"/>
    <n v="4.32"/>
    <n v="4.33"/>
    <n v="3.86"/>
    <n v="3.8"/>
    <n v="3.49"/>
    <n v="3.76"/>
    <n v="3.39"/>
    <n v="3.54"/>
    <n v="4.01"/>
    <n v="3.61"/>
    <x v="364"/>
    <n v="3.96"/>
    <n v="3.6620000000000004"/>
    <n v="83.713864270000002"/>
    <n v="71.005561920000005"/>
    <n v="70"/>
    <n v="62.257661329999998"/>
    <n v="97.085866300000006"/>
    <n v="71.388142599999995"/>
    <n v="72.911725270000005"/>
    <n v="51.563039789999998"/>
    <n v="12.708302349999997"/>
    <n v="7.7423386700000023"/>
    <n v="25.697723700000012"/>
    <n v="21.348685480000007"/>
    <x v="0"/>
    <x v="2"/>
    <x v="0"/>
    <n v="3"/>
    <s v="Prof. Rajesh Mukherjee"/>
  </r>
  <r>
    <s v="STU0913"/>
    <s v="Vinay Vohra"/>
    <x v="1"/>
    <n v="28"/>
    <x v="3"/>
    <n v="4.33"/>
    <s v="N/A"/>
    <n v="4.1900000000000004"/>
    <n v="4.04"/>
    <n v="4.1100000000000003"/>
    <n v="3.88"/>
    <n v="4.38"/>
    <n v="4.6100000000000003"/>
    <n v="3.75"/>
    <n v="4.66"/>
    <x v="467"/>
    <n v="4.17"/>
    <n v="4.2560000000000002"/>
    <n v="87.167512200000004"/>
    <n v="68.001452490000005"/>
    <n v="80.285637109999996"/>
    <n v="67.108343640000001"/>
    <n v="84.663579159999998"/>
    <n v="77.977013690000007"/>
    <n v="71.305088089999998"/>
    <n v="54.20134891"/>
    <n v="19.166059709999999"/>
    <n v="13.177293469999995"/>
    <n v="6.6865654699999908"/>
    <n v="17.103739179999998"/>
    <x v="0"/>
    <x v="4"/>
    <x v="3"/>
    <n v="3"/>
    <s v="Prof. Vikram Gupta"/>
  </r>
  <r>
    <s v="STU0914"/>
    <s v="Swati Das"/>
    <x v="1"/>
    <n v="20"/>
    <x v="0"/>
    <n v="3.71"/>
    <s v="N/A"/>
    <n v="3.9"/>
    <n v="3.8"/>
    <n v="3.89"/>
    <n v="4.05"/>
    <n v="3.76"/>
    <n v="3.94"/>
    <n v="3.78"/>
    <n v="4.29"/>
    <x v="327"/>
    <n v="3.83"/>
    <n v="3.964"/>
    <n v="95.120560620000006"/>
    <n v="70.265577070000006"/>
    <n v="79.517477459999995"/>
    <n v="55.165649430000002"/>
    <n v="90.919350190000003"/>
    <n v="73.755899200000002"/>
    <n v="66.964067529999994"/>
    <n v="57.909845349999998"/>
    <n v="24.85498355"/>
    <n v="24.351828029999993"/>
    <n v="17.163450990000001"/>
    <n v="9.0542221799999965"/>
    <x v="1"/>
    <x v="1"/>
    <x v="3"/>
    <n v="3"/>
    <s v="Dr. Rohan Dutta"/>
  </r>
  <r>
    <s v="STU0915"/>
    <s v="Chaaru Hooda"/>
    <x v="1"/>
    <n v="24"/>
    <x v="2"/>
    <n v="4"/>
    <n v="4.17"/>
    <n v="3.87"/>
    <s v="N/A"/>
    <n v="4.28"/>
    <n v="4.4400000000000004"/>
    <n v="4.0199999999999996"/>
    <n v="4.2300000000000004"/>
    <n v="3.73"/>
    <n v="4.18"/>
    <x v="284"/>
    <n v="4.08"/>
    <n v="4.12"/>
    <n v="76.718901000000002"/>
    <n v="76.916946499999995"/>
    <n v="80.861873950000003"/>
    <n v="63.345932650000002"/>
    <n v="95.153899710000005"/>
    <n v="77.495432179999995"/>
    <n v="72.632575309999993"/>
    <n v="62.698797929999998"/>
    <n v="-0.1980454999999921"/>
    <n v="17.515941300000001"/>
    <n v="17.65846753000001"/>
    <n v="9.9337773799999951"/>
    <x v="0"/>
    <x v="3"/>
    <x v="2"/>
    <n v="3"/>
    <s v="Prof. Kavita Rao"/>
  </r>
  <r>
    <s v="STU0916"/>
    <s v="Tarunn Goel"/>
    <x v="1"/>
    <n v="20"/>
    <x v="0"/>
    <n v="3.73"/>
    <n v="3.93"/>
    <n v="4.01"/>
    <n v="4.1100000000000003"/>
    <n v="3.81"/>
    <n v="4.32"/>
    <n v="3.8"/>
    <n v="3.6"/>
    <n v="4.1399999999999997"/>
    <n v="4.45"/>
    <x v="70"/>
    <n v="3.92"/>
    <n v="4.0619999999999994"/>
    <n v="87.090823610000001"/>
    <n v="69.287381159999995"/>
    <n v="84.770576009999999"/>
    <n v="62.078378690000001"/>
    <n v="85.396369469999996"/>
    <n v="78.054960859999994"/>
    <n v="69.939466510000003"/>
    <n v="62.907468110000003"/>
    <n v="17.803442450000006"/>
    <n v="22.692197319999998"/>
    <n v="7.341408610000002"/>
    <n v="7.0319983999999991"/>
    <x v="0"/>
    <x v="0"/>
    <x v="3"/>
    <n v="3"/>
    <s v="Prof. Rahul Singh"/>
  </r>
  <r>
    <s v="STU0917"/>
    <s v="Sudha Singh"/>
    <x v="0"/>
    <n v="24"/>
    <x v="2"/>
    <n v="3.53"/>
    <n v="4.58"/>
    <n v="4.26"/>
    <n v="4.04"/>
    <n v="3.91"/>
    <n v="4.21"/>
    <n v="3.81"/>
    <n v="3.9"/>
    <n v="4.6500000000000004"/>
    <n v="3.67"/>
    <x v="43"/>
    <n v="4.0599999999999996"/>
    <n v="4.048"/>
    <n v="89.273216540000007"/>
    <n v="65.763481200000001"/>
    <n v="75.207659230000004"/>
    <n v="62.705729980000001"/>
    <n v="80"/>
    <n v="75.418605490000004"/>
    <n v="68.068089189999995"/>
    <n v="58.574841489999997"/>
    <n v="23.509735340000006"/>
    <n v="12.501929250000003"/>
    <n v="4.5813945099999955"/>
    <n v="9.4932476999999977"/>
    <x v="0"/>
    <x v="2"/>
    <x v="0"/>
    <n v="3"/>
    <s v="Prof. Rajesh Mukherjee"/>
  </r>
  <r>
    <s v="STU0918"/>
    <s v="Ravi Kumari"/>
    <x v="1"/>
    <n v="28"/>
    <x v="3"/>
    <n v="3.98"/>
    <n v="4"/>
    <n v="3.99"/>
    <n v="4.41"/>
    <n v="4.5199999999999996"/>
    <n v="4.18"/>
    <n v="4.04"/>
    <n v="4.5"/>
    <n v="4.6399999999999997"/>
    <n v="3.94"/>
    <x v="468"/>
    <n v="4.18"/>
    <n v="4.26"/>
    <n v="86.880723099999997"/>
    <n v="60"/>
    <n v="75.470225940000006"/>
    <n v="64.520562589999997"/>
    <n v="92.841978830000002"/>
    <n v="80.777894549999999"/>
    <n v="65.807904019999995"/>
    <n v="56.757794840000003"/>
    <n v="26.880723099999997"/>
    <n v="10.949663350000009"/>
    <n v="12.064084280000003"/>
    <n v="9.0501091799999926"/>
    <x v="0"/>
    <x v="3"/>
    <x v="0"/>
    <n v="3"/>
    <s v="Prof. Kavita Rao"/>
  </r>
  <r>
    <s v="STU0919"/>
    <s v="Naveen Qureshi"/>
    <x v="1"/>
    <n v="23"/>
    <x v="2"/>
    <n v="3.69"/>
    <n v="4.07"/>
    <s v="N/A"/>
    <n v="3.67"/>
    <n v="4.08"/>
    <n v="3.97"/>
    <n v="4.72"/>
    <n v="4.17"/>
    <n v="4.3499999999999996"/>
    <n v="4.4800000000000004"/>
    <x v="288"/>
    <n v="3.88"/>
    <n v="4.3380000000000001"/>
    <n v="88.609521979999997"/>
    <n v="67.425681350000005"/>
    <n v="74.250541400000003"/>
    <n v="64.378586889999994"/>
    <n v="97.189053779999995"/>
    <n v="81.462311479999997"/>
    <n v="74.024970300000007"/>
    <n v="59.301950269999999"/>
    <n v="21.183840629999992"/>
    <n v="9.871954510000009"/>
    <n v="15.726742299999998"/>
    <n v="14.723020030000008"/>
    <x v="1"/>
    <x v="3"/>
    <x v="1"/>
    <n v="3"/>
    <s v="Prof. Kavita Rao"/>
  </r>
  <r>
    <s v="STU0920"/>
    <s v="Tanvi Bhatt"/>
    <x v="0"/>
    <n v="29"/>
    <x v="1"/>
    <n v="3.51"/>
    <n v="4.3499999999999996"/>
    <n v="4.4800000000000004"/>
    <n v="4.21"/>
    <n v="4.18"/>
    <n v="4.1100000000000003"/>
    <n v="3.17"/>
    <s v="N/A"/>
    <n v="4.2"/>
    <n v="4.46"/>
    <x v="76"/>
    <n v="4.1500000000000004"/>
    <n v="3.9850000000000003"/>
    <n v="75"/>
    <n v="80"/>
    <n v="87.799509360000002"/>
    <n v="61.355908110000001"/>
    <n v="84.542539849999997"/>
    <n v="80.231938709999994"/>
    <n v="72.255130980000004"/>
    <n v="59.864592010000003"/>
    <n v="-5"/>
    <n v="26.44360125"/>
    <n v="4.3106011400000028"/>
    <n v="12.390538970000001"/>
    <x v="0"/>
    <x v="1"/>
    <x v="3"/>
    <n v="3"/>
    <s v="Dr. Rohan Dutta"/>
  </r>
  <r>
    <s v="STU0921"/>
    <s v="Vikram Bharadwwaj"/>
    <x v="1"/>
    <n v="25"/>
    <x v="2"/>
    <n v="4.37"/>
    <n v="3.52"/>
    <n v="3.85"/>
    <n v="4.51"/>
    <n v="4.4000000000000004"/>
    <n v="3.81"/>
    <n v="4.41"/>
    <n v="3.92"/>
    <n v="4.3499999999999996"/>
    <n v="3.93"/>
    <x v="273"/>
    <n v="4.13"/>
    <n v="4.0840000000000005"/>
    <n v="93.045351120000007"/>
    <n v="61.594701669999999"/>
    <n v="79.949114550000004"/>
    <n v="61.074976730000003"/>
    <n v="92.629999810000001"/>
    <n v="83.573205000000002"/>
    <n v="65"/>
    <n v="63.405169399999998"/>
    <n v="31.450649450000007"/>
    <n v="18.874137820000001"/>
    <n v="9.0567948099999995"/>
    <n v="1.5948306000000017"/>
    <x v="0"/>
    <x v="0"/>
    <x v="1"/>
    <n v="3"/>
    <s v="Prof. Rahul Singh"/>
  </r>
  <r>
    <s v="STU0922"/>
    <s v="Ishita Pandey"/>
    <x v="0"/>
    <n v="27"/>
    <x v="3"/>
    <n v="4.24"/>
    <n v="4.5599999999999996"/>
    <n v="4.2"/>
    <n v="4.25"/>
    <n v="4.0999999999999996"/>
    <n v="4.1399999999999997"/>
    <n v="3.67"/>
    <n v="3.74"/>
    <n v="3.67"/>
    <s v="N/A"/>
    <x v="78"/>
    <n v="4.2699999999999996"/>
    <n v="3.8050000000000002"/>
    <n v="87.225667040000005"/>
    <n v="71.570412520000005"/>
    <n v="82.209200640000006"/>
    <n v="64.771746390000004"/>
    <n v="99.9"/>
    <n v="79.788538540000005"/>
    <n v="74.175788319999995"/>
    <n v="56.642110330000001"/>
    <n v="15.65525452"/>
    <n v="17.437454250000002"/>
    <n v="20.111461460000001"/>
    <n v="17.533677989999994"/>
    <x v="2"/>
    <x v="2"/>
    <x v="2"/>
    <n v="3"/>
    <s v="Prof. Rajesh Mukherjee"/>
  </r>
  <r>
    <s v="STU0923"/>
    <s v="Amit Pathak"/>
    <x v="1"/>
    <n v="28"/>
    <x v="3"/>
    <n v="4.01"/>
    <n v="4.34"/>
    <n v="3.82"/>
    <n v="4.4000000000000004"/>
    <n v="3.91"/>
    <n v="3.66"/>
    <n v="3.9"/>
    <n v="4.09"/>
    <n v="4.49"/>
    <n v="4.33"/>
    <x v="232"/>
    <n v="4.0999999999999996"/>
    <n v="4.0939999999999994"/>
    <n v="88.666077049999998"/>
    <n v="78.033491659999996"/>
    <n v="82.866129020000002"/>
    <n v="55"/>
    <n v="92.752474890000002"/>
    <n v="74.326137410000001"/>
    <n v="73.221558290000004"/>
    <n v="54.018941730000002"/>
    <n v="10.632585390000003"/>
    <n v="27.866129020000002"/>
    <n v="18.426337480000001"/>
    <n v="19.202616560000003"/>
    <x v="0"/>
    <x v="0"/>
    <x v="0"/>
    <n v="3"/>
    <s v="Prof. Rahul Singh"/>
  </r>
  <r>
    <s v="STU0924"/>
    <s v="Nandini Bajaj"/>
    <x v="1"/>
    <n v="24"/>
    <x v="2"/>
    <n v="3.35"/>
    <n v="3.6"/>
    <n v="4.1100000000000003"/>
    <n v="3.49"/>
    <n v="4.1100000000000003"/>
    <n v="4.3499999999999996"/>
    <n v="4.5"/>
    <n v="4.3"/>
    <n v="4.0599999999999996"/>
    <n v="4.66"/>
    <x v="469"/>
    <n v="3.73"/>
    <n v="4.3739999999999997"/>
    <n v="81.703778479999997"/>
    <n v="68.499906490000001"/>
    <n v="70"/>
    <n v="68.164225990000006"/>
    <n v="85.518948030000004"/>
    <n v="75.693692290000001"/>
    <n v="73.093419400000002"/>
    <n v="70"/>
    <n v="13.203871989999996"/>
    <n v="1.8357740099999944"/>
    <n v="9.8252557400000029"/>
    <n v="3.0934194000000019"/>
    <x v="1"/>
    <x v="1"/>
    <x v="3"/>
    <n v="3"/>
    <s v="Dr. Rohan Dutta"/>
  </r>
  <r>
    <s v="STU0925"/>
    <s v="Sudha Khannna"/>
    <x v="0"/>
    <n v="25"/>
    <x v="2"/>
    <n v="3.93"/>
    <n v="4.34"/>
    <n v="3.99"/>
    <n v="4.3"/>
    <n v="3.75"/>
    <n v="3.92"/>
    <n v="4.18"/>
    <n v="3.83"/>
    <n v="4.33"/>
    <n v="4.9000000000000004"/>
    <x v="62"/>
    <n v="4.0599999999999996"/>
    <n v="4.2319999999999993"/>
    <n v="94.811974280000001"/>
    <n v="75.318439150000003"/>
    <n v="76.722137559999993"/>
    <n v="72.456046850000007"/>
    <n v="94.92394942"/>
    <n v="77.191695659999993"/>
    <n v="71.009473569999997"/>
    <n v="51.93846095"/>
    <n v="19.493535129999998"/>
    <n v="4.2660907099999861"/>
    <n v="17.732253760000006"/>
    <n v="19.071012619999998"/>
    <x v="0"/>
    <x v="2"/>
    <x v="3"/>
    <n v="3"/>
    <s v="Prof. Rajesh Mukherjee"/>
  </r>
  <r>
    <s v="STU0926"/>
    <s v="Vishal Marathe"/>
    <x v="1"/>
    <n v="28"/>
    <x v="3"/>
    <n v="4.0199999999999996"/>
    <n v="4.42"/>
    <n v="3.79"/>
    <n v="3.91"/>
    <n v="3.83"/>
    <n v="3.78"/>
    <n v="3.64"/>
    <n v="3.61"/>
    <n v="4.6399999999999997"/>
    <n v="4.1900000000000004"/>
    <x v="154"/>
    <n v="3.99"/>
    <n v="3.972"/>
    <n v="87.724115960000006"/>
    <n v="73.174533670000002"/>
    <n v="70"/>
    <n v="60.161132139999999"/>
    <n v="91.380652690000005"/>
    <n v="71.877900960000005"/>
    <n v="66.577975949999995"/>
    <n v="50"/>
    <n v="14.549582290000004"/>
    <n v="9.8388678600000006"/>
    <n v="19.50275173"/>
    <n v="16.577975949999995"/>
    <x v="0"/>
    <x v="2"/>
    <x v="0"/>
    <n v="3"/>
    <s v="Prof. Rajesh Mukherjee"/>
  </r>
  <r>
    <s v="STU0927"/>
    <s v="Sudeep Iyer"/>
    <x v="1"/>
    <n v="27"/>
    <x v="3"/>
    <n v="3.84"/>
    <n v="4"/>
    <n v="3.96"/>
    <n v="3.77"/>
    <n v="4.26"/>
    <n v="3.52"/>
    <n v="4.18"/>
    <n v="4.53"/>
    <n v="3.45"/>
    <n v="4.04"/>
    <x v="183"/>
    <n v="3.97"/>
    <n v="3.944"/>
    <n v="89.640202909999999"/>
    <n v="66.149256510000001"/>
    <n v="84.371968890000005"/>
    <n v="58.271736879999999"/>
    <n v="92.58948427"/>
    <n v="76.258702729999996"/>
    <n v="66.682032669999998"/>
    <n v="60.84119218"/>
    <n v="23.490946399999999"/>
    <n v="26.100232010000006"/>
    <n v="16.330781540000004"/>
    <n v="5.8408404899999979"/>
    <x v="0"/>
    <x v="3"/>
    <x v="4"/>
    <n v="3"/>
    <s v="Prof. Kavita Rao"/>
  </r>
  <r>
    <s v="STU0928"/>
    <s v="Dhruv Bansal"/>
    <x v="1"/>
    <n v="25"/>
    <x v="2"/>
    <n v="3.83"/>
    <n v="4.03"/>
    <s v="N/A"/>
    <n v="4.29"/>
    <n v="4.3899999999999997"/>
    <n v="3.87"/>
    <n v="3.8"/>
    <n v="3.78"/>
    <n v="3.77"/>
    <n v="4.1100000000000003"/>
    <x v="146"/>
    <n v="4.1399999999999997"/>
    <n v="3.8659999999999997"/>
    <n v="80.912515130000003"/>
    <n v="66.620713589999994"/>
    <n v="82.692721660000004"/>
    <n v="71.285069750000005"/>
    <n v="89.721420249999994"/>
    <n v="79.074695849999998"/>
    <n v="76.429380480000006"/>
    <n v="64.633750669999998"/>
    <n v="14.291801540000009"/>
    <n v="11.407651909999998"/>
    <n v="10.646724399999997"/>
    <n v="11.795629810000008"/>
    <x v="0"/>
    <x v="3"/>
    <x v="3"/>
    <n v="3"/>
    <s v="Prof. Kavita Rao"/>
  </r>
  <r>
    <s v="STU0929"/>
    <s v="Sandeep Barua"/>
    <x v="1"/>
    <n v="23"/>
    <x v="2"/>
    <n v="3.67"/>
    <n v="3.47"/>
    <n v="3.98"/>
    <n v="4.1900000000000004"/>
    <n v="3.62"/>
    <n v="4.58"/>
    <n v="4.25"/>
    <n v="4.3600000000000003"/>
    <n v="3.69"/>
    <n v="4.6399999999999997"/>
    <x v="470"/>
    <n v="3.79"/>
    <n v="4.3040000000000003"/>
    <n v="81.259779519999995"/>
    <n v="72.942130300000002"/>
    <n v="71.777391440000002"/>
    <n v="70.917641669999995"/>
    <n v="92.574799029999994"/>
    <n v="76.877761289999995"/>
    <n v="69.348124290000001"/>
    <n v="67.861289170000006"/>
    <n v="8.3176492199999927"/>
    <n v="0.85974977000000763"/>
    <n v="15.697037739999999"/>
    <n v="1.486835119999995"/>
    <x v="1"/>
    <x v="0"/>
    <x v="3"/>
    <n v="3"/>
    <s v="Prof. Rahul Singh"/>
  </r>
  <r>
    <s v="STU0930"/>
    <s v="Nandini Rawat"/>
    <x v="1"/>
    <n v="22"/>
    <x v="0"/>
    <n v="3.93"/>
    <n v="4.3899999999999997"/>
    <n v="4.08"/>
    <n v="4.1100000000000003"/>
    <n v="4.18"/>
    <n v="3.72"/>
    <n v="3.75"/>
    <n v="3.89"/>
    <n v="3.56"/>
    <n v="4.41"/>
    <x v="199"/>
    <n v="4.1399999999999997"/>
    <n v="3.8660000000000005"/>
    <n v="75.433651620000006"/>
    <n v="78.791788990000001"/>
    <n v="80.112984819999994"/>
    <n v="66.575039529999998"/>
    <n v="84.729024870000003"/>
    <n v="78.908021910000002"/>
    <n v="71.807331439999999"/>
    <n v="66.596020420000002"/>
    <n v="-3.3581373699999943"/>
    <n v="13.537945289999996"/>
    <n v="5.8210029600000013"/>
    <n v="5.2113110199999966"/>
    <x v="0"/>
    <x v="2"/>
    <x v="3"/>
    <n v="3"/>
    <s v="Prof. Rajesh Mukherjee"/>
  </r>
  <r>
    <s v="STU0931"/>
    <s v="Tarun Duggal"/>
    <x v="1"/>
    <n v="26"/>
    <x v="3"/>
    <n v="3.75"/>
    <n v="3.83"/>
    <s v="N/A"/>
    <n v="4.0999999999999996"/>
    <n v="4.26"/>
    <n v="3.95"/>
    <n v="4.72"/>
    <n v="3.76"/>
    <n v="4.3099999999999996"/>
    <n v="4.26"/>
    <x v="471"/>
    <n v="3.99"/>
    <n v="4.2"/>
    <n v="86.824635169999993"/>
    <n v="61.855928740000003"/>
    <n v="79.38305948"/>
    <n v="58.504678749999997"/>
    <n v="97.181766400000001"/>
    <n v="83.278020299999994"/>
    <n v="73.093917509999997"/>
    <n v="61.301542060000003"/>
    <n v="24.96870642999999"/>
    <n v="20.878380730000003"/>
    <n v="13.903746100000006"/>
    <n v="11.792375449999994"/>
    <x v="0"/>
    <x v="3"/>
    <x v="1"/>
    <n v="3"/>
    <s v="Prof. Kavita Rao"/>
  </r>
  <r>
    <s v="STU0932"/>
    <s v="Dhruv Anand"/>
    <x v="1"/>
    <n v="27"/>
    <x v="3"/>
    <n v="3.89"/>
    <n v="3.94"/>
    <n v="4.1900000000000004"/>
    <n v="4.28"/>
    <n v="3.64"/>
    <n v="3.77"/>
    <s v="N/A"/>
    <n v="3.93"/>
    <s v="N/A"/>
    <n v="3.98"/>
    <x v="126"/>
    <n v="3.99"/>
    <n v="3.8933333333333331"/>
    <n v="84.020166380000006"/>
    <n v="68.880545310000002"/>
    <n v="84.995201300000005"/>
    <n v="60.088755300000003"/>
    <n v="98.553136109999997"/>
    <n v="76.913739059999997"/>
    <n v="71.752949060000006"/>
    <n v="64.475191719999998"/>
    <n v="15.139621070000004"/>
    <n v="24.906446000000003"/>
    <n v="21.639397049999999"/>
    <n v="7.277757340000008"/>
    <x v="0"/>
    <x v="0"/>
    <x v="3"/>
    <n v="3"/>
    <s v="Prof. Rahul Singh"/>
  </r>
  <r>
    <s v="STU0933"/>
    <s v="Kavya Agrawal"/>
    <x v="0"/>
    <n v="25"/>
    <x v="2"/>
    <n v="4.32"/>
    <n v="4"/>
    <n v="4.1100000000000003"/>
    <n v="3.48"/>
    <n v="3.86"/>
    <n v="4.0999999999999996"/>
    <n v="4.2300000000000004"/>
    <n v="4.05"/>
    <n v="4.25"/>
    <n v="3.87"/>
    <x v="340"/>
    <n v="3.95"/>
    <n v="4.0999999999999996"/>
    <n v="78.504691620000003"/>
    <n v="68.614653340000004"/>
    <n v="86.333678520000007"/>
    <n v="63.409309579999999"/>
    <n v="99.156060530000005"/>
    <n v="76.018394580000006"/>
    <n v="76.782534709999993"/>
    <n v="60.589131559999998"/>
    <n v="9.8900382799999988"/>
    <n v="22.924368940000008"/>
    <n v="23.137665949999999"/>
    <n v="16.193403149999995"/>
    <x v="0"/>
    <x v="4"/>
    <x v="0"/>
    <n v="3"/>
    <s v="Prof. Vikram Gupta"/>
  </r>
  <r>
    <s v="STU0934"/>
    <s v="Sunil Dhanwade"/>
    <x v="1"/>
    <n v="27"/>
    <x v="3"/>
    <n v="4.07"/>
    <n v="4.26"/>
    <n v="4.25"/>
    <n v="4.18"/>
    <n v="3.8"/>
    <n v="3.48"/>
    <n v="3.79"/>
    <n v="4.3099999999999996"/>
    <n v="3.85"/>
    <n v="4.3499999999999996"/>
    <x v="16"/>
    <n v="4.1100000000000003"/>
    <n v="3.9559999999999995"/>
    <n v="95.961231479999995"/>
    <n v="64.525338640000001"/>
    <n v="83.159269730000005"/>
    <n v="75"/>
    <n v="80"/>
    <n v="71.767323410000003"/>
    <n v="65"/>
    <n v="50.107862920000002"/>
    <n v="31.435892839999994"/>
    <n v="8.1592697300000054"/>
    <n v="8.232676589999997"/>
    <n v="14.892137079999998"/>
    <x v="0"/>
    <x v="2"/>
    <x v="3"/>
    <n v="3"/>
    <s v="Prof. Rajesh Mukherjee"/>
  </r>
  <r>
    <s v="STU0935"/>
    <s v="Ishaan Balan"/>
    <x v="1"/>
    <n v="28"/>
    <x v="3"/>
    <n v="4.46"/>
    <n v="3.8"/>
    <n v="4.3"/>
    <n v="3.61"/>
    <n v="4.0599999999999996"/>
    <n v="3.91"/>
    <n v="4.43"/>
    <n v="4.4400000000000004"/>
    <n v="4.42"/>
    <n v="4.46"/>
    <x v="348"/>
    <n v="4.05"/>
    <n v="4.3320000000000007"/>
    <n v="79.933152669999998"/>
    <n v="80"/>
    <n v="77.421050149999999"/>
    <n v="66.697005039999993"/>
    <n v="82.192365769999995"/>
    <n v="81.456624829999996"/>
    <n v="73.589958260000003"/>
    <n v="52.986741639999998"/>
    <n v="-6.6847330000001648E-2"/>
    <n v="10.724045110000006"/>
    <n v="0.73574093999999945"/>
    <n v="20.603216620000005"/>
    <x v="0"/>
    <x v="4"/>
    <x v="3"/>
    <n v="3"/>
    <s v="Prof. Vikram Gupta"/>
  </r>
  <r>
    <s v="STU0936"/>
    <s v="Prerna Iyengar"/>
    <x v="0"/>
    <n v="24"/>
    <x v="2"/>
    <n v="3.73"/>
    <n v="3.82"/>
    <n v="3.78"/>
    <n v="4.4400000000000004"/>
    <n v="4.12"/>
    <n v="4.04"/>
    <n v="4.2"/>
    <n v="3.92"/>
    <n v="4.08"/>
    <n v="4.3499999999999996"/>
    <x v="191"/>
    <n v="3.98"/>
    <n v="4.1180000000000003"/>
    <n v="81.311357909999998"/>
    <n v="73.380326969999999"/>
    <n v="75.188150629999996"/>
    <n v="66.225183009999995"/>
    <n v="87.646572739999996"/>
    <n v="65"/>
    <n v="71.657130300000006"/>
    <n v="55.694247089999998"/>
    <n v="7.9310309399999994"/>
    <n v="8.9629676200000006"/>
    <n v="22.646572739999996"/>
    <n v="15.962883210000008"/>
    <x v="0"/>
    <x v="0"/>
    <x v="3"/>
    <n v="3"/>
    <s v="Prof. Rahul Singh"/>
  </r>
  <r>
    <s v="STU0937"/>
    <s v="Ravi Sharma"/>
    <x v="1"/>
    <n v="28"/>
    <x v="3"/>
    <s v="N/A"/>
    <n v="3.71"/>
    <n v="4.45"/>
    <n v="3.81"/>
    <n v="4.18"/>
    <n v="4.21"/>
    <n v="4.13"/>
    <n v="4.38"/>
    <n v="3.8"/>
    <n v="4.4400000000000004"/>
    <x v="472"/>
    <n v="4.04"/>
    <n v="4.1920000000000002"/>
    <n v="84.796492709999995"/>
    <n v="66.202228259999998"/>
    <n v="75.657777760000002"/>
    <n v="66.198455980000006"/>
    <n v="91.276416889999993"/>
    <n v="72.976814480000002"/>
    <n v="73.963962499999994"/>
    <n v="54.47724959"/>
    <n v="18.594264449999997"/>
    <n v="9.4593217799999962"/>
    <n v="18.299602409999991"/>
    <n v="19.486712909999994"/>
    <x v="0"/>
    <x v="1"/>
    <x v="3"/>
    <n v="3"/>
    <s v="Dr. Rohan Dutta"/>
  </r>
  <r>
    <s v="STU0938"/>
    <s v="Atharv Mahapatra"/>
    <x v="1"/>
    <n v="30"/>
    <x v="1"/>
    <n v="3.98"/>
    <n v="4.3600000000000003"/>
    <n v="4.09"/>
    <n v="3.97"/>
    <n v="4.37"/>
    <n v="3.96"/>
    <n v="4.3"/>
    <n v="4.46"/>
    <n v="4.2300000000000004"/>
    <n v="3.74"/>
    <x v="391"/>
    <n v="4.1500000000000004"/>
    <n v="4.1379999999999999"/>
    <n v="87.810309290000006"/>
    <n v="74.639403160000001"/>
    <n v="75.276368309999995"/>
    <n v="66.430875810000003"/>
    <n v="90.956364010000001"/>
    <n v="85"/>
    <n v="72.902272789999998"/>
    <n v="53.713200710000002"/>
    <n v="13.170906130000006"/>
    <n v="8.8454924999999918"/>
    <n v="5.9563640100000015"/>
    <n v="19.189072079999995"/>
    <x v="0"/>
    <x v="3"/>
    <x v="4"/>
    <n v="3"/>
    <s v="Prof. Kavita Rao"/>
  </r>
  <r>
    <s v="STU0939"/>
    <s v="Divya Sahgal"/>
    <x v="1"/>
    <n v="28"/>
    <x v="3"/>
    <n v="3.99"/>
    <n v="3.91"/>
    <n v="4.42"/>
    <n v="3.61"/>
    <n v="4.33"/>
    <n v="4.07"/>
    <n v="3.77"/>
    <s v="N/A"/>
    <n v="3.7"/>
    <n v="4.1500000000000004"/>
    <x v="39"/>
    <n v="4.05"/>
    <n v="3.9224999999999999"/>
    <n v="85.985907670000003"/>
    <n v="60"/>
    <n v="77.03861157"/>
    <n v="64.477532490000002"/>
    <n v="96.898560709999998"/>
    <n v="80.692069900000007"/>
    <n v="76.246697310000002"/>
    <n v="58.03919466"/>
    <n v="25.985907670000003"/>
    <n v="12.561079079999999"/>
    <n v="16.206490809999991"/>
    <n v="18.207502650000002"/>
    <x v="0"/>
    <x v="1"/>
    <x v="3"/>
    <n v="3"/>
    <s v="Dr. Rohan Dutta"/>
  </r>
  <r>
    <s v="STU0940"/>
    <s v="Reyansh Iyengar"/>
    <x v="1"/>
    <n v="23"/>
    <x v="2"/>
    <n v="4.09"/>
    <n v="3.78"/>
    <n v="4.03"/>
    <n v="4.5"/>
    <n v="3.59"/>
    <n v="3.7"/>
    <n v="3.76"/>
    <n v="4.1500000000000004"/>
    <n v="3.76"/>
    <n v="4.0999999999999996"/>
    <x v="317"/>
    <n v="4"/>
    <n v="3.8939999999999997"/>
    <n v="81.811649520000003"/>
    <n v="75.204339430000005"/>
    <n v="70.808912050000004"/>
    <n v="67.078808890000005"/>
    <n v="80.470800019999999"/>
    <n v="81.356723689999995"/>
    <n v="67.892964860000006"/>
    <n v="63.556532320000002"/>
    <n v="6.6073100899999986"/>
    <n v="3.7301031599999988"/>
    <n v="-0.88592366999999683"/>
    <n v="4.3364325400000041"/>
    <x v="0"/>
    <x v="0"/>
    <x v="4"/>
    <n v="3"/>
    <s v="Prof. Rahul Singh"/>
  </r>
  <r>
    <s v="STU0941"/>
    <s v="Alka Choubey"/>
    <x v="0"/>
    <n v="28"/>
    <x v="3"/>
    <n v="4.2"/>
    <n v="4.18"/>
    <n v="3.57"/>
    <n v="4.3"/>
    <n v="4.1399999999999997"/>
    <n v="3.95"/>
    <n v="4.83"/>
    <n v="4.08"/>
    <n v="3.98"/>
    <n v="3.81"/>
    <x v="254"/>
    <n v="4.08"/>
    <n v="4.13"/>
    <n v="75"/>
    <n v="62.467154309999998"/>
    <n v="72.950602079999996"/>
    <n v="58.088120279999998"/>
    <n v="80"/>
    <n v="78.759160480000006"/>
    <n v="75.396529150000006"/>
    <n v="50"/>
    <n v="12.532845690000002"/>
    <n v="14.862481799999998"/>
    <n v="1.2408395199999944"/>
    <n v="25.396529150000006"/>
    <x v="0"/>
    <x v="0"/>
    <x v="1"/>
    <n v="3"/>
    <s v="Prof. Rahul Singh"/>
  </r>
  <r>
    <s v="STU0942"/>
    <s v="Rekha Qureshi"/>
    <x v="0"/>
    <n v="22"/>
    <x v="0"/>
    <n v="3.72"/>
    <n v="4.1900000000000004"/>
    <n v="4.67"/>
    <n v="4.21"/>
    <n v="3.95"/>
    <n v="4.08"/>
    <n v="3.8"/>
    <n v="3.87"/>
    <n v="3.62"/>
    <n v="4.2699999999999996"/>
    <x v="198"/>
    <n v="4.1500000000000004"/>
    <n v="3.9279999999999999"/>
    <n v="81.238525859999996"/>
    <n v="71.472042669999993"/>
    <n v="80.78534793"/>
    <n v="63.520866480000002"/>
    <n v="90.558512019999995"/>
    <n v="81.348567739999993"/>
    <n v="65.508960579999993"/>
    <n v="53.259466889999999"/>
    <n v="9.7664831900000024"/>
    <n v="17.264481449999998"/>
    <n v="9.209944280000002"/>
    <n v="12.249493689999994"/>
    <x v="0"/>
    <x v="1"/>
    <x v="3"/>
    <n v="3"/>
    <s v="Dr. Rohan Dutta"/>
  </r>
  <r>
    <s v="STU0943"/>
    <s v="Arjun Manwani"/>
    <x v="1"/>
    <n v="29"/>
    <x v="1"/>
    <n v="4.0199999999999996"/>
    <n v="4.32"/>
    <n v="3.75"/>
    <n v="4.22"/>
    <n v="4.0199999999999996"/>
    <n v="4.13"/>
    <n v="4.45"/>
    <n v="4.3899999999999997"/>
    <n v="3.73"/>
    <n v="3.99"/>
    <x v="399"/>
    <n v="4.07"/>
    <n v="4.1379999999999999"/>
    <n v="90.931438400000005"/>
    <n v="69.383181680000007"/>
    <n v="70.467232199999998"/>
    <n v="64.102907810000005"/>
    <n v="90.897253469999995"/>
    <n v="85"/>
    <n v="74.929616820000007"/>
    <n v="70"/>
    <n v="21.548256719999998"/>
    <n v="6.3643243899999931"/>
    <n v="5.8972534699999954"/>
    <n v="4.9296168200000068"/>
    <x v="0"/>
    <x v="2"/>
    <x v="1"/>
    <n v="3"/>
    <s v="Prof. Rajesh Mukherjee"/>
  </r>
  <r>
    <s v="STU0944"/>
    <s v="Sonali Bhatt"/>
    <x v="0"/>
    <n v="27"/>
    <x v="3"/>
    <n v="3.89"/>
    <n v="4.01"/>
    <n v="4.28"/>
    <n v="4.34"/>
    <n v="4.28"/>
    <n v="3.87"/>
    <n v="3.62"/>
    <n v="4.17"/>
    <n v="4.6500000000000004"/>
    <n v="3.71"/>
    <x v="473"/>
    <n v="4.16"/>
    <n v="4.0040000000000004"/>
    <n v="86.435273879999997"/>
    <n v="67.690412460000005"/>
    <n v="76.485659139999996"/>
    <n v="63.07907514"/>
    <n v="90.093739389999996"/>
    <n v="82.811529759999999"/>
    <n v="68.011773090000005"/>
    <n v="56.745382640000003"/>
    <n v="18.744861419999992"/>
    <n v="13.406583999999995"/>
    <n v="7.282209629999997"/>
    <n v="11.266390450000003"/>
    <x v="0"/>
    <x v="0"/>
    <x v="0"/>
    <n v="3"/>
    <s v="Prof. Rahul Singh"/>
  </r>
  <r>
    <s v="STU0945"/>
    <s v="Vandana Rastogi"/>
    <x v="0"/>
    <n v="26"/>
    <x v="3"/>
    <n v="4.33"/>
    <n v="4.12"/>
    <n v="4.4800000000000004"/>
    <n v="4.1500000000000004"/>
    <n v="3.95"/>
    <n v="3.47"/>
    <n v="4.3600000000000003"/>
    <n v="4.28"/>
    <s v="N/A"/>
    <n v="3.76"/>
    <x v="474"/>
    <n v="4.21"/>
    <n v="3.9674999999999998"/>
    <n v="78.865346459999998"/>
    <n v="77.622070390000005"/>
    <n v="73.002373509999998"/>
    <n v="66.458000470000002"/>
    <n v="95.079061710000005"/>
    <n v="72.768507200000002"/>
    <n v="70.864608419999996"/>
    <n v="63.448417050000003"/>
    <n v="1.2432760699999932"/>
    <n v="6.5443730399999964"/>
    <n v="22.310554510000003"/>
    <n v="7.4161913699999928"/>
    <x v="2"/>
    <x v="1"/>
    <x v="1"/>
    <n v="3"/>
    <s v="Dr. Rohan Dutta"/>
  </r>
  <r>
    <s v="STU0946"/>
    <s v="Prattik Iyengar"/>
    <x v="1"/>
    <n v="20"/>
    <x v="0"/>
    <n v="3.88"/>
    <n v="4.17"/>
    <n v="4.04"/>
    <n v="3.54"/>
    <n v="4.04"/>
    <n v="3.92"/>
    <n v="4.76"/>
    <s v="N/A"/>
    <n v="4.16"/>
    <n v="3.65"/>
    <x v="475"/>
    <n v="3.93"/>
    <n v="4.1224999999999996"/>
    <n v="90.167176600000005"/>
    <n v="63.096508630000002"/>
    <n v="79.275376769999994"/>
    <n v="67.998458740000004"/>
    <n v="80"/>
    <n v="69.220318680000005"/>
    <n v="66.322540419999996"/>
    <n v="50"/>
    <n v="27.070667970000002"/>
    <n v="11.27691802999999"/>
    <n v="10.779681319999995"/>
    <n v="16.322540419999996"/>
    <x v="0"/>
    <x v="2"/>
    <x v="1"/>
    <n v="3"/>
    <s v="Prof. Rajesh Mukherjee"/>
  </r>
  <r>
    <s v="STU0947"/>
    <s v="Pratik Fernandes"/>
    <x v="1"/>
    <n v="21"/>
    <x v="0"/>
    <n v="3.5"/>
    <n v="3.91"/>
    <n v="4.0199999999999996"/>
    <n v="3.95"/>
    <n v="3.85"/>
    <n v="3.95"/>
    <n v="4.29"/>
    <n v="3.95"/>
    <n v="3.97"/>
    <n v="3.86"/>
    <x v="381"/>
    <n v="3.85"/>
    <n v="4.0039999999999996"/>
    <n v="85.290467699999994"/>
    <n v="77.571848739999993"/>
    <n v="72.573155619999994"/>
    <n v="73.826241179999997"/>
    <n v="94.961321999999996"/>
    <n v="75.826538630000002"/>
    <n v="66.730138120000007"/>
    <n v="70"/>
    <n v="7.7186189600000006"/>
    <n v="-1.2530855600000024"/>
    <n v="19.134783369999994"/>
    <n v="-3.2698618799999934"/>
    <x v="1"/>
    <x v="1"/>
    <x v="1"/>
    <n v="3"/>
    <s v="Dr. Rohan Dutta"/>
  </r>
  <r>
    <s v="STU0948"/>
    <s v="Ravi Joshi"/>
    <x v="1"/>
    <n v="26"/>
    <x v="3"/>
    <n v="3.49"/>
    <n v="3.62"/>
    <n v="3.94"/>
    <n v="3.82"/>
    <n v="4"/>
    <n v="4.08"/>
    <n v="3.91"/>
    <n v="4.1399999999999997"/>
    <n v="4"/>
    <n v="4.4800000000000004"/>
    <x v="118"/>
    <n v="3.77"/>
    <n v="4.1219999999999999"/>
    <n v="81.068729149999996"/>
    <n v="67.600103720000007"/>
    <n v="84.961603199999999"/>
    <n v="65.623738889999998"/>
    <n v="92.710593009999997"/>
    <n v="84.144577650000002"/>
    <n v="75.710123339999996"/>
    <n v="53.198561210000001"/>
    <n v="13.468625429999989"/>
    <n v="19.337864310000001"/>
    <n v="8.5660153599999944"/>
    <n v="22.511562129999994"/>
    <x v="1"/>
    <x v="3"/>
    <x v="3"/>
    <n v="3"/>
    <s v="Prof. Kavita Rao"/>
  </r>
  <r>
    <s v="STU0949"/>
    <s v="Surbhi Rao"/>
    <x v="1"/>
    <n v="25"/>
    <x v="2"/>
    <n v="4.0599999999999996"/>
    <n v="4.1100000000000003"/>
    <n v="4"/>
    <n v="4.1500000000000004"/>
    <n v="3.93"/>
    <n v="4.54"/>
    <n v="4.25"/>
    <n v="3.67"/>
    <n v="3.86"/>
    <n v="3.84"/>
    <x v="326"/>
    <n v="4.05"/>
    <n v="4.032"/>
    <n v="89.783421559999994"/>
    <n v="72.248315259999998"/>
    <n v="85.446529519999999"/>
    <n v="56.748719880000003"/>
    <n v="88.235758680000004"/>
    <n v="68.896230059999994"/>
    <n v="66.107404360000004"/>
    <n v="60.4827522"/>
    <n v="17.535106299999995"/>
    <n v="28.697809639999996"/>
    <n v="19.33952862000001"/>
    <n v="5.6246521600000037"/>
    <x v="0"/>
    <x v="0"/>
    <x v="2"/>
    <n v="3"/>
    <s v="Prof. Rahul Singh"/>
  </r>
  <r>
    <s v="STU0950"/>
    <s v="Aarav Vaidya"/>
    <x v="1"/>
    <n v="30"/>
    <x v="1"/>
    <n v="4.0999999999999996"/>
    <n v="4.03"/>
    <n v="3.89"/>
    <n v="4.3"/>
    <n v="3.72"/>
    <n v="4.17"/>
    <n v="4.04"/>
    <n v="3.83"/>
    <n v="3.9"/>
    <n v="3.6"/>
    <x v="476"/>
    <n v="4.01"/>
    <n v="3.9080000000000004"/>
    <n v="87.857906670000006"/>
    <n v="69.70758988"/>
    <n v="79.396915079999999"/>
    <n v="75"/>
    <n v="80"/>
    <n v="74.780694159999996"/>
    <n v="75.324626570000007"/>
    <n v="53.220287650000003"/>
    <n v="18.150316790000005"/>
    <n v="4.3969150799999994"/>
    <n v="5.2193058400000041"/>
    <n v="22.104338920000004"/>
    <x v="0"/>
    <x v="0"/>
    <x v="2"/>
    <n v="3"/>
    <s v="Prof. Rahul Singh"/>
  </r>
  <r>
    <s v="STU0951"/>
    <s v="Hema Bedi"/>
    <x v="0"/>
    <n v="24"/>
    <x v="2"/>
    <n v="4.66"/>
    <n v="4.18"/>
    <n v="4.49"/>
    <n v="3.96"/>
    <n v="3.78"/>
    <n v="3.94"/>
    <n v="4.29"/>
    <n v="4.9400000000000004"/>
    <n v="3.87"/>
    <n v="4.24"/>
    <x v="308"/>
    <n v="4.21"/>
    <n v="4.2560000000000002"/>
    <n v="87.125144340000006"/>
    <n v="69.711205019999994"/>
    <n v="78.780951819999999"/>
    <n v="69.241154949999995"/>
    <n v="98.376772970000005"/>
    <n v="80.412814499999996"/>
    <n v="70.414209560000003"/>
    <n v="50"/>
    <n v="17.413939320000011"/>
    <n v="9.5397968700000035"/>
    <n v="17.963958470000009"/>
    <n v="20.414209560000003"/>
    <x v="2"/>
    <x v="4"/>
    <x v="4"/>
    <n v="3"/>
    <s v="Prof. Vikram Gupta"/>
  </r>
  <r>
    <s v="STU0952"/>
    <s v="Vipul Purri"/>
    <x v="1"/>
    <n v="28"/>
    <x v="3"/>
    <n v="4.01"/>
    <n v="3.98"/>
    <n v="3.91"/>
    <n v="3.91"/>
    <n v="3.85"/>
    <n v="4.32"/>
    <n v="4.12"/>
    <n v="4.05"/>
    <n v="4.45"/>
    <n v="3.98"/>
    <x v="156"/>
    <n v="3.93"/>
    <n v="4.1840000000000002"/>
    <n v="77.878657930000003"/>
    <n v="73.034591520000006"/>
    <n v="79.615840340000005"/>
    <n v="60.935100210000002"/>
    <n v="86.300742260000007"/>
    <n v="74.914265880000002"/>
    <n v="77.723735820000002"/>
    <n v="60.415370090000003"/>
    <n v="4.8440664099999964"/>
    <n v="18.680740130000004"/>
    <n v="11.386476380000005"/>
    <n v="17.308365729999998"/>
    <x v="0"/>
    <x v="4"/>
    <x v="0"/>
    <n v="3"/>
    <s v="Prof. Vikram Gupta"/>
  </r>
  <r>
    <s v="STU0953"/>
    <s v="Girish Oberroi"/>
    <x v="1"/>
    <n v="23"/>
    <x v="2"/>
    <n v="3.77"/>
    <n v="4.33"/>
    <n v="3.49"/>
    <n v="4.59"/>
    <n v="4.28"/>
    <n v="4.2699999999999996"/>
    <n v="4.09"/>
    <n v="4.2"/>
    <n v="3.89"/>
    <n v="4.67"/>
    <x v="57"/>
    <n v="4.09"/>
    <n v="4.2239999999999993"/>
    <n v="81.203169729999999"/>
    <n v="66.699892329999997"/>
    <n v="79.332427780000003"/>
    <n v="67.667472110000006"/>
    <n v="83.956689109999999"/>
    <n v="70.760737430000006"/>
    <n v="68.537243380000007"/>
    <n v="59.346497759999998"/>
    <n v="14.503277400000002"/>
    <n v="11.664955669999998"/>
    <n v="13.195951679999993"/>
    <n v="9.1907456200000084"/>
    <x v="0"/>
    <x v="0"/>
    <x v="3"/>
    <n v="3"/>
    <s v="Prof. Rahul Singh"/>
  </r>
  <r>
    <s v="STU0954"/>
    <s v="Reyansh Chadha"/>
    <x v="1"/>
    <n v="20"/>
    <x v="0"/>
    <n v="3.92"/>
    <n v="4.2300000000000004"/>
    <n v="4.26"/>
    <n v="3.9"/>
    <n v="4.1100000000000003"/>
    <n v="3.6"/>
    <n v="3.8"/>
    <n v="3.63"/>
    <n v="3.75"/>
    <n v="3.71"/>
    <x v="477"/>
    <n v="4.08"/>
    <n v="3.6980000000000004"/>
    <n v="87.492628819999993"/>
    <n v="60"/>
    <n v="75.843005809999994"/>
    <n v="58.44240602"/>
    <n v="81.413151409999998"/>
    <n v="85"/>
    <n v="76.881145270000005"/>
    <n v="50"/>
    <n v="27.492628819999993"/>
    <n v="17.400599789999994"/>
    <n v="-3.5868485900000024"/>
    <n v="26.881145270000005"/>
    <x v="0"/>
    <x v="1"/>
    <x v="1"/>
    <n v="3"/>
    <s v="Dr. Rohan Dutta"/>
  </r>
  <r>
    <s v="STU0955"/>
    <s v="Ravi Lall"/>
    <x v="1"/>
    <n v="21"/>
    <x v="0"/>
    <n v="3.83"/>
    <n v="4"/>
    <n v="3.61"/>
    <n v="4.3600000000000003"/>
    <s v="N/A"/>
    <n v="4.76"/>
    <n v="4.41"/>
    <n v="4.59"/>
    <n v="4.03"/>
    <n v="4.07"/>
    <x v="252"/>
    <n v="3.95"/>
    <n v="4.3719999999999999"/>
    <n v="87.010636340000005"/>
    <n v="71.050676080000002"/>
    <n v="70"/>
    <n v="73.944859879999996"/>
    <n v="98.473439299999995"/>
    <n v="71.666858360000006"/>
    <n v="69.259356690000004"/>
    <n v="56.60311454"/>
    <n v="15.959960260000003"/>
    <n v="-3.9448598799999957"/>
    <n v="26.806580939999989"/>
    <n v="12.656242150000004"/>
    <x v="0"/>
    <x v="0"/>
    <x v="2"/>
    <n v="3"/>
    <s v="Prof. Rahul Singh"/>
  </r>
  <r>
    <s v="STU0956"/>
    <s v="Kavya Sethi"/>
    <x v="0"/>
    <n v="21"/>
    <x v="0"/>
    <n v="3.78"/>
    <n v="3.65"/>
    <n v="4.3899999999999997"/>
    <n v="4.29"/>
    <n v="3.76"/>
    <n v="4.21"/>
    <n v="4.08"/>
    <n v="4.12"/>
    <n v="4.12"/>
    <n v="4.4800000000000004"/>
    <x v="94"/>
    <n v="3.97"/>
    <n v="4.202"/>
    <n v="90.975439170000001"/>
    <n v="74.61821132"/>
    <n v="80.891093650000002"/>
    <n v="64.276636530000005"/>
    <n v="90.981115720000005"/>
    <n v="78.796660360000004"/>
    <n v="65"/>
    <n v="62.731466820000001"/>
    <n v="16.357227850000001"/>
    <n v="16.614457119999997"/>
    <n v="12.184455360000001"/>
    <n v="2.2685331799999986"/>
    <x v="0"/>
    <x v="1"/>
    <x v="3"/>
    <n v="3"/>
    <s v="Dr. Rohan Dutta"/>
  </r>
  <r>
    <s v="STU0957"/>
    <s v="Ravi Chatterjee"/>
    <x v="1"/>
    <n v="20"/>
    <x v="0"/>
    <n v="3.63"/>
    <n v="3.75"/>
    <n v="4.32"/>
    <n v="3.95"/>
    <n v="4.05"/>
    <n v="4.47"/>
    <n v="3.91"/>
    <n v="4.07"/>
    <n v="3.69"/>
    <n v="4.43"/>
    <x v="136"/>
    <n v="3.94"/>
    <n v="4.1139999999999999"/>
    <n v="79.322801490000003"/>
    <n v="63.183705260000004"/>
    <n v="83.806174380000002"/>
    <n v="62.131236059999999"/>
    <n v="89.469608440000002"/>
    <n v="76.342020360000006"/>
    <n v="72.246966959999995"/>
    <n v="56.262590279999998"/>
    <n v="16.13909623"/>
    <n v="21.674938320000003"/>
    <n v="13.127588079999995"/>
    <n v="15.984376679999997"/>
    <x v="0"/>
    <x v="1"/>
    <x v="2"/>
    <n v="3"/>
    <s v="Dr. Rohan Dutta"/>
  </r>
  <r>
    <s v="STU0958"/>
    <s v="Aarav Ekbote"/>
    <x v="1"/>
    <n v="30"/>
    <x v="1"/>
    <n v="4.46"/>
    <n v="3.58"/>
    <n v="4.21"/>
    <n v="4.3099999999999996"/>
    <n v="4.1900000000000004"/>
    <n v="3.91"/>
    <n v="4.72"/>
    <n v="3.77"/>
    <n v="3.93"/>
    <n v="4.29"/>
    <x v="108"/>
    <n v="4.1500000000000004"/>
    <n v="4.1239999999999997"/>
    <n v="81.049541320000003"/>
    <n v="70.413359659999998"/>
    <n v="78.928879420000001"/>
    <n v="68.03281921"/>
    <n v="96.073514099999997"/>
    <n v="71.497969190000006"/>
    <n v="72.574517920000005"/>
    <n v="51.450043620000002"/>
    <n v="10.636181660000005"/>
    <n v="10.896060210000002"/>
    <n v="24.575544909999991"/>
    <n v="21.124474300000003"/>
    <x v="0"/>
    <x v="4"/>
    <x v="1"/>
    <n v="3"/>
    <s v="Prof. Vikram Gupta"/>
  </r>
  <r>
    <s v="STU0959"/>
    <s v="Pooja Marwah"/>
    <x v="0"/>
    <n v="20"/>
    <x v="0"/>
    <n v="3.74"/>
    <n v="3.88"/>
    <n v="3.91"/>
    <n v="3.73"/>
    <n v="4.0599999999999996"/>
    <n v="4.25"/>
    <n v="3.61"/>
    <n v="4.16"/>
    <n v="4.25"/>
    <n v="3.47"/>
    <x v="305"/>
    <n v="3.86"/>
    <n v="3.9479999999999995"/>
    <n v="84.946279770000004"/>
    <n v="66.967315679999999"/>
    <n v="76.130875200000006"/>
    <n v="63.197601480000003"/>
    <n v="91.673121710000004"/>
    <n v="75.859875439999996"/>
    <n v="71.703072340000006"/>
    <n v="64.522131610000002"/>
    <n v="17.978964090000005"/>
    <n v="12.933273720000003"/>
    <n v="15.813246270000008"/>
    <n v="7.1809407300000032"/>
    <x v="1"/>
    <x v="3"/>
    <x v="2"/>
    <n v="3"/>
    <s v="Prof. Kavita Rao"/>
  </r>
  <r>
    <s v="STU0960"/>
    <s v="Shweta Rathi"/>
    <x v="0"/>
    <n v="25"/>
    <x v="2"/>
    <n v="3.25"/>
    <n v="4.24"/>
    <n v="4.13"/>
    <n v="4.05"/>
    <n v="3.76"/>
    <n v="3.47"/>
    <n v="4.6900000000000004"/>
    <n v="4.03"/>
    <n v="4.3499999999999996"/>
    <n v="4.1900000000000004"/>
    <x v="140"/>
    <n v="3.89"/>
    <n v="4.1459999999999999"/>
    <n v="82.754174390000003"/>
    <n v="73.722977330000006"/>
    <n v="85.765467999999998"/>
    <n v="65.5927887"/>
    <n v="90.524680309999994"/>
    <n v="82.673651500000005"/>
    <n v="69.860124799999994"/>
    <n v="63.554271210000003"/>
    <n v="9.0311970599999967"/>
    <n v="20.172679299999999"/>
    <n v="7.8510288099999883"/>
    <n v="6.305853589999991"/>
    <x v="1"/>
    <x v="2"/>
    <x v="1"/>
    <n v="3"/>
    <s v="Prof. Rajesh Mukherjee"/>
  </r>
  <r>
    <s v="STU0961"/>
    <s v="Vvishal Lall"/>
    <x v="1"/>
    <n v="29"/>
    <x v="1"/>
    <n v="4.45"/>
    <s v="N/A"/>
    <n v="3.81"/>
    <n v="3.73"/>
    <n v="4.41"/>
    <n v="4.0999999999999996"/>
    <n v="4.01"/>
    <n v="3.79"/>
    <n v="3.57"/>
    <n v="4.4000000000000004"/>
    <x v="285"/>
    <n v="4.0999999999999996"/>
    <n v="3.9739999999999993"/>
    <n v="81.430976670000007"/>
    <n v="62.084998450000001"/>
    <n v="72.591509419999994"/>
    <n v="69.636339620000001"/>
    <n v="81.041266059999998"/>
    <n v="79.655788200000003"/>
    <n v="67.590633400000002"/>
    <n v="69.268021829999995"/>
    <n v="19.345978220000006"/>
    <n v="2.9551697999999931"/>
    <n v="1.3854778599999946"/>
    <n v="-1.6773884299999935"/>
    <x v="0"/>
    <x v="4"/>
    <x v="3"/>
    <n v="3"/>
    <s v="Prof. Vikram Gupta"/>
  </r>
  <r>
    <s v="STU0962"/>
    <s v="Rohit Chhoubey"/>
    <x v="1"/>
    <n v="24"/>
    <x v="2"/>
    <n v="3.46"/>
    <s v="N/A"/>
    <n v="3.81"/>
    <n v="3.8"/>
    <n v="4.08"/>
    <n v="3.9"/>
    <n v="4.3600000000000003"/>
    <n v="3.61"/>
    <n v="3.55"/>
    <n v="3.78"/>
    <x v="478"/>
    <n v="3.79"/>
    <n v="3.84"/>
    <n v="89.555254079999997"/>
    <n v="70.177826899999999"/>
    <n v="72.760148380000004"/>
    <n v="64.427974180000007"/>
    <n v="92.591243469999995"/>
    <n v="74.061114829999994"/>
    <n v="70.717006760000004"/>
    <n v="50"/>
    <n v="19.377427179999998"/>
    <n v="8.3321741999999972"/>
    <n v="18.530128640000001"/>
    <n v="20.717006760000004"/>
    <x v="1"/>
    <x v="3"/>
    <x v="1"/>
    <n v="3"/>
    <s v="Prof. Kavita Rao"/>
  </r>
  <r>
    <s v="STU0963"/>
    <s v="Ajay Chouubey"/>
    <x v="1"/>
    <n v="20"/>
    <x v="0"/>
    <n v="3.8"/>
    <n v="4.2"/>
    <n v="4.54"/>
    <n v="3.75"/>
    <n v="4.09"/>
    <s v="N/A"/>
    <n v="3.97"/>
    <n v="3.95"/>
    <n v="4.3499999999999996"/>
    <n v="3.83"/>
    <x v="8"/>
    <n v="4.08"/>
    <n v="4.0250000000000004"/>
    <n v="93.719232899999994"/>
    <n v="69.660782639999994"/>
    <n v="77.116763199999994"/>
    <n v="62.28674565"/>
    <n v="93.917312609999996"/>
    <n v="79.67760251"/>
    <n v="65"/>
    <n v="53.381116910000003"/>
    <n v="24.058450260000001"/>
    <n v="14.830017549999994"/>
    <n v="14.239710099999996"/>
    <n v="11.618883089999997"/>
    <x v="0"/>
    <x v="1"/>
    <x v="0"/>
    <n v="3"/>
    <s v="Dr. Rohan Dutta"/>
  </r>
  <r>
    <s v="STU0964"/>
    <s v="Sameer Agarwal"/>
    <x v="1"/>
    <n v="29"/>
    <x v="1"/>
    <n v="3.78"/>
    <n v="4.46"/>
    <n v="3.88"/>
    <n v="4.3600000000000003"/>
    <n v="4.04"/>
    <n v="4.3099999999999996"/>
    <n v="4.22"/>
    <n v="4.09"/>
    <n v="3.98"/>
    <n v="4.04"/>
    <x v="127"/>
    <n v="4.0999999999999996"/>
    <n v="4.1279999999999992"/>
    <n v="79.729949439999999"/>
    <n v="73.416769680000002"/>
    <n v="78.739916719999997"/>
    <n v="65.968839329999994"/>
    <n v="83.277895720000004"/>
    <n v="79.442339450000006"/>
    <n v="69.42810987"/>
    <n v="70"/>
    <n v="6.313179759999997"/>
    <n v="12.771077390000002"/>
    <n v="3.8355562699999979"/>
    <n v="-0.57189012999999989"/>
    <x v="0"/>
    <x v="2"/>
    <x v="2"/>
    <n v="3"/>
    <s v="Prof. Rajesh Mukherjee"/>
  </r>
  <r>
    <s v="STU0965"/>
    <s v="Kiran Madhwani"/>
    <x v="1"/>
    <n v="24"/>
    <x v="2"/>
    <n v="3.99"/>
    <n v="3.78"/>
    <n v="3.96"/>
    <n v="3.65"/>
    <n v="3.88"/>
    <n v="4.53"/>
    <n v="3.96"/>
    <n v="3.89"/>
    <n v="4.1100000000000003"/>
    <n v="3.89"/>
    <x v="416"/>
    <n v="3.85"/>
    <n v="4.0760000000000005"/>
    <n v="88.299287430000007"/>
    <n v="66.703926620000004"/>
    <n v="78.525543229999997"/>
    <n v="66.796521100000007"/>
    <n v="88.451699559999994"/>
    <n v="82.646508909999994"/>
    <n v="73.919802950000005"/>
    <n v="57.919883460000001"/>
    <n v="21.595360810000003"/>
    <n v="11.72902212999999"/>
    <n v="5.8051906500000001"/>
    <n v="15.999919490000003"/>
    <x v="1"/>
    <x v="4"/>
    <x v="2"/>
    <n v="3"/>
    <s v="Prof. Vikram Gupta"/>
  </r>
  <r>
    <s v="STU0966"/>
    <s v="Bhavna Basu"/>
    <x v="0"/>
    <n v="24"/>
    <x v="2"/>
    <n v="4.21"/>
    <n v="3.86"/>
    <n v="4.1399999999999997"/>
    <n v="4.67"/>
    <n v="3.89"/>
    <n v="3.96"/>
    <n v="4.3499999999999996"/>
    <n v="4.07"/>
    <n v="3.4"/>
    <n v="4.0199999999999996"/>
    <x v="148"/>
    <n v="4.1500000000000004"/>
    <n v="3.9599999999999995"/>
    <n v="79.251087999999996"/>
    <n v="74.870414139999994"/>
    <n v="70"/>
    <n v="61.791290949999997"/>
    <n v="92.190984880000002"/>
    <n v="82.352959350000006"/>
    <n v="74.641162989999998"/>
    <n v="57.97675744"/>
    <n v="4.3806738600000017"/>
    <n v="8.2087090500000031"/>
    <n v="9.8380255299999959"/>
    <n v="16.664405549999998"/>
    <x v="0"/>
    <x v="0"/>
    <x v="1"/>
    <n v="3"/>
    <s v="Prof. Rahul Singh"/>
  </r>
  <r>
    <s v="STU0967"/>
    <s v="Sunita Bbedi"/>
    <x v="0"/>
    <n v="21"/>
    <x v="0"/>
    <n v="3.37"/>
    <n v="4.1500000000000004"/>
    <n v="4.5"/>
    <n v="3.97"/>
    <n v="3.73"/>
    <n v="3.85"/>
    <n v="3.74"/>
    <n v="4"/>
    <n v="4.46"/>
    <n v="3.84"/>
    <x v="213"/>
    <n v="3.94"/>
    <n v="3.9780000000000002"/>
    <n v="81.085255230000001"/>
    <n v="64.655737110000004"/>
    <n v="78.596620389999998"/>
    <n v="63.171167740000001"/>
    <n v="87.394359989999998"/>
    <n v="85"/>
    <n v="67.949921149999994"/>
    <n v="56.713651900000002"/>
    <n v="16.429518119999997"/>
    <n v="15.425452649999997"/>
    <n v="2.3943599899999981"/>
    <n v="11.236269249999992"/>
    <x v="0"/>
    <x v="1"/>
    <x v="0"/>
    <n v="3"/>
    <s v="Dr. Rohan Dutta"/>
  </r>
  <r>
    <s v="STU0968"/>
    <s v="Vandana Xalxo"/>
    <x v="0"/>
    <n v="26"/>
    <x v="3"/>
    <n v="4.3600000000000003"/>
    <n v="4.66"/>
    <n v="4.82"/>
    <n v="4.12"/>
    <s v="N/A"/>
    <n v="4.28"/>
    <n v="4.09"/>
    <n v="4.3099999999999996"/>
    <n v="4.1500000000000004"/>
    <n v="3.49"/>
    <x v="479"/>
    <n v="4.49"/>
    <n v="4.0640000000000001"/>
    <n v="77.682215159999998"/>
    <n v="60"/>
    <n v="75.980873900000006"/>
    <n v="65.350172119999996"/>
    <n v="93.211124100000006"/>
    <n v="71.816779789999998"/>
    <n v="67.407023269999996"/>
    <n v="62.548015290000002"/>
    <n v="17.682215159999998"/>
    <n v="10.63070178000001"/>
    <n v="21.394344310000008"/>
    <n v="4.8590079799999941"/>
    <x v="2"/>
    <x v="1"/>
    <x v="4"/>
    <n v="3"/>
    <s v="Dr. Rohan Dutta"/>
  </r>
  <r>
    <s v="STU0969"/>
    <s v="Uday Rawwat"/>
    <x v="1"/>
    <n v="24"/>
    <x v="2"/>
    <n v="3.63"/>
    <n v="4.05"/>
    <n v="4.0199999999999996"/>
    <n v="4.01"/>
    <n v="4.04"/>
    <n v="3.46"/>
    <n v="4.21"/>
    <n v="3.39"/>
    <n v="4.03"/>
    <n v="3.75"/>
    <x v="252"/>
    <n v="3.95"/>
    <n v="3.7679999999999998"/>
    <n v="83.906715939999998"/>
    <n v="63.065145790000003"/>
    <n v="75.708671409999994"/>
    <n v="65.295914350000004"/>
    <n v="94.858500309999997"/>
    <n v="73.974210249999999"/>
    <n v="69.206429589999999"/>
    <n v="52.165508699999997"/>
    <n v="20.841570149999995"/>
    <n v="10.41275705999999"/>
    <n v="20.884290059999998"/>
    <n v="17.040920890000002"/>
    <x v="0"/>
    <x v="2"/>
    <x v="1"/>
    <n v="3"/>
    <s v="Prof. Rajesh Mukherjee"/>
  </r>
  <r>
    <s v="STU0970"/>
    <s v="Karan Anand"/>
    <x v="1"/>
    <n v="21"/>
    <x v="0"/>
    <n v="3.5"/>
    <n v="3.49"/>
    <n v="3.8"/>
    <n v="4.04"/>
    <n v="4.6500000000000004"/>
    <n v="3.9"/>
    <n v="3.92"/>
    <n v="4.0199999999999996"/>
    <n v="4.1500000000000004"/>
    <n v="3.72"/>
    <x v="480"/>
    <n v="3.9"/>
    <n v="3.9420000000000002"/>
    <n v="89.501373950000001"/>
    <n v="69.616291849999996"/>
    <n v="70"/>
    <n v="55"/>
    <n v="81.165264460000003"/>
    <n v="78.509146569999999"/>
    <n v="70.377580019999996"/>
    <n v="56.808967670000001"/>
    <n v="19.885082100000005"/>
    <n v="15"/>
    <n v="2.6561178900000044"/>
    <n v="13.568612349999995"/>
    <x v="1"/>
    <x v="3"/>
    <x v="0"/>
    <n v="3"/>
    <s v="Prof. Kavita Rao"/>
  </r>
  <r>
    <s v="STU0971"/>
    <s v="Kavita Mukherjee"/>
    <x v="0"/>
    <n v="20"/>
    <x v="0"/>
    <s v="N/A"/>
    <n v="4.62"/>
    <n v="4.3600000000000003"/>
    <n v="4.7300000000000004"/>
    <n v="4.1900000000000004"/>
    <n v="3.87"/>
    <n v="4.01"/>
    <n v="3.85"/>
    <n v="4.3"/>
    <n v="4.0199999999999996"/>
    <x v="481"/>
    <n v="4.4800000000000004"/>
    <n v="4.01"/>
    <n v="76.190369430000004"/>
    <n v="62.605708159999999"/>
    <n v="73.524630200000004"/>
    <n v="66.423261460000006"/>
    <n v="88.375782169999994"/>
    <n v="73.764317059999996"/>
    <n v="73.147115459999995"/>
    <n v="67.002543099999997"/>
    <n v="13.584661270000005"/>
    <n v="7.1013687399999981"/>
    <n v="14.611465109999997"/>
    <n v="6.144572359999998"/>
    <x v="2"/>
    <x v="0"/>
    <x v="0"/>
    <n v="3"/>
    <s v="Prof. Rahul Singh"/>
  </r>
  <r>
    <s v="STU0972"/>
    <s v="Devesh Bansal"/>
    <x v="1"/>
    <n v="25"/>
    <x v="2"/>
    <n v="4.03"/>
    <n v="3.53"/>
    <n v="4.6500000000000004"/>
    <n v="3.7"/>
    <n v="4.2300000000000004"/>
    <s v="N/A"/>
    <n v="4.1100000000000003"/>
    <n v="4.28"/>
    <n v="4.08"/>
    <n v="3.69"/>
    <x v="30"/>
    <n v="4.03"/>
    <n v="4.04"/>
    <n v="86.747628539999994"/>
    <n v="60.534841880000002"/>
    <n v="81.15644992"/>
    <n v="69.833112330000006"/>
    <n v="80.623640280000004"/>
    <n v="85"/>
    <n v="71.342084970000002"/>
    <n v="61.34346996"/>
    <n v="26.212786659999992"/>
    <n v="11.323337589999994"/>
    <n v="-4.3763597199999964"/>
    <n v="9.9986150100000017"/>
    <x v="0"/>
    <x v="1"/>
    <x v="4"/>
    <n v="3"/>
    <s v="Dr. Rohan Dutta"/>
  </r>
  <r>
    <s v="STU0973"/>
    <s v="Tushar Lall"/>
    <x v="1"/>
    <n v="28"/>
    <x v="3"/>
    <n v="4.13"/>
    <n v="3.98"/>
    <n v="4.08"/>
    <n v="3.93"/>
    <n v="3.71"/>
    <n v="4.0999999999999996"/>
    <n v="3.9"/>
    <n v="4.07"/>
    <n v="3.68"/>
    <n v="3.82"/>
    <x v="168"/>
    <n v="3.97"/>
    <n v="3.9140000000000001"/>
    <n v="89.189977619999993"/>
    <n v="76.98375317"/>
    <n v="86.714566910000002"/>
    <n v="62.383393929999997"/>
    <n v="99.9"/>
    <n v="81.650234220000002"/>
    <n v="72.753674070000002"/>
    <n v="56.374458429999997"/>
    <n v="12.206224449999993"/>
    <n v="24.331172980000005"/>
    <n v="18.249765780000004"/>
    <n v="16.379215640000005"/>
    <x v="0"/>
    <x v="4"/>
    <x v="2"/>
    <n v="3"/>
    <s v="Prof. Vikram Gupta"/>
  </r>
  <r>
    <s v="STU0974"/>
    <s v="Devika Verma"/>
    <x v="0"/>
    <n v="23"/>
    <x v="2"/>
    <n v="3.5"/>
    <n v="3.74"/>
    <n v="4.5599999999999996"/>
    <n v="4.4800000000000004"/>
    <n v="4.09"/>
    <n v="3.84"/>
    <n v="4.2"/>
    <n v="3.64"/>
    <n v="4.04"/>
    <s v="N/A"/>
    <x v="25"/>
    <n v="4.07"/>
    <n v="3.9299999999999997"/>
    <n v="79.118858900000006"/>
    <n v="74.118275550000007"/>
    <n v="79.687961189999996"/>
    <n v="74.495473189999998"/>
    <n v="95.998096649999994"/>
    <n v="76.48486939"/>
    <n v="75.042728990000001"/>
    <n v="62.727195080000001"/>
    <n v="5.0005833499999994"/>
    <n v="5.1924879999999973"/>
    <n v="19.513227259999994"/>
    <n v="12.315533909999999"/>
    <x v="0"/>
    <x v="1"/>
    <x v="1"/>
    <n v="3"/>
    <s v="Dr. Rohan Dutta"/>
  </r>
  <r>
    <s v="STU0975"/>
    <s v="Aayaan Bhargava"/>
    <x v="1"/>
    <n v="29"/>
    <x v="1"/>
    <n v="3.85"/>
    <n v="4.0599999999999996"/>
    <n v="3.67"/>
    <n v="4.03"/>
    <n v="4.3099999999999996"/>
    <n v="3.97"/>
    <n v="4.21"/>
    <n v="3.87"/>
    <n v="3.99"/>
    <n v="4.46"/>
    <x v="482"/>
    <n v="3.98"/>
    <n v="4.0999999999999996"/>
    <n v="93.08768001"/>
    <n v="65.499218690000006"/>
    <n v="85.333486519999994"/>
    <n v="59.49041708"/>
    <n v="88.427606769999997"/>
    <n v="81.435933969999994"/>
    <n v="74.121475790000005"/>
    <n v="54.759103940000003"/>
    <n v="27.588461319999993"/>
    <n v="25.843069439999994"/>
    <n v="6.9916728000000035"/>
    <n v="19.362371850000002"/>
    <x v="0"/>
    <x v="3"/>
    <x v="3"/>
    <n v="3"/>
    <s v="Prof. Kavita Rao"/>
  </r>
  <r>
    <s v="STU0976"/>
    <s v="Charu Marathe"/>
    <x v="1"/>
    <n v="22"/>
    <x v="0"/>
    <n v="4.46"/>
    <n v="4.4000000000000004"/>
    <n v="4.07"/>
    <n v="4.08"/>
    <n v="4.3499999999999996"/>
    <n v="3.81"/>
    <n v="3.85"/>
    <n v="4.0599999999999996"/>
    <n v="4.08"/>
    <n v="3.57"/>
    <x v="483"/>
    <n v="4.2699999999999996"/>
    <n v="3.8739999999999997"/>
    <n v="75.645441500000004"/>
    <n v="67.498117460000003"/>
    <n v="73.870415769999994"/>
    <n v="74.164118149999993"/>
    <n v="85.96341074"/>
    <n v="81.53903407"/>
    <n v="74.389059880000005"/>
    <n v="50"/>
    <n v="8.1473240400000009"/>
    <n v="-0.29370237999999915"/>
    <n v="4.4243766700000009"/>
    <n v="24.389059880000005"/>
    <x v="2"/>
    <x v="4"/>
    <x v="0"/>
    <n v="3"/>
    <s v="Prof. Vikram Gupta"/>
  </r>
  <r>
    <s v="STU0977"/>
    <s v="Manish Nayar"/>
    <x v="1"/>
    <n v="23"/>
    <x v="2"/>
    <n v="3.78"/>
    <n v="4.46"/>
    <n v="4.1399999999999997"/>
    <n v="3.86"/>
    <n v="4.2300000000000004"/>
    <n v="4.2"/>
    <n v="3.95"/>
    <n v="4.3099999999999996"/>
    <n v="4.09"/>
    <n v="3.69"/>
    <x v="370"/>
    <n v="4.09"/>
    <n v="4.048"/>
    <n v="88.944784850000005"/>
    <n v="65.181815619999995"/>
    <n v="77.174198880000006"/>
    <n v="71.549924099999998"/>
    <n v="87.265730970000007"/>
    <n v="81.180249200000006"/>
    <n v="73.520266219999996"/>
    <n v="55.524301690000001"/>
    <n v="23.76296923000001"/>
    <n v="5.6242747800000075"/>
    <n v="6.0854817700000012"/>
    <n v="17.995964529999995"/>
    <x v="0"/>
    <x v="2"/>
    <x v="4"/>
    <n v="3"/>
    <s v="Prof. Rajesh Mukherjee"/>
  </r>
  <r>
    <s v="STU0978"/>
    <s v="Devikka Vohra"/>
    <x v="1"/>
    <n v="29"/>
    <x v="1"/>
    <n v="3.88"/>
    <n v="3.97"/>
    <n v="4.3499999999999996"/>
    <n v="4.5"/>
    <n v="4.1900000000000004"/>
    <s v="N/A"/>
    <n v="3.91"/>
    <n v="3.93"/>
    <n v="4.92"/>
    <n v="3.81"/>
    <x v="411"/>
    <n v="4.18"/>
    <n v="4.1425000000000001"/>
    <n v="86.841782210000005"/>
    <n v="69.058112429999994"/>
    <n v="75.405357129999999"/>
    <n v="65.751546180000005"/>
    <n v="92.228333919999997"/>
    <n v="80.066816939999995"/>
    <n v="71.846028459999999"/>
    <n v="68.273462390000006"/>
    <n v="17.783669780000011"/>
    <n v="9.6538109499999933"/>
    <n v="12.161516980000002"/>
    <n v="3.5725660699999935"/>
    <x v="0"/>
    <x v="0"/>
    <x v="0"/>
    <n v="3"/>
    <s v="Prof. Rahul Singh"/>
  </r>
  <r>
    <s v="STU0979"/>
    <s v="Nnidhi Ganguly"/>
    <x v="1"/>
    <n v="28"/>
    <x v="3"/>
    <n v="4.0999999999999996"/>
    <n v="3.8"/>
    <n v="4.38"/>
    <n v="3.9"/>
    <n v="4.22"/>
    <s v="N/A"/>
    <n v="4.2300000000000004"/>
    <n v="4.28"/>
    <n v="3.73"/>
    <n v="4.47"/>
    <x v="284"/>
    <n v="4.08"/>
    <n v="4.1775000000000002"/>
    <n v="79.552340130000005"/>
    <n v="64.372430780000002"/>
    <n v="85.621689040000007"/>
    <n v="71.061459959999993"/>
    <n v="85.532657270000001"/>
    <n v="78.828594039999999"/>
    <n v="70.906175439999998"/>
    <n v="51.574576729999997"/>
    <n v="15.179909350000003"/>
    <n v="14.560229080000013"/>
    <n v="6.7040632300000027"/>
    <n v="19.331598710000002"/>
    <x v="0"/>
    <x v="1"/>
    <x v="3"/>
    <n v="3"/>
    <s v="Dr. Rohan Dutta"/>
  </r>
  <r>
    <s v="STU0980"/>
    <s v="Riya Goswami"/>
    <x v="0"/>
    <n v="25"/>
    <x v="2"/>
    <n v="3.76"/>
    <n v="4.1900000000000004"/>
    <n v="3.58"/>
    <n v="4.32"/>
    <n v="3.36"/>
    <s v="N/A"/>
    <n v="3.7"/>
    <n v="4.51"/>
    <n v="4.59"/>
    <n v="3.96"/>
    <x v="463"/>
    <n v="3.84"/>
    <n v="4.1900000000000004"/>
    <n v="86.672058910000004"/>
    <n v="68.151527130000005"/>
    <n v="75.979310850000005"/>
    <n v="67.322622080000002"/>
    <n v="82.588883989999999"/>
    <n v="76.938155730000005"/>
    <n v="68.763456649999995"/>
    <n v="61.809997189999997"/>
    <n v="18.520531779999999"/>
    <n v="8.6566887700000024"/>
    <n v="5.650728259999994"/>
    <n v="6.9534594599999977"/>
    <x v="1"/>
    <x v="0"/>
    <x v="0"/>
    <n v="3"/>
    <s v="Prof. Rahul Singh"/>
  </r>
  <r>
    <s v="STU0981"/>
    <s v="Vikram Daasgupta"/>
    <x v="1"/>
    <n v="24"/>
    <x v="2"/>
    <n v="4.18"/>
    <n v="4.54"/>
    <n v="3.96"/>
    <s v="N/A"/>
    <n v="3.8"/>
    <n v="4.5599999999999996"/>
    <n v="3.86"/>
    <n v="4.41"/>
    <n v="4.12"/>
    <n v="4.26"/>
    <x v="359"/>
    <n v="4.12"/>
    <n v="4.242"/>
    <n v="82.374451250000007"/>
    <n v="65.860127489999996"/>
    <n v="79.984811059999998"/>
    <n v="68.148914320000003"/>
    <n v="88.063155440000003"/>
    <n v="77.38181032"/>
    <n v="72.266220090000004"/>
    <n v="63.349375760000001"/>
    <n v="16.514323760000011"/>
    <n v="11.835896739999995"/>
    <n v="10.681345120000003"/>
    <n v="8.9168443300000035"/>
    <x v="0"/>
    <x v="2"/>
    <x v="2"/>
    <n v="3"/>
    <s v="Prof. Rajesh Mukherjee"/>
  </r>
  <r>
    <s v="STU0982"/>
    <s v="Ravi Maarathe"/>
    <x v="1"/>
    <n v="30"/>
    <x v="1"/>
    <n v="4.1399999999999997"/>
    <n v="3.93"/>
    <n v="4.0599999999999996"/>
    <n v="4.33"/>
    <n v="3.54"/>
    <n v="4.12"/>
    <n v="3.21"/>
    <n v="4.21"/>
    <n v="4.5"/>
    <n v="4.18"/>
    <x v="59"/>
    <n v="4"/>
    <n v="4.0439999999999996"/>
    <n v="89.563496580000006"/>
    <n v="70.998300060000005"/>
    <n v="78.871993540000005"/>
    <n v="70.81328164"/>
    <n v="81.641271970000005"/>
    <n v="75.563243080000007"/>
    <n v="65"/>
    <n v="61.230071469999999"/>
    <n v="18.565196520000001"/>
    <n v="8.0587119000000058"/>
    <n v="6.0780288899999988"/>
    <n v="3.7699285300000014"/>
    <x v="0"/>
    <x v="0"/>
    <x v="0"/>
    <n v="3"/>
    <s v="Prof. Rahul Singh"/>
  </r>
  <r>
    <s v="STU0983"/>
    <s v="Ashok Mukherjjee"/>
    <x v="1"/>
    <n v="25"/>
    <x v="2"/>
    <n v="3.97"/>
    <n v="4.4800000000000004"/>
    <n v="3.95"/>
    <n v="4.1500000000000004"/>
    <n v="3.89"/>
    <n v="3.85"/>
    <n v="3.56"/>
    <n v="4.58"/>
    <n v="4.18"/>
    <n v="4.16"/>
    <x v="484"/>
    <n v="4.09"/>
    <n v="4.0660000000000007"/>
    <n v="87.555655340000001"/>
    <n v="65.828988589999994"/>
    <n v="82.798474119999995"/>
    <n v="60.845517579999999"/>
    <n v="84.134377740000005"/>
    <n v="76.238994270000006"/>
    <n v="74.097914470000006"/>
    <n v="57.791229360000003"/>
    <n v="21.726666750000007"/>
    <n v="21.952956539999995"/>
    <n v="7.8953834699999987"/>
    <n v="16.306685110000004"/>
    <x v="0"/>
    <x v="2"/>
    <x v="4"/>
    <n v="3"/>
    <s v="Prof. Rajesh Mukherjee"/>
  </r>
  <r>
    <s v="STU0984"/>
    <s v="Suresh Ahuja"/>
    <x v="1"/>
    <n v="22"/>
    <x v="0"/>
    <n v="4.5599999999999996"/>
    <s v="N/A"/>
    <n v="4.34"/>
    <n v="3.47"/>
    <n v="3.7"/>
    <n v="3.83"/>
    <n v="3.73"/>
    <n v="3.92"/>
    <n v="3.86"/>
    <n v="4.41"/>
    <x v="485"/>
    <n v="4.0199999999999996"/>
    <n v="3.95"/>
    <n v="85.079765629999997"/>
    <n v="79.744664270000001"/>
    <n v="77.523359630000002"/>
    <n v="67.180221810000006"/>
    <n v="81.894477249999994"/>
    <n v="81.11740202"/>
    <n v="73.21699065"/>
    <n v="53.23049177"/>
    <n v="5.3351013599999959"/>
    <n v="10.343137819999995"/>
    <n v="0.77707522999999412"/>
    <n v="19.986498879999999"/>
    <x v="0"/>
    <x v="4"/>
    <x v="3"/>
    <n v="3"/>
    <s v="Prof. Vikram Gupta"/>
  </r>
  <r>
    <s v="STU0985"/>
    <s v="Vishal Jani"/>
    <x v="1"/>
    <n v="28"/>
    <x v="3"/>
    <n v="4.25"/>
    <n v="3.6"/>
    <n v="4.4000000000000004"/>
    <n v="4.47"/>
    <n v="4.3899999999999997"/>
    <n v="3.69"/>
    <n v="3.99"/>
    <n v="3.25"/>
    <n v="3.7"/>
    <n v="4.47"/>
    <x v="312"/>
    <n v="4.22"/>
    <n v="3.8199999999999994"/>
    <n v="87.229316220000001"/>
    <n v="68.226355870000006"/>
    <n v="83.556557589999997"/>
    <n v="74.032717390000002"/>
    <n v="93.007299500000002"/>
    <n v="80.744909519999993"/>
    <n v="65"/>
    <n v="52.829050080000002"/>
    <n v="19.002960349999995"/>
    <n v="9.5238401999999951"/>
    <n v="12.262389980000009"/>
    <n v="12.170949919999998"/>
    <x v="2"/>
    <x v="0"/>
    <x v="3"/>
    <n v="3"/>
    <s v="Prof. Rahul Singh"/>
  </r>
  <r>
    <s v="STU0986"/>
    <s v="Chandan Dhanwade"/>
    <x v="1"/>
    <n v="24"/>
    <x v="2"/>
    <n v="3.95"/>
    <s v="N/A"/>
    <n v="3.91"/>
    <n v="4.21"/>
    <n v="4.29"/>
    <n v="4.01"/>
    <n v="3.46"/>
    <n v="3.6"/>
    <n v="4.34"/>
    <n v="4.4000000000000004"/>
    <x v="176"/>
    <n v="4.09"/>
    <n v="3.9620000000000006"/>
    <n v="84.842227100000002"/>
    <n v="64.816388279999998"/>
    <n v="70"/>
    <n v="63.159785999999997"/>
    <n v="94.7021345"/>
    <n v="70.488226830000002"/>
    <n v="70.430389430000005"/>
    <n v="60.660075159999998"/>
    <n v="20.025838820000004"/>
    <n v="6.8402140000000031"/>
    <n v="24.213907669999998"/>
    <n v="9.7703142700000072"/>
    <x v="0"/>
    <x v="3"/>
    <x v="3"/>
    <n v="3"/>
    <s v="Prof. Kavita Rao"/>
  </r>
  <r>
    <s v="STU0987"/>
    <s v="Sai Kalra"/>
    <x v="0"/>
    <n v="26"/>
    <x v="3"/>
    <n v="4.25"/>
    <n v="3.51"/>
    <n v="4.1100000000000003"/>
    <n v="3.95"/>
    <n v="4.3600000000000003"/>
    <n v="4.03"/>
    <n v="3.08"/>
    <n v="3.63"/>
    <n v="4.68"/>
    <n v="3.89"/>
    <x v="147"/>
    <n v="4.04"/>
    <n v="3.8619999999999997"/>
    <n v="81.473561489999994"/>
    <n v="63.829968409999999"/>
    <n v="79.116284980000003"/>
    <n v="55"/>
    <n v="92.425798139999998"/>
    <n v="73.783531019999998"/>
    <n v="71.689032019999999"/>
    <n v="61.19196436"/>
    <n v="17.643593079999995"/>
    <n v="24.116284980000003"/>
    <n v="18.64226712"/>
    <n v="10.497067659999999"/>
    <x v="0"/>
    <x v="3"/>
    <x v="0"/>
    <n v="3"/>
    <s v="Prof. Kavita Rao"/>
  </r>
  <r>
    <s v="STU0988"/>
    <s v="Esha Lall"/>
    <x v="0"/>
    <n v="25"/>
    <x v="2"/>
    <n v="3.63"/>
    <n v="4.07"/>
    <n v="3.7"/>
    <n v="3.66"/>
    <n v="3.26"/>
    <n v="3.7"/>
    <n v="4.13"/>
    <n v="3.66"/>
    <n v="4.24"/>
    <n v="3.46"/>
    <x v="486"/>
    <n v="3.66"/>
    <n v="3.8380000000000001"/>
    <n v="79.885347719999999"/>
    <n v="68.103036840000001"/>
    <n v="70.055302380000001"/>
    <n v="64.686363279999995"/>
    <n v="94.989947389999998"/>
    <n v="78.908806159999997"/>
    <n v="74.066234780000002"/>
    <n v="59.11126359"/>
    <n v="11.782310879999997"/>
    <n v="5.3689391000000057"/>
    <n v="16.08114123"/>
    <n v="14.954971190000002"/>
    <x v="1"/>
    <x v="2"/>
    <x v="0"/>
    <n v="3"/>
    <s v="Prof. Rajesh Mukherjee"/>
  </r>
  <r>
    <s v="STU0989"/>
    <s v="Harshita Trivedi"/>
    <x v="0"/>
    <n v="21"/>
    <x v="0"/>
    <n v="3.27"/>
    <n v="3.41"/>
    <n v="4.0599999999999996"/>
    <n v="3.5"/>
    <n v="3.82"/>
    <n v="4.16"/>
    <n v="3.42"/>
    <n v="4.25"/>
    <n v="4.0199999999999996"/>
    <n v="3.59"/>
    <x v="487"/>
    <n v="3.61"/>
    <n v="3.8879999999999995"/>
    <n v="95.225537509999995"/>
    <n v="60"/>
    <n v="70"/>
    <n v="62.922517419999998"/>
    <n v="90.560321049999999"/>
    <n v="81.473536530000004"/>
    <n v="77.334639370000005"/>
    <n v="50"/>
    <n v="35.225537509999995"/>
    <n v="7.0774825800000016"/>
    <n v="9.0867845199999948"/>
    <n v="27.334639370000005"/>
    <x v="1"/>
    <x v="1"/>
    <x v="4"/>
    <n v="3"/>
    <s v="Dr. Rohan Dutta"/>
  </r>
  <r>
    <s v="STU0990"/>
    <s v="Suresh Kaushik"/>
    <x v="1"/>
    <n v="21"/>
    <x v="0"/>
    <n v="3.88"/>
    <n v="3.82"/>
    <n v="3.57"/>
    <n v="3.96"/>
    <n v="4.2"/>
    <n v="3.74"/>
    <n v="4.46"/>
    <n v="4.1100000000000003"/>
    <n v="4.6500000000000004"/>
    <n v="4.07"/>
    <x v="140"/>
    <n v="3.89"/>
    <n v="4.2060000000000004"/>
    <n v="85.55007938"/>
    <n v="64.464542570000006"/>
    <n v="83.362111100000007"/>
    <n v="68.415279279999993"/>
    <n v="93.820875430000001"/>
    <n v="72.989507090000004"/>
    <n v="71.347955780000007"/>
    <n v="60.418441479999998"/>
    <n v="21.085536809999994"/>
    <n v="14.946831820000014"/>
    <n v="20.831368339999997"/>
    <n v="10.929514300000008"/>
    <x v="1"/>
    <x v="3"/>
    <x v="0"/>
    <n v="3"/>
    <s v="Prof. Kavita Rao"/>
  </r>
  <r>
    <s v="STU0991"/>
    <s v="Vikram Verma"/>
    <x v="1"/>
    <n v="23"/>
    <x v="2"/>
    <n v="4.0999999999999996"/>
    <n v="4.38"/>
    <n v="4.04"/>
    <n v="4.28"/>
    <n v="3.92"/>
    <n v="3.8"/>
    <n v="3.59"/>
    <s v="N/A"/>
    <n v="4.0999999999999996"/>
    <n v="3.63"/>
    <x v="241"/>
    <n v="4.1399999999999997"/>
    <n v="3.7799999999999994"/>
    <n v="77.180176059999994"/>
    <n v="67.563918560000005"/>
    <n v="75.051358649999997"/>
    <n v="64.925183140000001"/>
    <n v="99.9"/>
    <n v="71.559298720000001"/>
    <n v="71.42286077"/>
    <n v="58.24846024"/>
    <n v="9.616257499999989"/>
    <n v="10.126175509999996"/>
    <n v="28.340701280000005"/>
    <n v="13.17440053"/>
    <x v="0"/>
    <x v="2"/>
    <x v="0"/>
    <n v="3"/>
    <s v="Prof. Rajesh Mukherjee"/>
  </r>
  <r>
    <s v="STU0992"/>
    <s v="Ritika Iyer"/>
    <x v="0"/>
    <n v="24"/>
    <x v="2"/>
    <n v="4.12"/>
    <n v="4.22"/>
    <n v="4"/>
    <n v="4.1900000000000004"/>
    <n v="3.3"/>
    <n v="3.89"/>
    <n v="4.21"/>
    <n v="4.09"/>
    <n v="3.98"/>
    <n v="4.1500000000000004"/>
    <x v="168"/>
    <n v="3.97"/>
    <n v="4.0640000000000001"/>
    <n v="99.9"/>
    <n v="66.957534699999997"/>
    <n v="79.154470739999994"/>
    <n v="63.616989160000003"/>
    <n v="83.647541380000007"/>
    <n v="78.928119730000006"/>
    <n v="67.958598519999995"/>
    <n v="66.850540330000001"/>
    <n v="32.942465300000009"/>
    <n v="15.537481579999991"/>
    <n v="4.719421650000001"/>
    <n v="1.1080581899999942"/>
    <x v="0"/>
    <x v="2"/>
    <x v="1"/>
    <n v="3"/>
    <s v="Prof. Rajesh Mukherjee"/>
  </r>
  <r>
    <s v="STU0993"/>
    <s v="Vipul Jindal"/>
    <x v="1"/>
    <n v="23"/>
    <x v="2"/>
    <n v="3.93"/>
    <n v="3.87"/>
    <s v="N/A"/>
    <n v="4.8899999999999997"/>
    <n v="4.13"/>
    <n v="4.76"/>
    <n v="4.0599999999999996"/>
    <n v="3.98"/>
    <n v="4.5999999999999996"/>
    <n v="3.52"/>
    <x v="488"/>
    <n v="4.21"/>
    <n v="4.1839999999999993"/>
    <n v="86.395310420000001"/>
    <n v="64.976686999999998"/>
    <n v="87.421628470000002"/>
    <n v="55"/>
    <n v="85.188812279999993"/>
    <n v="79.277684719999996"/>
    <n v="68.722574809999998"/>
    <n v="70"/>
    <n v="21.418623420000003"/>
    <n v="32.421628470000002"/>
    <n v="5.9111275599999971"/>
    <n v="-1.2774251900000024"/>
    <x v="2"/>
    <x v="0"/>
    <x v="2"/>
    <n v="3"/>
    <s v="Prof. Rahul Singh"/>
  </r>
  <r>
    <s v="STU0994"/>
    <s v="Shreeya Barua"/>
    <x v="1"/>
    <n v="30"/>
    <x v="1"/>
    <n v="4.6900000000000004"/>
    <n v="4.1500000000000004"/>
    <n v="4.18"/>
    <n v="3.88"/>
    <n v="4.38"/>
    <n v="4.1500000000000004"/>
    <n v="4.22"/>
    <n v="4.57"/>
    <n v="3.91"/>
    <n v="3.96"/>
    <x v="445"/>
    <n v="4.26"/>
    <n v="4.1620000000000008"/>
    <n v="79.259458559999999"/>
    <n v="63.223799079999999"/>
    <n v="73.814046610000005"/>
    <n v="62.497715599999999"/>
    <n v="82.023054880000004"/>
    <n v="82.781914490000005"/>
    <n v="70.874684299999998"/>
    <n v="50"/>
    <n v="16.03565948"/>
    <n v="11.316331010000006"/>
    <n v="-0.75885961000000179"/>
    <n v="20.874684299999998"/>
    <x v="2"/>
    <x v="4"/>
    <x v="4"/>
    <n v="3"/>
    <s v="Prof. Vikram Gupta"/>
  </r>
  <r>
    <s v="STU0995"/>
    <s v="Sonali Dasari"/>
    <x v="0"/>
    <n v="27"/>
    <x v="3"/>
    <n v="4.49"/>
    <n v="3.78"/>
    <n v="4.4400000000000004"/>
    <n v="4.42"/>
    <n v="4.32"/>
    <n v="4.3"/>
    <n v="3.63"/>
    <n v="3.72"/>
    <n v="3.97"/>
    <n v="4.24"/>
    <x v="489"/>
    <n v="4.29"/>
    <n v="3.972"/>
    <n v="84.838538139999997"/>
    <n v="60"/>
    <n v="81.961262450000007"/>
    <n v="62.087274999999998"/>
    <n v="94.621624729999994"/>
    <n v="85"/>
    <n v="74.567013320000001"/>
    <n v="59.238444479999998"/>
    <n v="24.838538139999997"/>
    <n v="19.873987450000008"/>
    <n v="9.6216247299999935"/>
    <n v="15.328568840000003"/>
    <x v="2"/>
    <x v="4"/>
    <x v="2"/>
    <n v="3"/>
    <s v="Prof. Vikram Gupta"/>
  </r>
  <r>
    <s v="STU0996"/>
    <s v="Jayantt Dasari"/>
    <x v="1"/>
    <n v="21"/>
    <x v="0"/>
    <n v="3.89"/>
    <s v="N/A"/>
    <n v="4.32"/>
    <n v="4.28"/>
    <n v="4.63"/>
    <n v="4.08"/>
    <n v="3.54"/>
    <n v="4.42"/>
    <n v="3.58"/>
    <n v="4.66"/>
    <x v="490"/>
    <n v="4.28"/>
    <n v="4.056"/>
    <n v="99.9"/>
    <n v="69.851008989999997"/>
    <n v="72.993381569999997"/>
    <n v="65.170470179999995"/>
    <n v="95.142453750000001"/>
    <n v="76.428621329999999"/>
    <n v="66.073316879999993"/>
    <n v="54.711016149999999"/>
    <n v="30.048991010000009"/>
    <n v="7.8229113900000016"/>
    <n v="18.713832420000003"/>
    <n v="11.362300729999994"/>
    <x v="2"/>
    <x v="3"/>
    <x v="3"/>
    <n v="3"/>
    <s v="Prof. Kavita Rao"/>
  </r>
  <r>
    <s v="STU0997"/>
    <s v="Abhishek Lamba"/>
    <x v="1"/>
    <n v="21"/>
    <x v="0"/>
    <n v="4.49"/>
    <n v="3.9"/>
    <n v="4.1100000000000003"/>
    <n v="4.54"/>
    <n v="3.71"/>
    <n v="3.58"/>
    <n v="4.09"/>
    <n v="4.01"/>
    <n v="4.55"/>
    <n v="3.93"/>
    <x v="108"/>
    <n v="4.1500000000000004"/>
    <n v="4.032"/>
    <n v="88.632896329999994"/>
    <n v="75.536347899999996"/>
    <n v="74.657704440000003"/>
    <n v="61.294281949999998"/>
    <n v="95.608831480000006"/>
    <n v="77.470533219999993"/>
    <n v="71.978908739999994"/>
    <n v="55.433689790000003"/>
    <n v="13.096548429999999"/>
    <n v="13.363422490000005"/>
    <n v="18.138298260000013"/>
    <n v="16.545218949999992"/>
    <x v="0"/>
    <x v="0"/>
    <x v="0"/>
    <n v="3"/>
    <s v="Prof. Rahul Singh"/>
  </r>
  <r>
    <s v="STU0998"/>
    <s v="Omkar Joshi"/>
    <x v="1"/>
    <n v="21"/>
    <x v="0"/>
    <n v="4.2"/>
    <n v="4.24"/>
    <n v="3.9"/>
    <n v="3.98"/>
    <n v="4.33"/>
    <n v="4.46"/>
    <n v="4.0599999999999996"/>
    <n v="3.94"/>
    <n v="4.26"/>
    <n v="3.44"/>
    <x v="273"/>
    <n v="4.13"/>
    <n v="4.032"/>
    <n v="80.272288329999995"/>
    <n v="60"/>
    <n v="90"/>
    <n v="67.905659249999999"/>
    <n v="91.599761130000005"/>
    <n v="78.67957389"/>
    <n v="71.660910950000002"/>
    <n v="70"/>
    <n v="20.272288329999995"/>
    <n v="22.094340750000001"/>
    <n v="12.920187240000004"/>
    <n v="1.6609109500000017"/>
    <x v="0"/>
    <x v="3"/>
    <x v="2"/>
    <n v="3"/>
    <s v="Prof. Kavita Rao"/>
  </r>
  <r>
    <s v="STU0999"/>
    <s v="Navneet Duggal"/>
    <x v="1"/>
    <n v="24"/>
    <x v="2"/>
    <n v="3.61"/>
    <n v="3.65"/>
    <n v="3.88"/>
    <n v="4.1500000000000004"/>
    <n v="3.87"/>
    <n v="4.03"/>
    <n v="4.22"/>
    <n v="3.61"/>
    <n v="3.57"/>
    <n v="4.5999999999999996"/>
    <x v="491"/>
    <n v="3.83"/>
    <n v="4.0060000000000002"/>
    <n v="84.87266606"/>
    <n v="71.227290010000004"/>
    <n v="70.121949849999993"/>
    <n v="57.136156030000002"/>
    <n v="89.17802476"/>
    <n v="74.777396190000005"/>
    <n v="71.474869870000006"/>
    <n v="63.637861630000003"/>
    <n v="13.645376049999996"/>
    <n v="12.985793819999991"/>
    <n v="14.400628569999995"/>
    <n v="7.837008240000003"/>
    <x v="1"/>
    <x v="0"/>
    <x v="3"/>
    <n v="3"/>
    <s v="Prof. Rahul Singh"/>
  </r>
  <r>
    <s v="STU1000"/>
    <s v="Nikhil Srivastava"/>
    <x v="1"/>
    <n v="23"/>
    <x v="2"/>
    <n v="3.78"/>
    <n v="4.05"/>
    <n v="3.56"/>
    <s v="N/A"/>
    <n v="4.0199999999999996"/>
    <n v="4.33"/>
    <n v="4.1100000000000003"/>
    <n v="3.77"/>
    <n v="4.1100000000000003"/>
    <n v="4"/>
    <x v="492"/>
    <n v="3.85"/>
    <n v="4.0640000000000001"/>
    <n v="93.688809079999999"/>
    <n v="76.57402372"/>
    <n v="81.297223340000002"/>
    <n v="70.948612080000004"/>
    <n v="95.914821119999999"/>
    <n v="80.281026830000002"/>
    <n v="66.579494830000002"/>
    <n v="50"/>
    <n v="17.114785359999999"/>
    <n v="10.348611259999998"/>
    <n v="15.633794289999997"/>
    <n v="16.579494830000002"/>
    <x v="1"/>
    <x v="2"/>
    <x v="2"/>
    <n v="3"/>
    <s v="Prof. Rajesh Mukherjee"/>
  </r>
  <r>
    <s v="STU1001"/>
    <s v="Neetu Mondal"/>
    <x v="0"/>
    <n v="25"/>
    <x v="2"/>
    <n v="4.59"/>
    <n v="3.79"/>
    <n v="3.6"/>
    <n v="4.1399999999999997"/>
    <n v="3.71"/>
    <n v="4.45"/>
    <n v="4.51"/>
    <n v="3.67"/>
    <n v="4.08"/>
    <n v="3.94"/>
    <x v="183"/>
    <n v="3.97"/>
    <n v="4.1300000000000008"/>
    <n v="75.008568999999994"/>
    <n v="89.584100000000007"/>
    <n v="78.259630000000001"/>
    <n v="78.123547000000002"/>
    <n v="88.453366000000003"/>
    <n v="70.256986999999995"/>
    <n v="82.123689999999996"/>
    <n v="97"/>
    <n v="-14.575531000000012"/>
    <n v="0.13608299999999929"/>
    <n v="18.196379000000007"/>
    <n v="-14.876310000000004"/>
    <x v="0"/>
    <x v="4"/>
    <x v="1"/>
    <n v="3"/>
    <s v="Prof. Vikram Gupta"/>
  </r>
  <r>
    <s v="STU1002"/>
    <s v="Divya Kumari"/>
    <x v="0"/>
    <n v="28"/>
    <x v="3"/>
    <n v="4"/>
    <n v="3.98"/>
    <n v="3.79"/>
    <n v="3.1"/>
    <n v="3.62"/>
    <n v="3.98"/>
    <n v="3.58"/>
    <n v="4.59"/>
    <n v="3.63"/>
    <n v="4.41"/>
    <x v="493"/>
    <n v="3.7"/>
    <n v="4.0380000000000003"/>
    <n v="85.456199999999995"/>
    <n v="74.985619999999997"/>
    <n v="87.145690000000002"/>
    <n v="70.458320000000001"/>
    <n v="82.147599999999997"/>
    <n v="95"/>
    <n v="89.214500000000001"/>
    <n v="78.214556000000002"/>
    <n v="10.470579999999998"/>
    <n v="16.687370000000001"/>
    <n v="-12.852400000000003"/>
    <n v="10.999943999999999"/>
    <x v="1"/>
    <x v="4"/>
    <x v="4"/>
    <n v="3"/>
    <s v="Prof. Vikram Gupt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s v="T006"/>
    <s v="Prof. Vikram Gupta"/>
    <s v="Database Systems"/>
    <x v="0"/>
    <s v="DBMS"/>
    <n v="15"/>
    <s v="Senior"/>
    <x v="0"/>
  </r>
  <r>
    <s v="T010"/>
    <s v="Prof. Rahul Singh"/>
    <s v="Operating Systems"/>
    <x v="1"/>
    <s v="Operating Systems"/>
    <n v="13"/>
    <s v="Senior"/>
    <x v="0"/>
  </r>
  <r>
    <s v="T001"/>
    <s v="Dr. Ananya Sharma"/>
    <s v="Computer Science"/>
    <x v="0"/>
    <s v="Data Structures"/>
    <n v="12"/>
    <s v="Senior"/>
    <x v="1"/>
  </r>
  <r>
    <s v="T014"/>
    <s v="Prof. Kavita Rao"/>
    <s v="Data Science"/>
    <x v="2"/>
    <s v="Data Analytics"/>
    <n v="12"/>
    <s v="Senior"/>
    <x v="1"/>
  </r>
  <r>
    <s v="T005"/>
    <s v="Dr. Sneha Iyer"/>
    <s v="Cyber Security"/>
    <x v="1"/>
    <s v="Cyber Security"/>
    <n v="11"/>
    <s v="Mid"/>
    <x v="1"/>
  </r>
  <r>
    <s v="T013"/>
    <s v="Dr. Rohan Dutta"/>
    <s v="Software Engineering"/>
    <x v="3"/>
    <s v="Software Engineering"/>
    <n v="11"/>
    <s v="Mid"/>
    <x v="1"/>
  </r>
  <r>
    <s v="T002"/>
    <s v="Prof. Rajesh Mukherjee"/>
    <s v="Artificial Intelligence"/>
    <x v="4"/>
    <s v="Machine Learning"/>
    <n v="10"/>
    <s v="Mid"/>
    <x v="1"/>
  </r>
  <r>
    <s v="T011"/>
    <s v="Dr. Arjun Sen"/>
    <s v="Computer Science"/>
    <x v="0"/>
    <s v="Data Structures"/>
    <n v="10"/>
    <s v="Mid"/>
    <x v="1"/>
  </r>
  <r>
    <s v="T004"/>
    <s v="Prof. Amit Chatterjee"/>
    <s v="Data Science"/>
    <x v="2"/>
    <s v="Data Analytics"/>
    <n v="9"/>
    <s v="Mid"/>
    <x v="1"/>
  </r>
  <r>
    <s v="T008"/>
    <s v="Prof. Karan Bose"/>
    <s v="Cloud Computing"/>
    <x v="3"/>
    <s v="Cloud Computing"/>
    <n v="9"/>
    <s v="Mid"/>
    <x v="1"/>
  </r>
  <r>
    <s v="T015"/>
    <s v="Dr. Sandeep Roy"/>
    <s v="Cyber Security"/>
    <x v="1"/>
    <s v="Cyber Security"/>
    <n v="9"/>
    <s v="Mid"/>
    <x v="1"/>
  </r>
  <r>
    <s v="T003"/>
    <s v="Dr. Priya Nair"/>
    <s v="Software Engineering"/>
    <x v="3"/>
    <s v="Software Engineering"/>
    <n v="8"/>
    <s v="Mid"/>
    <x v="1"/>
  </r>
  <r>
    <s v="T012"/>
    <s v="Prof. Neha Verma"/>
    <s v="Artificial Intelligence"/>
    <x v="4"/>
    <s v="Machine Learning"/>
    <n v="8"/>
    <s v="Mid"/>
    <x v="1"/>
  </r>
  <r>
    <s v="T007"/>
    <s v="Dr. Meera Kapoor"/>
    <s v="Software Engineering"/>
    <x v="4"/>
    <s v="Software Engineering"/>
    <n v="7"/>
    <s v="Junior"/>
    <x v="2"/>
  </r>
  <r>
    <s v="T009"/>
    <s v="Dr. Nandini Das"/>
    <s v="Networking"/>
    <x v="2"/>
    <s v="Computer Networks"/>
    <n v="6"/>
    <s v="Junior"/>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84.4"/>
    <n v="69.959999999999994"/>
  </r>
  <r>
    <x v="1"/>
    <n v="80.349999999999994"/>
    <n v="64.819999999999993"/>
  </r>
  <r>
    <x v="2"/>
    <n v="90.32"/>
    <n v="75.510000000000005"/>
  </r>
  <r>
    <x v="3"/>
    <n v="73.63"/>
    <n v="60.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CB63CB-C402-4C23-9327-54217DBE75C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G10" firstHeaderRow="1" firstDataRow="3" firstDataCol="1"/>
  <pivotFields count="35">
    <pivotField showAll="0"/>
    <pivotField showAll="0"/>
    <pivotField axis="axisCol" showAll="0">
      <items count="3">
        <item x="0"/>
        <item x="1"/>
        <item t="default"/>
      </items>
    </pivotField>
    <pivotField showAll="0"/>
    <pivotField axis="axisRow"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x="2"/>
        <item x="1"/>
        <item x="0"/>
        <item t="default"/>
      </items>
    </pivotField>
    <pivotField showAll="0"/>
    <pivotField showAll="0"/>
    <pivotField showAll="0"/>
    <pivotField showAll="0"/>
  </pivotFields>
  <rowFields count="1">
    <field x="4"/>
  </rowFields>
  <rowItems count="5">
    <i>
      <x/>
    </i>
    <i>
      <x v="1"/>
    </i>
    <i>
      <x v="2"/>
    </i>
    <i>
      <x v="3"/>
    </i>
    <i t="grand">
      <x/>
    </i>
  </rowItems>
  <colFields count="2">
    <field x="2"/>
    <field x="-2"/>
  </colFields>
  <colItems count="6">
    <i>
      <x/>
      <x/>
    </i>
    <i r="1" i="1">
      <x v="1"/>
    </i>
    <i>
      <x v="1"/>
      <x/>
    </i>
    <i r="1" i="1">
      <x v="1"/>
    </i>
    <i t="grand">
      <x/>
    </i>
    <i t="grand" i="1">
      <x/>
    </i>
  </colItems>
  <dataFields count="2">
    <dataField name="Average of Overall Effectiveness" fld="15" subtotal="average" baseField="4" baseItem="0" numFmtId="2"/>
    <dataField name="Average of Overall Engagement" fld="17" subtotal="average" baseField="4" baseItem="0" numFmtId="2"/>
  </dataFields>
  <chartFormats count="8">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1"/>
          </reference>
          <reference field="2" count="1" selected="0">
            <x v="0"/>
          </reference>
        </references>
      </pivotArea>
    </chartFormat>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1"/>
          </reference>
          <reference field="2" count="1" selected="0">
            <x v="1"/>
          </reference>
        </references>
      </pivotArea>
    </chartFormat>
    <chartFormat chart="12" format="12" series="1">
      <pivotArea type="data" outline="0" fieldPosition="0">
        <references count="2">
          <reference field="4294967294" count="1" selected="0">
            <x v="0"/>
          </reference>
          <reference field="2" count="1" selected="0">
            <x v="0"/>
          </reference>
        </references>
      </pivotArea>
    </chartFormat>
    <chartFormat chart="12" format="13" series="1">
      <pivotArea type="data" outline="0" fieldPosition="0">
        <references count="2">
          <reference field="4294967294" count="1" selected="0">
            <x v="1"/>
          </reference>
          <reference field="2" count="1" selected="0">
            <x v="0"/>
          </reference>
        </references>
      </pivotArea>
    </chartFormat>
    <chartFormat chart="12" format="14" series="1">
      <pivotArea type="data" outline="0" fieldPosition="0">
        <references count="2">
          <reference field="4294967294" count="1" selected="0">
            <x v="0"/>
          </reference>
          <reference field="2" count="1" selected="0">
            <x v="1"/>
          </reference>
        </references>
      </pivotArea>
    </chartFormat>
    <chartFormat chart="12" format="15" series="1">
      <pivotArea type="data" outline="0" fieldPosition="0">
        <references count="2">
          <reference field="4294967294"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E6DC4C-FD7F-44D8-A7FA-B1716001926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E8" firstHeaderRow="0" firstDataRow="1" firstDataCol="1"/>
  <pivotFields count="35">
    <pivotField showAll="0"/>
    <pivotField showAll="0"/>
    <pivotField showAll="0">
      <items count="3">
        <item x="0"/>
        <item x="1"/>
        <item t="default"/>
      </items>
    </pivotField>
    <pivotField showAll="0"/>
    <pivotField axis="axisRow"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showAll="0">
      <items count="4">
        <item x="2"/>
        <item x="1"/>
        <item x="0"/>
        <item t="default"/>
      </items>
    </pivotField>
    <pivotField showAll="0"/>
    <pivotField showAll="0"/>
    <pivotField showAll="0"/>
    <pivotField showAll="0"/>
  </pivotFields>
  <rowFields count="1">
    <field x="4"/>
  </rowFields>
  <rowItems count="5">
    <i>
      <x/>
    </i>
    <i>
      <x v="1"/>
    </i>
    <i>
      <x v="2"/>
    </i>
    <i>
      <x v="3"/>
    </i>
    <i t="grand">
      <x/>
    </i>
  </rowItems>
  <colFields count="1">
    <field x="-2"/>
  </colFields>
  <colItems count="4">
    <i>
      <x/>
    </i>
    <i i="1">
      <x v="1"/>
    </i>
    <i i="2">
      <x v="2"/>
    </i>
    <i i="3">
      <x v="3"/>
    </i>
  </colItems>
  <dataFields count="4">
    <dataField name="Average of Engagement Lift" fld="26" subtotal="average" baseField="4" baseItem="0" numFmtId="2"/>
    <dataField name="Average of Motivation Lift" fld="27" subtotal="average" baseField="4" baseItem="0" numFmtId="2"/>
    <dataField name="Average of Participation Lift" fld="28" subtotal="average" baseField="4" baseItem="0" numFmtId="2"/>
    <dataField name="Average of Learning Outcomes Lift" fld="29" subtotal="average" baseField="4" baseItem="0" numFmtId="2"/>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061F34-DFBF-4B84-B2D7-EB35B1C7CB4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E6" firstHeaderRow="0" firstDataRow="1" firstDataCol="1"/>
  <pivotFields count="35">
    <pivotField showAll="0"/>
    <pivotField showAll="0"/>
    <pivotField axis="axisRow"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showAll="0">
      <items count="4">
        <item x="2"/>
        <item x="1"/>
        <item x="0"/>
        <item t="default"/>
      </items>
    </pivotField>
    <pivotField showAll="0"/>
    <pivotField showAll="0"/>
    <pivotField showAll="0"/>
    <pivotField showAll="0"/>
  </pivotFields>
  <rowFields count="1">
    <field x="2"/>
  </rowFields>
  <rowItems count="3">
    <i>
      <x/>
    </i>
    <i>
      <x v="1"/>
    </i>
    <i t="grand">
      <x/>
    </i>
  </rowItems>
  <colFields count="1">
    <field x="-2"/>
  </colFields>
  <colItems count="4">
    <i>
      <x/>
    </i>
    <i i="1">
      <x v="1"/>
    </i>
    <i i="2">
      <x v="2"/>
    </i>
    <i i="3">
      <x v="3"/>
    </i>
  </colItems>
  <dataFields count="4">
    <dataField name="Average of Engagement Lift" fld="26" subtotal="average" baseField="2" baseItem="0" numFmtId="2"/>
    <dataField name="Average of Motivation Lift" fld="27" subtotal="average" baseField="2" baseItem="0" numFmtId="2"/>
    <dataField name="Average of Participation Lift" fld="28" subtotal="average" baseField="2" baseItem="0" numFmtId="2"/>
    <dataField name="Average of Learning Outcomes Lift" fld="29" subtotal="average" baseField="2" baseItem="0" numFmtId="2"/>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711EB3-D33E-4F3A-8450-48C094488D7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13" firstHeaderRow="1" firstDataRow="1" firstDataCol="1"/>
  <pivotFields count="35">
    <pivotField showAll="0"/>
    <pivotField dataField="1" showAll="0"/>
    <pivotField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axis="axisRow" numFmtId="2" showAll="0" avgSubtotal="1">
      <items count="12">
        <item x="0"/>
        <item x="1"/>
        <item x="2"/>
        <item x="3"/>
        <item x="4"/>
        <item x="5"/>
        <item x="6"/>
        <item x="7"/>
        <item x="8"/>
        <item x="9"/>
        <item x="10"/>
        <item t="avg"/>
      </items>
    </pivotField>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x="2"/>
        <item x="1"/>
        <item x="0"/>
        <item t="default"/>
      </items>
    </pivotField>
    <pivotField showAll="0"/>
    <pivotField showAll="0"/>
    <pivotField showAll="0"/>
    <pivotField showAll="0"/>
  </pivotFields>
  <rowFields count="1">
    <field x="15"/>
  </rowFields>
  <rowItems count="10">
    <i>
      <x v="1"/>
    </i>
    <i>
      <x v="2"/>
    </i>
    <i>
      <x v="3"/>
    </i>
    <i>
      <x v="4"/>
    </i>
    <i>
      <x v="5"/>
    </i>
    <i>
      <x v="6"/>
    </i>
    <i>
      <x v="7"/>
    </i>
    <i>
      <x v="8"/>
    </i>
    <i>
      <x v="9"/>
    </i>
    <i t="grand">
      <x/>
    </i>
  </rowItems>
  <colItems count="1">
    <i/>
  </colItems>
  <dataFields count="1">
    <dataField name="Count of Student Name" fld="1" subtotal="count"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325C6A-7358-4E56-8BA3-F6505F7F37E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rowHeaderCaption="Teaching Method">
  <location ref="A3:B9" firstHeaderRow="1" firstDataRow="1" firstDataCol="1"/>
  <pivotFields count="35">
    <pivotField showAll="0"/>
    <pivotField dataField="1" showAll="0"/>
    <pivotField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x="2"/>
        <item x="1"/>
        <item x="0"/>
        <item t="default"/>
      </items>
    </pivotField>
    <pivotField axis="axisRow" showAll="0">
      <items count="6">
        <item x="2"/>
        <item x="0"/>
        <item x="1"/>
        <item x="4"/>
        <item x="3"/>
        <item t="default"/>
      </items>
    </pivotField>
    <pivotField showAll="0"/>
    <pivotField showAll="0"/>
    <pivotField showAll="0"/>
  </pivotFields>
  <rowFields count="1">
    <field x="31"/>
  </rowFields>
  <rowItems count="6">
    <i>
      <x/>
    </i>
    <i>
      <x v="1"/>
    </i>
    <i>
      <x v="2"/>
    </i>
    <i>
      <x v="3"/>
    </i>
    <i>
      <x v="4"/>
    </i>
    <i t="grand">
      <x/>
    </i>
  </rowItems>
  <colItems count="1">
    <i/>
  </colItems>
  <dataFields count="1">
    <dataField name="Best by Effectiveness (Count)" fld="1" subtotal="count" baseField="31" baseItem="0"/>
  </dataFields>
  <chartFormats count="2">
    <chartFormat chart="0" format="6"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7E88C8-4120-445B-9314-C3C0027393A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Teaching Method">
  <location ref="A3:B9" firstHeaderRow="1" firstDataRow="1" firstDataCol="1"/>
  <pivotFields count="35">
    <pivotField showAll="0"/>
    <pivotField dataField="1" showAll="0"/>
    <pivotField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x="2"/>
        <item x="1"/>
        <item x="0"/>
        <item t="default"/>
      </items>
    </pivotField>
    <pivotField showAll="0"/>
    <pivotField axis="axisRow" showAll="0">
      <items count="6">
        <item x="1"/>
        <item x="0"/>
        <item x="4"/>
        <item x="2"/>
        <item x="3"/>
        <item t="default"/>
      </items>
    </pivotField>
    <pivotField showAll="0"/>
    <pivotField showAll="0"/>
  </pivotFields>
  <rowFields count="1">
    <field x="32"/>
  </rowFields>
  <rowItems count="6">
    <i>
      <x/>
    </i>
    <i>
      <x v="1"/>
    </i>
    <i>
      <x v="2"/>
    </i>
    <i>
      <x v="3"/>
    </i>
    <i>
      <x v="4"/>
    </i>
    <i t="grand">
      <x/>
    </i>
  </rowItems>
  <colItems count="1">
    <i/>
  </colItems>
  <dataFields count="1">
    <dataField name="Best by Engagement (Count)" fld="1" subtotal="count" baseField="32"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F276CD-37EE-498D-A02C-F33465CB9AB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E7" firstHeaderRow="0" firstDataRow="1" firstDataCol="1"/>
  <pivotFields count="35">
    <pivotField showAll="0"/>
    <pivotField showAll="0"/>
    <pivotField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axis="axisRow" showAll="0">
      <items count="4">
        <item x="2"/>
        <item x="1"/>
        <item x="0"/>
        <item t="default"/>
      </items>
    </pivotField>
    <pivotField showAll="0"/>
    <pivotField showAll="0"/>
    <pivotField showAll="0"/>
    <pivotField showAll="0"/>
  </pivotFields>
  <rowFields count="1">
    <field x="30"/>
  </rowFields>
  <rowItems count="4">
    <i>
      <x/>
    </i>
    <i>
      <x v="1"/>
    </i>
    <i>
      <x v="2"/>
    </i>
    <i t="grand">
      <x/>
    </i>
  </rowItems>
  <colFields count="1">
    <field x="-2"/>
  </colFields>
  <colItems count="4">
    <i>
      <x/>
    </i>
    <i i="1">
      <x v="1"/>
    </i>
    <i i="2">
      <x v="2"/>
    </i>
    <i i="3">
      <x v="3"/>
    </i>
  </colItems>
  <dataFields count="4">
    <dataField name="Average of Engagement Lift" fld="26" subtotal="average" baseField="30" baseItem="0" numFmtId="2"/>
    <dataField name="Average of Motivation Lift" fld="27" subtotal="average" baseField="30" baseItem="0" numFmtId="2"/>
    <dataField name="Average of Participation Lift" fld="28" subtotal="average" baseField="30" baseItem="0" numFmtId="2"/>
    <dataField name="Average of Learning Outcomes Lift" fld="29" subtotal="average" baseField="30" baseItem="0" numFmtId="2"/>
  </dataFields>
  <chartFormats count="3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16">
      <pivotArea type="data" outline="0" fieldPosition="0">
        <references count="2">
          <reference field="4294967294" count="1" selected="0">
            <x v="0"/>
          </reference>
          <reference field="30" count="1" selected="0">
            <x v="0"/>
          </reference>
        </references>
      </pivotArea>
    </chartFormat>
    <chartFormat chart="0" format="17">
      <pivotArea type="data" outline="0" fieldPosition="0">
        <references count="2">
          <reference field="4294967294" count="1" selected="0">
            <x v="0"/>
          </reference>
          <reference field="30" count="1" selected="0">
            <x v="1"/>
          </reference>
        </references>
      </pivotArea>
    </chartFormat>
    <chartFormat chart="0" format="18">
      <pivotArea type="data" outline="0" fieldPosition="0">
        <references count="2">
          <reference field="4294967294" count="1" selected="0">
            <x v="0"/>
          </reference>
          <reference field="30" count="1" selected="0">
            <x v="2"/>
          </reference>
        </references>
      </pivotArea>
    </chartFormat>
    <chartFormat chart="0" format="19">
      <pivotArea type="data" outline="0" fieldPosition="0">
        <references count="2">
          <reference field="4294967294" count="1" selected="0">
            <x v="1"/>
          </reference>
          <reference field="30" count="1" selected="0">
            <x v="0"/>
          </reference>
        </references>
      </pivotArea>
    </chartFormat>
    <chartFormat chart="0" format="20">
      <pivotArea type="data" outline="0" fieldPosition="0">
        <references count="2">
          <reference field="4294967294" count="1" selected="0">
            <x v="1"/>
          </reference>
          <reference field="30" count="1" selected="0">
            <x v="1"/>
          </reference>
        </references>
      </pivotArea>
    </chartFormat>
    <chartFormat chart="0" format="21">
      <pivotArea type="data" outline="0" fieldPosition="0">
        <references count="2">
          <reference field="4294967294" count="1" selected="0">
            <x v="1"/>
          </reference>
          <reference field="30" count="1" selected="0">
            <x v="2"/>
          </reference>
        </references>
      </pivotArea>
    </chartFormat>
    <chartFormat chart="0" format="22">
      <pivotArea type="data" outline="0" fieldPosition="0">
        <references count="2">
          <reference field="4294967294" count="1" selected="0">
            <x v="2"/>
          </reference>
          <reference field="30" count="1" selected="0">
            <x v="0"/>
          </reference>
        </references>
      </pivotArea>
    </chartFormat>
    <chartFormat chart="0" format="23">
      <pivotArea type="data" outline="0" fieldPosition="0">
        <references count="2">
          <reference field="4294967294" count="1" selected="0">
            <x v="2"/>
          </reference>
          <reference field="30" count="1" selected="0">
            <x v="1"/>
          </reference>
        </references>
      </pivotArea>
    </chartFormat>
    <chartFormat chart="0" format="24">
      <pivotArea type="data" outline="0" fieldPosition="0">
        <references count="2">
          <reference field="4294967294" count="1" selected="0">
            <x v="2"/>
          </reference>
          <reference field="30" count="1" selected="0">
            <x v="2"/>
          </reference>
        </references>
      </pivotArea>
    </chartFormat>
    <chartFormat chart="0" format="25">
      <pivotArea type="data" outline="0" fieldPosition="0">
        <references count="2">
          <reference field="4294967294" count="1" selected="0">
            <x v="3"/>
          </reference>
          <reference field="30" count="1" selected="0">
            <x v="0"/>
          </reference>
        </references>
      </pivotArea>
    </chartFormat>
    <chartFormat chart="0" format="26">
      <pivotArea type="data" outline="0" fieldPosition="0">
        <references count="2">
          <reference field="4294967294" count="1" selected="0">
            <x v="3"/>
          </reference>
          <reference field="30" count="1" selected="0">
            <x v="1"/>
          </reference>
        </references>
      </pivotArea>
    </chartFormat>
    <chartFormat chart="0" format="27">
      <pivotArea type="data" outline="0" fieldPosition="0">
        <references count="2">
          <reference field="4294967294" count="1" selected="0">
            <x v="3"/>
          </reference>
          <reference field="30" count="1" selected="0">
            <x v="2"/>
          </reference>
        </references>
      </pivotArea>
    </chartFormat>
    <chartFormat chart="8" format="44" series="1">
      <pivotArea type="data" outline="0" fieldPosition="0">
        <references count="1">
          <reference field="4294967294" count="1" selected="0">
            <x v="0"/>
          </reference>
        </references>
      </pivotArea>
    </chartFormat>
    <chartFormat chart="8" format="45">
      <pivotArea type="data" outline="0" fieldPosition="0">
        <references count="2">
          <reference field="4294967294" count="1" selected="0">
            <x v="0"/>
          </reference>
          <reference field="30" count="1" selected="0">
            <x v="0"/>
          </reference>
        </references>
      </pivotArea>
    </chartFormat>
    <chartFormat chart="8" format="46">
      <pivotArea type="data" outline="0" fieldPosition="0">
        <references count="2">
          <reference field="4294967294" count="1" selected="0">
            <x v="0"/>
          </reference>
          <reference field="30" count="1" selected="0">
            <x v="1"/>
          </reference>
        </references>
      </pivotArea>
    </chartFormat>
    <chartFormat chart="8" format="47">
      <pivotArea type="data" outline="0" fieldPosition="0">
        <references count="2">
          <reference field="4294967294" count="1" selected="0">
            <x v="0"/>
          </reference>
          <reference field="30" count="1" selected="0">
            <x v="2"/>
          </reference>
        </references>
      </pivotArea>
    </chartFormat>
    <chartFormat chart="8" format="48" series="1">
      <pivotArea type="data" outline="0" fieldPosition="0">
        <references count="1">
          <reference field="4294967294" count="1" selected="0">
            <x v="1"/>
          </reference>
        </references>
      </pivotArea>
    </chartFormat>
    <chartFormat chart="8" format="49">
      <pivotArea type="data" outline="0" fieldPosition="0">
        <references count="2">
          <reference field="4294967294" count="1" selected="0">
            <x v="1"/>
          </reference>
          <reference field="30" count="1" selected="0">
            <x v="0"/>
          </reference>
        </references>
      </pivotArea>
    </chartFormat>
    <chartFormat chart="8" format="50">
      <pivotArea type="data" outline="0" fieldPosition="0">
        <references count="2">
          <reference field="4294967294" count="1" selected="0">
            <x v="1"/>
          </reference>
          <reference field="30" count="1" selected="0">
            <x v="1"/>
          </reference>
        </references>
      </pivotArea>
    </chartFormat>
    <chartFormat chart="8" format="51">
      <pivotArea type="data" outline="0" fieldPosition="0">
        <references count="2">
          <reference field="4294967294" count="1" selected="0">
            <x v="1"/>
          </reference>
          <reference field="30" count="1" selected="0">
            <x v="2"/>
          </reference>
        </references>
      </pivotArea>
    </chartFormat>
    <chartFormat chart="8" format="52" series="1">
      <pivotArea type="data" outline="0" fieldPosition="0">
        <references count="1">
          <reference field="4294967294" count="1" selected="0">
            <x v="2"/>
          </reference>
        </references>
      </pivotArea>
    </chartFormat>
    <chartFormat chart="8" format="53">
      <pivotArea type="data" outline="0" fieldPosition="0">
        <references count="2">
          <reference field="4294967294" count="1" selected="0">
            <x v="2"/>
          </reference>
          <reference field="30" count="1" selected="0">
            <x v="0"/>
          </reference>
        </references>
      </pivotArea>
    </chartFormat>
    <chartFormat chart="8" format="54">
      <pivotArea type="data" outline="0" fieldPosition="0">
        <references count="2">
          <reference field="4294967294" count="1" selected="0">
            <x v="2"/>
          </reference>
          <reference field="30" count="1" selected="0">
            <x v="1"/>
          </reference>
        </references>
      </pivotArea>
    </chartFormat>
    <chartFormat chart="8" format="55">
      <pivotArea type="data" outline="0" fieldPosition="0">
        <references count="2">
          <reference field="4294967294" count="1" selected="0">
            <x v="2"/>
          </reference>
          <reference field="30" count="1" selected="0">
            <x v="2"/>
          </reference>
        </references>
      </pivotArea>
    </chartFormat>
    <chartFormat chart="8" format="56" series="1">
      <pivotArea type="data" outline="0" fieldPosition="0">
        <references count="1">
          <reference field="4294967294" count="1" selected="0">
            <x v="3"/>
          </reference>
        </references>
      </pivotArea>
    </chartFormat>
    <chartFormat chart="8" format="57">
      <pivotArea type="data" outline="0" fieldPosition="0">
        <references count="2">
          <reference field="4294967294" count="1" selected="0">
            <x v="3"/>
          </reference>
          <reference field="30" count="1" selected="0">
            <x v="0"/>
          </reference>
        </references>
      </pivotArea>
    </chartFormat>
    <chartFormat chart="8" format="58">
      <pivotArea type="data" outline="0" fieldPosition="0">
        <references count="2">
          <reference field="4294967294" count="1" selected="0">
            <x v="3"/>
          </reference>
          <reference field="30" count="1" selected="0">
            <x v="1"/>
          </reference>
        </references>
      </pivotArea>
    </chartFormat>
    <chartFormat chart="8" format="59">
      <pivotArea type="data" outline="0" fieldPosition="0">
        <references count="2">
          <reference field="4294967294" count="1" selected="0">
            <x v="3"/>
          </reference>
          <reference field="3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2C9019-9087-453B-A45F-716386552389}"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C8" firstHeaderRow="0" firstDataRow="1" firstDataCol="1"/>
  <pivotFields count="3">
    <pivotField axis="axisRow" showAll="0">
      <items count="5">
        <item x="0"/>
        <item x="3"/>
        <item x="1"/>
        <item x="2"/>
        <item t="default"/>
      </items>
    </pivotField>
    <pivotField dataField="1" numFmtId="2" showAll="0"/>
    <pivotField dataField="1" numFmtId="2" showAll="0"/>
  </pivotFields>
  <rowFields count="1">
    <field x="0"/>
  </rowFields>
  <rowItems count="5">
    <i>
      <x/>
    </i>
    <i>
      <x v="1"/>
    </i>
    <i>
      <x v="2"/>
    </i>
    <i>
      <x v="3"/>
    </i>
    <i t="grand">
      <x/>
    </i>
  </rowItems>
  <colFields count="1">
    <field x="-2"/>
  </colFields>
  <colItems count="2">
    <i>
      <x/>
    </i>
    <i i="1">
      <x v="1"/>
    </i>
  </colItems>
  <dataFields count="2">
    <dataField name="Average of Gamification Impact (%)" fld="1" subtotal="average" baseField="0" baseItem="0" numFmtId="2"/>
    <dataField name="Average of Non-Gamification Impact (%)" fld="2" subtotal="average" baseField="0" baseItem="0" numFmtId="2"/>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0" count="1" selected="0">
            <x v="3"/>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1"/>
          </reference>
          <reference field="0" count="1" selected="0">
            <x v="2"/>
          </reference>
        </references>
      </pivotArea>
    </chartFormat>
    <chartFormat chart="0" format="5">
      <pivotArea type="data" outline="0" fieldPosition="0">
        <references count="2">
          <reference field="4294967294" count="1" selected="0">
            <x v="0"/>
          </reference>
          <reference field="0" count="1" selected="0">
            <x v="2"/>
          </reference>
        </references>
      </pivotArea>
    </chartFormat>
    <chartFormat chart="0" format="6">
      <pivotArea type="data" outline="0" fieldPosition="0">
        <references count="2">
          <reference field="4294967294" count="1" selected="0">
            <x v="1"/>
          </reference>
          <reference field="0" count="1" selected="0">
            <x v="1"/>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1"/>
          </reference>
          <reference field="0" count="1" selected="0">
            <x v="0"/>
          </reference>
        </references>
      </pivotArea>
    </chartFormat>
    <chartFormat chart="0" format="9">
      <pivotArea type="data" outline="0" fieldPosition="0">
        <references count="2">
          <reference field="4294967294" count="1" selected="0">
            <x v="0"/>
          </reference>
          <reference field="0" count="1" selected="0">
            <x v="0"/>
          </reference>
        </references>
      </pivotArea>
    </chartFormat>
    <chartFormat chart="7" format="30" series="1">
      <pivotArea type="data" outline="0" fieldPosition="0">
        <references count="1">
          <reference field="4294967294" count="1" selected="0">
            <x v="0"/>
          </reference>
        </references>
      </pivotArea>
    </chartFormat>
    <chartFormat chart="7" format="31">
      <pivotArea type="data" outline="0" fieldPosition="0">
        <references count="2">
          <reference field="4294967294" count="1" selected="0">
            <x v="0"/>
          </reference>
          <reference field="0" count="1" selected="0">
            <x v="0"/>
          </reference>
        </references>
      </pivotArea>
    </chartFormat>
    <chartFormat chart="7" format="32">
      <pivotArea type="data" outline="0" fieldPosition="0">
        <references count="2">
          <reference field="4294967294" count="1" selected="0">
            <x v="0"/>
          </reference>
          <reference field="0" count="1" selected="0">
            <x v="1"/>
          </reference>
        </references>
      </pivotArea>
    </chartFormat>
    <chartFormat chart="7" format="33">
      <pivotArea type="data" outline="0" fieldPosition="0">
        <references count="2">
          <reference field="4294967294" count="1" selected="0">
            <x v="0"/>
          </reference>
          <reference field="0" count="1" selected="0">
            <x v="2"/>
          </reference>
        </references>
      </pivotArea>
    </chartFormat>
    <chartFormat chart="7" format="34">
      <pivotArea type="data" outline="0" fieldPosition="0">
        <references count="2">
          <reference field="4294967294" count="1" selected="0">
            <x v="0"/>
          </reference>
          <reference field="0" count="1" selected="0">
            <x v="3"/>
          </reference>
        </references>
      </pivotArea>
    </chartFormat>
    <chartFormat chart="7" format="35" series="1">
      <pivotArea type="data" outline="0" fieldPosition="0">
        <references count="1">
          <reference field="4294967294" count="1" selected="0">
            <x v="1"/>
          </reference>
        </references>
      </pivotArea>
    </chartFormat>
    <chartFormat chart="7" format="36">
      <pivotArea type="data" outline="0" fieldPosition="0">
        <references count="2">
          <reference field="4294967294" count="1" selected="0">
            <x v="1"/>
          </reference>
          <reference field="0" count="1" selected="0">
            <x v="0"/>
          </reference>
        </references>
      </pivotArea>
    </chartFormat>
    <chartFormat chart="7" format="37">
      <pivotArea type="data" outline="0" fieldPosition="0">
        <references count="2">
          <reference field="4294967294" count="1" selected="0">
            <x v="1"/>
          </reference>
          <reference field="0" count="1" selected="0">
            <x v="1"/>
          </reference>
        </references>
      </pivotArea>
    </chartFormat>
    <chartFormat chart="7" format="38">
      <pivotArea type="data" outline="0" fieldPosition="0">
        <references count="2">
          <reference field="4294967294" count="1" selected="0">
            <x v="1"/>
          </reference>
          <reference field="0" count="1" selected="0">
            <x v="2"/>
          </reference>
        </references>
      </pivotArea>
    </chartFormat>
    <chartFormat chart="7" format="39">
      <pivotArea type="data" outline="0" fieldPosition="0">
        <references count="2">
          <reference field="4294967294" count="1" selected="0">
            <x v="1"/>
          </reference>
          <reference field="0" count="1" selected="0">
            <x v="3"/>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0" count="1" selected="0">
            <x v="0"/>
          </reference>
        </references>
      </pivotArea>
    </chartFormat>
    <chartFormat chart="8" format="12">
      <pivotArea type="data" outline="0" fieldPosition="0">
        <references count="2">
          <reference field="4294967294" count="1" selected="0">
            <x v="0"/>
          </reference>
          <reference field="0" count="1" selected="0">
            <x v="1"/>
          </reference>
        </references>
      </pivotArea>
    </chartFormat>
    <chartFormat chart="8" format="13">
      <pivotArea type="data" outline="0" fieldPosition="0">
        <references count="2">
          <reference field="4294967294" count="1" selected="0">
            <x v="0"/>
          </reference>
          <reference field="0" count="1" selected="0">
            <x v="2"/>
          </reference>
        </references>
      </pivotArea>
    </chartFormat>
    <chartFormat chart="8" format="14">
      <pivotArea type="data" outline="0" fieldPosition="0">
        <references count="2">
          <reference field="4294967294" count="1" selected="0">
            <x v="0"/>
          </reference>
          <reference field="0" count="1" selected="0">
            <x v="3"/>
          </reference>
        </references>
      </pivotArea>
    </chartFormat>
    <chartFormat chart="8" format="15" series="1">
      <pivotArea type="data" outline="0" fieldPosition="0">
        <references count="1">
          <reference field="4294967294" count="1" selected="0">
            <x v="1"/>
          </reference>
        </references>
      </pivotArea>
    </chartFormat>
    <chartFormat chart="8" format="16">
      <pivotArea type="data" outline="0" fieldPosition="0">
        <references count="2">
          <reference field="4294967294" count="1" selected="0">
            <x v="1"/>
          </reference>
          <reference field="0" count="1" selected="0">
            <x v="0"/>
          </reference>
        </references>
      </pivotArea>
    </chartFormat>
    <chartFormat chart="8" format="17">
      <pivotArea type="data" outline="0" fieldPosition="0">
        <references count="2">
          <reference field="4294967294" count="1" selected="0">
            <x v="1"/>
          </reference>
          <reference field="0" count="1" selected="0">
            <x v="1"/>
          </reference>
        </references>
      </pivotArea>
    </chartFormat>
    <chartFormat chart="8" format="18">
      <pivotArea type="data" outline="0" fieldPosition="0">
        <references count="2">
          <reference field="4294967294" count="1" selected="0">
            <x v="1"/>
          </reference>
          <reference field="0" count="1" selected="0">
            <x v="2"/>
          </reference>
        </references>
      </pivotArea>
    </chartFormat>
    <chartFormat chart="8" format="19">
      <pivotArea type="data" outline="0" fieldPosition="0">
        <references count="2">
          <reference field="4294967294" count="1" selected="0">
            <x v="1"/>
          </reference>
          <reference field="0" count="1" selected="0">
            <x v="3"/>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0" count="1" selected="0">
            <x v="0"/>
          </reference>
        </references>
      </pivotArea>
    </chartFormat>
    <chartFormat chart="9" format="22">
      <pivotArea type="data" outline="0" fieldPosition="0">
        <references count="2">
          <reference field="4294967294" count="1" selected="0">
            <x v="0"/>
          </reference>
          <reference field="0" count="1" selected="0">
            <x v="1"/>
          </reference>
        </references>
      </pivotArea>
    </chartFormat>
    <chartFormat chart="9" format="23">
      <pivotArea type="data" outline="0" fieldPosition="0">
        <references count="2">
          <reference field="4294967294" count="1" selected="0">
            <x v="0"/>
          </reference>
          <reference field="0" count="1" selected="0">
            <x v="2"/>
          </reference>
        </references>
      </pivotArea>
    </chartFormat>
    <chartFormat chart="9" format="24">
      <pivotArea type="data" outline="0" fieldPosition="0">
        <references count="2">
          <reference field="4294967294" count="1" selected="0">
            <x v="0"/>
          </reference>
          <reference field="0" count="1" selected="0">
            <x v="3"/>
          </reference>
        </references>
      </pivotArea>
    </chartFormat>
    <chartFormat chart="9" format="25" series="1">
      <pivotArea type="data" outline="0" fieldPosition="0">
        <references count="1">
          <reference field="4294967294" count="1" selected="0">
            <x v="1"/>
          </reference>
        </references>
      </pivotArea>
    </chartFormat>
    <chartFormat chart="9" format="26">
      <pivotArea type="data" outline="0" fieldPosition="0">
        <references count="2">
          <reference field="4294967294" count="1" selected="0">
            <x v="1"/>
          </reference>
          <reference field="0" count="1" selected="0">
            <x v="0"/>
          </reference>
        </references>
      </pivotArea>
    </chartFormat>
    <chartFormat chart="9" format="27">
      <pivotArea type="data" outline="0" fieldPosition="0">
        <references count="2">
          <reference field="4294967294" count="1" selected="0">
            <x v="1"/>
          </reference>
          <reference field="0" count="1" selected="0">
            <x v="1"/>
          </reference>
        </references>
      </pivotArea>
    </chartFormat>
    <chartFormat chart="9" format="28">
      <pivotArea type="data" outline="0" fieldPosition="0">
        <references count="2">
          <reference field="4294967294" count="1" selected="0">
            <x v="1"/>
          </reference>
          <reference field="0" count="1" selected="0">
            <x v="2"/>
          </reference>
        </references>
      </pivotArea>
    </chartFormat>
    <chartFormat chart="9" format="29">
      <pivotArea type="data" outline="0" fieldPosition="0">
        <references count="2">
          <reference field="4294967294" count="1" selected="0">
            <x v="1"/>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6109A2C-3DDB-4735-81AD-594838E8D83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E7" firstHeaderRow="0" firstDataRow="1" firstDataCol="1"/>
  <pivotFields count="35">
    <pivotField showAll="0"/>
    <pivotField showAll="0"/>
    <pivotField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dataField="1" numFmtId="2" showAll="0"/>
    <pivotField dataField="1" numFmtId="2" showAll="0"/>
    <pivotField dataField="1" numFmtId="2" showAll="0"/>
    <pivotField dataField="1" numFmtId="2" showAll="0"/>
    <pivotField axis="axisRow" showAll="0">
      <items count="4">
        <item x="2"/>
        <item x="1"/>
        <item x="0"/>
        <item t="default"/>
      </items>
    </pivotField>
    <pivotField showAll="0"/>
    <pivotField showAll="0"/>
    <pivotField showAll="0"/>
    <pivotField showAll="0"/>
  </pivotFields>
  <rowFields count="1">
    <field x="30"/>
  </rowFields>
  <rowItems count="4">
    <i>
      <x/>
    </i>
    <i>
      <x v="1"/>
    </i>
    <i>
      <x v="2"/>
    </i>
    <i t="grand">
      <x/>
    </i>
  </rowItems>
  <colFields count="1">
    <field x="-2"/>
  </colFields>
  <colItems count="4">
    <i>
      <x/>
    </i>
    <i i="1">
      <x v="1"/>
    </i>
    <i i="2">
      <x v="2"/>
    </i>
    <i i="3">
      <x v="3"/>
    </i>
  </colItems>
  <dataFields count="4">
    <dataField name="Average of Engagement Lift" fld="26" subtotal="average" baseField="30" baseItem="0" numFmtId="2"/>
    <dataField name="Average of Motivation Lift" fld="27" subtotal="average" baseField="30" baseItem="0" numFmtId="2"/>
    <dataField name="Average of Participation Lift" fld="28" subtotal="average" baseField="30" baseItem="0" numFmtId="2"/>
    <dataField name="Average of Learning Outcomes Lift" fld="29" subtotal="average" baseField="30" baseItem="0" numFmtId="2"/>
  </dataFields>
  <chartFormats count="8">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0" format="8"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A5729D-2293-4C3A-B0B6-E4A5ED65DF7F}"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G8" firstHeaderRow="1" firstDataRow="2" firstDataCol="1"/>
  <pivotFields count="8">
    <pivotField dataField="1" showAll="0"/>
    <pivotField showAll="0"/>
    <pivotField showAll="0"/>
    <pivotField axis="axisCol" showAll="0">
      <items count="6">
        <item x="4"/>
        <item x="1"/>
        <item x="3"/>
        <item x="0"/>
        <item x="2"/>
        <item t="default"/>
      </items>
    </pivotField>
    <pivotField showAll="0"/>
    <pivotField showAll="0"/>
    <pivotField showAll="0"/>
    <pivotField axis="axisRow" showAll="0">
      <items count="4">
        <item x="2"/>
        <item x="1"/>
        <item x="0"/>
        <item t="default"/>
      </items>
    </pivotField>
  </pivotFields>
  <rowFields count="1">
    <field x="7"/>
  </rowFields>
  <rowItems count="4">
    <i>
      <x/>
    </i>
    <i>
      <x v="1"/>
    </i>
    <i>
      <x v="2"/>
    </i>
    <i t="grand">
      <x/>
    </i>
  </rowItems>
  <colFields count="1">
    <field x="3"/>
  </colFields>
  <colItems count="6">
    <i>
      <x/>
    </i>
    <i>
      <x v="1"/>
    </i>
    <i>
      <x v="2"/>
    </i>
    <i>
      <x v="3"/>
    </i>
    <i>
      <x v="4"/>
    </i>
    <i t="grand">
      <x/>
    </i>
  </colItems>
  <dataFields count="1">
    <dataField name="Count of Teacher ID" fld="0" subtotal="count" baseField="0" baseItem="0"/>
  </dataFields>
  <chartFormats count="1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1">
          <reference field="4294967294" count="1" selected="0">
            <x v="0"/>
          </reference>
        </references>
      </pivotArea>
    </chartFormat>
    <chartFormat chart="11" format="11" series="1">
      <pivotArea type="data" outline="0" fieldPosition="0">
        <references count="2">
          <reference field="4294967294" count="1" selected="0">
            <x v="0"/>
          </reference>
          <reference field="3" count="1" selected="0">
            <x v="0"/>
          </reference>
        </references>
      </pivotArea>
    </chartFormat>
    <chartFormat chart="11" format="12" series="1">
      <pivotArea type="data" outline="0" fieldPosition="0">
        <references count="2">
          <reference field="4294967294" count="1" selected="0">
            <x v="0"/>
          </reference>
          <reference field="3" count="1" selected="0">
            <x v="1"/>
          </reference>
        </references>
      </pivotArea>
    </chartFormat>
    <chartFormat chart="11" format="13" series="1">
      <pivotArea type="data" outline="0" fieldPosition="0">
        <references count="2">
          <reference field="4294967294" count="1" selected="0">
            <x v="0"/>
          </reference>
          <reference field="3" count="1" selected="0">
            <x v="2"/>
          </reference>
        </references>
      </pivotArea>
    </chartFormat>
    <chartFormat chart="11" format="14" series="1">
      <pivotArea type="data" outline="0" fieldPosition="0">
        <references count="2">
          <reference field="4294967294" count="1" selected="0">
            <x v="0"/>
          </reference>
          <reference field="3" count="1" selected="0">
            <x v="3"/>
          </reference>
        </references>
      </pivotArea>
    </chartFormat>
    <chartFormat chart="11" format="15" series="1">
      <pivotArea type="data" outline="0" fieldPosition="0">
        <references count="2">
          <reference field="4294967294" count="1" selected="0">
            <x v="0"/>
          </reference>
          <reference field="3" count="1" selected="0">
            <x v="4"/>
          </reference>
        </references>
      </pivotArea>
    </chartFormat>
    <chartFormat chart="11"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E7ABC08-28AF-46D5-B36B-A6E233E5D3C5}"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9" firstHeaderRow="1" firstDataRow="1" firstDataCol="1"/>
  <pivotFields count="8">
    <pivotField dataField="1" showAll="0"/>
    <pivotField showAll="0"/>
    <pivotField showAll="0"/>
    <pivotField axis="axisRow" showAll="0">
      <items count="6">
        <item x="4"/>
        <item x="1"/>
        <item x="3"/>
        <item x="0"/>
        <item x="2"/>
        <item t="default"/>
      </items>
    </pivotField>
    <pivotField showAll="0"/>
    <pivotField showAll="0"/>
    <pivotField showAll="0"/>
    <pivotField showAll="0"/>
  </pivotFields>
  <rowFields count="1">
    <field x="3"/>
  </rowFields>
  <rowItems count="6">
    <i>
      <x/>
    </i>
    <i>
      <x v="1"/>
    </i>
    <i>
      <x v="2"/>
    </i>
    <i>
      <x v="3"/>
    </i>
    <i>
      <x v="4"/>
    </i>
    <i t="grand">
      <x/>
    </i>
  </rowItems>
  <colItems count="1">
    <i/>
  </colItems>
  <dataFields count="1">
    <dataField name="Count of Teacher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 chart="0" format="7">
      <pivotArea type="data" outline="0" fieldPosition="0">
        <references count="2">
          <reference field="4294967294" count="1" selected="0">
            <x v="0"/>
          </reference>
          <reference field="3" count="1" selected="0">
            <x v="1"/>
          </reference>
        </references>
      </pivotArea>
    </chartFormat>
    <chartFormat chart="0" format="8">
      <pivotArea type="data" outline="0" fieldPosition="0">
        <references count="2">
          <reference field="4294967294" count="1" selected="0">
            <x v="0"/>
          </reference>
          <reference field="3" count="1" selected="0">
            <x v="2"/>
          </reference>
        </references>
      </pivotArea>
    </chartFormat>
    <chartFormat chart="0" format="9">
      <pivotArea type="data" outline="0" fieldPosition="0">
        <references count="2">
          <reference field="4294967294" count="1" selected="0">
            <x v="0"/>
          </reference>
          <reference field="3" count="1" selected="0">
            <x v="3"/>
          </reference>
        </references>
      </pivotArea>
    </chartFormat>
    <chartFormat chart="0" format="10">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504A816-68E3-434A-BBC9-153AFD40C3A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B6" firstHeaderRow="1" firstDataRow="1" firstDataCol="1"/>
  <pivotFields count="35">
    <pivotField dataField="1" showAll="0"/>
    <pivotField showAll="0"/>
    <pivotField axis="axisRow"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x="2"/>
        <item x="1"/>
        <item x="0"/>
        <item t="default"/>
      </items>
    </pivotField>
    <pivotField showAll="0"/>
    <pivotField showAll="0"/>
    <pivotField showAll="0"/>
    <pivotField showAll="0"/>
  </pivotFields>
  <rowFields count="1">
    <field x="2"/>
  </rowFields>
  <rowItems count="3">
    <i>
      <x/>
    </i>
    <i>
      <x v="1"/>
    </i>
    <i t="grand">
      <x/>
    </i>
  </rowItems>
  <colItems count="1">
    <i/>
  </colItems>
  <dataFields count="1">
    <dataField name="Count of Student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2" count="1" selected="0">
            <x v="0"/>
          </reference>
        </references>
      </pivotArea>
    </chartFormat>
    <chartFormat chart="18" format="8">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29FF928-174F-4966-AF65-73BCEE8CDFB1}"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Teaching Method">
  <location ref="A3:B9" firstHeaderRow="1" firstDataRow="1" firstDataCol="1"/>
  <pivotFields count="35">
    <pivotField showAll="0"/>
    <pivotField dataField="1" showAll="0"/>
    <pivotField showAll="0">
      <items count="3">
        <item x="0"/>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 showAll="0">
      <items count="4">
        <item x="2"/>
        <item x="1"/>
        <item x="0"/>
        <item t="default"/>
      </items>
    </pivotField>
    <pivotField axis="axisRow" showAll="0">
      <items count="6">
        <item x="2"/>
        <item x="0"/>
        <item x="1"/>
        <item x="4"/>
        <item x="3"/>
        <item t="default"/>
      </items>
    </pivotField>
    <pivotField showAll="0"/>
    <pivotField showAll="0"/>
    <pivotField showAll="0"/>
  </pivotFields>
  <rowFields count="1">
    <field x="31"/>
  </rowFields>
  <rowItems count="6">
    <i>
      <x/>
    </i>
    <i>
      <x v="1"/>
    </i>
    <i>
      <x v="2"/>
    </i>
    <i>
      <x v="3"/>
    </i>
    <i>
      <x v="4"/>
    </i>
    <i t="grand">
      <x/>
    </i>
  </rowItems>
  <colItems count="1">
    <i/>
  </colItems>
  <dataFields count="1">
    <dataField name="Count of Student Name" fld="1" subtotal="count" baseField="0" baseItem="0"/>
  </dataFields>
  <chartFormats count="2">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87F7776-0BC4-438B-982B-A0627BD6B537}" sourceName="Gender">
  <pivotTables>
    <pivotTable tabId="20" name="PivotTable2"/>
    <pivotTable tabId="26" name="PivotTable2"/>
    <pivotTable tabId="28" name="PivotTable4"/>
    <pivotTable tabId="30" name="PivotTable6"/>
    <pivotTable tabId="27" name="PivotTable3"/>
    <pivotTable tabId="16" name="PivotTable2"/>
    <pivotTable tabId="17" name="PivotTable3"/>
    <pivotTable tabId="35" name="PivotTable1"/>
    <pivotTable tabId="38" name="PivotTable1"/>
  </pivotTables>
  <data>
    <tabular pivotCacheId="123348241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and" xr10:uid="{2588E116-1186-4757-866E-0DACB1A90C3B}" sourceName="Age Band">
  <pivotTables>
    <pivotTable tabId="20" name="PivotTable2"/>
    <pivotTable tabId="26" name="PivotTable2"/>
    <pivotTable tabId="28" name="PivotTable4"/>
    <pivotTable tabId="30" name="PivotTable6"/>
    <pivotTable tabId="27" name="PivotTable3"/>
    <pivotTable tabId="16" name="PivotTable2"/>
    <pivotTable tabId="15" name="PivotTable1"/>
    <pivotTable tabId="17" name="PivotTable3"/>
    <pivotTable tabId="35" name="PivotTable1"/>
    <pivotTable tabId="38" name="PivotTable1"/>
  </pivotTables>
  <data>
    <tabular pivotCacheId="1233482419">
      <items count="4">
        <i x="0" s="1"/>
        <i x="2"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Tier" xr10:uid="{85075DD8-1D51-4A64-8812-E199F1349F2C}" sourceName="Performance Tier">
  <pivotTables>
    <pivotTable tabId="20" name="PivotTable2"/>
    <pivotTable tabId="28" name="PivotTable4"/>
    <pivotTable tabId="27" name="PivotTable3"/>
    <pivotTable tabId="16" name="PivotTable2"/>
    <pivotTable tabId="15" name="PivotTable1"/>
    <pivotTable tabId="17" name="PivotTable3"/>
    <pivotTable tabId="35" name="PivotTable1"/>
    <pivotTable tabId="38" name="PivotTable1"/>
    <pivotTable tabId="26" name="PivotTable2"/>
  </pivotTables>
  <data>
    <tabular pivotCacheId="1233482419">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ching_Method" xr10:uid="{18EC1FCF-5B50-4D9C-8A40-03272F13091E}" sourceName="Teaching Method">
  <pivotTables>
    <pivotTable tabId="31" name="PivotTable7"/>
    <pivotTable tabId="33" name="PivotTable8"/>
  </pivotTables>
  <data>
    <tabular pivotCacheId="672171541">
      <items count="5">
        <i x="4" s="1"/>
        <i x="1" s="1"/>
        <i x="3"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 xr10:uid="{F281ADE4-562C-4594-A359-6C25CD346270}" sourceName="Metric">
  <pivotTables>
    <pivotTable tabId="40" name="PivotTable4"/>
  </pivotTables>
  <data>
    <tabular pivotCacheId="1897577370">
      <items count="4">
        <i x="0" s="1"/>
        <i x="3"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E2FA15A7-FCCC-4899-9BE2-55AB7BBCCF5A}" cache="Slicer_Gender" caption="Gender" style="SlicerStyleDark1" rowHeight="234950"/>
  <slicer name="Age Band" xr10:uid="{4874855A-67C0-4FA9-B393-3623418C412D}" cache="Slicer_Age_Band" caption="Age Band" style="SlicerStyleDark1" rowHeight="234950"/>
  <slicer name="Performance Tier" xr10:uid="{C58A457A-CEE6-41F8-B616-3E8DD95D7662}" cache="Slicer_Performance_Tier" caption="Performance Tier" style="SlicerStyleDark1" rowHeight="234950"/>
  <slicer name="Teaching Method" xr10:uid="{6D44E706-8D80-4D15-A017-996AD6864889}" cache="Slicer_Teaching_Method" caption="Teaching Method" style="SlicerStyleDark1" rowHeight="234950"/>
  <slicer name="Metric" xr10:uid="{8B8F8644-24FB-49F0-905F-1478AAF0A904}" cache="Slicer_Metric" caption="Metric"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E6E85B-C373-4C34-9894-D4B409C8FBDC}" name="Table6" displayName="Table6" ref="A7:E39" totalsRowShown="0">
  <autoFilter ref="A7:E39" xr:uid="{8DE6E85B-C373-4C34-9894-D4B409C8FBDC}"/>
  <tableColumns count="5">
    <tableColumn id="1" xr3:uid="{5EAB2480-9728-4551-8939-94FFF412DF9C}" name="Column1"/>
    <tableColumn id="2" xr3:uid="{52AB1A92-053D-492C-81F6-CCCD4B8A7A40}" name="Column2"/>
    <tableColumn id="3" xr3:uid="{8D67653F-916D-426D-8CDC-FE99D8337588}" name="Column3"/>
    <tableColumn id="4" xr3:uid="{67A7B4B5-6D26-47DF-A439-F581C2F63543}" name="Column4"/>
    <tableColumn id="5" xr3:uid="{20E147D6-506F-47D1-B75B-E30AB7EA2FC4}" name="Column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F64DF4-7397-46FC-BF75-5AF19BBAA9FC}" name="Table5" displayName="Table5" ref="A1:C5" totalsRowShown="0">
  <autoFilter ref="A1:C5" xr:uid="{A9F64DF4-7397-46FC-BF75-5AF19BBAA9FC}"/>
  <tableColumns count="3">
    <tableColumn id="1" xr3:uid="{FD67D3A1-CD79-483F-B783-156DF8BA8E6B}" name="Metric" dataDxfId="50"/>
    <tableColumn id="2" xr3:uid="{4D901B70-C98F-4EA5-B14A-CE884C88763B}" name="Gamification Impact (%)" dataDxfId="49"/>
    <tableColumn id="3" xr3:uid="{AA5EFC09-A0F2-492F-9160-EBA98F17F874}" name="Non-Gamification Impact (%)"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4" displayName="Table4" ref="A1:H16" totalsRowShown="0" dataDxfId="47">
  <autoFilter ref="A1:H16" xr:uid="{00000000-0009-0000-0100-000002000000}"/>
  <sortState xmlns:xlrd2="http://schemas.microsoft.com/office/spreadsheetml/2017/richdata2" ref="A2:H16">
    <sortCondition descending="1" ref="F2:F16"/>
  </sortState>
  <tableColumns count="8">
    <tableColumn id="1" xr3:uid="{00000000-0010-0000-0000-000001000000}" name="Teacher ID" dataDxfId="46"/>
    <tableColumn id="2" xr3:uid="{00000000-0010-0000-0000-000002000000}" name="Teacher Name" dataDxfId="45"/>
    <tableColumn id="3" xr3:uid="{00000000-0010-0000-0000-000003000000}" name="Specialization" dataDxfId="44"/>
    <tableColumn id="4" xr3:uid="{00000000-0010-0000-0000-000004000000}" name="Teaching Method" dataDxfId="43"/>
    <tableColumn id="5" xr3:uid="{00000000-0010-0000-0000-000005000000}" name="Subject" dataDxfId="42"/>
    <tableColumn id="6" xr3:uid="{00000000-0010-0000-0000-000006000000}" name="Experience (Years)" dataDxfId="41"/>
    <tableColumn id="7" xr3:uid="{F901C8F7-1F40-4395-9840-3265D24B375E}" name="Performance Tier" dataDxfId="40">
      <calculatedColumnFormula>IF(F2&lt;8,"Junior",IF(F2&lt;12,"Mid","Senior"))</calculatedColumnFormula>
    </tableColumn>
    <tableColumn id="8" xr3:uid="{399BA7B3-B926-48B7-97CD-C6AAF9256B27}" name="Experience Band" dataDxfId="39">
      <calculatedColumnFormula>IF(F2&lt;8,"Junior",
IF(F2&lt;=12,"Mid","Senior"))</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I1003" totalsRowShown="0" headerRowDxfId="36" dataDxfId="35">
  <autoFilter ref="A1:AI1003" xr:uid="{00000000-0009-0000-0100-000001000000}"/>
  <tableColumns count="35">
    <tableColumn id="1" xr3:uid="{00000000-0010-0000-0100-000001000000}" name="Student ID" dataDxfId="34"/>
    <tableColumn id="2" xr3:uid="{00000000-0010-0000-0100-000002000000}" name="Student Name" dataDxfId="33"/>
    <tableColumn id="3" xr3:uid="{00000000-0010-0000-0100-000003000000}" name="Gender" dataDxfId="32"/>
    <tableColumn id="4" xr3:uid="{00000000-0010-0000-0100-000004000000}" name="Age" dataDxfId="31"/>
    <tableColumn id="5" xr3:uid="{00000000-0010-0000-0100-000005000000}" name="Age Band" dataDxfId="30"/>
    <tableColumn id="6" xr3:uid="{00000000-0010-0000-0100-000006000000}" name="Lectures_effectiveness" dataDxfId="29"/>
    <tableColumn id="7" xr3:uid="{00000000-0010-0000-0100-000007000000}" name="Case Studies_effectiveness" dataDxfId="28"/>
    <tableColumn id="8" xr3:uid="{00000000-0010-0000-0100-000008000000}" name="Group Projects_effectiveness" dataDxfId="27"/>
    <tableColumn id="9" xr3:uid="{00000000-0010-0000-0100-000009000000}" name="Experiments_effectiveness" dataDxfId="26"/>
    <tableColumn id="10" xr3:uid="{00000000-0010-0000-0100-00000A000000}" name="Online Tutorials_effectiveness" dataDxfId="25"/>
    <tableColumn id="11" xr3:uid="{00000000-0010-0000-0100-00000B000000}" name="Lectures_engagement" dataDxfId="24"/>
    <tableColumn id="12" xr3:uid="{00000000-0010-0000-0100-00000C000000}" name="Case Studies_engagement" dataDxfId="23"/>
    <tableColumn id="13" xr3:uid="{00000000-0010-0000-0100-00000D000000}" name="Group Projects_engagement" dataDxfId="22"/>
    <tableColumn id="14" xr3:uid="{00000000-0010-0000-0100-00000E000000}" name="Experiments_engagement" dataDxfId="21"/>
    <tableColumn id="15" xr3:uid="{00000000-0010-0000-0100-00000F000000}" name="Online Tutorials_engagement" dataDxfId="20"/>
    <tableColumn id="16" xr3:uid="{00000000-0010-0000-0100-000010000000}" name="Overall Effectiveness" dataDxfId="19"/>
    <tableColumn id="17" xr3:uid="{00000000-0010-0000-0100-000011000000}" name="Round Overall Effectiveness" dataDxfId="18"/>
    <tableColumn id="18" xr3:uid="{00000000-0010-0000-0100-000012000000}" name="Overall Engagement" dataDxfId="17"/>
    <tableColumn id="19" xr3:uid="{00000000-0010-0000-0100-000013000000}" name="Engagement (Gamification %)" dataDxfId="16"/>
    <tableColumn id="20" xr3:uid="{00000000-0010-0000-0100-000014000000}" name="Engagement (Non-Gamification %)" dataDxfId="15"/>
    <tableColumn id="21" xr3:uid="{00000000-0010-0000-0100-000015000000}" name="Motivation (Gamification %)" dataDxfId="14"/>
    <tableColumn id="22" xr3:uid="{00000000-0010-0000-0100-000016000000}" name="Motivation (Non-Gamification %)" dataDxfId="13"/>
    <tableColumn id="23" xr3:uid="{00000000-0010-0000-0100-000017000000}" name="Participation (Gamification %)" dataDxfId="12"/>
    <tableColumn id="24" xr3:uid="{00000000-0010-0000-0100-000018000000}" name="Participation (Non-Gamification %)" dataDxfId="11"/>
    <tableColumn id="25" xr3:uid="{00000000-0010-0000-0100-000019000000}" name="Learning Outcomes (Gamification %)" dataDxfId="10"/>
    <tableColumn id="26" xr3:uid="{00000000-0010-0000-0100-00001A000000}" name="Learning Outcomes (Non-Gamification %)" dataDxfId="9"/>
    <tableColumn id="34" xr3:uid="{7F62FA9F-886A-477C-A466-87C87D228382}" name="Engagement Lift" dataDxfId="8">
      <calculatedColumnFormula>Table1[[#This Row],[Engagement (Gamification %)]]-Table1[[#This Row],[Engagement (Non-Gamification %)]]</calculatedColumnFormula>
    </tableColumn>
    <tableColumn id="33" xr3:uid="{CE8FDCC5-B1C0-40B1-995D-1E079ED35BAC}" name="Motivation Lift" dataDxfId="7">
      <calculatedColumnFormula>Table1[[#This Row],[Motivation (Gamification %)]]-Table1[[#This Row],[Motivation (Non-Gamification %)]]</calculatedColumnFormula>
    </tableColumn>
    <tableColumn id="32" xr3:uid="{CD03E29C-CBD6-4D97-89DA-47EEE4773AA2}" name="Participation Lift" dataDxfId="6">
      <calculatedColumnFormula>Table1[[#This Row],[Participation (Gamification %)]]-Table1[[#This Row],[Participation (Non-Gamification %)]]</calculatedColumnFormula>
    </tableColumn>
    <tableColumn id="31" xr3:uid="{8DEB6340-D35B-4A4F-99AD-B6569F0E271C}" name="Learning Outcomes Lift" dataDxfId="5">
      <calculatedColumnFormula>Table1[[#This Row],[Learning Outcomes (Gamification %)]]-Table1[[#This Row],[Learning Outcomes (Non-Gamification %)]]</calculatedColumnFormula>
    </tableColumn>
    <tableColumn id="35" xr3:uid="{E39BCE0B-4C7E-4824-A659-1E318E8ADA3D}" name="Performance Tier" dataDxfId="4">
      <calculatedColumnFormula>IF(Table1[[#This Row],[Overall Effectiveness]]&lt;3.9,"Low",IF(Table1[[#This Row],[Overall Effectiveness]]&lt;4.2,"Medium","High"))</calculatedColumnFormula>
    </tableColumn>
    <tableColumn id="27" xr3:uid="{00000000-0010-0000-0100-00001B000000}" name="Best Method (Effectiveness)" dataDxfId="3"/>
    <tableColumn id="28" xr3:uid="{00000000-0010-0000-0100-00001C000000}" name="Best Method (Engagement)" dataDxfId="2"/>
    <tableColumn id="29" xr3:uid="{00000000-0010-0000-0100-00001D000000}" name="Teachers Count - Best Method" dataDxfId="1"/>
    <tableColumn id="30" xr3:uid="{00000000-0010-0000-0100-00001E000000}" name="Example Teacher - Best Metho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9"/>
  <sheetViews>
    <sheetView showGridLines="0" zoomScaleNormal="100" workbookViewId="0">
      <selection activeCell="A11" sqref="A11"/>
    </sheetView>
  </sheetViews>
  <sheetFormatPr defaultColWidth="8.6640625" defaultRowHeight="14.4" x14ac:dyDescent="0.3"/>
  <cols>
    <col min="1" max="1" width="33.109375" customWidth="1"/>
    <col min="2" max="2" width="68" bestFit="1" customWidth="1"/>
    <col min="3" max="5" width="24" customWidth="1"/>
  </cols>
  <sheetData>
    <row r="1" spans="1:5" ht="25.95" customHeight="1" x14ac:dyDescent="0.3">
      <c r="A1" s="91" t="s">
        <v>2992</v>
      </c>
      <c r="B1" s="92"/>
      <c r="C1" s="92"/>
      <c r="D1" s="92"/>
      <c r="E1" s="92"/>
    </row>
    <row r="2" spans="1:5" x14ac:dyDescent="0.3">
      <c r="A2" s="92"/>
      <c r="B2" s="92"/>
      <c r="C2" s="92"/>
      <c r="D2" s="92"/>
      <c r="E2" s="92"/>
    </row>
    <row r="4" spans="1:5" ht="30" customHeight="1" x14ac:dyDescent="0.3">
      <c r="A4" s="93" t="s">
        <v>2993</v>
      </c>
      <c r="B4" s="92"/>
      <c r="C4" s="92"/>
      <c r="D4" s="92"/>
      <c r="E4" s="92"/>
    </row>
    <row r="6" spans="1:5" ht="15.6" x14ac:dyDescent="0.3">
      <c r="A6" s="94" t="s">
        <v>2994</v>
      </c>
      <c r="B6" s="92"/>
      <c r="C6" s="92"/>
      <c r="D6" s="92"/>
      <c r="E6" s="92"/>
    </row>
    <row r="7" spans="1:5" hidden="1" x14ac:dyDescent="0.3">
      <c r="A7" t="s">
        <v>3111</v>
      </c>
      <c r="B7" t="s">
        <v>3112</v>
      </c>
      <c r="C7" t="s">
        <v>3113</v>
      </c>
      <c r="D7" t="s">
        <v>3114</v>
      </c>
      <c r="E7" t="s">
        <v>3115</v>
      </c>
    </row>
    <row r="8" spans="1:5" hidden="1" x14ac:dyDescent="0.3"/>
    <row r="9" spans="1:5" s="79" customFormat="1" ht="22.2" customHeight="1" x14ac:dyDescent="0.3">
      <c r="A9" s="80" t="s">
        <v>3116</v>
      </c>
      <c r="B9" s="12"/>
    </row>
    <row r="10" spans="1:5" x14ac:dyDescent="0.3">
      <c r="A10" s="78" t="str">
        <f>HYPERLINK("#'Instructions'!A1","Instructions")</f>
        <v>Instructions</v>
      </c>
      <c r="B10" s="74" t="s">
        <v>2995</v>
      </c>
    </row>
    <row r="11" spans="1:5" x14ac:dyDescent="0.3">
      <c r="A11" s="78" t="str">
        <f>HYPERLINK("#'Dashboard'!A1","Dashboard")</f>
        <v>Dashboard</v>
      </c>
      <c r="B11" s="74" t="s">
        <v>2996</v>
      </c>
    </row>
    <row r="12" spans="1:5" x14ac:dyDescent="0.3">
      <c r="A12" s="78" t="str">
        <f>HYPERLINK("#'Analysis'!A1","Analysis")</f>
        <v>Analysis</v>
      </c>
      <c r="B12" s="74" t="s">
        <v>2997</v>
      </c>
    </row>
    <row r="13" spans="1:5" x14ac:dyDescent="0.3">
      <c r="A13" s="78" t="str">
        <f>HYPERLINK("#'KPI Analysis'!A1","KPI Analysis")</f>
        <v>KPI Analysis</v>
      </c>
      <c r="B13" s="74" t="s">
        <v>2998</v>
      </c>
    </row>
    <row r="15" spans="1:5" ht="21" customHeight="1" x14ac:dyDescent="0.3">
      <c r="A15" s="81" t="s">
        <v>2999</v>
      </c>
    </row>
    <row r="16" spans="1:5" x14ac:dyDescent="0.3">
      <c r="A16" s="78" t="str">
        <f>HYPERLINK("#'Master_Data'!A1","Master_Data")</f>
        <v>Master_Data</v>
      </c>
      <c r="B16" s="74" t="s">
        <v>3000</v>
      </c>
      <c r="D16" s="86"/>
    </row>
    <row r="17" spans="1:2" x14ac:dyDescent="0.3">
      <c r="A17" s="78" t="str">
        <f>HYPERLINK("#'Teacher_Master'!A1","Teacher_Master")</f>
        <v>Teacher_Master</v>
      </c>
      <c r="B17" s="74" t="s">
        <v>3001</v>
      </c>
    </row>
    <row r="18" spans="1:2" x14ac:dyDescent="0.3">
      <c r="A18" s="87" t="str">
        <f>HYPERLINK("#'Summery Data'!A1","Summary Table")</f>
        <v>Summary Table</v>
      </c>
      <c r="B18" s="74" t="s">
        <v>3002</v>
      </c>
    </row>
    <row r="20" spans="1:2" ht="22.2" customHeight="1" x14ac:dyDescent="0.3">
      <c r="A20" s="81" t="s">
        <v>3003</v>
      </c>
    </row>
    <row r="21" spans="1:2" x14ac:dyDescent="0.3">
      <c r="A21" s="78" t="str">
        <f>HYPERLINK("#'Gamification &amp; Non-Gamification'!A1","Gamification &amp; Non-Gamification")</f>
        <v>Gamification &amp; Non-Gamification</v>
      </c>
      <c r="B21" s="74" t="s">
        <v>3004</v>
      </c>
    </row>
    <row r="22" spans="1:2" x14ac:dyDescent="0.3">
      <c r="A22" s="78" t="str">
        <f>HYPERLINK("#'Teacher Count'!A1","Teacher Count")</f>
        <v>Teacher Count</v>
      </c>
      <c r="B22" s="74" t="s">
        <v>3005</v>
      </c>
    </row>
    <row r="23" spans="1:2" x14ac:dyDescent="0.3">
      <c r="A23" s="78" t="str">
        <f>HYPERLINK("#'Teacher ID'!A1","Teacher ID")</f>
        <v>Teacher ID</v>
      </c>
      <c r="B23" s="74" t="s">
        <v>3006</v>
      </c>
    </row>
    <row r="24" spans="1:2" x14ac:dyDescent="0.3">
      <c r="A24" s="78" t="str">
        <f>HYPERLINK("#'Gender Split'!A1","Gender Split")</f>
        <v>Gender Split</v>
      </c>
      <c r="B24" s="74" t="s">
        <v>3007</v>
      </c>
    </row>
    <row r="25" spans="1:2" x14ac:dyDescent="0.3">
      <c r="A25" s="78" t="str">
        <f>HYPERLINK("#'Gamification Lift(Performance)'!A1","Gamification Lift(Performance)")</f>
        <v>Gamification Lift(Performance)</v>
      </c>
      <c r="B25" s="74" t="s">
        <v>3008</v>
      </c>
    </row>
    <row r="26" spans="1:2" x14ac:dyDescent="0.3">
      <c r="A26" s="78" t="str">
        <f>HYPERLINK("#'Students per Teacher'!A1","Students per Teacher")</f>
        <v>Students per Teacher</v>
      </c>
      <c r="B26" s="74" t="s">
        <v>3009</v>
      </c>
    </row>
    <row r="27" spans="1:2" x14ac:dyDescent="0.3">
      <c r="A27" s="78" t="str">
        <f>HYPERLINK("#'Effectiveness &amp; Engagement '!A1","Effectiveness &amp; Engagement")</f>
        <v>Effectiveness &amp; Engagement</v>
      </c>
      <c r="B27" s="74" t="s">
        <v>3010</v>
      </c>
    </row>
    <row r="28" spans="1:2" x14ac:dyDescent="0.3">
      <c r="A28" s="78" t="str">
        <f>HYPERLINK("#' Gamification Lift(Age) '!A1","Gamification Lift(Age)")</f>
        <v>Gamification Lift(Age)</v>
      </c>
      <c r="B28" s="74" t="s">
        <v>3011</v>
      </c>
    </row>
    <row r="29" spans="1:2" x14ac:dyDescent="0.3">
      <c r="A29" s="78" t="str">
        <f>HYPERLINK("#'Gamification Lift(Gender)'!A1","Gamification Lift(Gender)")</f>
        <v>Gamification Lift(Gender)</v>
      </c>
      <c r="B29" s="74" t="s">
        <v>3012</v>
      </c>
    </row>
    <row r="30" spans="1:2" x14ac:dyDescent="0.3">
      <c r="A30" s="78" t="str">
        <f>HYPERLINK("#'Effectiveness Distribution'!A1","Effectiveness Distribution")</f>
        <v>Effectiveness Distribution</v>
      </c>
      <c r="B30" s="74" t="s">
        <v>3013</v>
      </c>
    </row>
    <row r="31" spans="1:2" x14ac:dyDescent="0.3">
      <c r="A31" s="78" t="str">
        <f>HYPERLINK("#'Teaching Method(Effectiveness)'!A1","Teaching Method(Effectiveness)")</f>
        <v>Teaching Method(Effectiveness)</v>
      </c>
      <c r="B31" s="74" t="s">
        <v>3014</v>
      </c>
    </row>
    <row r="32" spans="1:2" x14ac:dyDescent="0.3">
      <c r="A32" s="78" t="str">
        <f>HYPERLINK("#'Teaching Method(Engagement)'!A1","Teaching Method(Engagement)")</f>
        <v>Teaching Method(Engagement)</v>
      </c>
      <c r="B32" s="74" t="s">
        <v>3015</v>
      </c>
    </row>
    <row r="33" spans="1:2" x14ac:dyDescent="0.3">
      <c r="A33" s="78" t="str">
        <f>HYPERLINK("#'Gamification Lift'!A1","Gamification Lift")</f>
        <v>Gamification Lift</v>
      </c>
      <c r="B33" s="74" t="s">
        <v>3008</v>
      </c>
    </row>
    <row r="35" spans="1:2" ht="21.6" customHeight="1" x14ac:dyDescent="0.3">
      <c r="A35" s="81" t="s">
        <v>3016</v>
      </c>
    </row>
    <row r="36" spans="1:2" x14ac:dyDescent="0.3">
      <c r="A36" s="78" t="str">
        <f>HYPERLINK("#'Raw Student Data'!A1","Raw Student Data")</f>
        <v>Raw Student Data</v>
      </c>
      <c r="B36" s="74" t="s">
        <v>3017</v>
      </c>
    </row>
    <row r="37" spans="1:2" x14ac:dyDescent="0.3">
      <c r="A37" s="78" t="str">
        <f>HYPERLINK("#'Clean Student Data'!A1","Clean Student Data")</f>
        <v>Clean Student Data</v>
      </c>
      <c r="B37" s="74" t="s">
        <v>3018</v>
      </c>
    </row>
    <row r="38" spans="1:2" x14ac:dyDescent="0.3">
      <c r="A38" s="78" t="str">
        <f>HYPERLINK("#'Raw Gamification Data'!A1","Raw Gamification Data")</f>
        <v>Raw Gamification Data</v>
      </c>
      <c r="B38" s="74" t="s">
        <v>3019</v>
      </c>
    </row>
    <row r="39" spans="1:2" x14ac:dyDescent="0.3">
      <c r="A39" s="78" t="str">
        <f>HYPERLINK("#'Clean Gamification Data'!A1","Clean Gamification Data")</f>
        <v>Clean Gamification Data</v>
      </c>
      <c r="B39" s="74" t="s">
        <v>3018</v>
      </c>
    </row>
  </sheetData>
  <mergeCells count="3">
    <mergeCell ref="A1:E2"/>
    <mergeCell ref="A4:E4"/>
    <mergeCell ref="A6:E6"/>
  </mergeCells>
  <pageMargins left="0.7" right="0.7" top="0.75" bottom="0.75" header="0.511811023622047" footer="0.511811023622047"/>
  <pageSetup paperSize="9" orientation="portrait" horizontalDpi="300" verticalDpi="30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1"/>
  <sheetViews>
    <sheetView showGridLines="0" zoomScaleNormal="100" workbookViewId="0">
      <selection activeCell="A4" sqref="A4:B4"/>
    </sheetView>
  </sheetViews>
  <sheetFormatPr defaultColWidth="8.6640625" defaultRowHeight="14.4" x14ac:dyDescent="0.3"/>
  <cols>
    <col min="1" max="1" width="20" customWidth="1"/>
    <col min="2" max="2" width="64.21875" customWidth="1"/>
    <col min="3" max="4" width="26" customWidth="1"/>
    <col min="5" max="5" width="29.33203125" customWidth="1"/>
    <col min="6" max="8" width="26" customWidth="1"/>
  </cols>
  <sheetData>
    <row r="1" spans="1:8" ht="25.95" customHeight="1" x14ac:dyDescent="0.3">
      <c r="A1" s="91" t="s">
        <v>3020</v>
      </c>
      <c r="B1" s="92"/>
      <c r="C1" s="92"/>
      <c r="D1" s="92"/>
      <c r="E1" s="92"/>
      <c r="F1" s="92"/>
      <c r="G1" s="92"/>
      <c r="H1" s="92"/>
    </row>
    <row r="2" spans="1:8" x14ac:dyDescent="0.3">
      <c r="A2" s="92"/>
      <c r="B2" s="92"/>
      <c r="C2" s="92"/>
      <c r="D2" s="92"/>
      <c r="E2" s="92"/>
      <c r="F2" s="92"/>
      <c r="G2" s="92"/>
      <c r="H2" s="92"/>
    </row>
    <row r="4" spans="1:8" x14ac:dyDescent="0.3">
      <c r="A4" s="114" t="str">
        <f>HYPERLINK("#'Home'!A1","← Back to Home")</f>
        <v>← Back to Home</v>
      </c>
      <c r="B4" s="92"/>
    </row>
    <row r="6" spans="1:8" ht="15.6" x14ac:dyDescent="0.3">
      <c r="A6" s="94" t="s">
        <v>3021</v>
      </c>
      <c r="B6" s="92"/>
      <c r="C6" s="92"/>
      <c r="D6" s="92"/>
      <c r="E6" s="92"/>
      <c r="F6" s="92"/>
      <c r="G6" s="92"/>
      <c r="H6" s="92"/>
    </row>
    <row r="7" spans="1:8" ht="43.95" customHeight="1" x14ac:dyDescent="0.3">
      <c r="A7" s="101" t="s">
        <v>3022</v>
      </c>
      <c r="B7" s="92"/>
      <c r="C7" s="92"/>
      <c r="D7" s="92"/>
      <c r="E7" s="92"/>
      <c r="F7" s="92"/>
      <c r="G7" s="92"/>
      <c r="H7" s="92"/>
    </row>
    <row r="9" spans="1:8" ht="15.6" x14ac:dyDescent="0.3">
      <c r="A9" s="70" t="s">
        <v>3023</v>
      </c>
      <c r="B9" s="70"/>
      <c r="C9" s="70"/>
      <c r="D9" s="70"/>
      <c r="E9" s="70"/>
      <c r="F9" s="70"/>
      <c r="G9" s="70"/>
      <c r="H9" s="70"/>
    </row>
    <row r="10" spans="1:8" s="72" customFormat="1" ht="15.6" x14ac:dyDescent="0.3">
      <c r="A10" s="71"/>
      <c r="B10" s="71"/>
      <c r="C10" s="71"/>
      <c r="D10" s="71"/>
      <c r="E10" s="71"/>
      <c r="F10" s="71"/>
      <c r="G10" s="71"/>
      <c r="H10" s="71"/>
    </row>
    <row r="11" spans="1:8" x14ac:dyDescent="0.3">
      <c r="A11" s="100" t="s">
        <v>3024</v>
      </c>
      <c r="B11" s="96"/>
      <c r="C11" s="100" t="s">
        <v>3025</v>
      </c>
      <c r="D11" s="96"/>
      <c r="E11" s="96"/>
      <c r="F11" s="100" t="s">
        <v>3026</v>
      </c>
      <c r="G11" s="96"/>
      <c r="H11" s="96"/>
    </row>
    <row r="12" spans="1:8" x14ac:dyDescent="0.3">
      <c r="A12" s="98" t="s">
        <v>3027</v>
      </c>
      <c r="B12" s="96"/>
      <c r="C12" s="98" t="s">
        <v>3028</v>
      </c>
      <c r="D12" s="96"/>
      <c r="E12" s="96"/>
      <c r="F12" s="98" t="s">
        <v>3029</v>
      </c>
      <c r="G12" s="96"/>
      <c r="H12" s="96"/>
    </row>
    <row r="13" spans="1:8" x14ac:dyDescent="0.3">
      <c r="A13" s="115" t="s">
        <v>3030</v>
      </c>
      <c r="B13" s="96"/>
      <c r="C13" s="110" t="s">
        <v>3031</v>
      </c>
      <c r="D13" s="96"/>
      <c r="E13" s="96"/>
      <c r="F13" s="110" t="s">
        <v>3032</v>
      </c>
      <c r="G13" s="96"/>
      <c r="H13" s="96"/>
    </row>
    <row r="14" spans="1:8" x14ac:dyDescent="0.3">
      <c r="A14" s="98" t="s">
        <v>3033</v>
      </c>
      <c r="B14" s="96"/>
      <c r="C14" s="98" t="s">
        <v>3034</v>
      </c>
      <c r="D14" s="96"/>
      <c r="E14" s="96"/>
      <c r="F14" s="98" t="s">
        <v>3035</v>
      </c>
      <c r="G14" s="96"/>
      <c r="H14" s="96"/>
    </row>
    <row r="16" spans="1:8" ht="15.6" x14ac:dyDescent="0.3">
      <c r="A16" s="94" t="s">
        <v>3036</v>
      </c>
      <c r="B16" s="92"/>
      <c r="C16" s="92"/>
      <c r="D16" s="92"/>
      <c r="E16" s="92"/>
      <c r="F16" s="92"/>
      <c r="G16" s="92"/>
      <c r="H16" s="92"/>
    </row>
    <row r="17" spans="1:8" ht="15.6" x14ac:dyDescent="0.3">
      <c r="A17" s="73"/>
    </row>
    <row r="18" spans="1:8" x14ac:dyDescent="0.3">
      <c r="A18" s="100" t="s">
        <v>3037</v>
      </c>
      <c r="B18" s="96"/>
      <c r="C18" s="100" t="s">
        <v>3038</v>
      </c>
      <c r="D18" s="96"/>
      <c r="E18" s="96"/>
      <c r="F18" s="100" t="s">
        <v>3039</v>
      </c>
      <c r="G18" s="96"/>
      <c r="H18" s="96"/>
    </row>
    <row r="19" spans="1:8" x14ac:dyDescent="0.3">
      <c r="A19" s="98" t="s">
        <v>2876</v>
      </c>
      <c r="B19" s="96"/>
      <c r="C19" s="99" t="s">
        <v>3040</v>
      </c>
      <c r="D19" s="96"/>
      <c r="E19" s="96"/>
      <c r="F19" s="99" t="s">
        <v>3041</v>
      </c>
      <c r="G19" s="96"/>
      <c r="H19" s="96"/>
    </row>
    <row r="20" spans="1:8" x14ac:dyDescent="0.3">
      <c r="A20" s="95" t="s">
        <v>3042</v>
      </c>
      <c r="B20" s="96"/>
      <c r="C20" s="110" t="s">
        <v>3043</v>
      </c>
      <c r="D20" s="96"/>
      <c r="E20" s="96"/>
      <c r="F20" s="110" t="s">
        <v>3044</v>
      </c>
      <c r="G20" s="96"/>
      <c r="H20" s="96"/>
    </row>
    <row r="21" spans="1:8" x14ac:dyDescent="0.3">
      <c r="A21" s="98" t="s">
        <v>3045</v>
      </c>
      <c r="B21" s="96"/>
      <c r="C21" s="98" t="s">
        <v>3046</v>
      </c>
      <c r="D21" s="96"/>
      <c r="E21" s="96"/>
      <c r="F21" s="98" t="s">
        <v>3047</v>
      </c>
      <c r="G21" s="96"/>
      <c r="H21" s="96"/>
    </row>
    <row r="22" spans="1:8" x14ac:dyDescent="0.3">
      <c r="A22" s="95" t="s">
        <v>2951</v>
      </c>
      <c r="B22" s="96"/>
      <c r="C22" s="110" t="s">
        <v>3048</v>
      </c>
      <c r="D22" s="96"/>
      <c r="E22" s="96"/>
      <c r="F22" s="110" t="s">
        <v>3049</v>
      </c>
      <c r="G22" s="96"/>
      <c r="H22" s="96"/>
    </row>
    <row r="23" spans="1:8" x14ac:dyDescent="0.3">
      <c r="A23" s="98" t="s">
        <v>2877</v>
      </c>
      <c r="B23" s="96"/>
      <c r="C23" s="98" t="s">
        <v>3050</v>
      </c>
      <c r="D23" s="96"/>
      <c r="E23" s="96"/>
      <c r="F23" s="98" t="s">
        <v>3051</v>
      </c>
      <c r="G23" s="96"/>
      <c r="H23" s="96"/>
    </row>
    <row r="24" spans="1:8" x14ac:dyDescent="0.3">
      <c r="A24" s="95" t="s">
        <v>2878</v>
      </c>
      <c r="B24" s="96"/>
      <c r="C24" s="110" t="s">
        <v>3052</v>
      </c>
      <c r="D24" s="96"/>
      <c r="E24" s="96"/>
      <c r="F24" s="110" t="s">
        <v>3053</v>
      </c>
      <c r="G24" s="96"/>
      <c r="H24" s="96"/>
    </row>
    <row r="25" spans="1:8" x14ac:dyDescent="0.3">
      <c r="A25" s="98" t="s">
        <v>2879</v>
      </c>
      <c r="B25" s="96"/>
      <c r="C25" s="98" t="s">
        <v>3054</v>
      </c>
      <c r="D25" s="96"/>
      <c r="E25" s="96"/>
      <c r="F25" s="98" t="s">
        <v>3055</v>
      </c>
      <c r="G25" s="96"/>
      <c r="H25" s="96"/>
    </row>
    <row r="26" spans="1:8" x14ac:dyDescent="0.3">
      <c r="A26" s="95" t="s">
        <v>2880</v>
      </c>
      <c r="B26" s="96"/>
      <c r="C26" s="110" t="s">
        <v>3056</v>
      </c>
      <c r="D26" s="96"/>
      <c r="E26" s="96"/>
      <c r="F26" s="110" t="s">
        <v>3057</v>
      </c>
      <c r="G26" s="96"/>
      <c r="H26" s="96"/>
    </row>
    <row r="28" spans="1:8" ht="15.6" x14ac:dyDescent="0.3">
      <c r="A28" s="111" t="s">
        <v>3058</v>
      </c>
      <c r="B28" s="112"/>
      <c r="C28" s="112"/>
      <c r="D28" s="112"/>
      <c r="E28" s="112"/>
      <c r="F28" s="112"/>
      <c r="G28" s="96"/>
      <c r="H28" s="112"/>
    </row>
    <row r="29" spans="1:8" ht="15.6" x14ac:dyDescent="0.3">
      <c r="B29" s="76"/>
      <c r="G29" s="77"/>
    </row>
    <row r="30" spans="1:8" ht="15.6" x14ac:dyDescent="0.3">
      <c r="A30" s="113" t="s">
        <v>3037</v>
      </c>
      <c r="B30" s="96"/>
      <c r="C30" s="113" t="s">
        <v>3038</v>
      </c>
      <c r="D30" s="96"/>
      <c r="E30" s="96"/>
      <c r="F30" s="113" t="s">
        <v>3039</v>
      </c>
      <c r="G30" s="96"/>
      <c r="H30" s="96"/>
    </row>
    <row r="31" spans="1:8" x14ac:dyDescent="0.3">
      <c r="A31" s="98" t="s">
        <v>2951</v>
      </c>
      <c r="B31" s="96"/>
      <c r="C31" s="98" t="s">
        <v>3059</v>
      </c>
      <c r="D31" s="96"/>
      <c r="E31" s="96"/>
      <c r="F31" s="98" t="s">
        <v>3060</v>
      </c>
      <c r="G31" s="96"/>
      <c r="H31" s="96"/>
    </row>
    <row r="32" spans="1:8" x14ac:dyDescent="0.3">
      <c r="A32" s="95" t="s">
        <v>2968</v>
      </c>
      <c r="B32" s="96"/>
      <c r="C32" s="110" t="s">
        <v>3061</v>
      </c>
      <c r="D32" s="96"/>
      <c r="E32" s="96"/>
      <c r="F32" s="110" t="s">
        <v>3062</v>
      </c>
      <c r="G32" s="96"/>
      <c r="H32" s="96"/>
    </row>
    <row r="34" spans="1:8" ht="20.399999999999999" customHeight="1" x14ac:dyDescent="0.3">
      <c r="A34" s="94" t="s">
        <v>3063</v>
      </c>
      <c r="B34" s="92"/>
      <c r="C34" s="92"/>
      <c r="D34" s="92"/>
      <c r="E34" s="92"/>
      <c r="F34" s="92"/>
      <c r="G34" s="92"/>
      <c r="H34" s="92"/>
    </row>
    <row r="35" spans="1:8" ht="25.2" customHeight="1" x14ac:dyDescent="0.3">
      <c r="A35" s="75" t="s">
        <v>3064</v>
      </c>
    </row>
    <row r="36" spans="1:8" ht="14.4" customHeight="1" x14ac:dyDescent="0.3">
      <c r="A36" s="75" t="s">
        <v>3065</v>
      </c>
    </row>
    <row r="38" spans="1:8" ht="15.6" x14ac:dyDescent="0.3">
      <c r="A38" s="94" t="s">
        <v>3066</v>
      </c>
      <c r="B38" s="92"/>
      <c r="C38" s="92"/>
      <c r="D38" s="92"/>
      <c r="E38" s="92"/>
      <c r="F38" s="92"/>
      <c r="G38" s="92"/>
      <c r="H38" s="92"/>
    </row>
    <row r="39" spans="1:8" ht="15.6" x14ac:dyDescent="0.3">
      <c r="A39" s="73"/>
    </row>
    <row r="40" spans="1:8" x14ac:dyDescent="0.3">
      <c r="A40" s="108" t="s">
        <v>3067</v>
      </c>
      <c r="B40" s="109"/>
      <c r="C40" s="109"/>
      <c r="D40" s="102" t="s">
        <v>3068</v>
      </c>
      <c r="E40" s="103"/>
      <c r="F40" s="103"/>
      <c r="G40" s="103"/>
      <c r="H40" s="103"/>
    </row>
    <row r="41" spans="1:8" x14ac:dyDescent="0.3">
      <c r="A41" s="99" t="s">
        <v>3069</v>
      </c>
      <c r="B41" s="96"/>
      <c r="C41" s="96"/>
      <c r="D41" s="99" t="s">
        <v>3070</v>
      </c>
      <c r="E41" s="96"/>
      <c r="F41" s="96"/>
      <c r="G41" s="96"/>
      <c r="H41" s="96"/>
    </row>
    <row r="42" spans="1:8" x14ac:dyDescent="0.3">
      <c r="A42" s="107" t="s">
        <v>2942</v>
      </c>
      <c r="B42" s="96"/>
      <c r="C42" s="96"/>
      <c r="D42" s="97" t="s">
        <v>3071</v>
      </c>
      <c r="E42" s="96"/>
      <c r="F42" s="96"/>
      <c r="G42" s="96"/>
      <c r="H42" s="96"/>
    </row>
    <row r="43" spans="1:8" x14ac:dyDescent="0.3">
      <c r="A43" s="99" t="s">
        <v>2819</v>
      </c>
      <c r="B43" s="96"/>
      <c r="C43" s="96"/>
      <c r="D43" s="99" t="s">
        <v>3072</v>
      </c>
      <c r="E43" s="96"/>
      <c r="F43" s="96"/>
      <c r="G43" s="96"/>
      <c r="H43" s="96"/>
    </row>
    <row r="44" spans="1:8" x14ac:dyDescent="0.3">
      <c r="A44" s="107" t="s">
        <v>2986</v>
      </c>
      <c r="B44" s="96"/>
      <c r="C44" s="96"/>
      <c r="D44" s="97" t="s">
        <v>3073</v>
      </c>
      <c r="E44" s="96"/>
      <c r="F44" s="96"/>
      <c r="G44" s="96"/>
      <c r="H44" s="96"/>
    </row>
    <row r="45" spans="1:8" x14ac:dyDescent="0.3">
      <c r="A45" s="99" t="s">
        <v>3074</v>
      </c>
      <c r="B45" s="96"/>
      <c r="C45" s="96"/>
      <c r="D45" s="99" t="s">
        <v>3075</v>
      </c>
      <c r="E45" s="96"/>
      <c r="F45" s="96"/>
      <c r="G45" s="96"/>
      <c r="H45" s="96"/>
    </row>
    <row r="46" spans="1:8" x14ac:dyDescent="0.3">
      <c r="A46" s="107" t="s">
        <v>3076</v>
      </c>
      <c r="B46" s="96"/>
      <c r="C46" s="96"/>
      <c r="D46" s="97" t="s">
        <v>3077</v>
      </c>
      <c r="E46" s="96"/>
      <c r="F46" s="96"/>
      <c r="G46" s="96"/>
      <c r="H46" s="96"/>
    </row>
    <row r="47" spans="1:8" x14ac:dyDescent="0.3">
      <c r="A47" s="99" t="s">
        <v>3078</v>
      </c>
      <c r="B47" s="96"/>
      <c r="C47" s="96"/>
      <c r="D47" s="99" t="s">
        <v>2972</v>
      </c>
      <c r="E47" s="96"/>
      <c r="F47" s="96"/>
      <c r="G47" s="96"/>
      <c r="H47" s="96"/>
    </row>
    <row r="48" spans="1:8" x14ac:dyDescent="0.3">
      <c r="A48" s="107" t="s">
        <v>3079</v>
      </c>
      <c r="B48" s="96"/>
      <c r="C48" s="96"/>
      <c r="D48" s="97" t="s">
        <v>3080</v>
      </c>
      <c r="E48" s="96"/>
      <c r="F48" s="96"/>
      <c r="G48" s="96"/>
      <c r="H48" s="96"/>
    </row>
    <row r="49" spans="1:8" x14ac:dyDescent="0.3">
      <c r="A49" s="99" t="s">
        <v>3081</v>
      </c>
      <c r="B49" s="96"/>
      <c r="C49" s="96"/>
      <c r="D49" s="99" t="s">
        <v>3082</v>
      </c>
      <c r="E49" s="96"/>
      <c r="F49" s="96"/>
      <c r="G49" s="96"/>
      <c r="H49" s="96"/>
    </row>
    <row r="50" spans="1:8" x14ac:dyDescent="0.3">
      <c r="A50" s="107" t="s">
        <v>3083</v>
      </c>
      <c r="B50" s="96"/>
      <c r="C50" s="96"/>
      <c r="D50" s="97" t="s">
        <v>3084</v>
      </c>
      <c r="E50" s="96"/>
      <c r="F50" s="96"/>
      <c r="G50" s="96"/>
      <c r="H50" s="96"/>
    </row>
    <row r="51" spans="1:8" x14ac:dyDescent="0.3">
      <c r="A51" s="99" t="s">
        <v>3085</v>
      </c>
      <c r="B51" s="96"/>
      <c r="C51" s="96"/>
      <c r="D51" s="99" t="s">
        <v>3086</v>
      </c>
      <c r="E51" s="96"/>
      <c r="F51" s="96"/>
      <c r="G51" s="96"/>
      <c r="H51" s="96"/>
    </row>
    <row r="52" spans="1:8" x14ac:dyDescent="0.3">
      <c r="A52" s="107" t="s">
        <v>3087</v>
      </c>
      <c r="B52" s="96"/>
      <c r="C52" s="96"/>
      <c r="D52" s="97" t="s">
        <v>3088</v>
      </c>
      <c r="E52" s="96"/>
      <c r="F52" s="96"/>
      <c r="G52" s="96"/>
      <c r="H52" s="96"/>
    </row>
    <row r="53" spans="1:8" x14ac:dyDescent="0.3">
      <c r="A53" s="99" t="s">
        <v>3089</v>
      </c>
      <c r="B53" s="96"/>
      <c r="C53" s="96"/>
      <c r="D53" s="99" t="s">
        <v>3090</v>
      </c>
      <c r="E53" s="96"/>
      <c r="F53" s="96"/>
      <c r="G53" s="96"/>
      <c r="H53" s="96"/>
    </row>
    <row r="55" spans="1:8" ht="43.95" customHeight="1" x14ac:dyDescent="0.3">
      <c r="A55" s="101" t="s">
        <v>3091</v>
      </c>
      <c r="B55" s="92"/>
      <c r="C55" s="92"/>
      <c r="D55" s="92"/>
      <c r="E55" s="92"/>
      <c r="F55" s="92"/>
      <c r="G55" s="92"/>
      <c r="H55" s="92"/>
    </row>
    <row r="57" spans="1:8" ht="15.6" x14ac:dyDescent="0.3">
      <c r="A57" s="94" t="s">
        <v>3092</v>
      </c>
      <c r="B57" s="92"/>
      <c r="C57" s="92"/>
      <c r="D57" s="92"/>
      <c r="E57" s="92"/>
      <c r="F57" s="92"/>
      <c r="G57" s="92"/>
      <c r="H57" s="92"/>
    </row>
    <row r="58" spans="1:8" ht="30" customHeight="1" x14ac:dyDescent="0.3">
      <c r="A58" s="101" t="s">
        <v>3093</v>
      </c>
      <c r="B58" s="92"/>
      <c r="C58" s="92"/>
      <c r="D58" s="92"/>
      <c r="E58" s="92"/>
      <c r="F58" s="92"/>
      <c r="G58" s="92"/>
      <c r="H58" s="92"/>
    </row>
    <row r="60" spans="1:8" ht="15.6" x14ac:dyDescent="0.3">
      <c r="A60" s="94" t="s">
        <v>3094</v>
      </c>
      <c r="B60" s="92"/>
      <c r="C60" s="92"/>
      <c r="D60" s="92"/>
      <c r="E60" s="92"/>
      <c r="F60" s="92"/>
      <c r="G60" s="92"/>
      <c r="H60" s="92"/>
    </row>
    <row r="61" spans="1:8" ht="15.6" x14ac:dyDescent="0.3">
      <c r="A61" s="73"/>
    </row>
    <row r="62" spans="1:8" x14ac:dyDescent="0.3">
      <c r="A62" s="102" t="s">
        <v>3095</v>
      </c>
      <c r="B62" s="103"/>
      <c r="C62" s="102" t="s">
        <v>3096</v>
      </c>
      <c r="D62" s="103"/>
      <c r="E62" s="103"/>
      <c r="F62" s="103"/>
      <c r="G62" s="103"/>
      <c r="H62" s="103"/>
    </row>
    <row r="63" spans="1:8" x14ac:dyDescent="0.3">
      <c r="A63" s="104" t="s">
        <v>3097</v>
      </c>
      <c r="B63" s="105"/>
      <c r="C63" s="106" t="s">
        <v>3098</v>
      </c>
      <c r="D63" s="105"/>
      <c r="E63" s="105"/>
      <c r="F63" s="105"/>
      <c r="G63" s="105"/>
      <c r="H63" s="105"/>
    </row>
    <row r="64" spans="1:8" x14ac:dyDescent="0.3">
      <c r="A64" s="95" t="s">
        <v>2815</v>
      </c>
      <c r="B64" s="96"/>
      <c r="C64" s="97" t="s">
        <v>3099</v>
      </c>
      <c r="D64" s="96"/>
      <c r="E64" s="96"/>
      <c r="F64" s="96"/>
      <c r="G64" s="96"/>
      <c r="H64" s="96"/>
    </row>
    <row r="65" spans="1:8" x14ac:dyDescent="0.3">
      <c r="A65" s="98" t="s">
        <v>3100</v>
      </c>
      <c r="B65" s="96"/>
      <c r="C65" s="99" t="s">
        <v>3101</v>
      </c>
      <c r="D65" s="96"/>
      <c r="E65" s="96"/>
      <c r="F65" s="96"/>
      <c r="G65" s="96"/>
      <c r="H65" s="96"/>
    </row>
    <row r="66" spans="1:8" x14ac:dyDescent="0.3">
      <c r="A66" s="95" t="s">
        <v>3102</v>
      </c>
      <c r="B66" s="96"/>
      <c r="C66" s="97" t="s">
        <v>3103</v>
      </c>
      <c r="D66" s="96"/>
      <c r="E66" s="96"/>
      <c r="F66" s="96"/>
      <c r="G66" s="96"/>
      <c r="H66" s="96"/>
    </row>
    <row r="67" spans="1:8" x14ac:dyDescent="0.3">
      <c r="A67" s="98" t="s">
        <v>3104</v>
      </c>
      <c r="B67" s="96"/>
      <c r="C67" s="99" t="s">
        <v>3105</v>
      </c>
      <c r="D67" s="96"/>
      <c r="E67" s="96"/>
      <c r="F67" s="96"/>
      <c r="G67" s="96"/>
      <c r="H67" s="96"/>
    </row>
    <row r="68" spans="1:8" x14ac:dyDescent="0.3">
      <c r="A68" s="95" t="s">
        <v>2951</v>
      </c>
      <c r="B68" s="96"/>
      <c r="C68" s="97" t="s">
        <v>3106</v>
      </c>
      <c r="D68" s="96"/>
      <c r="E68" s="96"/>
      <c r="F68" s="96"/>
      <c r="G68" s="96"/>
      <c r="H68" s="96"/>
    </row>
    <row r="69" spans="1:8" x14ac:dyDescent="0.3">
      <c r="A69" s="98" t="s">
        <v>2876</v>
      </c>
      <c r="B69" s="96"/>
      <c r="C69" s="99" t="s">
        <v>3107</v>
      </c>
      <c r="D69" s="96"/>
      <c r="E69" s="96"/>
      <c r="F69" s="96"/>
      <c r="G69" s="96"/>
      <c r="H69" s="96"/>
    </row>
    <row r="70" spans="1:8" x14ac:dyDescent="0.3">
      <c r="A70" s="95" t="s">
        <v>3108</v>
      </c>
      <c r="B70" s="96"/>
      <c r="C70" s="97" t="s">
        <v>3109</v>
      </c>
      <c r="D70" s="96"/>
      <c r="E70" s="96"/>
      <c r="F70" s="96"/>
      <c r="G70" s="96"/>
      <c r="H70" s="96"/>
    </row>
    <row r="71" spans="1:8" x14ac:dyDescent="0.3">
      <c r="A71" s="98" t="s">
        <v>2968</v>
      </c>
      <c r="B71" s="96"/>
      <c r="C71" s="99" t="s">
        <v>3110</v>
      </c>
      <c r="D71" s="96"/>
      <c r="E71" s="96"/>
      <c r="F71" s="96"/>
      <c r="G71" s="96"/>
      <c r="H71" s="96"/>
    </row>
  </sheetData>
  <mergeCells count="108">
    <mergeCell ref="A1:H2"/>
    <mergeCell ref="A4:B4"/>
    <mergeCell ref="A6:H6"/>
    <mergeCell ref="A7:H7"/>
    <mergeCell ref="A13:B13"/>
    <mergeCell ref="C13:E13"/>
    <mergeCell ref="F13:H13"/>
    <mergeCell ref="A14:B14"/>
    <mergeCell ref="C14:E14"/>
    <mergeCell ref="F14:H14"/>
    <mergeCell ref="A16:H16"/>
    <mergeCell ref="A18:B18"/>
    <mergeCell ref="C18:E18"/>
    <mergeCell ref="F18:H18"/>
    <mergeCell ref="A19:B19"/>
    <mergeCell ref="C19:E19"/>
    <mergeCell ref="F19:H19"/>
    <mergeCell ref="A20:B20"/>
    <mergeCell ref="C20:E20"/>
    <mergeCell ref="F20:H20"/>
    <mergeCell ref="A21:B21"/>
    <mergeCell ref="C21:E21"/>
    <mergeCell ref="F21:H21"/>
    <mergeCell ref="A22:B22"/>
    <mergeCell ref="C22:E22"/>
    <mergeCell ref="F22:H22"/>
    <mergeCell ref="A23:B23"/>
    <mergeCell ref="C23:E23"/>
    <mergeCell ref="F23:H23"/>
    <mergeCell ref="A24:B24"/>
    <mergeCell ref="C24:E24"/>
    <mergeCell ref="F24:H24"/>
    <mergeCell ref="A31:B31"/>
    <mergeCell ref="C31:E31"/>
    <mergeCell ref="F31:H31"/>
    <mergeCell ref="A32:B32"/>
    <mergeCell ref="C32:E32"/>
    <mergeCell ref="F32:H32"/>
    <mergeCell ref="A34:H34"/>
    <mergeCell ref="A25:B25"/>
    <mergeCell ref="C25:E25"/>
    <mergeCell ref="F25:H25"/>
    <mergeCell ref="A26:B26"/>
    <mergeCell ref="C26:E26"/>
    <mergeCell ref="F26:H26"/>
    <mergeCell ref="A28:H28"/>
    <mergeCell ref="A30:B30"/>
    <mergeCell ref="C30:E30"/>
    <mergeCell ref="F30:H30"/>
    <mergeCell ref="A38:H38"/>
    <mergeCell ref="A40:C40"/>
    <mergeCell ref="D40:H40"/>
    <mergeCell ref="A41:C41"/>
    <mergeCell ref="D41:H41"/>
    <mergeCell ref="A42:C42"/>
    <mergeCell ref="D42:H42"/>
    <mergeCell ref="A43:C43"/>
    <mergeCell ref="D43:H43"/>
    <mergeCell ref="A44:C44"/>
    <mergeCell ref="D44:H44"/>
    <mergeCell ref="A45:C45"/>
    <mergeCell ref="D45:H45"/>
    <mergeCell ref="A46:C46"/>
    <mergeCell ref="D46:H46"/>
    <mergeCell ref="A47:C47"/>
    <mergeCell ref="D47:H47"/>
    <mergeCell ref="A48:C48"/>
    <mergeCell ref="D48:H48"/>
    <mergeCell ref="A62:B62"/>
    <mergeCell ref="C62:H62"/>
    <mergeCell ref="A63:B63"/>
    <mergeCell ref="C63:H63"/>
    <mergeCell ref="A64:B64"/>
    <mergeCell ref="C64:H64"/>
    <mergeCell ref="A49:C49"/>
    <mergeCell ref="D49:H49"/>
    <mergeCell ref="A50:C50"/>
    <mergeCell ref="D50:H50"/>
    <mergeCell ref="A51:C51"/>
    <mergeCell ref="D51:H51"/>
    <mergeCell ref="A52:C52"/>
    <mergeCell ref="D52:H52"/>
    <mergeCell ref="A53:C53"/>
    <mergeCell ref="D53:H53"/>
    <mergeCell ref="A70:B70"/>
    <mergeCell ref="C70:H70"/>
    <mergeCell ref="A71:B71"/>
    <mergeCell ref="C71:H71"/>
    <mergeCell ref="F12:H12"/>
    <mergeCell ref="C12:E12"/>
    <mergeCell ref="A12:B12"/>
    <mergeCell ref="F11:H11"/>
    <mergeCell ref="C11:E11"/>
    <mergeCell ref="A11:B11"/>
    <mergeCell ref="A65:B65"/>
    <mergeCell ref="C65:H65"/>
    <mergeCell ref="A66:B66"/>
    <mergeCell ref="C66:H66"/>
    <mergeCell ref="A67:B67"/>
    <mergeCell ref="C67:H67"/>
    <mergeCell ref="A68:B68"/>
    <mergeCell ref="C68:H68"/>
    <mergeCell ref="A69:B69"/>
    <mergeCell ref="C69:H69"/>
    <mergeCell ref="A55:H55"/>
    <mergeCell ref="A57:H57"/>
    <mergeCell ref="A58:H58"/>
    <mergeCell ref="A60:H60"/>
  </mergeCells>
  <pageMargins left="0.7" right="0.7" top="0.75" bottom="0.75"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51"/>
  <sheetViews>
    <sheetView zoomScaleNormal="100" workbookViewId="0"/>
  </sheetViews>
  <sheetFormatPr defaultColWidth="8.6640625" defaultRowHeight="14.4" x14ac:dyDescent="0.3"/>
  <cols>
    <col min="1" max="1" width="10.88671875" customWidth="1"/>
    <col min="2" max="2" width="21" customWidth="1"/>
    <col min="3" max="3" width="22.33203125" customWidth="1"/>
    <col min="4" max="4" width="26" customWidth="1"/>
    <col min="5" max="5" width="28.109375" customWidth="1"/>
    <col min="6" max="6" width="26.21875" customWidth="1"/>
    <col min="7" max="7" width="30" customWidth="1"/>
    <col min="8" max="8" width="21.5546875" customWidth="1"/>
    <col min="9" max="9" width="25.109375" customWidth="1"/>
    <col min="10" max="10" width="27.33203125" customWidth="1"/>
    <col min="11" max="11" width="25.44140625" customWidth="1"/>
    <col min="12" max="12" width="29.109375" customWidth="1"/>
    <col min="13" max="13" width="20.88671875" customWidth="1"/>
    <col min="14" max="14" width="20.109375" customWidth="1"/>
  </cols>
  <sheetData>
    <row r="1" spans="1:14" ht="14.25" customHeight="1" x14ac:dyDescent="0.3">
      <c r="A1" s="1" t="s">
        <v>0</v>
      </c>
      <c r="B1" s="2" t="s">
        <v>1</v>
      </c>
      <c r="C1" s="2" t="s">
        <v>2</v>
      </c>
      <c r="D1" s="2" t="s">
        <v>3</v>
      </c>
      <c r="E1" s="2" t="s">
        <v>4</v>
      </c>
      <c r="F1" s="2" t="s">
        <v>5</v>
      </c>
      <c r="G1" s="2" t="s">
        <v>6</v>
      </c>
      <c r="H1" s="2" t="s">
        <v>7</v>
      </c>
      <c r="I1" s="2" t="s">
        <v>8</v>
      </c>
      <c r="J1" s="2" t="s">
        <v>9</v>
      </c>
      <c r="K1" s="2" t="s">
        <v>10</v>
      </c>
      <c r="L1" s="2" t="s">
        <v>11</v>
      </c>
      <c r="M1" s="2" t="s">
        <v>12</v>
      </c>
      <c r="N1" s="2" t="s">
        <v>13</v>
      </c>
    </row>
    <row r="2" spans="1:14" ht="14.25" customHeight="1" x14ac:dyDescent="0.3">
      <c r="A2" t="s">
        <v>14</v>
      </c>
      <c r="B2" t="s">
        <v>15</v>
      </c>
      <c r="C2">
        <v>4.04</v>
      </c>
      <c r="D2">
        <v>3.81</v>
      </c>
      <c r="E2">
        <v>4.1500000000000004</v>
      </c>
      <c r="F2">
        <v>4.16</v>
      </c>
      <c r="G2">
        <v>4.03</v>
      </c>
      <c r="H2">
        <v>3.65</v>
      </c>
      <c r="I2">
        <v>3.98</v>
      </c>
      <c r="J2">
        <v>4.01</v>
      </c>
      <c r="K2">
        <v>4.24</v>
      </c>
      <c r="L2">
        <v>4.18</v>
      </c>
      <c r="M2">
        <f t="shared" ref="M2:M65" si="0">AVERAGE(C2:G2)</f>
        <v>4.0380000000000003</v>
      </c>
      <c r="N2">
        <f t="shared" ref="N2:N65" si="1">AVERAGE(H2:L2)</f>
        <v>4.0120000000000005</v>
      </c>
    </row>
    <row r="3" spans="1:14" ht="14.25" customHeight="1" x14ac:dyDescent="0.3">
      <c r="A3" t="s">
        <v>16</v>
      </c>
      <c r="B3" t="s">
        <v>17</v>
      </c>
      <c r="C3">
        <v>3.58</v>
      </c>
      <c r="D3">
        <v>3.86</v>
      </c>
      <c r="E3">
        <v>3.95</v>
      </c>
      <c r="F3">
        <v>3.73</v>
      </c>
      <c r="G3">
        <v>3.8</v>
      </c>
      <c r="H3">
        <v>4.13</v>
      </c>
      <c r="I3">
        <v>4.42</v>
      </c>
      <c r="J3">
        <v>3.65</v>
      </c>
      <c r="K3">
        <v>4.2300000000000004</v>
      </c>
      <c r="L3">
        <v>4.33</v>
      </c>
      <c r="M3">
        <f t="shared" si="0"/>
        <v>3.7840000000000003</v>
      </c>
      <c r="N3">
        <f t="shared" si="1"/>
        <v>4.1519999999999992</v>
      </c>
    </row>
    <row r="4" spans="1:14" ht="14.25" customHeight="1" x14ac:dyDescent="0.3">
      <c r="A4" t="s">
        <v>18</v>
      </c>
      <c r="B4" t="s">
        <v>19</v>
      </c>
      <c r="C4">
        <v>4.17</v>
      </c>
      <c r="D4">
        <v>4.58</v>
      </c>
      <c r="E4">
        <v>4.3</v>
      </c>
      <c r="F4">
        <v>4.24</v>
      </c>
      <c r="G4">
        <v>3.86</v>
      </c>
      <c r="H4">
        <v>4.28</v>
      </c>
      <c r="I4">
        <v>4.04</v>
      </c>
      <c r="J4">
        <v>4.1399999999999997</v>
      </c>
      <c r="K4">
        <v>3.89</v>
      </c>
      <c r="L4">
        <v>4.09</v>
      </c>
      <c r="M4">
        <f t="shared" si="0"/>
        <v>4.2299999999999995</v>
      </c>
      <c r="N4">
        <f t="shared" si="1"/>
        <v>4.0880000000000001</v>
      </c>
    </row>
    <row r="5" spans="1:14" ht="14.25" customHeight="1" x14ac:dyDescent="0.3">
      <c r="A5" t="s">
        <v>20</v>
      </c>
      <c r="B5" t="s">
        <v>21</v>
      </c>
      <c r="C5">
        <v>3.48</v>
      </c>
      <c r="D5">
        <v>3.86</v>
      </c>
      <c r="E5">
        <v>3.58</v>
      </c>
      <c r="F5">
        <v>3.62</v>
      </c>
      <c r="G5">
        <v>3.61</v>
      </c>
      <c r="H5">
        <v>3.82</v>
      </c>
      <c r="I5">
        <v>4.2699999999999996</v>
      </c>
      <c r="J5">
        <v>4.12</v>
      </c>
      <c r="K5">
        <v>4.0199999999999996</v>
      </c>
      <c r="L5">
        <v>4.18</v>
      </c>
      <c r="M5">
        <f t="shared" si="0"/>
        <v>3.63</v>
      </c>
      <c r="N5">
        <f t="shared" si="1"/>
        <v>4.0819999999999999</v>
      </c>
    </row>
    <row r="6" spans="1:14" ht="14.25" customHeight="1" x14ac:dyDescent="0.3">
      <c r="A6" t="s">
        <v>22</v>
      </c>
      <c r="B6" t="s">
        <v>23</v>
      </c>
      <c r="C6">
        <v>3.79</v>
      </c>
      <c r="D6">
        <v>4.29</v>
      </c>
      <c r="E6">
        <v>4.1500000000000004</v>
      </c>
      <c r="F6">
        <v>3.89</v>
      </c>
      <c r="G6">
        <v>3.76</v>
      </c>
      <c r="H6">
        <v>4.43</v>
      </c>
      <c r="I6">
        <v>3.91</v>
      </c>
      <c r="J6">
        <v>3.59</v>
      </c>
      <c r="K6">
        <v>4.46</v>
      </c>
      <c r="L6">
        <v>4.25</v>
      </c>
      <c r="M6">
        <f t="shared" si="0"/>
        <v>3.9760000000000004</v>
      </c>
      <c r="N6">
        <f t="shared" si="1"/>
        <v>4.1280000000000001</v>
      </c>
    </row>
    <row r="7" spans="1:14" ht="14.25" customHeight="1" x14ac:dyDescent="0.3">
      <c r="A7" t="s">
        <v>24</v>
      </c>
      <c r="B7" t="s">
        <v>25</v>
      </c>
      <c r="C7">
        <v>4.21</v>
      </c>
      <c r="D7">
        <v>4.32</v>
      </c>
      <c r="E7">
        <v>4.51</v>
      </c>
      <c r="F7">
        <v>4.0199999999999996</v>
      </c>
      <c r="G7">
        <v>3.59</v>
      </c>
      <c r="H7">
        <v>3.88</v>
      </c>
      <c r="I7">
        <v>4.3499999999999996</v>
      </c>
      <c r="J7">
        <v>3.59</v>
      </c>
      <c r="K7">
        <v>4.0599999999999996</v>
      </c>
      <c r="L7">
        <v>4.13</v>
      </c>
      <c r="M7">
        <f t="shared" si="0"/>
        <v>4.1300000000000008</v>
      </c>
      <c r="N7">
        <f t="shared" si="1"/>
        <v>4.0019999999999998</v>
      </c>
    </row>
    <row r="8" spans="1:14" ht="14.25" customHeight="1" x14ac:dyDescent="0.3">
      <c r="A8" t="s">
        <v>26</v>
      </c>
      <c r="B8" t="s">
        <v>27</v>
      </c>
      <c r="C8">
        <v>4.03</v>
      </c>
      <c r="D8">
        <v>4.2699999999999996</v>
      </c>
      <c r="E8">
        <v>4.66</v>
      </c>
      <c r="F8">
        <v>3.82</v>
      </c>
      <c r="G8">
        <v>3.87</v>
      </c>
      <c r="H8">
        <v>4.4800000000000004</v>
      </c>
      <c r="I8">
        <v>3.49</v>
      </c>
      <c r="J8">
        <v>4.4800000000000004</v>
      </c>
      <c r="K8">
        <v>3.81</v>
      </c>
      <c r="L8">
        <v>4.1100000000000003</v>
      </c>
      <c r="M8">
        <f t="shared" si="0"/>
        <v>4.1300000000000008</v>
      </c>
      <c r="N8">
        <f t="shared" si="1"/>
        <v>4.0739999999999998</v>
      </c>
    </row>
    <row r="9" spans="1:14" ht="14.25" customHeight="1" x14ac:dyDescent="0.3">
      <c r="A9" t="s">
        <v>28</v>
      </c>
      <c r="B9" t="s">
        <v>29</v>
      </c>
      <c r="C9">
        <v>4.0199999999999996</v>
      </c>
      <c r="D9">
        <v>4.47</v>
      </c>
      <c r="E9">
        <v>4.3099999999999996</v>
      </c>
      <c r="F9">
        <v>3.86</v>
      </c>
      <c r="G9">
        <v>4.26</v>
      </c>
      <c r="H9">
        <v>5.14</v>
      </c>
      <c r="I9">
        <v>3.91</v>
      </c>
      <c r="J9">
        <v>4.04</v>
      </c>
      <c r="K9">
        <v>4.2</v>
      </c>
      <c r="L9">
        <v>4.09</v>
      </c>
      <c r="M9">
        <f t="shared" si="0"/>
        <v>4.1839999999999993</v>
      </c>
      <c r="N9">
        <f t="shared" si="1"/>
        <v>4.2759999999999998</v>
      </c>
    </row>
    <row r="10" spans="1:14" ht="14.25" customHeight="1" x14ac:dyDescent="0.3">
      <c r="A10" t="s">
        <v>30</v>
      </c>
      <c r="B10" t="s">
        <v>31</v>
      </c>
      <c r="C10">
        <v>3.79</v>
      </c>
      <c r="D10">
        <v>3.87</v>
      </c>
      <c r="E10">
        <v>3.75</v>
      </c>
      <c r="F10">
        <v>3.85</v>
      </c>
      <c r="G10">
        <v>4.05</v>
      </c>
      <c r="H10">
        <v>4.46</v>
      </c>
      <c r="I10">
        <v>4.5</v>
      </c>
      <c r="J10">
        <v>3.88</v>
      </c>
      <c r="K10">
        <v>4.55</v>
      </c>
      <c r="L10">
        <v>4.49</v>
      </c>
      <c r="M10">
        <f t="shared" si="0"/>
        <v>3.8619999999999997</v>
      </c>
      <c r="N10">
        <f t="shared" si="1"/>
        <v>4.3760000000000003</v>
      </c>
    </row>
    <row r="11" spans="1:14" ht="14.25" customHeight="1" x14ac:dyDescent="0.3">
      <c r="A11" t="s">
        <v>32</v>
      </c>
      <c r="B11" t="s">
        <v>33</v>
      </c>
      <c r="C11">
        <v>4.3099999999999996</v>
      </c>
      <c r="D11">
        <v>4.2699999999999996</v>
      </c>
      <c r="E11">
        <v>3.29</v>
      </c>
      <c r="F11">
        <v>4.28</v>
      </c>
      <c r="G11">
        <v>4.2300000000000004</v>
      </c>
      <c r="H11">
        <v>3.87</v>
      </c>
      <c r="I11">
        <v>3.85</v>
      </c>
      <c r="J11">
        <v>4.05</v>
      </c>
      <c r="K11">
        <v>4.5999999999999996</v>
      </c>
      <c r="L11">
        <v>3.71</v>
      </c>
      <c r="M11">
        <f t="shared" si="0"/>
        <v>4.0759999999999996</v>
      </c>
      <c r="N11">
        <f t="shared" si="1"/>
        <v>4.016</v>
      </c>
    </row>
    <row r="12" spans="1:14" ht="14.25" customHeight="1" x14ac:dyDescent="0.3">
      <c r="A12" t="s">
        <v>34</v>
      </c>
      <c r="B12" t="s">
        <v>35</v>
      </c>
      <c r="C12">
        <v>3.91</v>
      </c>
      <c r="D12">
        <v>3.93</v>
      </c>
      <c r="E12">
        <v>4.08</v>
      </c>
      <c r="F12">
        <v>3.65</v>
      </c>
      <c r="G12">
        <v>4.12</v>
      </c>
      <c r="H12">
        <v>3.66</v>
      </c>
      <c r="I12">
        <v>4.33</v>
      </c>
      <c r="J12">
        <v>4.05</v>
      </c>
      <c r="K12">
        <v>4.78</v>
      </c>
      <c r="L12">
        <v>4.1399999999999997</v>
      </c>
      <c r="M12">
        <f t="shared" si="0"/>
        <v>3.9380000000000002</v>
      </c>
      <c r="N12">
        <f t="shared" si="1"/>
        <v>4.1920000000000002</v>
      </c>
    </row>
    <row r="13" spans="1:14" ht="14.25" customHeight="1" x14ac:dyDescent="0.3">
      <c r="A13" t="s">
        <v>36</v>
      </c>
      <c r="B13" t="s">
        <v>37</v>
      </c>
      <c r="C13">
        <v>4.66</v>
      </c>
      <c r="D13">
        <v>4.28</v>
      </c>
      <c r="E13">
        <v>4.18</v>
      </c>
      <c r="F13">
        <v>4.01</v>
      </c>
      <c r="G13">
        <v>3.93</v>
      </c>
      <c r="H13">
        <v>4.0599999999999996</v>
      </c>
      <c r="I13">
        <v>4.09</v>
      </c>
      <c r="J13">
        <v>3.51</v>
      </c>
      <c r="K13">
        <v>4.3</v>
      </c>
      <c r="L13">
        <v>4.3099999999999996</v>
      </c>
      <c r="M13">
        <f t="shared" si="0"/>
        <v>4.2120000000000006</v>
      </c>
      <c r="N13">
        <f t="shared" si="1"/>
        <v>4.0539999999999994</v>
      </c>
    </row>
    <row r="14" spans="1:14" ht="14.25" customHeight="1" x14ac:dyDescent="0.3">
      <c r="A14" t="s">
        <v>38</v>
      </c>
      <c r="B14" t="s">
        <v>39</v>
      </c>
      <c r="C14">
        <v>3.99</v>
      </c>
      <c r="D14">
        <v>4.7</v>
      </c>
      <c r="E14">
        <v>3.85</v>
      </c>
      <c r="F14">
        <v>4.1500000000000004</v>
      </c>
      <c r="G14">
        <v>3.55</v>
      </c>
      <c r="H14">
        <v>3.92</v>
      </c>
      <c r="I14">
        <v>4.13</v>
      </c>
      <c r="K14">
        <v>4.51</v>
      </c>
      <c r="L14">
        <v>4.04</v>
      </c>
      <c r="M14">
        <f t="shared" si="0"/>
        <v>4.048</v>
      </c>
      <c r="N14">
        <f t="shared" si="1"/>
        <v>4.1500000000000004</v>
      </c>
    </row>
    <row r="15" spans="1:14" ht="14.25" customHeight="1" x14ac:dyDescent="0.3">
      <c r="A15" t="s">
        <v>40</v>
      </c>
      <c r="B15" t="s">
        <v>41</v>
      </c>
      <c r="C15">
        <v>3.82</v>
      </c>
      <c r="D15">
        <v>4.12</v>
      </c>
      <c r="E15">
        <v>4.1100000000000003</v>
      </c>
      <c r="F15">
        <v>4.08</v>
      </c>
      <c r="G15">
        <v>3.65</v>
      </c>
      <c r="H15">
        <v>3.91</v>
      </c>
      <c r="I15">
        <v>4.55</v>
      </c>
      <c r="J15">
        <v>4.07</v>
      </c>
      <c r="K15">
        <v>4.16</v>
      </c>
      <c r="L15">
        <v>4.09</v>
      </c>
      <c r="M15">
        <f t="shared" si="0"/>
        <v>3.9560000000000004</v>
      </c>
      <c r="N15">
        <f t="shared" si="1"/>
        <v>4.1560000000000006</v>
      </c>
    </row>
    <row r="16" spans="1:14" ht="14.25" customHeight="1" x14ac:dyDescent="0.3">
      <c r="A16" t="s">
        <v>42</v>
      </c>
      <c r="B16" t="s">
        <v>43</v>
      </c>
      <c r="C16">
        <v>4.26</v>
      </c>
      <c r="D16">
        <v>4.1500000000000004</v>
      </c>
      <c r="E16">
        <v>3.94</v>
      </c>
      <c r="F16">
        <v>3.86</v>
      </c>
      <c r="G16">
        <v>4.55</v>
      </c>
      <c r="H16">
        <v>4.5999999999999996</v>
      </c>
      <c r="I16">
        <v>3.72</v>
      </c>
      <c r="J16">
        <v>3.89</v>
      </c>
      <c r="K16">
        <v>4.18</v>
      </c>
      <c r="L16">
        <v>3.48</v>
      </c>
      <c r="M16">
        <f t="shared" si="0"/>
        <v>4.1520000000000001</v>
      </c>
      <c r="N16">
        <f t="shared" si="1"/>
        <v>3.9740000000000002</v>
      </c>
    </row>
    <row r="17" spans="1:14" ht="14.25" customHeight="1" x14ac:dyDescent="0.3">
      <c r="A17" t="s">
        <v>44</v>
      </c>
      <c r="B17" t="s">
        <v>45</v>
      </c>
      <c r="D17">
        <v>4.24</v>
      </c>
      <c r="E17">
        <v>3.73</v>
      </c>
      <c r="F17">
        <v>4.22</v>
      </c>
      <c r="G17">
        <v>3.99</v>
      </c>
      <c r="H17">
        <v>3.58</v>
      </c>
      <c r="I17">
        <v>4.1900000000000004</v>
      </c>
      <c r="J17">
        <v>4.04</v>
      </c>
      <c r="K17">
        <v>3.81</v>
      </c>
      <c r="L17">
        <v>4.22</v>
      </c>
      <c r="M17">
        <f t="shared" si="0"/>
        <v>4.0449999999999999</v>
      </c>
      <c r="N17">
        <f t="shared" si="1"/>
        <v>3.968</v>
      </c>
    </row>
    <row r="18" spans="1:14" ht="14.25" customHeight="1" x14ac:dyDescent="0.3">
      <c r="A18" t="s">
        <v>46</v>
      </c>
      <c r="B18" t="s">
        <v>47</v>
      </c>
      <c r="C18">
        <v>4.1900000000000004</v>
      </c>
      <c r="D18">
        <v>4.42</v>
      </c>
      <c r="E18">
        <v>4.18</v>
      </c>
      <c r="F18">
        <v>4.21</v>
      </c>
      <c r="G18">
        <v>3.42</v>
      </c>
      <c r="H18">
        <v>4.2</v>
      </c>
      <c r="I18">
        <v>4.57</v>
      </c>
      <c r="J18">
        <v>4.32</v>
      </c>
      <c r="K18">
        <v>4.1399999999999997</v>
      </c>
      <c r="L18">
        <v>3.94</v>
      </c>
      <c r="M18">
        <f t="shared" si="0"/>
        <v>4.0840000000000005</v>
      </c>
      <c r="N18">
        <f t="shared" si="1"/>
        <v>4.234</v>
      </c>
    </row>
    <row r="19" spans="1:14" ht="14.25" customHeight="1" x14ac:dyDescent="0.3">
      <c r="A19" t="s">
        <v>48</v>
      </c>
      <c r="B19" t="s">
        <v>49</v>
      </c>
      <c r="C19">
        <v>4.7699999999999996</v>
      </c>
      <c r="D19">
        <v>3.91</v>
      </c>
      <c r="E19">
        <v>4.16</v>
      </c>
      <c r="F19">
        <v>3.89</v>
      </c>
      <c r="G19">
        <v>3.83</v>
      </c>
      <c r="H19">
        <v>4.07</v>
      </c>
      <c r="I19">
        <v>3.96</v>
      </c>
      <c r="J19">
        <v>4.1100000000000003</v>
      </c>
      <c r="K19">
        <v>3.38</v>
      </c>
      <c r="L19">
        <v>4.6900000000000004</v>
      </c>
      <c r="M19">
        <f t="shared" si="0"/>
        <v>4.1120000000000001</v>
      </c>
      <c r="N19">
        <f t="shared" si="1"/>
        <v>4.0419999999999998</v>
      </c>
    </row>
    <row r="20" spans="1:14" ht="14.25" customHeight="1" x14ac:dyDescent="0.3">
      <c r="A20" t="s">
        <v>50</v>
      </c>
      <c r="B20" t="s">
        <v>51</v>
      </c>
      <c r="C20">
        <v>3.94</v>
      </c>
      <c r="D20">
        <v>4.53</v>
      </c>
      <c r="E20">
        <v>3.98</v>
      </c>
      <c r="F20">
        <v>3.49</v>
      </c>
      <c r="G20">
        <v>3.86</v>
      </c>
      <c r="H20">
        <v>3.74</v>
      </c>
      <c r="I20">
        <v>4.13</v>
      </c>
      <c r="J20">
        <v>4.26</v>
      </c>
      <c r="K20">
        <v>4.54</v>
      </c>
      <c r="L20">
        <v>4.24</v>
      </c>
      <c r="M20">
        <f t="shared" si="0"/>
        <v>3.96</v>
      </c>
      <c r="N20">
        <f t="shared" si="1"/>
        <v>4.1819999999999995</v>
      </c>
    </row>
    <row r="21" spans="1:14" ht="14.25" customHeight="1" x14ac:dyDescent="0.3">
      <c r="A21" t="s">
        <v>52</v>
      </c>
      <c r="B21" t="s">
        <v>53</v>
      </c>
      <c r="C21">
        <v>4.45</v>
      </c>
      <c r="D21">
        <v>4.2</v>
      </c>
      <c r="E21">
        <v>3.42</v>
      </c>
      <c r="F21">
        <v>4.04</v>
      </c>
      <c r="G21">
        <v>4.5</v>
      </c>
      <c r="I21">
        <v>4.2300000000000004</v>
      </c>
      <c r="J21">
        <v>4.1500000000000004</v>
      </c>
      <c r="K21">
        <v>3.65</v>
      </c>
      <c r="L21">
        <v>3.78</v>
      </c>
      <c r="M21">
        <f t="shared" si="0"/>
        <v>4.1219999999999999</v>
      </c>
      <c r="N21">
        <f t="shared" si="1"/>
        <v>3.9525000000000001</v>
      </c>
    </row>
    <row r="22" spans="1:14" ht="14.25" customHeight="1" x14ac:dyDescent="0.3">
      <c r="A22" t="s">
        <v>54</v>
      </c>
      <c r="B22" t="s">
        <v>55</v>
      </c>
      <c r="C22">
        <v>4.54</v>
      </c>
      <c r="D22">
        <v>4.51</v>
      </c>
      <c r="E22">
        <v>4.0599999999999996</v>
      </c>
      <c r="F22">
        <v>4.4800000000000004</v>
      </c>
      <c r="G22">
        <v>3.81</v>
      </c>
      <c r="H22">
        <v>3.82</v>
      </c>
      <c r="I22">
        <v>3.71</v>
      </c>
      <c r="J22">
        <v>3.85</v>
      </c>
      <c r="K22">
        <v>4.25</v>
      </c>
      <c r="L22">
        <v>3.96</v>
      </c>
      <c r="M22">
        <f t="shared" si="0"/>
        <v>4.2799999999999994</v>
      </c>
      <c r="N22">
        <f t="shared" si="1"/>
        <v>3.9180000000000001</v>
      </c>
    </row>
    <row r="23" spans="1:14" ht="14.25" customHeight="1" x14ac:dyDescent="0.3">
      <c r="A23" t="s">
        <v>56</v>
      </c>
      <c r="B23" t="s">
        <v>57</v>
      </c>
      <c r="D23">
        <v>4.22</v>
      </c>
      <c r="E23">
        <v>3.83</v>
      </c>
      <c r="F23">
        <v>3.77</v>
      </c>
      <c r="G23">
        <v>4.7300000000000004</v>
      </c>
      <c r="H23">
        <v>3.73</v>
      </c>
      <c r="I23">
        <v>4.5</v>
      </c>
      <c r="J23">
        <v>4.08</v>
      </c>
      <c r="K23">
        <v>3.91</v>
      </c>
      <c r="L23">
        <v>3.99</v>
      </c>
      <c r="M23">
        <f t="shared" si="0"/>
        <v>4.1375000000000002</v>
      </c>
      <c r="N23">
        <f t="shared" si="1"/>
        <v>4.0419999999999998</v>
      </c>
    </row>
    <row r="24" spans="1:14" ht="14.25" customHeight="1" x14ac:dyDescent="0.3">
      <c r="A24" t="s">
        <v>58</v>
      </c>
      <c r="B24" t="s">
        <v>59</v>
      </c>
      <c r="C24">
        <v>3.88</v>
      </c>
      <c r="D24">
        <v>4.04</v>
      </c>
      <c r="E24">
        <v>3.98</v>
      </c>
      <c r="F24">
        <v>4.1500000000000004</v>
      </c>
      <c r="G24">
        <v>4.0599999999999996</v>
      </c>
      <c r="H24">
        <v>4.3099999999999996</v>
      </c>
      <c r="I24">
        <v>3.68</v>
      </c>
      <c r="J24">
        <v>4.2</v>
      </c>
      <c r="K24">
        <v>3.75</v>
      </c>
      <c r="L24">
        <v>4.92</v>
      </c>
      <c r="M24">
        <f t="shared" si="0"/>
        <v>4.0220000000000002</v>
      </c>
      <c r="N24">
        <f t="shared" si="1"/>
        <v>4.1719999999999997</v>
      </c>
    </row>
    <row r="25" spans="1:14" ht="14.25" customHeight="1" x14ac:dyDescent="0.3">
      <c r="A25" t="s">
        <v>60</v>
      </c>
      <c r="B25" t="s">
        <v>61</v>
      </c>
      <c r="C25">
        <v>3.85</v>
      </c>
      <c r="D25">
        <v>3.7</v>
      </c>
      <c r="E25">
        <v>4.1900000000000004</v>
      </c>
      <c r="F25">
        <v>3.99</v>
      </c>
      <c r="G25">
        <v>4.2300000000000004</v>
      </c>
      <c r="H25">
        <v>3.88</v>
      </c>
      <c r="I25">
        <v>4.46</v>
      </c>
      <c r="K25">
        <v>4.2</v>
      </c>
      <c r="L25">
        <v>4.2699999999999996</v>
      </c>
      <c r="M25">
        <f t="shared" si="0"/>
        <v>3.992</v>
      </c>
      <c r="N25">
        <f t="shared" si="1"/>
        <v>4.2024999999999997</v>
      </c>
    </row>
    <row r="26" spans="1:14" ht="14.25" customHeight="1" x14ac:dyDescent="0.3">
      <c r="A26" t="s">
        <v>62</v>
      </c>
      <c r="B26" t="s">
        <v>63</v>
      </c>
      <c r="C26">
        <v>4.18</v>
      </c>
      <c r="D26">
        <v>4.4800000000000004</v>
      </c>
      <c r="E26">
        <v>4.0199999999999996</v>
      </c>
      <c r="F26">
        <v>4.42</v>
      </c>
      <c r="G26">
        <v>4.5599999999999996</v>
      </c>
      <c r="H26">
        <v>3.7</v>
      </c>
      <c r="I26">
        <v>4.33</v>
      </c>
      <c r="J26">
        <v>4.2300000000000004</v>
      </c>
      <c r="K26">
        <v>4.05</v>
      </c>
      <c r="L26">
        <v>4.08</v>
      </c>
      <c r="M26">
        <f t="shared" si="0"/>
        <v>4.3319999999999999</v>
      </c>
      <c r="N26">
        <f t="shared" si="1"/>
        <v>4.0780000000000003</v>
      </c>
    </row>
    <row r="27" spans="1:14" ht="14.25" customHeight="1" x14ac:dyDescent="0.3">
      <c r="A27" t="s">
        <v>64</v>
      </c>
      <c r="B27" t="s">
        <v>65</v>
      </c>
      <c r="C27">
        <v>4.2300000000000004</v>
      </c>
      <c r="D27">
        <v>4.34</v>
      </c>
      <c r="E27">
        <v>3.94</v>
      </c>
      <c r="F27">
        <v>3.66</v>
      </c>
      <c r="G27">
        <v>4.6399999999999997</v>
      </c>
      <c r="H27">
        <v>4.55</v>
      </c>
      <c r="I27">
        <v>3.98</v>
      </c>
      <c r="J27">
        <v>3.88</v>
      </c>
      <c r="K27">
        <v>4.3499999999999996</v>
      </c>
      <c r="L27">
        <v>4.12</v>
      </c>
      <c r="M27">
        <f t="shared" si="0"/>
        <v>4.1620000000000008</v>
      </c>
      <c r="N27">
        <f t="shared" si="1"/>
        <v>4.1760000000000002</v>
      </c>
    </row>
    <row r="28" spans="1:14" ht="14.25" customHeight="1" x14ac:dyDescent="0.3">
      <c r="A28" t="s">
        <v>66</v>
      </c>
      <c r="B28" t="s">
        <v>67</v>
      </c>
      <c r="C28">
        <v>3.97</v>
      </c>
      <c r="D28">
        <v>4.09</v>
      </c>
      <c r="E28">
        <v>3.56</v>
      </c>
      <c r="F28">
        <v>4.6100000000000003</v>
      </c>
      <c r="G28">
        <v>4.1399999999999997</v>
      </c>
      <c r="H28">
        <v>4.03</v>
      </c>
      <c r="I28">
        <v>3.75</v>
      </c>
      <c r="J28">
        <v>4.43</v>
      </c>
      <c r="K28">
        <v>3.9</v>
      </c>
      <c r="L28">
        <v>3.79</v>
      </c>
      <c r="M28">
        <f t="shared" si="0"/>
        <v>4.0739999999999998</v>
      </c>
      <c r="N28">
        <f t="shared" si="1"/>
        <v>3.9799999999999995</v>
      </c>
    </row>
    <row r="29" spans="1:14" ht="14.25" customHeight="1" x14ac:dyDescent="0.3">
      <c r="A29" t="s">
        <v>68</v>
      </c>
      <c r="B29" t="s">
        <v>69</v>
      </c>
      <c r="C29">
        <v>4.58</v>
      </c>
      <c r="D29">
        <v>3.96</v>
      </c>
      <c r="E29">
        <v>4.26</v>
      </c>
      <c r="F29">
        <v>3.94</v>
      </c>
      <c r="G29">
        <v>4.3499999999999996</v>
      </c>
      <c r="H29">
        <v>4.54</v>
      </c>
      <c r="I29">
        <v>4.2</v>
      </c>
      <c r="J29">
        <v>4.3499999999999996</v>
      </c>
      <c r="K29">
        <v>4.3600000000000003</v>
      </c>
      <c r="L29">
        <v>4.71</v>
      </c>
      <c r="M29">
        <f t="shared" si="0"/>
        <v>4.2179999999999991</v>
      </c>
      <c r="N29">
        <f t="shared" si="1"/>
        <v>4.4320000000000004</v>
      </c>
    </row>
    <row r="30" spans="1:14" ht="14.25" customHeight="1" x14ac:dyDescent="0.3">
      <c r="A30" t="s">
        <v>70</v>
      </c>
      <c r="B30" t="s">
        <v>71</v>
      </c>
      <c r="C30">
        <v>3.99</v>
      </c>
      <c r="D30">
        <v>4.6100000000000003</v>
      </c>
      <c r="F30">
        <v>4.46</v>
      </c>
      <c r="H30">
        <v>3.87</v>
      </c>
      <c r="I30">
        <v>4.1900000000000004</v>
      </c>
      <c r="J30">
        <v>3.73</v>
      </c>
      <c r="K30">
        <v>3.86</v>
      </c>
      <c r="L30">
        <v>4.59</v>
      </c>
      <c r="M30">
        <f t="shared" si="0"/>
        <v>4.3533333333333344</v>
      </c>
      <c r="N30">
        <f t="shared" si="1"/>
        <v>4.048</v>
      </c>
    </row>
    <row r="31" spans="1:14" ht="14.25" customHeight="1" x14ac:dyDescent="0.3">
      <c r="A31" t="s">
        <v>72</v>
      </c>
      <c r="B31" t="s">
        <v>73</v>
      </c>
      <c r="C31">
        <v>4.26</v>
      </c>
      <c r="D31">
        <v>4.08</v>
      </c>
      <c r="E31">
        <v>3.75</v>
      </c>
      <c r="F31">
        <v>4.6100000000000003</v>
      </c>
      <c r="G31">
        <v>4.3</v>
      </c>
      <c r="H31">
        <v>4</v>
      </c>
      <c r="I31">
        <v>3.85</v>
      </c>
      <c r="J31">
        <v>3.8</v>
      </c>
      <c r="K31">
        <v>4.4400000000000004</v>
      </c>
      <c r="L31">
        <v>4</v>
      </c>
      <c r="M31">
        <f t="shared" si="0"/>
        <v>4.2</v>
      </c>
      <c r="N31">
        <f t="shared" si="1"/>
        <v>4.0179999999999998</v>
      </c>
    </row>
    <row r="32" spans="1:14" ht="14.25" customHeight="1" x14ac:dyDescent="0.3">
      <c r="A32" t="s">
        <v>74</v>
      </c>
      <c r="B32" t="s">
        <v>75</v>
      </c>
      <c r="C32">
        <v>4.2300000000000004</v>
      </c>
      <c r="D32">
        <v>3.88</v>
      </c>
      <c r="E32">
        <v>3.25</v>
      </c>
      <c r="F32">
        <v>3.61</v>
      </c>
      <c r="G32">
        <v>4.47</v>
      </c>
      <c r="H32">
        <v>4.1500000000000004</v>
      </c>
      <c r="I32">
        <v>3.73</v>
      </c>
      <c r="J32">
        <v>4.51</v>
      </c>
      <c r="K32">
        <v>3.2</v>
      </c>
      <c r="L32">
        <v>4.41</v>
      </c>
      <c r="M32">
        <f t="shared" si="0"/>
        <v>3.8879999999999995</v>
      </c>
      <c r="N32">
        <f t="shared" si="1"/>
        <v>4</v>
      </c>
    </row>
    <row r="33" spans="1:14" ht="14.25" customHeight="1" x14ac:dyDescent="0.3">
      <c r="A33" t="s">
        <v>76</v>
      </c>
      <c r="B33" t="s">
        <v>77</v>
      </c>
      <c r="C33">
        <v>4.22</v>
      </c>
      <c r="D33">
        <v>3.93</v>
      </c>
      <c r="E33">
        <v>4.38</v>
      </c>
      <c r="F33">
        <v>4.1399999999999997</v>
      </c>
      <c r="G33">
        <v>3.47</v>
      </c>
      <c r="H33">
        <v>3.98</v>
      </c>
      <c r="I33">
        <v>3.76</v>
      </c>
      <c r="J33">
        <v>3.35</v>
      </c>
      <c r="K33">
        <v>4.03</v>
      </c>
      <c r="L33">
        <v>3.84</v>
      </c>
      <c r="M33">
        <f t="shared" si="0"/>
        <v>4.0280000000000005</v>
      </c>
      <c r="N33">
        <f t="shared" si="1"/>
        <v>3.7920000000000003</v>
      </c>
    </row>
    <row r="34" spans="1:14" ht="14.25" customHeight="1" x14ac:dyDescent="0.3">
      <c r="A34" t="s">
        <v>78</v>
      </c>
      <c r="B34" t="s">
        <v>79</v>
      </c>
      <c r="C34">
        <v>4.7300000000000004</v>
      </c>
      <c r="D34">
        <v>3.82</v>
      </c>
      <c r="E34">
        <v>3.71</v>
      </c>
      <c r="F34">
        <v>3.72</v>
      </c>
      <c r="G34">
        <v>4.54</v>
      </c>
      <c r="H34">
        <v>4.53</v>
      </c>
      <c r="I34">
        <v>3.58</v>
      </c>
      <c r="J34">
        <v>4.03</v>
      </c>
      <c r="K34">
        <v>3.82</v>
      </c>
      <c r="L34">
        <v>4.49</v>
      </c>
      <c r="M34">
        <f t="shared" si="0"/>
        <v>4.104000000000001</v>
      </c>
      <c r="N34">
        <f t="shared" si="1"/>
        <v>4.0900000000000007</v>
      </c>
    </row>
    <row r="35" spans="1:14" ht="14.25" customHeight="1" x14ac:dyDescent="0.3">
      <c r="A35" t="s">
        <v>80</v>
      </c>
      <c r="B35" t="s">
        <v>81</v>
      </c>
      <c r="C35">
        <v>4.22</v>
      </c>
      <c r="D35">
        <v>4.49</v>
      </c>
      <c r="E35">
        <v>3.66</v>
      </c>
      <c r="F35">
        <v>4.42</v>
      </c>
      <c r="G35">
        <v>4.24</v>
      </c>
      <c r="H35">
        <v>4.42</v>
      </c>
      <c r="I35">
        <v>3.55</v>
      </c>
      <c r="J35">
        <v>4.3899999999999997</v>
      </c>
      <c r="K35">
        <v>3.98</v>
      </c>
      <c r="L35">
        <v>4.26</v>
      </c>
      <c r="M35">
        <f t="shared" si="0"/>
        <v>4.2060000000000004</v>
      </c>
      <c r="N35">
        <f t="shared" si="1"/>
        <v>4.12</v>
      </c>
    </row>
    <row r="36" spans="1:14" ht="14.25" customHeight="1" x14ac:dyDescent="0.3">
      <c r="A36" t="s">
        <v>82</v>
      </c>
      <c r="B36" t="s">
        <v>83</v>
      </c>
      <c r="C36">
        <v>3.71</v>
      </c>
      <c r="D36">
        <v>4.13</v>
      </c>
      <c r="E36">
        <v>4.13</v>
      </c>
      <c r="F36">
        <v>4.4000000000000004</v>
      </c>
      <c r="G36">
        <v>4.51</v>
      </c>
      <c r="H36">
        <v>3.72</v>
      </c>
      <c r="I36">
        <v>4.12</v>
      </c>
      <c r="J36">
        <v>4.17</v>
      </c>
      <c r="K36">
        <v>3.6</v>
      </c>
      <c r="L36">
        <v>4.01</v>
      </c>
      <c r="M36">
        <f t="shared" si="0"/>
        <v>4.1759999999999993</v>
      </c>
      <c r="N36">
        <f t="shared" si="1"/>
        <v>3.9239999999999995</v>
      </c>
    </row>
    <row r="37" spans="1:14" ht="14.25" customHeight="1" x14ac:dyDescent="0.3">
      <c r="A37" t="s">
        <v>84</v>
      </c>
      <c r="B37" t="s">
        <v>85</v>
      </c>
      <c r="C37">
        <v>4.2699999999999996</v>
      </c>
      <c r="D37" t="s">
        <v>86</v>
      </c>
      <c r="E37">
        <v>3.94</v>
      </c>
      <c r="F37">
        <v>3.85</v>
      </c>
      <c r="G37">
        <v>4.07</v>
      </c>
      <c r="H37">
        <v>4.12</v>
      </c>
      <c r="I37">
        <v>4.0599999999999996</v>
      </c>
      <c r="J37">
        <v>4.41</v>
      </c>
      <c r="K37">
        <v>4.12</v>
      </c>
      <c r="L37">
        <v>3.95</v>
      </c>
      <c r="M37">
        <f t="shared" si="0"/>
        <v>4.0324999999999998</v>
      </c>
      <c r="N37">
        <f t="shared" si="1"/>
        <v>4.1319999999999997</v>
      </c>
    </row>
    <row r="38" spans="1:14" ht="14.25" customHeight="1" x14ac:dyDescent="0.3">
      <c r="A38" t="s">
        <v>87</v>
      </c>
      <c r="B38" t="s">
        <v>88</v>
      </c>
      <c r="C38">
        <v>3.99</v>
      </c>
      <c r="D38">
        <v>3.74</v>
      </c>
      <c r="E38">
        <v>3.9</v>
      </c>
      <c r="F38">
        <v>4.16</v>
      </c>
      <c r="G38">
        <v>3.79</v>
      </c>
      <c r="H38">
        <v>3.43</v>
      </c>
      <c r="I38">
        <v>4.4800000000000004</v>
      </c>
      <c r="J38">
        <v>3.54</v>
      </c>
      <c r="K38">
        <v>4.09</v>
      </c>
      <c r="L38">
        <v>3.83</v>
      </c>
      <c r="M38">
        <f t="shared" si="0"/>
        <v>3.9160000000000004</v>
      </c>
      <c r="N38">
        <f t="shared" si="1"/>
        <v>3.8739999999999997</v>
      </c>
    </row>
    <row r="39" spans="1:14" ht="14.25" customHeight="1" x14ac:dyDescent="0.3">
      <c r="A39" t="s">
        <v>89</v>
      </c>
      <c r="B39" t="s">
        <v>90</v>
      </c>
      <c r="C39">
        <v>4.28</v>
      </c>
      <c r="D39">
        <v>4.13</v>
      </c>
      <c r="E39">
        <v>4.25</v>
      </c>
      <c r="F39">
        <v>3.76</v>
      </c>
      <c r="G39">
        <v>4.2</v>
      </c>
      <c r="H39">
        <v>3.6</v>
      </c>
      <c r="I39">
        <v>4.4800000000000004</v>
      </c>
      <c r="J39">
        <v>4.0199999999999996</v>
      </c>
      <c r="K39">
        <v>4.6900000000000004</v>
      </c>
      <c r="L39">
        <v>3.84</v>
      </c>
      <c r="M39">
        <f t="shared" si="0"/>
        <v>4.1240000000000006</v>
      </c>
      <c r="N39">
        <f t="shared" si="1"/>
        <v>4.1259999999999994</v>
      </c>
    </row>
    <row r="40" spans="1:14" ht="14.25" customHeight="1" x14ac:dyDescent="0.3">
      <c r="A40" t="s">
        <v>91</v>
      </c>
      <c r="B40" t="s">
        <v>92</v>
      </c>
      <c r="C40">
        <v>3.43</v>
      </c>
      <c r="D40">
        <v>4.3600000000000003</v>
      </c>
      <c r="E40">
        <v>3.87</v>
      </c>
      <c r="F40">
        <v>4.1100000000000003</v>
      </c>
      <c r="G40">
        <v>4.28</v>
      </c>
      <c r="H40">
        <v>3.78</v>
      </c>
      <c r="I40">
        <v>4.0599999999999996</v>
      </c>
      <c r="J40">
        <v>3.44</v>
      </c>
      <c r="K40">
        <v>3.96</v>
      </c>
      <c r="L40">
        <v>4.5999999999999996</v>
      </c>
      <c r="M40">
        <f t="shared" si="0"/>
        <v>4.01</v>
      </c>
      <c r="N40">
        <f t="shared" si="1"/>
        <v>3.9679999999999991</v>
      </c>
    </row>
    <row r="41" spans="1:14" ht="14.25" customHeight="1" x14ac:dyDescent="0.3">
      <c r="A41" t="s">
        <v>93</v>
      </c>
      <c r="B41" t="s">
        <v>94</v>
      </c>
      <c r="C41">
        <v>4.03</v>
      </c>
      <c r="D41">
        <v>4.18</v>
      </c>
      <c r="E41">
        <v>3.99</v>
      </c>
      <c r="F41">
        <v>4.3</v>
      </c>
      <c r="G41">
        <v>3.88</v>
      </c>
      <c r="H41">
        <v>4.41</v>
      </c>
      <c r="I41">
        <v>4.2</v>
      </c>
      <c r="J41">
        <v>4.2300000000000004</v>
      </c>
      <c r="K41">
        <v>3.88</v>
      </c>
      <c r="L41">
        <v>3.58</v>
      </c>
      <c r="M41">
        <f t="shared" si="0"/>
        <v>4.0759999999999996</v>
      </c>
      <c r="N41">
        <f t="shared" si="1"/>
        <v>4.0599999999999996</v>
      </c>
    </row>
    <row r="42" spans="1:14" ht="14.25" customHeight="1" x14ac:dyDescent="0.3">
      <c r="A42" t="s">
        <v>95</v>
      </c>
      <c r="B42" t="s">
        <v>96</v>
      </c>
      <c r="C42">
        <v>3.72</v>
      </c>
      <c r="D42">
        <v>4.2699999999999996</v>
      </c>
      <c r="E42">
        <v>3.86</v>
      </c>
      <c r="F42">
        <v>4.16</v>
      </c>
      <c r="G42">
        <v>3.44</v>
      </c>
      <c r="H42">
        <v>4.38</v>
      </c>
      <c r="I42">
        <v>3.62</v>
      </c>
      <c r="J42">
        <v>3.8</v>
      </c>
      <c r="K42">
        <v>4.3899999999999997</v>
      </c>
      <c r="L42">
        <v>3.62</v>
      </c>
      <c r="M42">
        <f t="shared" si="0"/>
        <v>3.8899999999999997</v>
      </c>
      <c r="N42">
        <f t="shared" si="1"/>
        <v>3.9620000000000006</v>
      </c>
    </row>
    <row r="43" spans="1:14" ht="14.25" customHeight="1" x14ac:dyDescent="0.3">
      <c r="A43" t="s">
        <v>97</v>
      </c>
      <c r="B43" t="s">
        <v>98</v>
      </c>
      <c r="C43">
        <v>4.3499999999999996</v>
      </c>
      <c r="D43">
        <v>4.0599999999999996</v>
      </c>
      <c r="E43">
        <v>4.0599999999999996</v>
      </c>
      <c r="F43">
        <v>3.42</v>
      </c>
      <c r="G43">
        <v>4.37</v>
      </c>
      <c r="H43">
        <v>3.95</v>
      </c>
      <c r="I43">
        <v>4.04</v>
      </c>
      <c r="J43">
        <v>3.65</v>
      </c>
      <c r="K43">
        <v>3.87</v>
      </c>
      <c r="L43">
        <v>3.91</v>
      </c>
      <c r="M43">
        <f t="shared" si="0"/>
        <v>4.0519999999999996</v>
      </c>
      <c r="N43">
        <f t="shared" si="1"/>
        <v>3.8840000000000003</v>
      </c>
    </row>
    <row r="44" spans="1:14" ht="14.25" customHeight="1" x14ac:dyDescent="0.3">
      <c r="A44" t="s">
        <v>99</v>
      </c>
      <c r="B44" t="s">
        <v>100</v>
      </c>
      <c r="C44">
        <v>3.98</v>
      </c>
      <c r="D44">
        <v>4.08</v>
      </c>
      <c r="E44">
        <v>3.8</v>
      </c>
      <c r="F44">
        <v>4.46</v>
      </c>
      <c r="G44">
        <v>3.89</v>
      </c>
      <c r="H44">
        <v>4.16</v>
      </c>
      <c r="I44">
        <v>3.89</v>
      </c>
      <c r="J44">
        <v>4.08</v>
      </c>
      <c r="K44">
        <v>4</v>
      </c>
      <c r="L44">
        <v>4</v>
      </c>
      <c r="M44">
        <f t="shared" si="0"/>
        <v>4.0419999999999998</v>
      </c>
      <c r="N44">
        <f t="shared" si="1"/>
        <v>4.0260000000000007</v>
      </c>
    </row>
    <row r="45" spans="1:14" ht="14.25" customHeight="1" x14ac:dyDescent="0.3">
      <c r="A45" t="s">
        <v>101</v>
      </c>
      <c r="B45" t="s">
        <v>102</v>
      </c>
      <c r="C45">
        <v>4.34</v>
      </c>
      <c r="E45">
        <v>4.1900000000000004</v>
      </c>
      <c r="F45">
        <v>3.9</v>
      </c>
      <c r="G45">
        <v>4.03</v>
      </c>
      <c r="H45">
        <v>4.33</v>
      </c>
      <c r="I45">
        <v>3.77</v>
      </c>
      <c r="J45">
        <v>4.13</v>
      </c>
      <c r="K45">
        <v>4.24</v>
      </c>
      <c r="L45">
        <v>3.87</v>
      </c>
      <c r="M45">
        <f t="shared" si="0"/>
        <v>4.1150000000000002</v>
      </c>
      <c r="N45">
        <f t="shared" si="1"/>
        <v>4.0679999999999996</v>
      </c>
    </row>
    <row r="46" spans="1:14" ht="14.25" customHeight="1" x14ac:dyDescent="0.3">
      <c r="A46" t="s">
        <v>103</v>
      </c>
      <c r="B46" t="s">
        <v>104</v>
      </c>
      <c r="C46">
        <v>4.2300000000000004</v>
      </c>
      <c r="D46">
        <v>3.74</v>
      </c>
      <c r="E46">
        <v>4.05</v>
      </c>
      <c r="F46">
        <v>3.95</v>
      </c>
      <c r="G46">
        <v>4.2699999999999996</v>
      </c>
      <c r="H46">
        <v>3.98</v>
      </c>
      <c r="I46">
        <v>4.78</v>
      </c>
      <c r="J46">
        <v>4.3899999999999997</v>
      </c>
      <c r="L46">
        <v>4.07</v>
      </c>
      <c r="M46">
        <f t="shared" si="0"/>
        <v>4.048</v>
      </c>
      <c r="N46">
        <f t="shared" si="1"/>
        <v>4.3049999999999997</v>
      </c>
    </row>
    <row r="47" spans="1:14" ht="14.25" customHeight="1" x14ac:dyDescent="0.3">
      <c r="A47" t="s">
        <v>105</v>
      </c>
      <c r="B47" t="s">
        <v>106</v>
      </c>
      <c r="C47">
        <v>4.29</v>
      </c>
      <c r="D47">
        <v>3.67</v>
      </c>
      <c r="E47">
        <v>4.08</v>
      </c>
      <c r="F47">
        <v>4.41</v>
      </c>
      <c r="G47">
        <v>4.6399999999999997</v>
      </c>
      <c r="H47">
        <v>4.5599999999999996</v>
      </c>
      <c r="I47">
        <v>3.81</v>
      </c>
      <c r="J47">
        <v>4.0999999999999996</v>
      </c>
      <c r="K47">
        <v>3.75</v>
      </c>
      <c r="L47">
        <v>4.37</v>
      </c>
      <c r="M47">
        <f t="shared" si="0"/>
        <v>4.218</v>
      </c>
      <c r="N47">
        <f t="shared" si="1"/>
        <v>4.1180000000000003</v>
      </c>
    </row>
    <row r="48" spans="1:14" ht="14.25" customHeight="1" x14ac:dyDescent="0.3">
      <c r="A48" t="s">
        <v>107</v>
      </c>
      <c r="B48" t="s">
        <v>108</v>
      </c>
      <c r="C48">
        <v>4.2</v>
      </c>
      <c r="D48">
        <v>4.0199999999999996</v>
      </c>
      <c r="E48">
        <v>4.32</v>
      </c>
      <c r="F48">
        <v>4.09</v>
      </c>
      <c r="G48">
        <v>3.69</v>
      </c>
      <c r="H48">
        <v>3.33</v>
      </c>
      <c r="I48">
        <v>3.65</v>
      </c>
      <c r="J48">
        <v>4.3600000000000003</v>
      </c>
      <c r="K48">
        <v>4.49</v>
      </c>
      <c r="L48">
        <v>4.28</v>
      </c>
      <c r="M48">
        <f t="shared" si="0"/>
        <v>4.0640000000000001</v>
      </c>
      <c r="N48">
        <f t="shared" si="1"/>
        <v>4.0220000000000002</v>
      </c>
    </row>
    <row r="49" spans="1:14" ht="14.25" customHeight="1" x14ac:dyDescent="0.3">
      <c r="A49" t="s">
        <v>109</v>
      </c>
      <c r="B49" t="s">
        <v>110</v>
      </c>
      <c r="C49">
        <v>3.96</v>
      </c>
      <c r="D49">
        <v>3.79</v>
      </c>
      <c r="E49">
        <v>3.82</v>
      </c>
      <c r="F49">
        <v>3.52</v>
      </c>
      <c r="G49">
        <v>4.17</v>
      </c>
      <c r="H49">
        <v>3.65</v>
      </c>
      <c r="I49">
        <v>4.43</v>
      </c>
      <c r="J49">
        <v>4.1500000000000004</v>
      </c>
      <c r="L49">
        <v>3.95</v>
      </c>
      <c r="M49">
        <f t="shared" si="0"/>
        <v>3.8519999999999994</v>
      </c>
      <c r="N49">
        <f t="shared" si="1"/>
        <v>4.0449999999999999</v>
      </c>
    </row>
    <row r="50" spans="1:14" ht="14.25" customHeight="1" x14ac:dyDescent="0.3">
      <c r="A50" t="s">
        <v>111</v>
      </c>
      <c r="B50" t="s">
        <v>112</v>
      </c>
      <c r="C50">
        <v>4.4000000000000004</v>
      </c>
      <c r="D50">
        <v>3.57</v>
      </c>
      <c r="E50">
        <v>4.6900000000000004</v>
      </c>
      <c r="F50">
        <v>4.55</v>
      </c>
      <c r="G50">
        <v>3.65</v>
      </c>
      <c r="H50">
        <v>3.6</v>
      </c>
      <c r="I50">
        <v>3.96</v>
      </c>
      <c r="J50">
        <v>3.72</v>
      </c>
      <c r="K50">
        <v>3.97</v>
      </c>
      <c r="L50">
        <v>3.22</v>
      </c>
      <c r="M50">
        <f t="shared" si="0"/>
        <v>4.1719999999999997</v>
      </c>
      <c r="N50">
        <f t="shared" si="1"/>
        <v>3.6940000000000004</v>
      </c>
    </row>
    <row r="51" spans="1:14" ht="14.25" customHeight="1" x14ac:dyDescent="0.3">
      <c r="A51" t="s">
        <v>113</v>
      </c>
      <c r="B51" t="s">
        <v>114</v>
      </c>
      <c r="C51">
        <v>4.1100000000000003</v>
      </c>
      <c r="D51">
        <v>3.7</v>
      </c>
      <c r="E51">
        <v>4.25</v>
      </c>
      <c r="F51">
        <v>3.67</v>
      </c>
      <c r="G51">
        <v>3.94</v>
      </c>
      <c r="H51">
        <v>4.2699999999999996</v>
      </c>
      <c r="I51">
        <v>4.29</v>
      </c>
      <c r="J51">
        <v>3.95</v>
      </c>
      <c r="K51">
        <v>3.54</v>
      </c>
      <c r="L51">
        <v>4.21</v>
      </c>
      <c r="M51">
        <f t="shared" si="0"/>
        <v>3.9340000000000002</v>
      </c>
      <c r="N51">
        <f t="shared" si="1"/>
        <v>4.0519999999999996</v>
      </c>
    </row>
    <row r="52" spans="1:14" ht="14.25" customHeight="1" x14ac:dyDescent="0.3">
      <c r="A52" t="s">
        <v>115</v>
      </c>
      <c r="B52" t="s">
        <v>116</v>
      </c>
      <c r="C52">
        <v>3.86</v>
      </c>
      <c r="D52">
        <v>4.37</v>
      </c>
      <c r="E52">
        <v>3.88</v>
      </c>
      <c r="F52">
        <v>4.38</v>
      </c>
      <c r="G52">
        <v>3.9</v>
      </c>
      <c r="H52">
        <v>4.25</v>
      </c>
      <c r="I52">
        <v>3.97</v>
      </c>
      <c r="J52">
        <v>4.47</v>
      </c>
      <c r="K52">
        <v>4.3499999999999996</v>
      </c>
      <c r="L52">
        <v>3.77</v>
      </c>
      <c r="M52">
        <f t="shared" si="0"/>
        <v>4.0779999999999994</v>
      </c>
      <c r="N52">
        <f t="shared" si="1"/>
        <v>4.1619999999999999</v>
      </c>
    </row>
    <row r="53" spans="1:14" ht="14.25" customHeight="1" x14ac:dyDescent="0.3">
      <c r="A53" t="s">
        <v>117</v>
      </c>
      <c r="B53" t="s">
        <v>118</v>
      </c>
      <c r="C53">
        <v>4.49</v>
      </c>
      <c r="D53">
        <v>4.3099999999999996</v>
      </c>
      <c r="E53">
        <v>3.51</v>
      </c>
      <c r="F53">
        <v>4.09</v>
      </c>
      <c r="G53">
        <v>3.88</v>
      </c>
      <c r="H53">
        <v>3.62</v>
      </c>
      <c r="I53">
        <v>3.48</v>
      </c>
      <c r="J53">
        <v>4.08</v>
      </c>
      <c r="K53">
        <v>4.24</v>
      </c>
      <c r="L53">
        <v>4.18</v>
      </c>
      <c r="M53">
        <f t="shared" si="0"/>
        <v>4.0559999999999992</v>
      </c>
      <c r="N53">
        <f t="shared" si="1"/>
        <v>3.9200000000000004</v>
      </c>
    </row>
    <row r="54" spans="1:14" ht="14.25" customHeight="1" x14ac:dyDescent="0.3">
      <c r="A54" t="s">
        <v>119</v>
      </c>
      <c r="B54" t="s">
        <v>120</v>
      </c>
      <c r="C54">
        <v>3.89</v>
      </c>
      <c r="D54">
        <v>3.79</v>
      </c>
      <c r="E54">
        <v>3.77</v>
      </c>
      <c r="F54">
        <v>3.95</v>
      </c>
      <c r="G54">
        <v>4.45</v>
      </c>
      <c r="H54">
        <v>4.04</v>
      </c>
      <c r="I54">
        <v>3.84</v>
      </c>
      <c r="J54">
        <v>4.33</v>
      </c>
      <c r="K54">
        <v>3.97</v>
      </c>
      <c r="L54">
        <v>4.2699999999999996</v>
      </c>
      <c r="M54">
        <f t="shared" si="0"/>
        <v>3.9699999999999998</v>
      </c>
      <c r="N54">
        <f t="shared" si="1"/>
        <v>4.09</v>
      </c>
    </row>
    <row r="55" spans="1:14" ht="14.25" customHeight="1" x14ac:dyDescent="0.3">
      <c r="A55" t="s">
        <v>121</v>
      </c>
      <c r="B55" t="s">
        <v>122</v>
      </c>
      <c r="C55">
        <v>4.34</v>
      </c>
      <c r="D55">
        <v>4.32</v>
      </c>
      <c r="E55">
        <v>4.07</v>
      </c>
      <c r="F55">
        <v>3.85</v>
      </c>
      <c r="G55">
        <v>4.13</v>
      </c>
      <c r="H55">
        <v>4.41</v>
      </c>
      <c r="I55">
        <v>3.91</v>
      </c>
      <c r="J55">
        <v>3.18</v>
      </c>
      <c r="K55">
        <v>3.79</v>
      </c>
      <c r="L55">
        <v>4.01</v>
      </c>
      <c r="M55">
        <f t="shared" si="0"/>
        <v>4.1420000000000003</v>
      </c>
      <c r="N55">
        <f t="shared" si="1"/>
        <v>3.8599999999999994</v>
      </c>
    </row>
    <row r="56" spans="1:14" ht="14.25" customHeight="1" x14ac:dyDescent="0.3">
      <c r="A56" t="s">
        <v>123</v>
      </c>
      <c r="B56" t="s">
        <v>124</v>
      </c>
      <c r="C56">
        <v>3.96</v>
      </c>
      <c r="D56">
        <v>4.34</v>
      </c>
      <c r="E56">
        <v>3.89</v>
      </c>
      <c r="F56">
        <v>4.53</v>
      </c>
      <c r="G56">
        <v>4.12</v>
      </c>
      <c r="H56">
        <v>4.12</v>
      </c>
      <c r="I56">
        <v>4.3</v>
      </c>
      <c r="J56">
        <v>4.1399999999999997</v>
      </c>
      <c r="K56">
        <v>4.4800000000000004</v>
      </c>
      <c r="L56">
        <v>3.89</v>
      </c>
      <c r="M56">
        <f t="shared" si="0"/>
        <v>4.168000000000001</v>
      </c>
      <c r="N56">
        <f t="shared" si="1"/>
        <v>4.1859999999999999</v>
      </c>
    </row>
    <row r="57" spans="1:14" ht="14.25" customHeight="1" x14ac:dyDescent="0.3">
      <c r="A57" t="s">
        <v>125</v>
      </c>
      <c r="B57" t="s">
        <v>126</v>
      </c>
      <c r="C57">
        <v>4.34</v>
      </c>
      <c r="D57">
        <v>3.75</v>
      </c>
      <c r="E57">
        <v>3.71</v>
      </c>
      <c r="F57">
        <v>4.12</v>
      </c>
      <c r="G57">
        <v>4.09</v>
      </c>
      <c r="H57">
        <v>4.1500000000000004</v>
      </c>
      <c r="I57">
        <v>4.3899999999999997</v>
      </c>
      <c r="J57">
        <v>3.92</v>
      </c>
      <c r="K57">
        <v>4.1900000000000004</v>
      </c>
      <c r="L57">
        <v>3.76</v>
      </c>
      <c r="M57">
        <f t="shared" si="0"/>
        <v>4.0020000000000007</v>
      </c>
      <c r="N57">
        <f t="shared" si="1"/>
        <v>4.081999999999999</v>
      </c>
    </row>
    <row r="58" spans="1:14" ht="14.25" customHeight="1" x14ac:dyDescent="0.3">
      <c r="A58" t="s">
        <v>127</v>
      </c>
      <c r="B58" t="s">
        <v>128</v>
      </c>
      <c r="C58">
        <v>4.3899999999999997</v>
      </c>
      <c r="D58">
        <v>4.53</v>
      </c>
      <c r="E58">
        <v>4.18</v>
      </c>
      <c r="F58">
        <v>4.01</v>
      </c>
      <c r="G58">
        <v>4.05</v>
      </c>
      <c r="H58">
        <v>4.46</v>
      </c>
      <c r="I58">
        <v>3.68</v>
      </c>
      <c r="J58">
        <v>4.2699999999999996</v>
      </c>
      <c r="K58">
        <v>3.64</v>
      </c>
      <c r="L58">
        <v>3.68</v>
      </c>
      <c r="M58">
        <f t="shared" si="0"/>
        <v>4.2320000000000002</v>
      </c>
      <c r="N58">
        <f t="shared" si="1"/>
        <v>3.9460000000000002</v>
      </c>
    </row>
    <row r="59" spans="1:14" ht="14.25" customHeight="1" x14ac:dyDescent="0.3">
      <c r="A59" t="s">
        <v>129</v>
      </c>
      <c r="B59" t="s">
        <v>130</v>
      </c>
      <c r="C59">
        <v>4.28</v>
      </c>
      <c r="D59">
        <v>3.9</v>
      </c>
      <c r="E59">
        <v>3.76</v>
      </c>
      <c r="F59">
        <v>3.87</v>
      </c>
      <c r="G59">
        <v>3.95</v>
      </c>
      <c r="H59">
        <v>4</v>
      </c>
      <c r="I59">
        <v>4.1900000000000004</v>
      </c>
      <c r="J59">
        <v>4.01</v>
      </c>
      <c r="K59">
        <v>4.09</v>
      </c>
      <c r="L59">
        <v>3.6</v>
      </c>
      <c r="M59">
        <f t="shared" si="0"/>
        <v>3.9519999999999995</v>
      </c>
      <c r="N59">
        <f t="shared" si="1"/>
        <v>3.9780000000000002</v>
      </c>
    </row>
    <row r="60" spans="1:14" ht="14.25" customHeight="1" x14ac:dyDescent="0.3">
      <c r="A60" t="s">
        <v>131</v>
      </c>
      <c r="B60" t="s">
        <v>132</v>
      </c>
      <c r="C60">
        <v>4.16</v>
      </c>
      <c r="D60">
        <v>4.21</v>
      </c>
      <c r="G60">
        <v>3.64</v>
      </c>
      <c r="H60">
        <v>4.18</v>
      </c>
      <c r="I60">
        <v>3.99</v>
      </c>
      <c r="J60">
        <v>4.2699999999999996</v>
      </c>
      <c r="K60">
        <v>3.92</v>
      </c>
      <c r="L60">
        <v>3.57</v>
      </c>
      <c r="M60">
        <f t="shared" si="0"/>
        <v>4.0033333333333339</v>
      </c>
      <c r="N60">
        <f t="shared" si="1"/>
        <v>3.9859999999999998</v>
      </c>
    </row>
    <row r="61" spans="1:14" ht="14.25" customHeight="1" x14ac:dyDescent="0.3">
      <c r="A61" t="s">
        <v>133</v>
      </c>
      <c r="B61" t="s">
        <v>134</v>
      </c>
      <c r="C61">
        <v>3.77</v>
      </c>
      <c r="D61">
        <v>3.38</v>
      </c>
      <c r="E61">
        <v>4.16</v>
      </c>
      <c r="F61">
        <v>3.61</v>
      </c>
      <c r="G61">
        <v>3.66</v>
      </c>
      <c r="H61">
        <v>3.42</v>
      </c>
      <c r="I61">
        <v>3.69</v>
      </c>
      <c r="J61">
        <v>4.2300000000000004</v>
      </c>
      <c r="K61">
        <v>3.63</v>
      </c>
      <c r="L61">
        <v>3.49</v>
      </c>
      <c r="M61">
        <f t="shared" si="0"/>
        <v>3.7159999999999997</v>
      </c>
      <c r="N61">
        <f t="shared" si="1"/>
        <v>3.6920000000000002</v>
      </c>
    </row>
    <row r="62" spans="1:14" ht="14.25" customHeight="1" x14ac:dyDescent="0.3">
      <c r="A62" t="s">
        <v>135</v>
      </c>
      <c r="B62" t="s">
        <v>136</v>
      </c>
      <c r="C62">
        <v>4.58</v>
      </c>
      <c r="D62">
        <v>4.26</v>
      </c>
      <c r="E62">
        <v>3.56</v>
      </c>
      <c r="F62">
        <v>3.71</v>
      </c>
      <c r="G62">
        <v>4.3499999999999996</v>
      </c>
      <c r="H62">
        <v>3.89</v>
      </c>
      <c r="I62">
        <v>3.78</v>
      </c>
      <c r="J62">
        <v>4.0999999999999996</v>
      </c>
      <c r="K62">
        <v>3.84</v>
      </c>
      <c r="M62">
        <f t="shared" si="0"/>
        <v>4.0920000000000005</v>
      </c>
      <c r="N62">
        <f t="shared" si="1"/>
        <v>3.9024999999999999</v>
      </c>
    </row>
    <row r="63" spans="1:14" ht="14.25" customHeight="1" x14ac:dyDescent="0.3">
      <c r="A63" t="s">
        <v>137</v>
      </c>
      <c r="B63" t="s">
        <v>138</v>
      </c>
      <c r="C63">
        <v>3.65</v>
      </c>
      <c r="D63">
        <v>4.21</v>
      </c>
      <c r="E63">
        <v>4.45</v>
      </c>
      <c r="F63">
        <v>3.72</v>
      </c>
      <c r="G63">
        <v>3.99</v>
      </c>
      <c r="H63">
        <v>4.01</v>
      </c>
      <c r="I63">
        <v>4.1100000000000003</v>
      </c>
      <c r="J63">
        <v>4.53</v>
      </c>
      <c r="K63">
        <v>4.32</v>
      </c>
      <c r="L63">
        <v>3.72</v>
      </c>
      <c r="M63">
        <f t="shared" si="0"/>
        <v>4.0039999999999996</v>
      </c>
      <c r="N63">
        <f t="shared" si="1"/>
        <v>4.1379999999999999</v>
      </c>
    </row>
    <row r="64" spans="1:14" ht="14.25" customHeight="1" x14ac:dyDescent="0.3">
      <c r="A64" t="s">
        <v>139</v>
      </c>
      <c r="B64" t="s">
        <v>140</v>
      </c>
      <c r="C64">
        <v>3.57</v>
      </c>
      <c r="D64">
        <v>3.8</v>
      </c>
      <c r="E64">
        <v>4.2300000000000004</v>
      </c>
      <c r="F64">
        <v>4.4000000000000004</v>
      </c>
      <c r="I64">
        <v>4.3899999999999997</v>
      </c>
      <c r="J64">
        <v>4.04</v>
      </c>
      <c r="K64">
        <v>4.38</v>
      </c>
      <c r="L64">
        <v>3.27</v>
      </c>
      <c r="M64">
        <f t="shared" si="0"/>
        <v>4</v>
      </c>
      <c r="N64">
        <f t="shared" si="1"/>
        <v>4.0199999999999996</v>
      </c>
    </row>
    <row r="65" spans="1:14" ht="14.25" customHeight="1" x14ac:dyDescent="0.3">
      <c r="A65" t="s">
        <v>141</v>
      </c>
      <c r="B65" t="s">
        <v>142</v>
      </c>
      <c r="C65">
        <v>3.81</v>
      </c>
      <c r="D65">
        <v>4.2</v>
      </c>
      <c r="E65">
        <v>4.2</v>
      </c>
      <c r="G65">
        <v>3.73</v>
      </c>
      <c r="H65">
        <v>4.25</v>
      </c>
      <c r="I65">
        <v>3.88</v>
      </c>
      <c r="J65">
        <v>3.77</v>
      </c>
      <c r="K65">
        <v>4.0599999999999996</v>
      </c>
      <c r="L65">
        <v>3.96</v>
      </c>
      <c r="M65">
        <f t="shared" si="0"/>
        <v>3.9850000000000003</v>
      </c>
      <c r="N65">
        <f t="shared" si="1"/>
        <v>3.9839999999999995</v>
      </c>
    </row>
    <row r="66" spans="1:14" ht="14.25" customHeight="1" x14ac:dyDescent="0.3">
      <c r="A66" t="s">
        <v>143</v>
      </c>
      <c r="B66" t="s">
        <v>144</v>
      </c>
      <c r="C66">
        <v>4.05</v>
      </c>
      <c r="D66">
        <v>4.21</v>
      </c>
      <c r="E66">
        <v>4.1399999999999997</v>
      </c>
      <c r="F66">
        <v>3.42</v>
      </c>
      <c r="G66">
        <v>4.0599999999999996</v>
      </c>
      <c r="H66">
        <v>4.04</v>
      </c>
      <c r="I66">
        <v>4.29</v>
      </c>
      <c r="J66">
        <v>3.79</v>
      </c>
      <c r="K66">
        <v>4.41</v>
      </c>
      <c r="L66">
        <v>4.18</v>
      </c>
      <c r="M66">
        <f t="shared" ref="M66:M129" si="2">AVERAGE(C66:G66)</f>
        <v>3.976</v>
      </c>
      <c r="N66">
        <f t="shared" ref="N66:N129" si="3">AVERAGE(H66:L66)</f>
        <v>4.1420000000000003</v>
      </c>
    </row>
    <row r="67" spans="1:14" ht="14.25" customHeight="1" x14ac:dyDescent="0.3">
      <c r="A67" t="s">
        <v>145</v>
      </c>
      <c r="B67" t="s">
        <v>146</v>
      </c>
      <c r="C67">
        <v>3.67</v>
      </c>
      <c r="D67">
        <v>3.67</v>
      </c>
      <c r="E67">
        <v>4.17</v>
      </c>
      <c r="F67">
        <v>4.4400000000000004</v>
      </c>
      <c r="G67">
        <v>4.3600000000000003</v>
      </c>
      <c r="H67">
        <v>3.9</v>
      </c>
      <c r="I67">
        <v>4</v>
      </c>
      <c r="J67">
        <v>3.9</v>
      </c>
      <c r="K67">
        <v>4.4800000000000004</v>
      </c>
      <c r="L67">
        <v>3.98</v>
      </c>
      <c r="M67">
        <f t="shared" si="2"/>
        <v>4.0619999999999994</v>
      </c>
      <c r="N67">
        <f t="shared" si="3"/>
        <v>4.0520000000000005</v>
      </c>
    </row>
    <row r="68" spans="1:14" ht="14.25" customHeight="1" x14ac:dyDescent="0.3">
      <c r="A68" t="s">
        <v>147</v>
      </c>
      <c r="B68" t="s">
        <v>148</v>
      </c>
      <c r="C68">
        <v>4.03</v>
      </c>
      <c r="D68">
        <v>4.0999999999999996</v>
      </c>
      <c r="E68">
        <v>3.86</v>
      </c>
      <c r="F68">
        <v>4.17</v>
      </c>
      <c r="G68">
        <v>4.1399999999999997</v>
      </c>
      <c r="H68">
        <v>3.92</v>
      </c>
      <c r="I68">
        <v>4.49</v>
      </c>
      <c r="J68">
        <v>3.9</v>
      </c>
      <c r="K68">
        <v>4.47</v>
      </c>
      <c r="L68">
        <v>4.66</v>
      </c>
      <c r="M68">
        <f t="shared" si="2"/>
        <v>4.0599999999999996</v>
      </c>
      <c r="N68">
        <f t="shared" si="3"/>
        <v>4.2880000000000003</v>
      </c>
    </row>
    <row r="69" spans="1:14" ht="14.25" customHeight="1" x14ac:dyDescent="0.3">
      <c r="A69" t="s">
        <v>149</v>
      </c>
      <c r="B69" t="s">
        <v>150</v>
      </c>
      <c r="C69">
        <v>3.96</v>
      </c>
      <c r="D69">
        <v>3.73</v>
      </c>
      <c r="E69">
        <v>3.69</v>
      </c>
      <c r="F69">
        <v>4.09</v>
      </c>
      <c r="G69">
        <v>3.88</v>
      </c>
      <c r="H69">
        <v>4.0999999999999996</v>
      </c>
      <c r="I69">
        <v>4.21</v>
      </c>
      <c r="J69">
        <v>4.45</v>
      </c>
      <c r="K69">
        <v>4.05</v>
      </c>
      <c r="L69">
        <v>3.88</v>
      </c>
      <c r="M69">
        <f t="shared" si="2"/>
        <v>3.8699999999999997</v>
      </c>
      <c r="N69">
        <f t="shared" si="3"/>
        <v>4.1379999999999999</v>
      </c>
    </row>
    <row r="70" spans="1:14" ht="14.25" customHeight="1" x14ac:dyDescent="0.3">
      <c r="A70" t="s">
        <v>151</v>
      </c>
      <c r="B70" t="s">
        <v>152</v>
      </c>
      <c r="C70">
        <v>4.1399999999999997</v>
      </c>
      <c r="D70">
        <v>3.43</v>
      </c>
      <c r="E70">
        <v>3.75</v>
      </c>
      <c r="H70">
        <v>4.07</v>
      </c>
      <c r="I70">
        <v>3.96</v>
      </c>
      <c r="J70">
        <v>3.45</v>
      </c>
      <c r="K70">
        <v>3.64</v>
      </c>
      <c r="L70">
        <v>3.82</v>
      </c>
      <c r="M70">
        <f t="shared" si="2"/>
        <v>3.7733333333333334</v>
      </c>
      <c r="N70">
        <f t="shared" si="3"/>
        <v>3.7880000000000003</v>
      </c>
    </row>
    <row r="71" spans="1:14" ht="14.25" customHeight="1" x14ac:dyDescent="0.3">
      <c r="A71" t="s">
        <v>153</v>
      </c>
      <c r="B71" t="s">
        <v>154</v>
      </c>
      <c r="C71">
        <v>3.76</v>
      </c>
      <c r="D71">
        <v>3.98</v>
      </c>
      <c r="E71">
        <v>3.67</v>
      </c>
      <c r="F71">
        <v>3.92</v>
      </c>
      <c r="G71">
        <v>3.78</v>
      </c>
      <c r="H71">
        <v>4.13</v>
      </c>
      <c r="I71">
        <v>4.24</v>
      </c>
      <c r="J71">
        <v>4.51</v>
      </c>
      <c r="K71">
        <v>3.84</v>
      </c>
      <c r="L71">
        <v>3.95</v>
      </c>
      <c r="M71">
        <f t="shared" si="2"/>
        <v>3.8220000000000001</v>
      </c>
      <c r="N71">
        <f t="shared" si="3"/>
        <v>4.1339999999999995</v>
      </c>
    </row>
    <row r="72" spans="1:14" ht="14.25" customHeight="1" x14ac:dyDescent="0.3">
      <c r="A72" t="s">
        <v>155</v>
      </c>
      <c r="B72" t="s">
        <v>156</v>
      </c>
      <c r="C72">
        <v>3.9</v>
      </c>
      <c r="E72">
        <v>4.32</v>
      </c>
      <c r="F72">
        <v>3.89</v>
      </c>
      <c r="G72">
        <v>4.62</v>
      </c>
      <c r="H72">
        <v>4.01</v>
      </c>
      <c r="I72">
        <v>3.94</v>
      </c>
      <c r="J72">
        <v>3.9</v>
      </c>
      <c r="K72">
        <v>4.21</v>
      </c>
      <c r="L72">
        <v>4.01</v>
      </c>
      <c r="M72">
        <f t="shared" si="2"/>
        <v>4.1825000000000001</v>
      </c>
      <c r="N72">
        <f t="shared" si="3"/>
        <v>4.0140000000000002</v>
      </c>
    </row>
    <row r="73" spans="1:14" ht="14.25" customHeight="1" x14ac:dyDescent="0.3">
      <c r="A73" t="s">
        <v>157</v>
      </c>
      <c r="B73" t="s">
        <v>158</v>
      </c>
      <c r="C73">
        <v>4.5</v>
      </c>
      <c r="D73">
        <v>3.57</v>
      </c>
      <c r="E73">
        <v>3.69</v>
      </c>
      <c r="F73">
        <v>4.1900000000000004</v>
      </c>
      <c r="G73">
        <v>3.56</v>
      </c>
      <c r="H73">
        <v>4.1900000000000004</v>
      </c>
      <c r="I73">
        <v>3.66</v>
      </c>
      <c r="J73">
        <v>4.3</v>
      </c>
      <c r="K73">
        <v>4.25</v>
      </c>
      <c r="L73">
        <v>4.3499999999999996</v>
      </c>
      <c r="M73">
        <f t="shared" si="2"/>
        <v>3.9019999999999997</v>
      </c>
      <c r="N73">
        <f t="shared" si="3"/>
        <v>4.1500000000000004</v>
      </c>
    </row>
    <row r="74" spans="1:14" ht="14.25" customHeight="1" x14ac:dyDescent="0.3">
      <c r="A74" t="s">
        <v>159</v>
      </c>
      <c r="B74" t="s">
        <v>160</v>
      </c>
      <c r="C74">
        <v>3.82</v>
      </c>
      <c r="D74">
        <v>3.82</v>
      </c>
      <c r="E74">
        <v>4.3</v>
      </c>
      <c r="G74">
        <v>3.87</v>
      </c>
      <c r="H74">
        <v>3.7</v>
      </c>
      <c r="I74">
        <v>4.4800000000000004</v>
      </c>
      <c r="J74">
        <v>3.92</v>
      </c>
      <c r="K74">
        <v>4.33</v>
      </c>
      <c r="L74">
        <v>3.81</v>
      </c>
      <c r="M74">
        <f t="shared" si="2"/>
        <v>3.9524999999999997</v>
      </c>
      <c r="N74">
        <f t="shared" si="3"/>
        <v>4.048</v>
      </c>
    </row>
    <row r="75" spans="1:14" ht="14.25" customHeight="1" x14ac:dyDescent="0.3">
      <c r="A75" t="s">
        <v>161</v>
      </c>
      <c r="B75" t="s">
        <v>162</v>
      </c>
      <c r="C75">
        <v>3.88</v>
      </c>
      <c r="D75">
        <v>3.89</v>
      </c>
      <c r="E75">
        <v>3.94</v>
      </c>
      <c r="F75">
        <v>3.81</v>
      </c>
      <c r="G75">
        <v>4.07</v>
      </c>
      <c r="H75">
        <v>4.1900000000000004</v>
      </c>
      <c r="I75">
        <v>4.59</v>
      </c>
      <c r="J75">
        <v>3.98</v>
      </c>
      <c r="K75">
        <v>4.01</v>
      </c>
      <c r="L75">
        <v>3.91</v>
      </c>
      <c r="M75">
        <f t="shared" si="2"/>
        <v>3.9180000000000001</v>
      </c>
      <c r="N75">
        <f t="shared" si="3"/>
        <v>4.136000000000001</v>
      </c>
    </row>
    <row r="76" spans="1:14" ht="14.25" customHeight="1" x14ac:dyDescent="0.3">
      <c r="A76" t="s">
        <v>163</v>
      </c>
      <c r="B76" t="s">
        <v>164</v>
      </c>
      <c r="C76">
        <v>4.13</v>
      </c>
      <c r="E76">
        <v>4.13</v>
      </c>
      <c r="G76">
        <v>3.92</v>
      </c>
      <c r="H76">
        <v>4.18</v>
      </c>
      <c r="I76">
        <v>3.64</v>
      </c>
      <c r="J76">
        <v>3.97</v>
      </c>
      <c r="L76">
        <v>3.86</v>
      </c>
      <c r="M76">
        <f t="shared" si="2"/>
        <v>4.0599999999999996</v>
      </c>
      <c r="N76">
        <f t="shared" si="3"/>
        <v>3.9125000000000001</v>
      </c>
    </row>
    <row r="77" spans="1:14" ht="14.25" customHeight="1" x14ac:dyDescent="0.3">
      <c r="A77" t="s">
        <v>165</v>
      </c>
      <c r="B77" t="s">
        <v>166</v>
      </c>
      <c r="C77">
        <v>3.88</v>
      </c>
      <c r="D77">
        <v>3.89</v>
      </c>
      <c r="E77">
        <v>4.2</v>
      </c>
      <c r="F77">
        <v>3.96</v>
      </c>
      <c r="G77">
        <v>3.81</v>
      </c>
      <c r="H77">
        <v>4.1100000000000003</v>
      </c>
      <c r="I77">
        <v>4.05</v>
      </c>
      <c r="J77">
        <v>4.09</v>
      </c>
      <c r="K77">
        <v>4.28</v>
      </c>
      <c r="L77">
        <v>3.4</v>
      </c>
      <c r="M77">
        <f t="shared" si="2"/>
        <v>3.9479999999999995</v>
      </c>
      <c r="N77">
        <f t="shared" si="3"/>
        <v>3.9859999999999998</v>
      </c>
    </row>
    <row r="78" spans="1:14" ht="14.25" customHeight="1" x14ac:dyDescent="0.3">
      <c r="A78" t="s">
        <v>167</v>
      </c>
      <c r="B78" t="s">
        <v>168</v>
      </c>
      <c r="C78">
        <v>4.74</v>
      </c>
      <c r="D78">
        <v>4.4000000000000004</v>
      </c>
      <c r="E78">
        <v>4.32</v>
      </c>
      <c r="F78">
        <v>4.03</v>
      </c>
      <c r="G78">
        <v>4.53</v>
      </c>
      <c r="H78">
        <v>3.93</v>
      </c>
      <c r="I78">
        <v>3.79</v>
      </c>
      <c r="J78">
        <v>4.12</v>
      </c>
      <c r="K78">
        <v>4.68</v>
      </c>
      <c r="L78">
        <v>4.05</v>
      </c>
      <c r="M78">
        <f t="shared" si="2"/>
        <v>4.4040000000000008</v>
      </c>
      <c r="N78">
        <f t="shared" si="3"/>
        <v>4.1139999999999999</v>
      </c>
    </row>
    <row r="79" spans="1:14" ht="14.25" customHeight="1" x14ac:dyDescent="0.3">
      <c r="A79" t="s">
        <v>169</v>
      </c>
      <c r="B79" t="s">
        <v>170</v>
      </c>
      <c r="C79">
        <v>3.83</v>
      </c>
      <c r="D79">
        <v>4.25</v>
      </c>
      <c r="E79">
        <v>3.91</v>
      </c>
      <c r="F79">
        <v>4.53</v>
      </c>
      <c r="G79">
        <v>4.6500000000000004</v>
      </c>
      <c r="H79">
        <v>4.13</v>
      </c>
      <c r="I79">
        <v>4.0199999999999996</v>
      </c>
      <c r="J79">
        <v>4.07</v>
      </c>
      <c r="K79">
        <v>4.42</v>
      </c>
      <c r="L79">
        <v>3.63</v>
      </c>
      <c r="M79">
        <f t="shared" si="2"/>
        <v>4.234</v>
      </c>
      <c r="N79">
        <f t="shared" si="3"/>
        <v>4.0540000000000003</v>
      </c>
    </row>
    <row r="80" spans="1:14" ht="14.25" customHeight="1" x14ac:dyDescent="0.3">
      <c r="A80" t="s">
        <v>171</v>
      </c>
      <c r="B80" t="s">
        <v>172</v>
      </c>
      <c r="C80">
        <v>4.3899999999999997</v>
      </c>
      <c r="D80">
        <v>3.45</v>
      </c>
      <c r="E80">
        <v>4.09</v>
      </c>
      <c r="F80">
        <v>3.82</v>
      </c>
      <c r="G80">
        <v>4.12</v>
      </c>
      <c r="H80">
        <v>3.84</v>
      </c>
      <c r="I80">
        <v>4.1399999999999997</v>
      </c>
      <c r="J80">
        <v>4.28</v>
      </c>
      <c r="K80">
        <v>4.07</v>
      </c>
      <c r="L80">
        <v>3.5</v>
      </c>
      <c r="M80">
        <f t="shared" si="2"/>
        <v>3.9740000000000002</v>
      </c>
      <c r="N80">
        <f t="shared" si="3"/>
        <v>3.9659999999999997</v>
      </c>
    </row>
    <row r="81" spans="1:14" ht="14.25" customHeight="1" x14ac:dyDescent="0.3">
      <c r="A81" t="s">
        <v>173</v>
      </c>
      <c r="B81" t="s">
        <v>174</v>
      </c>
      <c r="C81">
        <v>4.43</v>
      </c>
      <c r="D81">
        <v>3.79</v>
      </c>
      <c r="E81">
        <v>3.93</v>
      </c>
      <c r="F81">
        <v>4.37</v>
      </c>
      <c r="G81">
        <v>3.59</v>
      </c>
      <c r="H81">
        <v>3.8</v>
      </c>
      <c r="I81">
        <v>4.28</v>
      </c>
      <c r="J81">
        <v>4.1900000000000004</v>
      </c>
      <c r="K81">
        <v>4.05</v>
      </c>
      <c r="L81">
        <v>3.85</v>
      </c>
      <c r="M81">
        <f t="shared" si="2"/>
        <v>4.0220000000000002</v>
      </c>
      <c r="N81">
        <f t="shared" si="3"/>
        <v>4.0340000000000007</v>
      </c>
    </row>
    <row r="82" spans="1:14" ht="14.25" customHeight="1" x14ac:dyDescent="0.3">
      <c r="A82" t="s">
        <v>175</v>
      </c>
      <c r="B82" t="s">
        <v>176</v>
      </c>
      <c r="C82">
        <v>4.2699999999999996</v>
      </c>
      <c r="D82">
        <v>3.84</v>
      </c>
      <c r="E82">
        <v>3.79</v>
      </c>
      <c r="F82">
        <v>4.05</v>
      </c>
      <c r="G82">
        <v>4.41</v>
      </c>
      <c r="H82">
        <v>4.66</v>
      </c>
      <c r="I82">
        <v>4.84</v>
      </c>
      <c r="J82">
        <v>3.76</v>
      </c>
      <c r="K82">
        <v>3.87</v>
      </c>
      <c r="L82">
        <v>4.67</v>
      </c>
      <c r="M82">
        <f t="shared" si="2"/>
        <v>4.0720000000000001</v>
      </c>
      <c r="N82">
        <f t="shared" si="3"/>
        <v>4.3599999999999994</v>
      </c>
    </row>
    <row r="83" spans="1:14" ht="14.25" customHeight="1" x14ac:dyDescent="0.3">
      <c r="A83" t="s">
        <v>177</v>
      </c>
      <c r="B83" t="s">
        <v>178</v>
      </c>
      <c r="C83">
        <v>4.22</v>
      </c>
      <c r="D83">
        <v>4.01</v>
      </c>
      <c r="E83">
        <v>4.67</v>
      </c>
      <c r="F83">
        <v>3.92</v>
      </c>
      <c r="G83">
        <v>3.91</v>
      </c>
      <c r="H83">
        <v>3.17</v>
      </c>
      <c r="I83">
        <v>4.62</v>
      </c>
      <c r="J83">
        <v>3.93</v>
      </c>
      <c r="K83">
        <v>3.67</v>
      </c>
      <c r="L83">
        <v>4.47</v>
      </c>
      <c r="M83">
        <f t="shared" si="2"/>
        <v>4.1459999999999999</v>
      </c>
      <c r="N83">
        <f t="shared" si="3"/>
        <v>3.972</v>
      </c>
    </row>
    <row r="84" spans="1:14" ht="14.25" customHeight="1" x14ac:dyDescent="0.3">
      <c r="A84" t="s">
        <v>179</v>
      </c>
      <c r="B84" t="s">
        <v>180</v>
      </c>
      <c r="C84">
        <v>3.71</v>
      </c>
      <c r="D84">
        <v>3.97</v>
      </c>
      <c r="G84">
        <v>3.54</v>
      </c>
      <c r="H84">
        <v>3.75</v>
      </c>
      <c r="I84">
        <v>4.1900000000000004</v>
      </c>
      <c r="J84">
        <v>3.99</v>
      </c>
      <c r="K84">
        <v>4.0599999999999996</v>
      </c>
      <c r="L84">
        <v>4.12</v>
      </c>
      <c r="M84">
        <f t="shared" si="2"/>
        <v>3.7399999999999998</v>
      </c>
      <c r="N84">
        <f t="shared" si="3"/>
        <v>4.0220000000000002</v>
      </c>
    </row>
    <row r="85" spans="1:14" ht="14.25" customHeight="1" x14ac:dyDescent="0.3">
      <c r="A85" t="s">
        <v>181</v>
      </c>
      <c r="B85" t="s">
        <v>182</v>
      </c>
      <c r="C85">
        <v>4.25</v>
      </c>
      <c r="D85">
        <v>3.94</v>
      </c>
      <c r="E85">
        <v>4.5999999999999996</v>
      </c>
      <c r="F85">
        <v>4.28</v>
      </c>
      <c r="G85">
        <v>4.28</v>
      </c>
      <c r="H85">
        <v>3.9</v>
      </c>
      <c r="I85">
        <v>3.9</v>
      </c>
      <c r="J85">
        <v>4.1500000000000004</v>
      </c>
      <c r="K85">
        <v>4.3099999999999996</v>
      </c>
      <c r="M85">
        <f t="shared" si="2"/>
        <v>4.2700000000000005</v>
      </c>
      <c r="N85">
        <f t="shared" si="3"/>
        <v>4.0649999999999995</v>
      </c>
    </row>
    <row r="86" spans="1:14" ht="14.25" customHeight="1" x14ac:dyDescent="0.3">
      <c r="A86" t="s">
        <v>183</v>
      </c>
      <c r="B86" t="s">
        <v>184</v>
      </c>
      <c r="C86">
        <v>4.5999999999999996</v>
      </c>
      <c r="D86">
        <v>4.43</v>
      </c>
      <c r="E86">
        <v>4.28</v>
      </c>
      <c r="F86">
        <v>4.3099999999999996</v>
      </c>
      <c r="G86">
        <v>3.8</v>
      </c>
      <c r="H86">
        <v>3.59</v>
      </c>
      <c r="I86">
        <v>4.3600000000000003</v>
      </c>
      <c r="J86">
        <v>3.94</v>
      </c>
      <c r="K86">
        <v>4.04</v>
      </c>
      <c r="L86">
        <v>3.86</v>
      </c>
      <c r="M86">
        <f t="shared" si="2"/>
        <v>4.2839999999999998</v>
      </c>
      <c r="N86">
        <f t="shared" si="3"/>
        <v>3.9579999999999997</v>
      </c>
    </row>
    <row r="87" spans="1:14" ht="14.25" customHeight="1" x14ac:dyDescent="0.3">
      <c r="A87" t="s">
        <v>185</v>
      </c>
      <c r="B87" t="s">
        <v>186</v>
      </c>
      <c r="C87">
        <v>4.2699999999999996</v>
      </c>
      <c r="D87">
        <v>3.67</v>
      </c>
      <c r="E87">
        <v>4.29</v>
      </c>
      <c r="F87">
        <v>3.95</v>
      </c>
      <c r="G87">
        <v>3.97</v>
      </c>
      <c r="H87">
        <v>3.84</v>
      </c>
      <c r="I87">
        <v>3.83</v>
      </c>
      <c r="J87">
        <v>4.13</v>
      </c>
      <c r="K87">
        <v>3.46</v>
      </c>
      <c r="M87">
        <f t="shared" si="2"/>
        <v>4.0299999999999994</v>
      </c>
      <c r="N87">
        <f t="shared" si="3"/>
        <v>3.8150000000000004</v>
      </c>
    </row>
    <row r="88" spans="1:14" ht="14.25" customHeight="1" x14ac:dyDescent="0.3">
      <c r="A88" t="s">
        <v>187</v>
      </c>
      <c r="B88" t="s">
        <v>188</v>
      </c>
      <c r="C88">
        <v>4.43</v>
      </c>
      <c r="D88">
        <v>3.78</v>
      </c>
      <c r="E88">
        <v>4.29</v>
      </c>
      <c r="F88">
        <v>4.1500000000000004</v>
      </c>
      <c r="H88">
        <v>3.9</v>
      </c>
      <c r="I88">
        <v>4.1100000000000003</v>
      </c>
      <c r="J88">
        <v>3.92</v>
      </c>
      <c r="K88">
        <v>4.16</v>
      </c>
      <c r="L88">
        <v>4.49</v>
      </c>
      <c r="M88">
        <f t="shared" si="2"/>
        <v>4.1624999999999996</v>
      </c>
      <c r="N88">
        <f t="shared" si="3"/>
        <v>4.1159999999999997</v>
      </c>
    </row>
    <row r="89" spans="1:14" ht="14.25" customHeight="1" x14ac:dyDescent="0.3">
      <c r="A89" t="s">
        <v>189</v>
      </c>
      <c r="B89" t="s">
        <v>190</v>
      </c>
      <c r="C89">
        <v>4.0999999999999996</v>
      </c>
      <c r="D89">
        <v>3.82</v>
      </c>
      <c r="F89">
        <v>4.34</v>
      </c>
      <c r="G89">
        <v>4.54</v>
      </c>
      <c r="H89">
        <v>4.28</v>
      </c>
      <c r="I89">
        <v>4.1100000000000003</v>
      </c>
      <c r="J89">
        <v>4.2699999999999996</v>
      </c>
      <c r="K89">
        <v>4.25</v>
      </c>
      <c r="L89">
        <v>3.84</v>
      </c>
      <c r="M89">
        <f t="shared" si="2"/>
        <v>4.2</v>
      </c>
      <c r="N89">
        <f t="shared" si="3"/>
        <v>4.1500000000000004</v>
      </c>
    </row>
    <row r="90" spans="1:14" ht="14.25" customHeight="1" x14ac:dyDescent="0.3">
      <c r="A90" t="s">
        <v>191</v>
      </c>
      <c r="B90" t="s">
        <v>192</v>
      </c>
      <c r="C90">
        <v>3.89</v>
      </c>
      <c r="D90">
        <v>4.96</v>
      </c>
      <c r="E90">
        <v>4.45</v>
      </c>
      <c r="F90">
        <v>4.0199999999999996</v>
      </c>
      <c r="G90">
        <v>4.0999999999999996</v>
      </c>
      <c r="H90">
        <v>3.9</v>
      </c>
      <c r="J90">
        <v>3.92</v>
      </c>
      <c r="K90">
        <v>3.7</v>
      </c>
      <c r="L90">
        <v>4.49</v>
      </c>
      <c r="M90">
        <f t="shared" si="2"/>
        <v>4.2840000000000007</v>
      </c>
      <c r="N90">
        <f t="shared" si="3"/>
        <v>4.0024999999999995</v>
      </c>
    </row>
    <row r="91" spans="1:14" ht="14.25" customHeight="1" x14ac:dyDescent="0.3">
      <c r="A91" t="s">
        <v>193</v>
      </c>
      <c r="B91" t="s">
        <v>194</v>
      </c>
      <c r="C91">
        <v>4.3</v>
      </c>
      <c r="D91">
        <v>4.07</v>
      </c>
      <c r="E91">
        <v>4.28</v>
      </c>
      <c r="F91">
        <v>4.29</v>
      </c>
      <c r="G91">
        <v>4.1399999999999997</v>
      </c>
      <c r="H91">
        <v>4.13</v>
      </c>
      <c r="I91">
        <v>3.76</v>
      </c>
      <c r="J91">
        <v>4.1500000000000004</v>
      </c>
      <c r="K91">
        <v>3.76</v>
      </c>
      <c r="L91">
        <v>3.86</v>
      </c>
      <c r="M91">
        <f t="shared" si="2"/>
        <v>4.2160000000000002</v>
      </c>
      <c r="N91">
        <f t="shared" si="3"/>
        <v>3.9319999999999999</v>
      </c>
    </row>
    <row r="92" spans="1:14" ht="14.25" customHeight="1" x14ac:dyDescent="0.3">
      <c r="A92" t="s">
        <v>195</v>
      </c>
      <c r="B92" t="s">
        <v>196</v>
      </c>
      <c r="C92">
        <v>3.95</v>
      </c>
      <c r="D92">
        <v>3.36</v>
      </c>
      <c r="E92">
        <v>3.9</v>
      </c>
      <c r="F92">
        <v>3.82</v>
      </c>
      <c r="G92">
        <v>4</v>
      </c>
      <c r="H92">
        <v>3.99</v>
      </c>
      <c r="I92">
        <v>4.67</v>
      </c>
      <c r="J92">
        <v>4.04</v>
      </c>
      <c r="K92">
        <v>3.91</v>
      </c>
      <c r="L92">
        <v>4.12</v>
      </c>
      <c r="M92">
        <f t="shared" si="2"/>
        <v>3.806</v>
      </c>
      <c r="N92">
        <f t="shared" si="3"/>
        <v>4.1459999999999999</v>
      </c>
    </row>
    <row r="93" spans="1:14" ht="14.25" customHeight="1" x14ac:dyDescent="0.3">
      <c r="A93" t="s">
        <v>197</v>
      </c>
      <c r="B93" t="s">
        <v>198</v>
      </c>
      <c r="C93">
        <v>4.28</v>
      </c>
      <c r="D93">
        <v>3.88</v>
      </c>
      <c r="E93">
        <v>4.1500000000000004</v>
      </c>
      <c r="F93">
        <v>4.18</v>
      </c>
      <c r="H93">
        <v>3.75</v>
      </c>
      <c r="I93">
        <v>3.98</v>
      </c>
      <c r="J93">
        <v>3.75</v>
      </c>
      <c r="K93">
        <v>3.83</v>
      </c>
      <c r="L93">
        <v>3.9</v>
      </c>
      <c r="M93">
        <f t="shared" si="2"/>
        <v>4.1225000000000005</v>
      </c>
      <c r="N93">
        <f t="shared" si="3"/>
        <v>3.8420000000000001</v>
      </c>
    </row>
    <row r="94" spans="1:14" ht="14.25" customHeight="1" x14ac:dyDescent="0.3">
      <c r="A94" t="s">
        <v>199</v>
      </c>
      <c r="B94" t="s">
        <v>200</v>
      </c>
      <c r="C94">
        <v>4.45</v>
      </c>
      <c r="D94">
        <v>4.34</v>
      </c>
      <c r="E94">
        <v>4.33</v>
      </c>
      <c r="F94">
        <v>3.68</v>
      </c>
      <c r="G94">
        <v>4.1100000000000003</v>
      </c>
      <c r="H94">
        <v>3.54</v>
      </c>
      <c r="I94">
        <v>4.13</v>
      </c>
      <c r="J94">
        <v>4.3899999999999997</v>
      </c>
      <c r="K94">
        <v>4.09</v>
      </c>
      <c r="L94">
        <v>4.34</v>
      </c>
      <c r="M94">
        <f t="shared" si="2"/>
        <v>4.1820000000000004</v>
      </c>
      <c r="N94">
        <f t="shared" si="3"/>
        <v>4.0979999999999999</v>
      </c>
    </row>
    <row r="95" spans="1:14" ht="14.25" customHeight="1" x14ac:dyDescent="0.3">
      <c r="A95" t="s">
        <v>201</v>
      </c>
      <c r="B95" t="s">
        <v>202</v>
      </c>
      <c r="C95">
        <v>3.93</v>
      </c>
      <c r="D95">
        <v>4.12</v>
      </c>
      <c r="E95">
        <v>3.63</v>
      </c>
      <c r="F95">
        <v>4.26</v>
      </c>
      <c r="G95">
        <v>3.92</v>
      </c>
      <c r="H95">
        <v>4.18</v>
      </c>
      <c r="I95">
        <v>4.16</v>
      </c>
      <c r="J95">
        <v>3.99</v>
      </c>
      <c r="K95">
        <v>4.12</v>
      </c>
      <c r="L95">
        <v>3.93</v>
      </c>
      <c r="M95">
        <f t="shared" si="2"/>
        <v>3.972</v>
      </c>
      <c r="N95">
        <f t="shared" si="3"/>
        <v>4.0759999999999996</v>
      </c>
    </row>
    <row r="96" spans="1:14" ht="14.25" customHeight="1" x14ac:dyDescent="0.3">
      <c r="A96" t="s">
        <v>203</v>
      </c>
      <c r="B96" t="s">
        <v>204</v>
      </c>
      <c r="C96">
        <v>4.2</v>
      </c>
      <c r="D96">
        <v>3.67</v>
      </c>
      <c r="E96">
        <v>3.7</v>
      </c>
      <c r="F96">
        <v>3.84</v>
      </c>
      <c r="G96">
        <v>3.97</v>
      </c>
      <c r="H96">
        <v>4.1900000000000004</v>
      </c>
      <c r="I96">
        <v>3.76</v>
      </c>
      <c r="J96">
        <v>4.43</v>
      </c>
      <c r="K96">
        <v>4.05</v>
      </c>
      <c r="L96">
        <v>3.41</v>
      </c>
      <c r="M96">
        <f t="shared" si="2"/>
        <v>3.8759999999999999</v>
      </c>
      <c r="N96">
        <f t="shared" si="3"/>
        <v>3.968</v>
      </c>
    </row>
    <row r="97" spans="1:14" ht="14.25" customHeight="1" x14ac:dyDescent="0.3">
      <c r="A97" t="s">
        <v>205</v>
      </c>
      <c r="B97" t="s">
        <v>206</v>
      </c>
      <c r="C97">
        <v>3.81</v>
      </c>
      <c r="D97">
        <v>3.87</v>
      </c>
      <c r="E97">
        <v>3.85</v>
      </c>
      <c r="F97">
        <v>3.95</v>
      </c>
      <c r="G97">
        <v>3.92</v>
      </c>
      <c r="H97">
        <v>3.86</v>
      </c>
      <c r="I97">
        <v>4.53</v>
      </c>
      <c r="J97">
        <v>4.4400000000000004</v>
      </c>
      <c r="K97">
        <v>3.68</v>
      </c>
      <c r="L97">
        <v>4.45</v>
      </c>
      <c r="M97">
        <f t="shared" si="2"/>
        <v>3.88</v>
      </c>
      <c r="N97">
        <f t="shared" si="3"/>
        <v>4.1920000000000002</v>
      </c>
    </row>
    <row r="98" spans="1:14" ht="14.25" customHeight="1" x14ac:dyDescent="0.3">
      <c r="A98" t="s">
        <v>207</v>
      </c>
      <c r="B98" t="s">
        <v>208</v>
      </c>
      <c r="C98">
        <v>4.2699999999999996</v>
      </c>
      <c r="D98">
        <v>3.47</v>
      </c>
      <c r="E98">
        <v>4.63</v>
      </c>
      <c r="F98">
        <v>3.96</v>
      </c>
      <c r="G98">
        <v>3.7</v>
      </c>
      <c r="I98">
        <v>4.78</v>
      </c>
      <c r="J98">
        <v>4.17</v>
      </c>
      <c r="K98">
        <v>4.17</v>
      </c>
      <c r="L98">
        <v>3.83</v>
      </c>
      <c r="M98">
        <f t="shared" si="2"/>
        <v>4.0060000000000002</v>
      </c>
      <c r="N98">
        <f t="shared" si="3"/>
        <v>4.2374999999999998</v>
      </c>
    </row>
    <row r="99" spans="1:14" ht="14.25" customHeight="1" x14ac:dyDescent="0.3">
      <c r="A99" t="s">
        <v>209</v>
      </c>
      <c r="B99" t="s">
        <v>210</v>
      </c>
      <c r="C99">
        <v>3.97</v>
      </c>
      <c r="D99">
        <v>3.79</v>
      </c>
      <c r="E99">
        <v>4.03</v>
      </c>
      <c r="F99">
        <v>4.08</v>
      </c>
      <c r="G99">
        <v>4.33</v>
      </c>
      <c r="H99">
        <v>3.75</v>
      </c>
      <c r="I99" t="s">
        <v>211</v>
      </c>
      <c r="J99">
        <v>4.1500000000000004</v>
      </c>
      <c r="K99">
        <v>4</v>
      </c>
      <c r="L99">
        <v>3.99</v>
      </c>
      <c r="M99">
        <f t="shared" si="2"/>
        <v>4.04</v>
      </c>
      <c r="N99">
        <f t="shared" si="3"/>
        <v>3.9725000000000001</v>
      </c>
    </row>
    <row r="100" spans="1:14" ht="14.25" customHeight="1" x14ac:dyDescent="0.3">
      <c r="A100" t="s">
        <v>212</v>
      </c>
      <c r="B100" t="s">
        <v>213</v>
      </c>
      <c r="C100">
        <v>3.8</v>
      </c>
      <c r="D100">
        <v>4.3</v>
      </c>
      <c r="E100">
        <v>4.2</v>
      </c>
      <c r="F100">
        <v>4.28</v>
      </c>
      <c r="G100">
        <v>3.71</v>
      </c>
      <c r="H100">
        <v>4.7300000000000004</v>
      </c>
      <c r="I100">
        <v>3.5</v>
      </c>
      <c r="J100">
        <v>3.67</v>
      </c>
      <c r="K100">
        <v>4.3499999999999996</v>
      </c>
      <c r="L100">
        <v>4.49</v>
      </c>
      <c r="M100">
        <f t="shared" si="2"/>
        <v>4.0580000000000007</v>
      </c>
      <c r="N100">
        <f t="shared" si="3"/>
        <v>4.1480000000000006</v>
      </c>
    </row>
    <row r="101" spans="1:14" ht="14.25" customHeight="1" x14ac:dyDescent="0.3">
      <c r="A101" t="s">
        <v>214</v>
      </c>
      <c r="B101" t="s">
        <v>215</v>
      </c>
      <c r="C101">
        <v>3.98</v>
      </c>
      <c r="D101">
        <v>4.5199999999999996</v>
      </c>
      <c r="E101">
        <v>3.71</v>
      </c>
      <c r="F101">
        <v>4.08</v>
      </c>
      <c r="G101">
        <v>3.97</v>
      </c>
      <c r="H101">
        <v>4.58</v>
      </c>
      <c r="I101">
        <v>4.3099999999999996</v>
      </c>
      <c r="J101">
        <v>4.2699999999999996</v>
      </c>
      <c r="K101">
        <v>3.95</v>
      </c>
      <c r="L101">
        <v>4.5199999999999996</v>
      </c>
      <c r="M101">
        <f t="shared" si="2"/>
        <v>4.0519999999999996</v>
      </c>
      <c r="N101">
        <f t="shared" si="3"/>
        <v>4.3259999999999996</v>
      </c>
    </row>
    <row r="102" spans="1:14" ht="14.25" customHeight="1" x14ac:dyDescent="0.3">
      <c r="A102" t="s">
        <v>216</v>
      </c>
      <c r="B102" t="s">
        <v>217</v>
      </c>
      <c r="C102">
        <v>4</v>
      </c>
      <c r="D102">
        <v>3.97</v>
      </c>
      <c r="E102">
        <v>3.71</v>
      </c>
      <c r="F102" t="s">
        <v>218</v>
      </c>
      <c r="G102">
        <v>4.32</v>
      </c>
      <c r="H102">
        <v>4.0599999999999996</v>
      </c>
      <c r="I102">
        <v>4.09</v>
      </c>
      <c r="J102">
        <v>4.22</v>
      </c>
      <c r="K102">
        <v>4.04</v>
      </c>
      <c r="L102">
        <v>4.34</v>
      </c>
      <c r="M102">
        <f t="shared" si="2"/>
        <v>4</v>
      </c>
      <c r="N102">
        <f t="shared" si="3"/>
        <v>4.1499999999999995</v>
      </c>
    </row>
    <row r="103" spans="1:14" ht="14.25" customHeight="1" x14ac:dyDescent="0.3">
      <c r="A103" t="s">
        <v>219</v>
      </c>
      <c r="B103" t="s">
        <v>220</v>
      </c>
      <c r="C103">
        <v>4.05</v>
      </c>
      <c r="D103">
        <v>3.85</v>
      </c>
      <c r="E103">
        <v>3.69</v>
      </c>
      <c r="F103">
        <v>4.3899999999999997</v>
      </c>
      <c r="G103">
        <v>3.44</v>
      </c>
      <c r="H103">
        <v>4.05</v>
      </c>
      <c r="I103">
        <v>4.09</v>
      </c>
      <c r="J103">
        <v>3.93</v>
      </c>
      <c r="K103">
        <v>4.1100000000000003</v>
      </c>
      <c r="L103">
        <v>3.98</v>
      </c>
      <c r="M103">
        <f t="shared" si="2"/>
        <v>3.8840000000000003</v>
      </c>
      <c r="N103">
        <f t="shared" si="3"/>
        <v>4.032</v>
      </c>
    </row>
    <row r="104" spans="1:14" ht="14.25" customHeight="1" x14ac:dyDescent="0.3">
      <c r="A104" t="s">
        <v>221</v>
      </c>
      <c r="B104" t="s">
        <v>222</v>
      </c>
      <c r="C104">
        <v>4.6100000000000003</v>
      </c>
      <c r="D104">
        <v>3.75</v>
      </c>
      <c r="E104">
        <v>3.68</v>
      </c>
      <c r="F104">
        <v>3.86</v>
      </c>
      <c r="G104">
        <v>3.97</v>
      </c>
      <c r="H104">
        <v>3.73</v>
      </c>
      <c r="I104">
        <v>4.0999999999999996</v>
      </c>
      <c r="J104">
        <v>4.09</v>
      </c>
      <c r="K104">
        <v>3.79</v>
      </c>
      <c r="L104">
        <v>4.5599999999999996</v>
      </c>
      <c r="M104">
        <f t="shared" si="2"/>
        <v>3.9739999999999993</v>
      </c>
      <c r="N104">
        <f t="shared" si="3"/>
        <v>4.0540000000000003</v>
      </c>
    </row>
    <row r="105" spans="1:14" ht="14.25" customHeight="1" x14ac:dyDescent="0.3">
      <c r="A105" t="s">
        <v>223</v>
      </c>
      <c r="B105" t="s">
        <v>224</v>
      </c>
      <c r="C105">
        <v>4.4000000000000004</v>
      </c>
      <c r="D105">
        <v>3.42</v>
      </c>
      <c r="E105">
        <v>4.58</v>
      </c>
      <c r="F105">
        <v>4.37</v>
      </c>
      <c r="G105">
        <v>4.07</v>
      </c>
      <c r="H105">
        <v>4.4800000000000004</v>
      </c>
      <c r="I105">
        <v>3.73</v>
      </c>
      <c r="J105">
        <v>4</v>
      </c>
      <c r="K105">
        <v>3.94</v>
      </c>
      <c r="L105">
        <v>4.32</v>
      </c>
      <c r="M105">
        <f t="shared" si="2"/>
        <v>4.1680000000000001</v>
      </c>
      <c r="N105">
        <f t="shared" si="3"/>
        <v>4.0940000000000003</v>
      </c>
    </row>
    <row r="106" spans="1:14" ht="14.25" customHeight="1" x14ac:dyDescent="0.3">
      <c r="A106" t="s">
        <v>225</v>
      </c>
      <c r="B106" t="s">
        <v>226</v>
      </c>
      <c r="D106">
        <v>4.26</v>
      </c>
      <c r="E106">
        <v>3.84</v>
      </c>
      <c r="G106">
        <v>4.0999999999999996</v>
      </c>
      <c r="I106">
        <v>4.5</v>
      </c>
      <c r="J106">
        <v>3.93</v>
      </c>
      <c r="K106">
        <v>4.1399999999999997</v>
      </c>
      <c r="L106">
        <v>4.17</v>
      </c>
      <c r="M106">
        <f t="shared" si="2"/>
        <v>4.0666666666666664</v>
      </c>
      <c r="N106">
        <f t="shared" si="3"/>
        <v>4.1850000000000005</v>
      </c>
    </row>
    <row r="107" spans="1:14" ht="14.25" customHeight="1" x14ac:dyDescent="0.3">
      <c r="A107" t="s">
        <v>227</v>
      </c>
      <c r="B107" t="s">
        <v>228</v>
      </c>
      <c r="C107">
        <v>4.1399999999999997</v>
      </c>
      <c r="D107">
        <v>4.21</v>
      </c>
      <c r="E107">
        <v>4.0599999999999996</v>
      </c>
      <c r="F107">
        <v>3.92</v>
      </c>
      <c r="G107">
        <v>4.4800000000000004</v>
      </c>
      <c r="H107">
        <v>3.91</v>
      </c>
      <c r="I107">
        <v>3.65</v>
      </c>
      <c r="J107">
        <v>4.1399999999999997</v>
      </c>
      <c r="K107">
        <v>3.63</v>
      </c>
      <c r="M107">
        <f t="shared" si="2"/>
        <v>4.1619999999999999</v>
      </c>
      <c r="N107">
        <f t="shared" si="3"/>
        <v>3.8324999999999996</v>
      </c>
    </row>
    <row r="108" spans="1:14" ht="14.25" customHeight="1" x14ac:dyDescent="0.3">
      <c r="A108" t="s">
        <v>229</v>
      </c>
      <c r="B108" t="s">
        <v>230</v>
      </c>
      <c r="C108">
        <v>4.3499999999999996</v>
      </c>
      <c r="D108">
        <v>3.71</v>
      </c>
      <c r="E108">
        <v>4.12</v>
      </c>
      <c r="F108">
        <v>4.1500000000000004</v>
      </c>
      <c r="G108">
        <v>3.8</v>
      </c>
      <c r="H108">
        <v>4.1500000000000004</v>
      </c>
      <c r="I108">
        <v>4.03</v>
      </c>
      <c r="K108">
        <v>3.77</v>
      </c>
      <c r="L108">
        <v>4.04</v>
      </c>
      <c r="M108">
        <f t="shared" si="2"/>
        <v>4.0259999999999998</v>
      </c>
      <c r="N108">
        <f t="shared" si="3"/>
        <v>3.9974999999999996</v>
      </c>
    </row>
    <row r="109" spans="1:14" ht="14.25" customHeight="1" x14ac:dyDescent="0.3">
      <c r="A109" t="s">
        <v>231</v>
      </c>
      <c r="B109" t="s">
        <v>232</v>
      </c>
      <c r="C109">
        <v>4.62</v>
      </c>
      <c r="D109">
        <v>4.26</v>
      </c>
      <c r="E109">
        <v>4.62</v>
      </c>
      <c r="F109">
        <v>4.3499999999999996</v>
      </c>
      <c r="G109">
        <v>4.32</v>
      </c>
      <c r="H109">
        <v>3.7</v>
      </c>
      <c r="I109">
        <v>3.69</v>
      </c>
      <c r="J109">
        <v>4.03</v>
      </c>
      <c r="K109">
        <v>3.52</v>
      </c>
      <c r="L109">
        <v>3.86</v>
      </c>
      <c r="M109">
        <f t="shared" si="2"/>
        <v>4.4340000000000002</v>
      </c>
      <c r="N109">
        <f t="shared" si="3"/>
        <v>3.7600000000000002</v>
      </c>
    </row>
    <row r="110" spans="1:14" ht="14.25" customHeight="1" x14ac:dyDescent="0.3">
      <c r="A110" t="s">
        <v>233</v>
      </c>
      <c r="B110" t="s">
        <v>234</v>
      </c>
      <c r="C110">
        <v>4.4000000000000004</v>
      </c>
      <c r="D110">
        <v>3.82</v>
      </c>
      <c r="E110">
        <v>4.22</v>
      </c>
      <c r="F110">
        <v>4.45</v>
      </c>
      <c r="G110">
        <v>3.25</v>
      </c>
      <c r="H110">
        <v>4.04</v>
      </c>
      <c r="J110">
        <v>4.2300000000000004</v>
      </c>
      <c r="K110">
        <v>4.5199999999999996</v>
      </c>
      <c r="L110">
        <v>3.27</v>
      </c>
      <c r="M110">
        <f t="shared" si="2"/>
        <v>4.0280000000000005</v>
      </c>
      <c r="N110">
        <f t="shared" si="3"/>
        <v>4.0149999999999997</v>
      </c>
    </row>
    <row r="111" spans="1:14" ht="14.25" customHeight="1" x14ac:dyDescent="0.3">
      <c r="A111" t="s">
        <v>235</v>
      </c>
      <c r="B111" t="s">
        <v>236</v>
      </c>
      <c r="C111">
        <v>4</v>
      </c>
      <c r="D111">
        <v>3.98</v>
      </c>
      <c r="E111">
        <v>3.79</v>
      </c>
      <c r="F111" t="s">
        <v>237</v>
      </c>
      <c r="G111">
        <v>3.62</v>
      </c>
      <c r="H111">
        <v>3.98</v>
      </c>
      <c r="I111">
        <v>3.58</v>
      </c>
      <c r="J111">
        <v>4.59</v>
      </c>
      <c r="K111">
        <v>3.63</v>
      </c>
      <c r="L111">
        <v>4.41</v>
      </c>
      <c r="M111">
        <f t="shared" si="2"/>
        <v>3.8475000000000001</v>
      </c>
      <c r="N111">
        <f t="shared" si="3"/>
        <v>4.0380000000000003</v>
      </c>
    </row>
    <row r="112" spans="1:14" ht="14.25" customHeight="1" x14ac:dyDescent="0.3">
      <c r="A112" t="s">
        <v>238</v>
      </c>
      <c r="B112" t="s">
        <v>239</v>
      </c>
      <c r="C112">
        <v>4.16</v>
      </c>
      <c r="D112">
        <v>3.6</v>
      </c>
      <c r="E112">
        <v>4.18</v>
      </c>
      <c r="F112">
        <v>4.1100000000000003</v>
      </c>
      <c r="G112">
        <v>3.94</v>
      </c>
      <c r="H112">
        <v>3.81</v>
      </c>
      <c r="I112">
        <v>3.97</v>
      </c>
      <c r="J112">
        <v>3.59</v>
      </c>
      <c r="K112">
        <v>4.59</v>
      </c>
      <c r="L112">
        <v>3.69</v>
      </c>
      <c r="M112">
        <f t="shared" si="2"/>
        <v>3.9980000000000002</v>
      </c>
      <c r="N112">
        <f t="shared" si="3"/>
        <v>3.9300000000000006</v>
      </c>
    </row>
    <row r="113" spans="1:14" ht="14.25" customHeight="1" x14ac:dyDescent="0.3">
      <c r="A113" t="s">
        <v>240</v>
      </c>
      <c r="B113" t="s">
        <v>241</v>
      </c>
      <c r="C113">
        <v>3.9</v>
      </c>
      <c r="D113">
        <v>3.96</v>
      </c>
      <c r="E113">
        <v>3.56</v>
      </c>
      <c r="F113">
        <v>4.7300000000000004</v>
      </c>
      <c r="G113">
        <v>3.95</v>
      </c>
      <c r="H113">
        <v>3.75</v>
      </c>
      <c r="I113">
        <v>3.43</v>
      </c>
      <c r="J113">
        <v>3.63</v>
      </c>
      <c r="K113">
        <v>3.94</v>
      </c>
      <c r="L113">
        <v>4.34</v>
      </c>
      <c r="M113">
        <f t="shared" si="2"/>
        <v>4.0199999999999996</v>
      </c>
      <c r="N113">
        <f t="shared" si="3"/>
        <v>3.8179999999999992</v>
      </c>
    </row>
    <row r="114" spans="1:14" ht="14.25" customHeight="1" x14ac:dyDescent="0.3">
      <c r="A114" t="s">
        <v>242</v>
      </c>
      <c r="B114" t="s">
        <v>243</v>
      </c>
      <c r="C114">
        <v>3.76</v>
      </c>
      <c r="D114">
        <v>3.52</v>
      </c>
      <c r="E114">
        <v>4.0199999999999996</v>
      </c>
      <c r="F114">
        <v>3.56</v>
      </c>
      <c r="G114">
        <v>3.6</v>
      </c>
      <c r="I114">
        <v>3.78</v>
      </c>
      <c r="J114">
        <v>4.1900000000000004</v>
      </c>
      <c r="K114">
        <v>3.92</v>
      </c>
      <c r="L114">
        <v>4.2</v>
      </c>
      <c r="M114">
        <f t="shared" si="2"/>
        <v>3.6920000000000002</v>
      </c>
      <c r="N114">
        <f t="shared" si="3"/>
        <v>4.0225</v>
      </c>
    </row>
    <row r="115" spans="1:14" ht="14.25" customHeight="1" x14ac:dyDescent="0.3">
      <c r="A115" t="s">
        <v>244</v>
      </c>
      <c r="B115" t="s">
        <v>245</v>
      </c>
      <c r="C115">
        <v>4.4000000000000004</v>
      </c>
      <c r="D115">
        <v>3.93</v>
      </c>
      <c r="E115">
        <v>4.08</v>
      </c>
      <c r="F115">
        <v>4.22</v>
      </c>
      <c r="G115">
        <v>4.5999999999999996</v>
      </c>
      <c r="H115">
        <v>4.34</v>
      </c>
      <c r="I115">
        <v>4.49</v>
      </c>
      <c r="J115">
        <v>4.38</v>
      </c>
      <c r="K115">
        <v>4.3899999999999997</v>
      </c>
      <c r="L115">
        <v>3.48</v>
      </c>
      <c r="M115">
        <f t="shared" si="2"/>
        <v>4.2459999999999996</v>
      </c>
      <c r="N115">
        <f t="shared" si="3"/>
        <v>4.2160000000000002</v>
      </c>
    </row>
    <row r="116" spans="1:14" ht="14.25" customHeight="1" x14ac:dyDescent="0.3">
      <c r="A116" t="s">
        <v>246</v>
      </c>
      <c r="B116" t="s">
        <v>247</v>
      </c>
      <c r="C116">
        <v>4.37</v>
      </c>
      <c r="D116">
        <v>3.74</v>
      </c>
      <c r="E116">
        <v>3.9</v>
      </c>
      <c r="F116">
        <v>3.94</v>
      </c>
      <c r="G116">
        <v>4.26</v>
      </c>
      <c r="H116">
        <v>4.5</v>
      </c>
      <c r="I116">
        <v>3.56</v>
      </c>
      <c r="J116">
        <v>3.56</v>
      </c>
      <c r="K116">
        <v>4.03</v>
      </c>
      <c r="L116">
        <v>3.96</v>
      </c>
      <c r="M116">
        <f t="shared" si="2"/>
        <v>4.0419999999999998</v>
      </c>
      <c r="N116">
        <f t="shared" si="3"/>
        <v>3.9220000000000006</v>
      </c>
    </row>
    <row r="117" spans="1:14" ht="14.25" customHeight="1" x14ac:dyDescent="0.3">
      <c r="A117" t="s">
        <v>248</v>
      </c>
      <c r="B117" t="s">
        <v>249</v>
      </c>
      <c r="C117">
        <v>4.4800000000000004</v>
      </c>
      <c r="D117">
        <v>3.97</v>
      </c>
      <c r="E117">
        <v>4.0599999999999996</v>
      </c>
      <c r="G117">
        <v>4.07</v>
      </c>
      <c r="H117">
        <v>4.29</v>
      </c>
      <c r="I117">
        <v>4.5999999999999996</v>
      </c>
      <c r="J117">
        <v>3.93</v>
      </c>
      <c r="K117">
        <v>4.22</v>
      </c>
      <c r="L117">
        <v>3.93</v>
      </c>
      <c r="M117">
        <f t="shared" si="2"/>
        <v>4.1450000000000005</v>
      </c>
      <c r="N117">
        <f t="shared" si="3"/>
        <v>4.194</v>
      </c>
    </row>
    <row r="118" spans="1:14" ht="14.25" customHeight="1" x14ac:dyDescent="0.3">
      <c r="A118" t="s">
        <v>250</v>
      </c>
      <c r="B118" t="s">
        <v>251</v>
      </c>
      <c r="C118">
        <v>3.8</v>
      </c>
      <c r="D118">
        <v>4.1100000000000003</v>
      </c>
      <c r="E118">
        <v>3.76</v>
      </c>
      <c r="F118">
        <v>4.3099999999999996</v>
      </c>
      <c r="G118">
        <v>4.63</v>
      </c>
      <c r="H118">
        <v>3.93</v>
      </c>
      <c r="I118">
        <v>4.1100000000000003</v>
      </c>
      <c r="J118">
        <v>3.88</v>
      </c>
      <c r="K118">
        <v>4.05</v>
      </c>
      <c r="L118">
        <v>4.51</v>
      </c>
      <c r="M118">
        <f t="shared" si="2"/>
        <v>4.1219999999999999</v>
      </c>
      <c r="N118">
        <f t="shared" si="3"/>
        <v>4.096000000000001</v>
      </c>
    </row>
    <row r="119" spans="1:14" ht="14.25" customHeight="1" x14ac:dyDescent="0.3">
      <c r="A119" t="s">
        <v>252</v>
      </c>
      <c r="B119" t="s">
        <v>253</v>
      </c>
      <c r="C119">
        <v>3.96</v>
      </c>
      <c r="D119">
        <v>3.68</v>
      </c>
      <c r="E119">
        <v>4.1399999999999997</v>
      </c>
      <c r="F119">
        <v>4.1399999999999997</v>
      </c>
      <c r="G119">
        <v>4.24</v>
      </c>
      <c r="H119">
        <v>4.3499999999999996</v>
      </c>
      <c r="I119">
        <v>3.45</v>
      </c>
      <c r="J119">
        <v>4</v>
      </c>
      <c r="K119">
        <v>4.6399999999999997</v>
      </c>
      <c r="L119">
        <v>4.43</v>
      </c>
      <c r="M119">
        <f t="shared" si="2"/>
        <v>4.0320000000000009</v>
      </c>
      <c r="N119">
        <f t="shared" si="3"/>
        <v>4.1740000000000004</v>
      </c>
    </row>
    <row r="120" spans="1:14" ht="14.25" customHeight="1" x14ac:dyDescent="0.3">
      <c r="A120" t="s">
        <v>254</v>
      </c>
      <c r="B120" t="s">
        <v>255</v>
      </c>
      <c r="C120">
        <v>4.3499999999999996</v>
      </c>
      <c r="D120">
        <v>3.91</v>
      </c>
      <c r="E120">
        <v>3.8</v>
      </c>
      <c r="F120">
        <v>4.24</v>
      </c>
      <c r="G120">
        <v>3.95</v>
      </c>
      <c r="H120">
        <v>4.1399999999999997</v>
      </c>
      <c r="I120">
        <v>4.09</v>
      </c>
      <c r="K120">
        <v>4.46</v>
      </c>
      <c r="L120">
        <v>4.3499999999999996</v>
      </c>
      <c r="M120">
        <f t="shared" si="2"/>
        <v>4.0499999999999989</v>
      </c>
      <c r="N120">
        <f t="shared" si="3"/>
        <v>4.26</v>
      </c>
    </row>
    <row r="121" spans="1:14" ht="14.25" customHeight="1" x14ac:dyDescent="0.3">
      <c r="A121" t="s">
        <v>256</v>
      </c>
      <c r="B121" t="s">
        <v>257</v>
      </c>
      <c r="C121">
        <v>4.22</v>
      </c>
      <c r="D121">
        <v>4.25</v>
      </c>
      <c r="E121">
        <v>4.29</v>
      </c>
      <c r="F121">
        <v>3.62</v>
      </c>
      <c r="G121">
        <v>4.37</v>
      </c>
      <c r="H121">
        <v>4.43</v>
      </c>
      <c r="I121">
        <v>4.0199999999999996</v>
      </c>
      <c r="J121">
        <v>4.0599999999999996</v>
      </c>
      <c r="K121">
        <v>4.2699999999999996</v>
      </c>
      <c r="L121">
        <v>4.17</v>
      </c>
      <c r="M121">
        <f t="shared" si="2"/>
        <v>4.1500000000000004</v>
      </c>
      <c r="N121">
        <f t="shared" si="3"/>
        <v>4.1899999999999995</v>
      </c>
    </row>
    <row r="122" spans="1:14" ht="14.25" customHeight="1" x14ac:dyDescent="0.3">
      <c r="A122" t="s">
        <v>258</v>
      </c>
      <c r="B122" t="s">
        <v>259</v>
      </c>
      <c r="C122">
        <v>3.56</v>
      </c>
      <c r="D122">
        <v>4.3099999999999996</v>
      </c>
      <c r="E122">
        <v>4.0599999999999996</v>
      </c>
      <c r="F122">
        <v>4.21</v>
      </c>
      <c r="G122">
        <v>4.08</v>
      </c>
      <c r="H122">
        <v>4.51</v>
      </c>
      <c r="I122">
        <v>3.97</v>
      </c>
      <c r="J122">
        <v>3.97</v>
      </c>
      <c r="K122">
        <v>4.25</v>
      </c>
      <c r="M122">
        <f t="shared" si="2"/>
        <v>4.0439999999999996</v>
      </c>
      <c r="N122">
        <f t="shared" si="3"/>
        <v>4.1750000000000007</v>
      </c>
    </row>
    <row r="123" spans="1:14" ht="14.25" customHeight="1" x14ac:dyDescent="0.3">
      <c r="A123" t="s">
        <v>260</v>
      </c>
      <c r="B123" t="s">
        <v>261</v>
      </c>
      <c r="C123">
        <v>3.77</v>
      </c>
      <c r="D123">
        <v>3.74</v>
      </c>
      <c r="E123">
        <v>4</v>
      </c>
      <c r="F123">
        <v>3.79</v>
      </c>
      <c r="G123">
        <v>4.3499999999999996</v>
      </c>
      <c r="H123">
        <v>4.05</v>
      </c>
      <c r="I123">
        <v>3.86</v>
      </c>
      <c r="J123">
        <v>3.96</v>
      </c>
      <c r="K123">
        <v>3.86</v>
      </c>
      <c r="L123">
        <v>3.71</v>
      </c>
      <c r="M123">
        <f t="shared" si="2"/>
        <v>3.9299999999999997</v>
      </c>
      <c r="N123">
        <f t="shared" si="3"/>
        <v>3.8880000000000003</v>
      </c>
    </row>
    <row r="124" spans="1:14" ht="14.25" customHeight="1" x14ac:dyDescent="0.3">
      <c r="A124" t="s">
        <v>262</v>
      </c>
      <c r="B124" t="s">
        <v>263</v>
      </c>
      <c r="C124">
        <v>4.43</v>
      </c>
      <c r="D124">
        <v>3.93</v>
      </c>
      <c r="E124">
        <v>4.1399999999999997</v>
      </c>
      <c r="F124">
        <v>3.68</v>
      </c>
      <c r="G124">
        <v>4.7</v>
      </c>
      <c r="H124">
        <v>4.13</v>
      </c>
      <c r="I124">
        <v>4.3499999999999996</v>
      </c>
      <c r="J124">
        <v>4.1399999999999997</v>
      </c>
      <c r="K124">
        <v>3.68</v>
      </c>
      <c r="L124">
        <v>4.43</v>
      </c>
      <c r="M124">
        <f t="shared" si="2"/>
        <v>4.1760000000000002</v>
      </c>
      <c r="N124">
        <f t="shared" si="3"/>
        <v>4.1459999999999999</v>
      </c>
    </row>
    <row r="125" spans="1:14" ht="14.25" customHeight="1" x14ac:dyDescent="0.3">
      <c r="A125" t="s">
        <v>264</v>
      </c>
      <c r="B125" t="s">
        <v>265</v>
      </c>
      <c r="C125">
        <v>3.76</v>
      </c>
      <c r="D125">
        <v>4.4800000000000004</v>
      </c>
      <c r="E125">
        <v>3.67</v>
      </c>
      <c r="F125">
        <v>3.65</v>
      </c>
      <c r="G125">
        <v>4.0199999999999996</v>
      </c>
      <c r="H125">
        <v>3.76</v>
      </c>
      <c r="I125">
        <v>4.4400000000000004</v>
      </c>
      <c r="J125">
        <v>4.16</v>
      </c>
      <c r="K125">
        <v>4.13</v>
      </c>
      <c r="L125">
        <v>3.87</v>
      </c>
      <c r="M125">
        <f t="shared" si="2"/>
        <v>3.9159999999999995</v>
      </c>
      <c r="N125">
        <f t="shared" si="3"/>
        <v>4.0720000000000001</v>
      </c>
    </row>
    <row r="126" spans="1:14" ht="14.25" customHeight="1" x14ac:dyDescent="0.3">
      <c r="A126" t="s">
        <v>266</v>
      </c>
      <c r="B126" t="s">
        <v>267</v>
      </c>
      <c r="C126">
        <v>3.65</v>
      </c>
      <c r="D126">
        <v>3.62</v>
      </c>
      <c r="E126">
        <v>4.5599999999999996</v>
      </c>
      <c r="F126">
        <v>4.26</v>
      </c>
      <c r="G126">
        <v>3.79</v>
      </c>
      <c r="H126">
        <v>4.12</v>
      </c>
      <c r="J126">
        <v>4.1100000000000003</v>
      </c>
      <c r="K126">
        <v>4.7699999999999996</v>
      </c>
      <c r="L126">
        <v>4.24</v>
      </c>
      <c r="M126">
        <f t="shared" si="2"/>
        <v>3.9759999999999991</v>
      </c>
      <c r="N126">
        <f t="shared" si="3"/>
        <v>4.3100000000000005</v>
      </c>
    </row>
    <row r="127" spans="1:14" ht="14.25" customHeight="1" x14ac:dyDescent="0.3">
      <c r="A127" t="s">
        <v>268</v>
      </c>
      <c r="B127" t="s">
        <v>269</v>
      </c>
      <c r="C127">
        <v>4.45</v>
      </c>
      <c r="D127">
        <v>4.0199999999999996</v>
      </c>
      <c r="E127">
        <v>4.04</v>
      </c>
      <c r="F127">
        <v>4.59</v>
      </c>
      <c r="G127">
        <v>4.16</v>
      </c>
      <c r="H127">
        <v>4.33</v>
      </c>
      <c r="I127">
        <v>4.17</v>
      </c>
      <c r="J127">
        <v>3.42</v>
      </c>
      <c r="K127">
        <v>3.97</v>
      </c>
      <c r="L127">
        <v>4.1900000000000004</v>
      </c>
      <c r="M127">
        <f t="shared" si="2"/>
        <v>4.2519999999999998</v>
      </c>
      <c r="N127">
        <f t="shared" si="3"/>
        <v>4.016</v>
      </c>
    </row>
    <row r="128" spans="1:14" ht="14.25" customHeight="1" x14ac:dyDescent="0.3">
      <c r="A128" t="s">
        <v>270</v>
      </c>
      <c r="B128" t="s">
        <v>271</v>
      </c>
      <c r="C128">
        <v>4.46</v>
      </c>
      <c r="D128">
        <v>3.71</v>
      </c>
      <c r="E128">
        <v>4.3</v>
      </c>
      <c r="G128">
        <v>4.42</v>
      </c>
      <c r="H128">
        <v>3.99</v>
      </c>
      <c r="I128">
        <v>3.32</v>
      </c>
      <c r="J128">
        <v>4.0599999999999996</v>
      </c>
      <c r="K128">
        <v>3.48</v>
      </c>
      <c r="L128">
        <v>3.98</v>
      </c>
      <c r="M128">
        <f t="shared" si="2"/>
        <v>4.2225000000000001</v>
      </c>
      <c r="N128">
        <f t="shared" si="3"/>
        <v>3.7660000000000005</v>
      </c>
    </row>
    <row r="129" spans="1:14" ht="14.25" customHeight="1" x14ac:dyDescent="0.3">
      <c r="A129" t="s">
        <v>272</v>
      </c>
      <c r="B129" t="s">
        <v>273</v>
      </c>
      <c r="C129">
        <v>3.1</v>
      </c>
      <c r="D129">
        <v>4.49</v>
      </c>
      <c r="E129">
        <v>4.16</v>
      </c>
      <c r="F129">
        <v>4.29</v>
      </c>
      <c r="G129">
        <v>4.28</v>
      </c>
      <c r="H129">
        <v>4.22</v>
      </c>
      <c r="I129">
        <v>3.95</v>
      </c>
      <c r="J129">
        <v>4.38</v>
      </c>
      <c r="K129">
        <v>4.01</v>
      </c>
      <c r="L129">
        <v>3.86</v>
      </c>
      <c r="M129">
        <f t="shared" si="2"/>
        <v>4.0640000000000001</v>
      </c>
      <c r="N129">
        <f t="shared" si="3"/>
        <v>4.0840000000000005</v>
      </c>
    </row>
    <row r="130" spans="1:14" ht="14.25" customHeight="1" x14ac:dyDescent="0.3">
      <c r="A130" t="s">
        <v>274</v>
      </c>
      <c r="B130" t="s">
        <v>275</v>
      </c>
      <c r="C130">
        <v>3.56</v>
      </c>
      <c r="D130">
        <v>4.22</v>
      </c>
      <c r="E130">
        <v>4.43</v>
      </c>
      <c r="F130">
        <v>3.82</v>
      </c>
      <c r="G130">
        <v>3.63</v>
      </c>
      <c r="H130">
        <v>4.2300000000000004</v>
      </c>
      <c r="I130">
        <v>4.08</v>
      </c>
      <c r="J130">
        <v>3.94</v>
      </c>
      <c r="K130">
        <v>3.89</v>
      </c>
      <c r="L130">
        <v>3.76</v>
      </c>
      <c r="M130">
        <f t="shared" ref="M130:M193" si="4">AVERAGE(C130:G130)</f>
        <v>3.9319999999999995</v>
      </c>
      <c r="N130">
        <f t="shared" ref="N130:N193" si="5">AVERAGE(H130:L130)</f>
        <v>3.9799999999999995</v>
      </c>
    </row>
    <row r="131" spans="1:14" ht="14.25" customHeight="1" x14ac:dyDescent="0.3">
      <c r="A131" t="s">
        <v>276</v>
      </c>
      <c r="B131" t="s">
        <v>277</v>
      </c>
      <c r="C131">
        <v>4.22</v>
      </c>
      <c r="D131">
        <v>4</v>
      </c>
      <c r="E131">
        <v>3.61</v>
      </c>
      <c r="F131">
        <v>3.7</v>
      </c>
      <c r="G131">
        <v>4.17</v>
      </c>
      <c r="H131">
        <v>4.08</v>
      </c>
      <c r="I131">
        <v>4.0999999999999996</v>
      </c>
      <c r="J131">
        <v>3.75</v>
      </c>
      <c r="K131" t="s">
        <v>278</v>
      </c>
      <c r="L131">
        <v>4.33</v>
      </c>
      <c r="M131">
        <f t="shared" si="4"/>
        <v>3.9399999999999991</v>
      </c>
      <c r="N131">
        <f t="shared" si="5"/>
        <v>4.0649999999999995</v>
      </c>
    </row>
    <row r="132" spans="1:14" ht="14.25" customHeight="1" x14ac:dyDescent="0.3">
      <c r="A132" t="s">
        <v>279</v>
      </c>
      <c r="B132" t="s">
        <v>280</v>
      </c>
      <c r="C132">
        <v>3.71</v>
      </c>
      <c r="D132">
        <v>3.35</v>
      </c>
      <c r="E132">
        <v>3.67</v>
      </c>
      <c r="F132">
        <v>4.4400000000000004</v>
      </c>
      <c r="G132">
        <v>3.7</v>
      </c>
      <c r="H132">
        <v>3.87</v>
      </c>
      <c r="I132">
        <v>3.68</v>
      </c>
      <c r="J132">
        <v>4.33</v>
      </c>
      <c r="K132">
        <v>4.05</v>
      </c>
      <c r="L132">
        <v>4.21</v>
      </c>
      <c r="M132">
        <f t="shared" si="4"/>
        <v>3.774</v>
      </c>
      <c r="N132">
        <f t="shared" si="5"/>
        <v>4.0280000000000005</v>
      </c>
    </row>
    <row r="133" spans="1:14" ht="14.25" customHeight="1" x14ac:dyDescent="0.3">
      <c r="A133" t="s">
        <v>281</v>
      </c>
      <c r="B133" t="s">
        <v>282</v>
      </c>
      <c r="C133">
        <v>3.35</v>
      </c>
      <c r="D133">
        <v>3.97</v>
      </c>
      <c r="E133">
        <v>4.46</v>
      </c>
      <c r="F133">
        <v>4.42</v>
      </c>
      <c r="G133">
        <v>3.99</v>
      </c>
      <c r="H133">
        <v>3.84</v>
      </c>
      <c r="I133">
        <v>3.67</v>
      </c>
      <c r="J133">
        <v>3.73</v>
      </c>
      <c r="K133">
        <v>4.26</v>
      </c>
      <c r="L133">
        <v>4.05</v>
      </c>
      <c r="M133">
        <f t="shared" si="4"/>
        <v>4.0380000000000011</v>
      </c>
      <c r="N133">
        <f t="shared" si="5"/>
        <v>3.91</v>
      </c>
    </row>
    <row r="134" spans="1:14" ht="14.25" customHeight="1" x14ac:dyDescent="0.3">
      <c r="A134" t="s">
        <v>283</v>
      </c>
      <c r="B134" t="s">
        <v>284</v>
      </c>
      <c r="C134">
        <v>3.4</v>
      </c>
      <c r="D134">
        <v>4.25</v>
      </c>
      <c r="E134">
        <v>3.92</v>
      </c>
      <c r="G134">
        <v>3.79</v>
      </c>
      <c r="H134">
        <v>3.49</v>
      </c>
      <c r="I134">
        <v>3.92</v>
      </c>
      <c r="J134">
        <v>4.32</v>
      </c>
      <c r="K134">
        <v>4.42</v>
      </c>
      <c r="L134">
        <v>4.21</v>
      </c>
      <c r="M134">
        <f t="shared" si="4"/>
        <v>3.84</v>
      </c>
      <c r="N134">
        <f t="shared" si="5"/>
        <v>4.0720000000000001</v>
      </c>
    </row>
    <row r="135" spans="1:14" ht="14.25" customHeight="1" x14ac:dyDescent="0.3">
      <c r="A135" t="s">
        <v>285</v>
      </c>
      <c r="B135" t="s">
        <v>286</v>
      </c>
      <c r="C135">
        <v>3.88</v>
      </c>
      <c r="D135">
        <v>3.34</v>
      </c>
      <c r="E135">
        <v>3.68</v>
      </c>
      <c r="F135">
        <v>3.62</v>
      </c>
      <c r="G135">
        <v>3.89</v>
      </c>
      <c r="H135">
        <v>4.04</v>
      </c>
      <c r="I135">
        <v>4.0999999999999996</v>
      </c>
      <c r="J135">
        <v>4.22</v>
      </c>
      <c r="L135">
        <v>3.98</v>
      </c>
      <c r="M135">
        <f t="shared" si="4"/>
        <v>3.6819999999999999</v>
      </c>
      <c r="N135">
        <f t="shared" si="5"/>
        <v>4.085</v>
      </c>
    </row>
    <row r="136" spans="1:14" ht="14.25" customHeight="1" x14ac:dyDescent="0.3">
      <c r="A136" t="s">
        <v>287</v>
      </c>
      <c r="B136" t="s">
        <v>288</v>
      </c>
      <c r="C136">
        <v>3.16</v>
      </c>
      <c r="D136">
        <v>4.24</v>
      </c>
      <c r="E136">
        <v>4.51</v>
      </c>
      <c r="F136">
        <v>4.53</v>
      </c>
      <c r="G136">
        <v>4.3499999999999996</v>
      </c>
      <c r="H136">
        <v>4.18</v>
      </c>
      <c r="I136">
        <v>3.97</v>
      </c>
      <c r="J136">
        <v>3.69</v>
      </c>
      <c r="K136">
        <v>3.77</v>
      </c>
      <c r="L136">
        <v>4.22</v>
      </c>
      <c r="M136">
        <f t="shared" si="4"/>
        <v>4.1579999999999995</v>
      </c>
      <c r="N136">
        <f t="shared" si="5"/>
        <v>3.9659999999999997</v>
      </c>
    </row>
    <row r="137" spans="1:14" ht="14.25" customHeight="1" x14ac:dyDescent="0.3">
      <c r="A137" t="s">
        <v>289</v>
      </c>
      <c r="B137" t="s">
        <v>290</v>
      </c>
      <c r="C137">
        <v>4.25</v>
      </c>
      <c r="D137">
        <v>4.25</v>
      </c>
      <c r="E137">
        <v>4.37</v>
      </c>
      <c r="F137">
        <v>4.21</v>
      </c>
      <c r="G137">
        <v>3.88</v>
      </c>
      <c r="H137">
        <v>4.03</v>
      </c>
      <c r="I137">
        <v>4.24</v>
      </c>
      <c r="J137">
        <v>3.69</v>
      </c>
      <c r="K137">
        <v>3.58</v>
      </c>
      <c r="L137">
        <v>3.76</v>
      </c>
      <c r="M137">
        <f t="shared" si="4"/>
        <v>4.1920000000000002</v>
      </c>
      <c r="N137">
        <f t="shared" si="5"/>
        <v>3.8599999999999994</v>
      </c>
    </row>
    <row r="138" spans="1:14" ht="14.25" customHeight="1" x14ac:dyDescent="0.3">
      <c r="A138" t="s">
        <v>291</v>
      </c>
      <c r="B138" t="s">
        <v>292</v>
      </c>
      <c r="C138">
        <v>3.41</v>
      </c>
      <c r="D138">
        <v>4.04</v>
      </c>
      <c r="E138">
        <v>4.24</v>
      </c>
      <c r="F138">
        <v>3.71</v>
      </c>
      <c r="G138">
        <v>3.99</v>
      </c>
      <c r="H138">
        <v>4.2300000000000004</v>
      </c>
      <c r="I138">
        <v>4.26</v>
      </c>
      <c r="J138">
        <v>3.96</v>
      </c>
      <c r="K138">
        <v>4.42</v>
      </c>
      <c r="L138">
        <v>3.92</v>
      </c>
      <c r="M138">
        <f t="shared" si="4"/>
        <v>3.8780000000000001</v>
      </c>
      <c r="N138">
        <f t="shared" si="5"/>
        <v>4.1579999999999995</v>
      </c>
    </row>
    <row r="139" spans="1:14" ht="14.25" customHeight="1" x14ac:dyDescent="0.3">
      <c r="A139" t="s">
        <v>293</v>
      </c>
      <c r="B139" t="s">
        <v>294</v>
      </c>
      <c r="C139">
        <v>4.05</v>
      </c>
      <c r="D139">
        <v>4.5</v>
      </c>
      <c r="E139">
        <v>3.89</v>
      </c>
      <c r="F139">
        <v>4</v>
      </c>
      <c r="G139">
        <v>3.92</v>
      </c>
      <c r="H139">
        <v>4.42</v>
      </c>
      <c r="I139">
        <v>3.86</v>
      </c>
      <c r="J139">
        <v>4.05</v>
      </c>
      <c r="K139">
        <v>4.22</v>
      </c>
      <c r="L139">
        <v>3.98</v>
      </c>
      <c r="M139">
        <f t="shared" si="4"/>
        <v>4.0720000000000001</v>
      </c>
      <c r="N139">
        <f t="shared" si="5"/>
        <v>4.1059999999999999</v>
      </c>
    </row>
    <row r="140" spans="1:14" ht="14.25" customHeight="1" x14ac:dyDescent="0.3">
      <c r="A140" t="s">
        <v>295</v>
      </c>
      <c r="B140" t="s">
        <v>296</v>
      </c>
      <c r="C140">
        <v>4.28</v>
      </c>
      <c r="D140">
        <v>3.71</v>
      </c>
      <c r="E140">
        <v>4.08</v>
      </c>
      <c r="F140">
        <v>3.98</v>
      </c>
      <c r="G140">
        <v>4.49</v>
      </c>
      <c r="H140">
        <v>4.18</v>
      </c>
      <c r="I140">
        <v>3.64</v>
      </c>
      <c r="J140">
        <v>3.83</v>
      </c>
      <c r="K140">
        <v>4.09</v>
      </c>
      <c r="L140">
        <v>3.72</v>
      </c>
      <c r="M140">
        <f t="shared" si="4"/>
        <v>4.1079999999999997</v>
      </c>
      <c r="N140">
        <f t="shared" si="5"/>
        <v>3.8920000000000003</v>
      </c>
    </row>
    <row r="141" spans="1:14" ht="14.25" customHeight="1" x14ac:dyDescent="0.3">
      <c r="A141" t="s">
        <v>297</v>
      </c>
      <c r="B141" t="s">
        <v>298</v>
      </c>
      <c r="C141">
        <v>4.3600000000000003</v>
      </c>
      <c r="D141">
        <v>3.79</v>
      </c>
      <c r="E141">
        <v>3.88</v>
      </c>
      <c r="F141">
        <v>3.84</v>
      </c>
      <c r="G141">
        <v>4.07</v>
      </c>
      <c r="H141">
        <v>4.63</v>
      </c>
      <c r="I141">
        <v>3.76</v>
      </c>
      <c r="J141">
        <v>4.25</v>
      </c>
      <c r="K141">
        <v>3.98</v>
      </c>
      <c r="L141">
        <v>3.88</v>
      </c>
      <c r="M141">
        <f t="shared" si="4"/>
        <v>3.9880000000000004</v>
      </c>
      <c r="N141">
        <f t="shared" si="5"/>
        <v>4.0999999999999996</v>
      </c>
    </row>
    <row r="142" spans="1:14" ht="14.25" customHeight="1" x14ac:dyDescent="0.3">
      <c r="A142" t="s">
        <v>299</v>
      </c>
      <c r="B142" t="s">
        <v>300</v>
      </c>
      <c r="C142">
        <v>3.77</v>
      </c>
      <c r="D142">
        <v>4.1100000000000003</v>
      </c>
      <c r="E142">
        <v>4.4400000000000004</v>
      </c>
      <c r="F142">
        <v>4.55</v>
      </c>
      <c r="G142">
        <v>3.65</v>
      </c>
      <c r="H142">
        <v>4.91</v>
      </c>
      <c r="J142">
        <v>4.32</v>
      </c>
      <c r="K142">
        <v>4.08</v>
      </c>
      <c r="L142">
        <v>3.67</v>
      </c>
      <c r="M142">
        <f t="shared" si="4"/>
        <v>4.1040000000000001</v>
      </c>
      <c r="N142">
        <f t="shared" si="5"/>
        <v>4.2450000000000001</v>
      </c>
    </row>
    <row r="143" spans="1:14" ht="14.25" customHeight="1" x14ac:dyDescent="0.3">
      <c r="A143" t="s">
        <v>301</v>
      </c>
      <c r="B143" t="s">
        <v>302</v>
      </c>
      <c r="C143">
        <v>4.0599999999999996</v>
      </c>
      <c r="D143">
        <v>4.21</v>
      </c>
      <c r="E143">
        <v>3.88</v>
      </c>
      <c r="F143">
        <v>4.0999999999999996</v>
      </c>
      <c r="G143">
        <v>4.78</v>
      </c>
      <c r="H143">
        <v>4.29</v>
      </c>
      <c r="I143">
        <v>4.2699999999999996</v>
      </c>
      <c r="J143">
        <v>3.8</v>
      </c>
      <c r="K143">
        <v>4.72</v>
      </c>
      <c r="L143">
        <v>3.89</v>
      </c>
      <c r="M143">
        <f t="shared" si="4"/>
        <v>4.2060000000000004</v>
      </c>
      <c r="N143">
        <f t="shared" si="5"/>
        <v>4.194</v>
      </c>
    </row>
    <row r="144" spans="1:14" ht="14.25" customHeight="1" x14ac:dyDescent="0.3">
      <c r="A144" t="s">
        <v>303</v>
      </c>
      <c r="B144" t="s">
        <v>304</v>
      </c>
      <c r="C144">
        <v>4.12</v>
      </c>
      <c r="D144">
        <v>4.2300000000000004</v>
      </c>
      <c r="E144">
        <v>4.41</v>
      </c>
      <c r="F144">
        <v>4.04</v>
      </c>
      <c r="G144">
        <v>4.32</v>
      </c>
      <c r="H144">
        <v>3.79</v>
      </c>
      <c r="I144">
        <v>4.32</v>
      </c>
      <c r="J144">
        <v>4.22</v>
      </c>
      <c r="K144">
        <v>3.82</v>
      </c>
      <c r="L144">
        <v>4.1100000000000003</v>
      </c>
      <c r="M144">
        <f t="shared" si="4"/>
        <v>4.2240000000000002</v>
      </c>
      <c r="N144">
        <f t="shared" si="5"/>
        <v>4.0519999999999996</v>
      </c>
    </row>
    <row r="145" spans="1:14" ht="14.25" customHeight="1" x14ac:dyDescent="0.3">
      <c r="A145" t="s">
        <v>305</v>
      </c>
      <c r="B145" t="s">
        <v>306</v>
      </c>
      <c r="C145">
        <v>4.3</v>
      </c>
      <c r="D145">
        <v>4.13</v>
      </c>
      <c r="E145">
        <v>3.55</v>
      </c>
      <c r="F145">
        <v>3.7</v>
      </c>
      <c r="G145">
        <v>3.93</v>
      </c>
      <c r="H145">
        <v>3.82</v>
      </c>
      <c r="I145">
        <v>4.2</v>
      </c>
      <c r="J145">
        <v>4.0599999999999996</v>
      </c>
      <c r="K145">
        <v>4.22</v>
      </c>
      <c r="L145">
        <v>4.24</v>
      </c>
      <c r="M145">
        <f t="shared" si="4"/>
        <v>3.9219999999999997</v>
      </c>
      <c r="N145">
        <f t="shared" si="5"/>
        <v>4.1079999999999997</v>
      </c>
    </row>
    <row r="146" spans="1:14" ht="14.25" customHeight="1" x14ac:dyDescent="0.3">
      <c r="A146" t="s">
        <v>307</v>
      </c>
      <c r="B146" t="s">
        <v>308</v>
      </c>
      <c r="C146">
        <v>3.83</v>
      </c>
      <c r="D146">
        <v>4.29</v>
      </c>
      <c r="E146">
        <v>3.86</v>
      </c>
      <c r="F146">
        <v>3.96</v>
      </c>
      <c r="G146">
        <v>3.93</v>
      </c>
      <c r="H146">
        <v>4.01</v>
      </c>
      <c r="I146">
        <v>3.51</v>
      </c>
      <c r="J146">
        <v>4.04</v>
      </c>
      <c r="K146">
        <v>3.87</v>
      </c>
      <c r="L146">
        <v>5</v>
      </c>
      <c r="M146">
        <f t="shared" si="4"/>
        <v>3.9740000000000002</v>
      </c>
      <c r="N146">
        <f t="shared" si="5"/>
        <v>4.0860000000000003</v>
      </c>
    </row>
    <row r="147" spans="1:14" ht="14.25" customHeight="1" x14ac:dyDescent="0.3">
      <c r="A147" t="s">
        <v>309</v>
      </c>
      <c r="B147" t="s">
        <v>310</v>
      </c>
      <c r="C147">
        <v>4.1500000000000004</v>
      </c>
      <c r="D147">
        <v>4.1500000000000004</v>
      </c>
      <c r="E147">
        <v>3.39</v>
      </c>
      <c r="F147">
        <v>4.72</v>
      </c>
      <c r="G147">
        <v>3.76</v>
      </c>
      <c r="H147">
        <v>3.94</v>
      </c>
      <c r="I147">
        <v>4.32</v>
      </c>
      <c r="J147">
        <v>4.3899999999999997</v>
      </c>
      <c r="K147">
        <v>3.98</v>
      </c>
      <c r="L147">
        <v>4.0999999999999996</v>
      </c>
      <c r="M147">
        <f t="shared" si="4"/>
        <v>4.0340000000000007</v>
      </c>
      <c r="N147">
        <f t="shared" si="5"/>
        <v>4.145999999999999</v>
      </c>
    </row>
    <row r="148" spans="1:14" ht="14.25" customHeight="1" x14ac:dyDescent="0.3">
      <c r="A148" t="s">
        <v>311</v>
      </c>
      <c r="B148" t="s">
        <v>312</v>
      </c>
      <c r="C148">
        <v>3.92</v>
      </c>
      <c r="D148">
        <v>3.49</v>
      </c>
      <c r="E148">
        <v>3.87</v>
      </c>
      <c r="F148">
        <v>4.03</v>
      </c>
      <c r="H148">
        <v>3.94</v>
      </c>
      <c r="I148">
        <v>4.3</v>
      </c>
      <c r="J148">
        <v>3.93</v>
      </c>
      <c r="K148">
        <v>3.7</v>
      </c>
      <c r="L148">
        <v>4.33</v>
      </c>
      <c r="M148">
        <f t="shared" si="4"/>
        <v>3.8275000000000006</v>
      </c>
      <c r="N148">
        <f t="shared" si="5"/>
        <v>4.0400000000000009</v>
      </c>
    </row>
    <row r="149" spans="1:14" ht="14.25" customHeight="1" x14ac:dyDescent="0.3">
      <c r="A149" t="s">
        <v>313</v>
      </c>
      <c r="B149" t="s">
        <v>314</v>
      </c>
      <c r="C149">
        <v>3.67</v>
      </c>
      <c r="D149">
        <v>4.03</v>
      </c>
      <c r="E149">
        <v>3.64</v>
      </c>
      <c r="F149">
        <v>4.08</v>
      </c>
      <c r="G149">
        <v>3.99</v>
      </c>
      <c r="H149">
        <v>4.0599999999999996</v>
      </c>
      <c r="I149">
        <v>3.97</v>
      </c>
      <c r="J149">
        <v>4.18</v>
      </c>
      <c r="L149">
        <v>4.1900000000000004</v>
      </c>
      <c r="M149">
        <f t="shared" si="4"/>
        <v>3.8820000000000001</v>
      </c>
      <c r="N149">
        <f t="shared" si="5"/>
        <v>4.0999999999999996</v>
      </c>
    </row>
    <row r="150" spans="1:14" ht="14.25" customHeight="1" x14ac:dyDescent="0.3">
      <c r="A150" t="s">
        <v>315</v>
      </c>
      <c r="B150" t="s">
        <v>316</v>
      </c>
      <c r="C150">
        <v>4</v>
      </c>
      <c r="D150">
        <v>4.5199999999999996</v>
      </c>
      <c r="E150">
        <v>4.46</v>
      </c>
      <c r="F150">
        <v>3.98</v>
      </c>
      <c r="G150">
        <v>4.0599999999999996</v>
      </c>
      <c r="H150">
        <v>4.1500000000000004</v>
      </c>
      <c r="I150">
        <v>3.66</v>
      </c>
      <c r="J150">
        <v>4.0999999999999996</v>
      </c>
      <c r="K150">
        <v>3.95</v>
      </c>
      <c r="L150">
        <v>3.51</v>
      </c>
      <c r="M150">
        <f t="shared" si="4"/>
        <v>4.2039999999999997</v>
      </c>
      <c r="N150">
        <f t="shared" si="5"/>
        <v>3.8739999999999997</v>
      </c>
    </row>
    <row r="151" spans="1:14" ht="14.25" customHeight="1" x14ac:dyDescent="0.3">
      <c r="A151" t="s">
        <v>317</v>
      </c>
      <c r="B151" t="s">
        <v>318</v>
      </c>
      <c r="C151">
        <v>4.1500000000000004</v>
      </c>
      <c r="D151">
        <v>3.84</v>
      </c>
      <c r="E151">
        <v>3.6</v>
      </c>
      <c r="F151">
        <v>3.83</v>
      </c>
      <c r="G151">
        <v>4.18</v>
      </c>
      <c r="H151">
        <v>4.37</v>
      </c>
      <c r="J151">
        <v>4.21</v>
      </c>
      <c r="K151">
        <v>4.16</v>
      </c>
      <c r="L151">
        <v>4.41</v>
      </c>
      <c r="M151">
        <f t="shared" si="4"/>
        <v>3.9200000000000004</v>
      </c>
      <c r="N151">
        <f t="shared" si="5"/>
        <v>4.2874999999999996</v>
      </c>
    </row>
    <row r="152" spans="1:14" ht="14.25" customHeight="1" x14ac:dyDescent="0.3">
      <c r="A152" t="s">
        <v>319</v>
      </c>
      <c r="B152" t="s">
        <v>320</v>
      </c>
      <c r="C152">
        <v>4.41</v>
      </c>
      <c r="D152">
        <v>3.68</v>
      </c>
      <c r="E152">
        <v>4.21</v>
      </c>
      <c r="F152">
        <v>4.12</v>
      </c>
      <c r="G152">
        <v>4.13</v>
      </c>
      <c r="H152">
        <v>4.32</v>
      </c>
      <c r="I152">
        <v>3.85</v>
      </c>
      <c r="J152">
        <v>3.72</v>
      </c>
      <c r="K152">
        <v>3.97</v>
      </c>
      <c r="L152">
        <v>4.2300000000000004</v>
      </c>
      <c r="M152">
        <f t="shared" si="4"/>
        <v>4.1100000000000003</v>
      </c>
      <c r="N152">
        <f t="shared" si="5"/>
        <v>4.0180000000000007</v>
      </c>
    </row>
    <row r="153" spans="1:14" ht="14.25" customHeight="1" x14ac:dyDescent="0.3">
      <c r="A153" t="s">
        <v>321</v>
      </c>
      <c r="B153" t="s">
        <v>322</v>
      </c>
      <c r="C153">
        <v>3.59</v>
      </c>
      <c r="D153">
        <v>3.91</v>
      </c>
      <c r="E153">
        <v>4.38</v>
      </c>
      <c r="F153">
        <v>3.69</v>
      </c>
      <c r="G153">
        <v>4.13</v>
      </c>
      <c r="H153">
        <v>3.81</v>
      </c>
      <c r="I153">
        <v>3.25</v>
      </c>
      <c r="J153">
        <v>4.13</v>
      </c>
      <c r="K153">
        <v>4</v>
      </c>
      <c r="L153">
        <v>4.3099999999999996</v>
      </c>
      <c r="M153">
        <f t="shared" si="4"/>
        <v>3.94</v>
      </c>
      <c r="N153">
        <f t="shared" si="5"/>
        <v>3.9</v>
      </c>
    </row>
    <row r="154" spans="1:14" ht="14.25" customHeight="1" x14ac:dyDescent="0.3">
      <c r="A154" t="s">
        <v>323</v>
      </c>
      <c r="B154" t="s">
        <v>324</v>
      </c>
      <c r="C154">
        <v>3.91</v>
      </c>
      <c r="D154">
        <v>3.58</v>
      </c>
      <c r="E154">
        <v>3.69</v>
      </c>
      <c r="F154">
        <v>4.08</v>
      </c>
      <c r="H154">
        <v>3.77</v>
      </c>
      <c r="I154">
        <v>4</v>
      </c>
      <c r="J154">
        <v>3.79</v>
      </c>
      <c r="K154">
        <v>3.69</v>
      </c>
      <c r="L154">
        <v>3.87</v>
      </c>
      <c r="M154">
        <f t="shared" si="4"/>
        <v>3.8149999999999999</v>
      </c>
      <c r="N154">
        <f t="shared" si="5"/>
        <v>3.8239999999999994</v>
      </c>
    </row>
    <row r="155" spans="1:14" ht="14.25" customHeight="1" x14ac:dyDescent="0.3">
      <c r="A155" t="s">
        <v>325</v>
      </c>
      <c r="B155" t="s">
        <v>326</v>
      </c>
      <c r="C155">
        <v>4.5999999999999996</v>
      </c>
      <c r="D155">
        <v>3.89</v>
      </c>
      <c r="E155">
        <v>3.98</v>
      </c>
      <c r="F155">
        <v>4.3099999999999996</v>
      </c>
      <c r="G155">
        <v>3.98</v>
      </c>
      <c r="H155">
        <v>3.76</v>
      </c>
      <c r="I155">
        <v>3.82</v>
      </c>
      <c r="J155">
        <v>4.1399999999999997</v>
      </c>
      <c r="K155">
        <v>3.84</v>
      </c>
      <c r="L155">
        <v>4.08</v>
      </c>
      <c r="M155">
        <f t="shared" si="4"/>
        <v>4.1520000000000001</v>
      </c>
      <c r="N155">
        <f t="shared" si="5"/>
        <v>3.9279999999999999</v>
      </c>
    </row>
    <row r="156" spans="1:14" ht="14.25" customHeight="1" x14ac:dyDescent="0.3">
      <c r="A156" t="s">
        <v>327</v>
      </c>
      <c r="B156" t="s">
        <v>328</v>
      </c>
      <c r="C156">
        <v>4.5</v>
      </c>
      <c r="E156">
        <v>4.34</v>
      </c>
      <c r="F156">
        <v>4.3899999999999997</v>
      </c>
      <c r="G156">
        <v>3.85</v>
      </c>
      <c r="H156">
        <v>3.93</v>
      </c>
      <c r="I156">
        <v>3.86</v>
      </c>
      <c r="J156">
        <v>3.71</v>
      </c>
      <c r="K156">
        <v>3.98</v>
      </c>
      <c r="L156">
        <v>3.97</v>
      </c>
      <c r="M156">
        <f t="shared" si="4"/>
        <v>4.2700000000000005</v>
      </c>
      <c r="N156">
        <f t="shared" si="5"/>
        <v>3.8899999999999997</v>
      </c>
    </row>
    <row r="157" spans="1:14" ht="14.25" customHeight="1" x14ac:dyDescent="0.3">
      <c r="A157" t="s">
        <v>329</v>
      </c>
      <c r="B157" t="s">
        <v>330</v>
      </c>
      <c r="C157">
        <v>4.0199999999999996</v>
      </c>
      <c r="D157">
        <v>3.91</v>
      </c>
      <c r="E157">
        <v>4.05</v>
      </c>
      <c r="F157">
        <v>4.0199999999999996</v>
      </c>
      <c r="G157">
        <v>3.35</v>
      </c>
      <c r="H157">
        <v>3.82</v>
      </c>
      <c r="I157">
        <v>3.43</v>
      </c>
      <c r="L157">
        <v>3.8</v>
      </c>
      <c r="M157">
        <f t="shared" si="4"/>
        <v>3.87</v>
      </c>
      <c r="N157">
        <f t="shared" si="5"/>
        <v>3.6833333333333336</v>
      </c>
    </row>
    <row r="158" spans="1:14" ht="14.25" customHeight="1" x14ac:dyDescent="0.3">
      <c r="A158" t="s">
        <v>331</v>
      </c>
      <c r="B158" t="s">
        <v>332</v>
      </c>
      <c r="C158">
        <v>3.85</v>
      </c>
      <c r="D158">
        <v>4.47</v>
      </c>
      <c r="E158">
        <v>4.17</v>
      </c>
      <c r="F158">
        <v>3.97</v>
      </c>
      <c r="G158">
        <v>3.7</v>
      </c>
      <c r="H158">
        <v>3.87</v>
      </c>
      <c r="I158">
        <v>3.92</v>
      </c>
      <c r="J158">
        <v>3.31</v>
      </c>
      <c r="K158">
        <v>4.22</v>
      </c>
      <c r="L158">
        <v>3.95</v>
      </c>
      <c r="M158">
        <f t="shared" si="4"/>
        <v>4.032</v>
      </c>
      <c r="N158">
        <f t="shared" si="5"/>
        <v>3.8540000000000001</v>
      </c>
    </row>
    <row r="159" spans="1:14" ht="14.25" customHeight="1" x14ac:dyDescent="0.3">
      <c r="A159" t="s">
        <v>333</v>
      </c>
      <c r="B159" t="s">
        <v>334</v>
      </c>
      <c r="C159">
        <v>4.37</v>
      </c>
      <c r="D159">
        <v>4.04</v>
      </c>
      <c r="E159">
        <v>3.3</v>
      </c>
      <c r="F159">
        <v>4.07</v>
      </c>
      <c r="G159">
        <v>4.76</v>
      </c>
      <c r="H159">
        <v>3.88</v>
      </c>
      <c r="I159">
        <v>4.08</v>
      </c>
      <c r="J159">
        <v>4.0199999999999996</v>
      </c>
      <c r="K159">
        <v>3.91</v>
      </c>
      <c r="L159">
        <v>3.99</v>
      </c>
      <c r="M159">
        <f t="shared" si="4"/>
        <v>4.1079999999999997</v>
      </c>
      <c r="N159">
        <f t="shared" si="5"/>
        <v>3.9760000000000004</v>
      </c>
    </row>
    <row r="160" spans="1:14" ht="14.25" customHeight="1" x14ac:dyDescent="0.3">
      <c r="A160" t="s">
        <v>335</v>
      </c>
      <c r="B160" t="s">
        <v>336</v>
      </c>
      <c r="C160">
        <v>3.61</v>
      </c>
      <c r="D160">
        <v>4.18</v>
      </c>
      <c r="E160">
        <v>3.39</v>
      </c>
      <c r="F160">
        <v>3.95</v>
      </c>
      <c r="G160">
        <v>4.3</v>
      </c>
      <c r="H160">
        <v>4.33</v>
      </c>
      <c r="I160">
        <v>3.97</v>
      </c>
      <c r="J160">
        <v>4.63</v>
      </c>
      <c r="K160">
        <v>3.8</v>
      </c>
      <c r="L160">
        <v>4.5</v>
      </c>
      <c r="M160">
        <f t="shared" si="4"/>
        <v>3.8860000000000001</v>
      </c>
      <c r="N160">
        <f t="shared" si="5"/>
        <v>4.2460000000000004</v>
      </c>
    </row>
    <row r="161" spans="1:14" ht="14.25" customHeight="1" x14ac:dyDescent="0.3">
      <c r="A161" t="s">
        <v>337</v>
      </c>
      <c r="B161" t="s">
        <v>338</v>
      </c>
      <c r="C161">
        <v>4.34</v>
      </c>
      <c r="D161">
        <v>4.08</v>
      </c>
      <c r="E161">
        <v>3.92</v>
      </c>
      <c r="F161">
        <v>4.51</v>
      </c>
      <c r="G161">
        <v>4.2</v>
      </c>
      <c r="H161">
        <v>4.46</v>
      </c>
      <c r="I161">
        <v>3.84</v>
      </c>
      <c r="J161">
        <v>3.8</v>
      </c>
      <c r="L161">
        <v>4.18</v>
      </c>
      <c r="M161">
        <f t="shared" si="4"/>
        <v>4.21</v>
      </c>
      <c r="N161">
        <f t="shared" si="5"/>
        <v>4.07</v>
      </c>
    </row>
    <row r="162" spans="1:14" ht="14.25" customHeight="1" x14ac:dyDescent="0.3">
      <c r="A162" t="s">
        <v>339</v>
      </c>
      <c r="B162" t="s">
        <v>340</v>
      </c>
      <c r="C162">
        <v>4.12</v>
      </c>
      <c r="D162">
        <v>4.21</v>
      </c>
      <c r="E162">
        <v>3.94</v>
      </c>
      <c r="F162">
        <v>4.2699999999999996</v>
      </c>
      <c r="G162">
        <v>4.03</v>
      </c>
      <c r="H162">
        <v>4.28</v>
      </c>
      <c r="I162">
        <v>4.07</v>
      </c>
      <c r="J162">
        <v>3.26</v>
      </c>
      <c r="K162">
        <v>3.89</v>
      </c>
      <c r="L162">
        <v>4.54</v>
      </c>
      <c r="M162">
        <f t="shared" si="4"/>
        <v>4.1139999999999999</v>
      </c>
      <c r="N162">
        <f t="shared" si="5"/>
        <v>4.0080000000000009</v>
      </c>
    </row>
    <row r="163" spans="1:14" ht="14.25" customHeight="1" x14ac:dyDescent="0.3">
      <c r="A163" t="s">
        <v>341</v>
      </c>
      <c r="B163" t="s">
        <v>342</v>
      </c>
      <c r="C163">
        <v>3.77</v>
      </c>
      <c r="D163">
        <v>3.65</v>
      </c>
      <c r="E163">
        <v>4.2</v>
      </c>
      <c r="F163">
        <v>4.1100000000000003</v>
      </c>
      <c r="G163">
        <v>3.94</v>
      </c>
      <c r="H163">
        <v>4.3600000000000003</v>
      </c>
      <c r="I163">
        <v>3.37</v>
      </c>
      <c r="J163">
        <v>4.04</v>
      </c>
      <c r="K163">
        <v>3.97</v>
      </c>
      <c r="L163">
        <v>3.79</v>
      </c>
      <c r="M163">
        <f t="shared" si="4"/>
        <v>3.9340000000000002</v>
      </c>
      <c r="N163">
        <f t="shared" si="5"/>
        <v>3.9060000000000001</v>
      </c>
    </row>
    <row r="164" spans="1:14" ht="14.25" customHeight="1" x14ac:dyDescent="0.3">
      <c r="A164" t="s">
        <v>343</v>
      </c>
      <c r="B164" t="s">
        <v>344</v>
      </c>
      <c r="C164">
        <v>3.9</v>
      </c>
      <c r="D164">
        <v>4.22</v>
      </c>
      <c r="E164">
        <v>4.4000000000000004</v>
      </c>
      <c r="F164">
        <v>3.95</v>
      </c>
      <c r="G164">
        <v>3.13</v>
      </c>
      <c r="H164">
        <v>4.32</v>
      </c>
      <c r="I164">
        <v>3.7</v>
      </c>
      <c r="J164">
        <v>4.41</v>
      </c>
      <c r="K164">
        <v>4.51</v>
      </c>
      <c r="L164">
        <v>3.77</v>
      </c>
      <c r="M164">
        <f t="shared" si="4"/>
        <v>3.9199999999999995</v>
      </c>
      <c r="N164">
        <f t="shared" si="5"/>
        <v>4.1419999999999995</v>
      </c>
    </row>
    <row r="165" spans="1:14" ht="14.25" customHeight="1" x14ac:dyDescent="0.3">
      <c r="A165" t="s">
        <v>345</v>
      </c>
      <c r="B165" t="s">
        <v>346</v>
      </c>
      <c r="C165">
        <v>3.87</v>
      </c>
      <c r="D165">
        <v>3.66</v>
      </c>
      <c r="E165">
        <v>4.1399999999999997</v>
      </c>
      <c r="F165">
        <v>3.67</v>
      </c>
      <c r="G165">
        <v>3.75</v>
      </c>
      <c r="H165">
        <v>4</v>
      </c>
      <c r="I165">
        <v>4.1900000000000004</v>
      </c>
      <c r="J165">
        <v>3.97</v>
      </c>
      <c r="K165">
        <v>4.38</v>
      </c>
      <c r="L165">
        <v>3.44</v>
      </c>
      <c r="M165">
        <f t="shared" si="4"/>
        <v>3.8180000000000001</v>
      </c>
      <c r="N165">
        <f t="shared" si="5"/>
        <v>3.9960000000000009</v>
      </c>
    </row>
    <row r="166" spans="1:14" ht="14.25" customHeight="1" x14ac:dyDescent="0.3">
      <c r="A166" t="s">
        <v>347</v>
      </c>
      <c r="B166" t="s">
        <v>348</v>
      </c>
      <c r="C166">
        <v>4.22</v>
      </c>
      <c r="D166">
        <v>4.28</v>
      </c>
      <c r="E166">
        <v>3.89</v>
      </c>
      <c r="F166">
        <v>4.03</v>
      </c>
      <c r="G166">
        <v>4.17</v>
      </c>
      <c r="H166">
        <v>4.46</v>
      </c>
      <c r="I166">
        <v>4.37</v>
      </c>
      <c r="J166">
        <v>4.26</v>
      </c>
      <c r="K166">
        <v>4.18</v>
      </c>
      <c r="L166">
        <v>3.72</v>
      </c>
      <c r="M166">
        <f t="shared" si="4"/>
        <v>4.1180000000000003</v>
      </c>
      <c r="N166">
        <f t="shared" si="5"/>
        <v>4.1979999999999995</v>
      </c>
    </row>
    <row r="167" spans="1:14" ht="14.25" customHeight="1" x14ac:dyDescent="0.3">
      <c r="A167" t="s">
        <v>349</v>
      </c>
      <c r="B167" t="s">
        <v>350</v>
      </c>
      <c r="C167">
        <v>3.94</v>
      </c>
      <c r="D167">
        <v>4.08</v>
      </c>
      <c r="E167">
        <v>3.49</v>
      </c>
      <c r="F167">
        <v>4.1900000000000004</v>
      </c>
      <c r="G167">
        <v>4</v>
      </c>
      <c r="H167">
        <v>3.73</v>
      </c>
      <c r="J167">
        <v>3.57</v>
      </c>
      <c r="K167">
        <v>3.96</v>
      </c>
      <c r="L167">
        <v>4</v>
      </c>
      <c r="M167">
        <f t="shared" si="4"/>
        <v>3.94</v>
      </c>
      <c r="N167">
        <f t="shared" si="5"/>
        <v>3.8149999999999999</v>
      </c>
    </row>
    <row r="168" spans="1:14" ht="14.25" customHeight="1" x14ac:dyDescent="0.3">
      <c r="A168" t="s">
        <v>351</v>
      </c>
      <c r="B168" t="s">
        <v>352</v>
      </c>
      <c r="C168">
        <v>3.94</v>
      </c>
      <c r="D168">
        <v>4.0199999999999996</v>
      </c>
      <c r="E168">
        <v>4.79</v>
      </c>
      <c r="G168">
        <v>3.79</v>
      </c>
      <c r="H168">
        <v>4.0999999999999996</v>
      </c>
      <c r="I168">
        <v>4.12</v>
      </c>
      <c r="J168">
        <v>4.21</v>
      </c>
      <c r="K168">
        <v>3.72</v>
      </c>
      <c r="L168">
        <v>3.65</v>
      </c>
      <c r="M168">
        <f t="shared" si="4"/>
        <v>4.1349999999999998</v>
      </c>
      <c r="N168">
        <f t="shared" si="5"/>
        <v>3.9599999999999995</v>
      </c>
    </row>
    <row r="169" spans="1:14" ht="14.25" customHeight="1" x14ac:dyDescent="0.3">
      <c r="A169" t="s">
        <v>353</v>
      </c>
      <c r="B169" t="s">
        <v>354</v>
      </c>
      <c r="C169">
        <v>4.3600000000000003</v>
      </c>
      <c r="D169">
        <v>4.04</v>
      </c>
      <c r="E169">
        <v>4.53</v>
      </c>
      <c r="F169">
        <v>3.54</v>
      </c>
      <c r="G169">
        <v>3.71</v>
      </c>
      <c r="H169">
        <v>4.3899999999999997</v>
      </c>
      <c r="I169">
        <v>3.84</v>
      </c>
      <c r="J169">
        <v>3.71</v>
      </c>
      <c r="K169">
        <v>3.88</v>
      </c>
      <c r="L169">
        <v>3.81</v>
      </c>
      <c r="M169">
        <f t="shared" si="4"/>
        <v>4.0359999999999996</v>
      </c>
      <c r="N169">
        <f t="shared" si="5"/>
        <v>3.9259999999999997</v>
      </c>
    </row>
    <row r="170" spans="1:14" ht="14.25" customHeight="1" x14ac:dyDescent="0.3">
      <c r="A170" t="s">
        <v>355</v>
      </c>
      <c r="B170" t="s">
        <v>356</v>
      </c>
      <c r="C170">
        <v>3.92</v>
      </c>
      <c r="D170">
        <v>4.1500000000000004</v>
      </c>
      <c r="E170">
        <v>4.6500000000000004</v>
      </c>
      <c r="F170">
        <v>3.97</v>
      </c>
      <c r="G170">
        <v>4.08</v>
      </c>
      <c r="I170">
        <v>3.55</v>
      </c>
      <c r="J170">
        <v>4.17</v>
      </c>
      <c r="K170">
        <v>3.77</v>
      </c>
      <c r="L170">
        <v>4.1900000000000004</v>
      </c>
      <c r="M170">
        <f t="shared" si="4"/>
        <v>4.1540000000000008</v>
      </c>
      <c r="N170">
        <f t="shared" si="5"/>
        <v>3.92</v>
      </c>
    </row>
    <row r="171" spans="1:14" ht="14.25" customHeight="1" x14ac:dyDescent="0.3">
      <c r="A171" t="s">
        <v>357</v>
      </c>
      <c r="B171" t="s">
        <v>358</v>
      </c>
      <c r="C171">
        <v>3.87</v>
      </c>
      <c r="D171">
        <v>4.0999999999999996</v>
      </c>
      <c r="E171">
        <v>4.3</v>
      </c>
      <c r="F171">
        <v>4.6500000000000004</v>
      </c>
      <c r="G171">
        <v>4.0599999999999996</v>
      </c>
      <c r="H171">
        <v>3.97</v>
      </c>
      <c r="I171">
        <v>3.81</v>
      </c>
      <c r="J171">
        <v>3.68</v>
      </c>
      <c r="K171">
        <v>4.67</v>
      </c>
      <c r="L171">
        <v>3.79</v>
      </c>
      <c r="M171">
        <f t="shared" si="4"/>
        <v>4.1959999999999997</v>
      </c>
      <c r="N171">
        <f t="shared" si="5"/>
        <v>3.9840000000000004</v>
      </c>
    </row>
    <row r="172" spans="1:14" ht="14.25" customHeight="1" x14ac:dyDescent="0.3">
      <c r="A172" t="s">
        <v>359</v>
      </c>
      <c r="B172" t="s">
        <v>360</v>
      </c>
      <c r="C172">
        <v>4.4400000000000004</v>
      </c>
      <c r="D172">
        <v>4.2300000000000004</v>
      </c>
      <c r="E172">
        <v>3.6</v>
      </c>
      <c r="F172">
        <v>4.21</v>
      </c>
      <c r="G172">
        <v>4.22</v>
      </c>
      <c r="H172">
        <v>3.88</v>
      </c>
      <c r="I172">
        <v>4.38</v>
      </c>
      <c r="J172">
        <v>4.1399999999999997</v>
      </c>
      <c r="K172">
        <v>3.53</v>
      </c>
      <c r="L172">
        <v>3.92</v>
      </c>
      <c r="M172">
        <f t="shared" si="4"/>
        <v>4.1399999999999997</v>
      </c>
      <c r="N172">
        <f t="shared" si="5"/>
        <v>3.9699999999999998</v>
      </c>
    </row>
    <row r="173" spans="1:14" ht="14.25" customHeight="1" x14ac:dyDescent="0.3">
      <c r="A173" t="s">
        <v>361</v>
      </c>
      <c r="B173" t="s">
        <v>362</v>
      </c>
      <c r="C173">
        <v>3.79</v>
      </c>
      <c r="D173">
        <v>4.04</v>
      </c>
      <c r="E173">
        <v>4.26</v>
      </c>
      <c r="F173">
        <v>3.57</v>
      </c>
      <c r="G173">
        <v>3.87</v>
      </c>
      <c r="H173">
        <v>4.4400000000000004</v>
      </c>
      <c r="I173">
        <v>3.92</v>
      </c>
      <c r="J173">
        <v>3.8</v>
      </c>
      <c r="K173">
        <v>3.99</v>
      </c>
      <c r="L173">
        <v>4.22</v>
      </c>
      <c r="M173">
        <f t="shared" si="4"/>
        <v>3.9060000000000001</v>
      </c>
      <c r="N173">
        <f t="shared" si="5"/>
        <v>4.0739999999999998</v>
      </c>
    </row>
    <row r="174" spans="1:14" ht="14.25" customHeight="1" x14ac:dyDescent="0.3">
      <c r="A174" t="s">
        <v>363</v>
      </c>
      <c r="B174" t="s">
        <v>364</v>
      </c>
      <c r="C174">
        <v>3.83</v>
      </c>
      <c r="D174">
        <v>4.18</v>
      </c>
      <c r="E174">
        <v>3.65</v>
      </c>
      <c r="F174">
        <v>3.9</v>
      </c>
      <c r="G174">
        <v>4.03</v>
      </c>
      <c r="H174">
        <v>3.85</v>
      </c>
      <c r="I174">
        <v>3.87</v>
      </c>
      <c r="J174">
        <v>3.68</v>
      </c>
      <c r="K174">
        <v>4.33</v>
      </c>
      <c r="L174">
        <v>4.1399999999999997</v>
      </c>
      <c r="M174">
        <f t="shared" si="4"/>
        <v>3.9180000000000001</v>
      </c>
      <c r="N174">
        <f t="shared" si="5"/>
        <v>3.9740000000000002</v>
      </c>
    </row>
    <row r="175" spans="1:14" ht="14.25" customHeight="1" x14ac:dyDescent="0.3">
      <c r="A175" t="s">
        <v>365</v>
      </c>
      <c r="B175" t="s">
        <v>366</v>
      </c>
      <c r="C175">
        <v>3.91</v>
      </c>
      <c r="D175">
        <v>4.3499999999999996</v>
      </c>
      <c r="E175">
        <v>4.2300000000000004</v>
      </c>
      <c r="F175">
        <v>4.3</v>
      </c>
      <c r="G175">
        <v>4.0599999999999996</v>
      </c>
      <c r="H175">
        <v>3.69</v>
      </c>
      <c r="I175">
        <v>4.21</v>
      </c>
      <c r="J175">
        <v>3.83</v>
      </c>
      <c r="K175">
        <v>3.9</v>
      </c>
      <c r="L175">
        <v>3.49</v>
      </c>
      <c r="M175">
        <f t="shared" si="4"/>
        <v>4.17</v>
      </c>
      <c r="N175">
        <f t="shared" si="5"/>
        <v>3.8240000000000003</v>
      </c>
    </row>
    <row r="176" spans="1:14" ht="14.25" customHeight="1" x14ac:dyDescent="0.3">
      <c r="A176" t="s">
        <v>367</v>
      </c>
      <c r="B176" t="s">
        <v>368</v>
      </c>
      <c r="C176">
        <v>4.45</v>
      </c>
      <c r="D176">
        <v>3.97</v>
      </c>
      <c r="F176">
        <v>4.2300000000000004</v>
      </c>
      <c r="G176">
        <v>4.18</v>
      </c>
      <c r="H176">
        <v>4.49</v>
      </c>
      <c r="I176" t="s">
        <v>369</v>
      </c>
      <c r="J176">
        <v>3.76</v>
      </c>
      <c r="K176">
        <v>4.4800000000000004</v>
      </c>
      <c r="L176">
        <v>4.33</v>
      </c>
      <c r="M176">
        <f t="shared" si="4"/>
        <v>4.2074999999999996</v>
      </c>
      <c r="N176">
        <f t="shared" si="5"/>
        <v>4.2650000000000006</v>
      </c>
    </row>
    <row r="177" spans="1:14" ht="14.25" customHeight="1" x14ac:dyDescent="0.3">
      <c r="A177" t="s">
        <v>370</v>
      </c>
      <c r="B177" t="s">
        <v>371</v>
      </c>
      <c r="C177">
        <v>3.99</v>
      </c>
      <c r="D177">
        <v>4.53</v>
      </c>
      <c r="E177">
        <v>3.53</v>
      </c>
      <c r="F177">
        <v>3.66</v>
      </c>
      <c r="G177">
        <v>4.26</v>
      </c>
      <c r="H177">
        <v>4.55</v>
      </c>
      <c r="I177">
        <v>3.98</v>
      </c>
      <c r="J177">
        <v>3.65</v>
      </c>
      <c r="K177">
        <v>3.41</v>
      </c>
      <c r="L177">
        <v>4.13</v>
      </c>
      <c r="M177">
        <f t="shared" si="4"/>
        <v>3.9939999999999998</v>
      </c>
      <c r="N177">
        <f t="shared" si="5"/>
        <v>3.944</v>
      </c>
    </row>
    <row r="178" spans="1:14" ht="14.25" customHeight="1" x14ac:dyDescent="0.3">
      <c r="A178" t="s">
        <v>372</v>
      </c>
      <c r="B178" t="s">
        <v>373</v>
      </c>
      <c r="C178">
        <v>4.0999999999999996</v>
      </c>
      <c r="D178">
        <v>4.03</v>
      </c>
      <c r="F178">
        <v>3.74</v>
      </c>
      <c r="G178">
        <v>4.9800000000000004</v>
      </c>
      <c r="H178">
        <v>4.9000000000000004</v>
      </c>
      <c r="I178">
        <v>3.81</v>
      </c>
      <c r="J178">
        <v>4.08</v>
      </c>
      <c r="K178">
        <v>3.88</v>
      </c>
      <c r="L178">
        <v>3.92</v>
      </c>
      <c r="M178">
        <f t="shared" si="4"/>
        <v>4.2125000000000004</v>
      </c>
      <c r="N178">
        <f t="shared" si="5"/>
        <v>4.1180000000000003</v>
      </c>
    </row>
    <row r="179" spans="1:14" ht="14.25" customHeight="1" x14ac:dyDescent="0.3">
      <c r="A179" t="s">
        <v>374</v>
      </c>
      <c r="B179" t="s">
        <v>375</v>
      </c>
      <c r="C179">
        <v>4.0999999999999996</v>
      </c>
      <c r="D179">
        <v>3.74</v>
      </c>
      <c r="E179">
        <v>3.75</v>
      </c>
      <c r="F179">
        <v>3.99</v>
      </c>
      <c r="G179">
        <v>4.0199999999999996</v>
      </c>
      <c r="H179">
        <v>4.43</v>
      </c>
      <c r="I179">
        <v>3.9</v>
      </c>
      <c r="J179">
        <v>4.05</v>
      </c>
      <c r="K179">
        <v>4.41</v>
      </c>
      <c r="L179">
        <v>4.01</v>
      </c>
      <c r="M179">
        <f t="shared" si="4"/>
        <v>3.9200000000000004</v>
      </c>
      <c r="N179">
        <f t="shared" si="5"/>
        <v>4.1599999999999993</v>
      </c>
    </row>
    <row r="180" spans="1:14" ht="14.25" customHeight="1" x14ac:dyDescent="0.3">
      <c r="A180" t="s">
        <v>376</v>
      </c>
      <c r="B180" t="s">
        <v>377</v>
      </c>
      <c r="C180">
        <v>3.82</v>
      </c>
      <c r="D180">
        <v>4.29</v>
      </c>
      <c r="E180">
        <v>3.84</v>
      </c>
      <c r="F180">
        <v>3.96</v>
      </c>
      <c r="G180">
        <v>4.2</v>
      </c>
      <c r="H180">
        <v>4.25</v>
      </c>
      <c r="I180">
        <v>4.4400000000000004</v>
      </c>
      <c r="J180">
        <v>3.88</v>
      </c>
      <c r="K180">
        <v>3.89</v>
      </c>
      <c r="L180">
        <v>4.1399999999999997</v>
      </c>
      <c r="M180">
        <f t="shared" si="4"/>
        <v>4.0220000000000002</v>
      </c>
      <c r="N180">
        <f t="shared" si="5"/>
        <v>4.12</v>
      </c>
    </row>
    <row r="181" spans="1:14" ht="14.25" customHeight="1" x14ac:dyDescent="0.3">
      <c r="A181" t="s">
        <v>378</v>
      </c>
      <c r="B181" t="s">
        <v>379</v>
      </c>
      <c r="C181">
        <v>3.61</v>
      </c>
      <c r="D181">
        <v>4.47</v>
      </c>
      <c r="E181">
        <v>3.58</v>
      </c>
      <c r="F181">
        <v>4.05</v>
      </c>
      <c r="G181">
        <v>3.95</v>
      </c>
      <c r="H181">
        <v>3.82</v>
      </c>
      <c r="I181">
        <v>4.41</v>
      </c>
      <c r="J181">
        <v>3.3</v>
      </c>
      <c r="K181">
        <v>3.82</v>
      </c>
      <c r="L181">
        <v>3.76</v>
      </c>
      <c r="M181">
        <f t="shared" si="4"/>
        <v>3.9319999999999999</v>
      </c>
      <c r="N181">
        <f t="shared" si="5"/>
        <v>3.8220000000000001</v>
      </c>
    </row>
    <row r="182" spans="1:14" ht="14.25" customHeight="1" x14ac:dyDescent="0.3">
      <c r="A182" t="s">
        <v>380</v>
      </c>
      <c r="B182" t="s">
        <v>381</v>
      </c>
      <c r="C182">
        <v>4.3</v>
      </c>
      <c r="D182">
        <v>4.5</v>
      </c>
      <c r="F182">
        <v>4.0999999999999996</v>
      </c>
      <c r="G182">
        <v>3.61</v>
      </c>
      <c r="H182">
        <v>3.93</v>
      </c>
      <c r="I182">
        <v>4.13</v>
      </c>
      <c r="J182">
        <v>4.08</v>
      </c>
      <c r="K182">
        <v>4.49</v>
      </c>
      <c r="L182">
        <v>3.42</v>
      </c>
      <c r="M182">
        <f t="shared" si="4"/>
        <v>4.1275000000000004</v>
      </c>
      <c r="N182">
        <f t="shared" si="5"/>
        <v>4.0100000000000007</v>
      </c>
    </row>
    <row r="183" spans="1:14" ht="14.25" customHeight="1" x14ac:dyDescent="0.3">
      <c r="A183" t="s">
        <v>382</v>
      </c>
      <c r="B183" t="s">
        <v>383</v>
      </c>
      <c r="C183">
        <v>3.53</v>
      </c>
      <c r="D183">
        <v>4.37</v>
      </c>
      <c r="E183">
        <v>4.1100000000000003</v>
      </c>
      <c r="F183">
        <v>4.55</v>
      </c>
      <c r="G183">
        <v>4.43</v>
      </c>
      <c r="H183">
        <v>4.07</v>
      </c>
      <c r="I183">
        <v>3.74</v>
      </c>
      <c r="J183">
        <v>4.37</v>
      </c>
      <c r="K183">
        <v>3.83</v>
      </c>
      <c r="L183">
        <v>3.67</v>
      </c>
      <c r="M183">
        <f t="shared" si="4"/>
        <v>4.1980000000000004</v>
      </c>
      <c r="N183">
        <f t="shared" si="5"/>
        <v>3.9359999999999999</v>
      </c>
    </row>
    <row r="184" spans="1:14" ht="14.25" customHeight="1" x14ac:dyDescent="0.3">
      <c r="A184" t="s">
        <v>384</v>
      </c>
      <c r="B184" t="s">
        <v>385</v>
      </c>
      <c r="C184">
        <v>4.4400000000000004</v>
      </c>
      <c r="D184">
        <v>4.09</v>
      </c>
      <c r="E184">
        <v>4</v>
      </c>
      <c r="F184">
        <v>4.08</v>
      </c>
      <c r="G184">
        <v>3.98</v>
      </c>
      <c r="H184">
        <v>3.66</v>
      </c>
      <c r="I184">
        <v>3.96</v>
      </c>
      <c r="J184">
        <v>4.42</v>
      </c>
      <c r="K184">
        <v>3.94</v>
      </c>
      <c r="L184">
        <v>3.73</v>
      </c>
      <c r="M184">
        <f t="shared" si="4"/>
        <v>4.1180000000000003</v>
      </c>
      <c r="N184">
        <f t="shared" si="5"/>
        <v>3.9419999999999993</v>
      </c>
    </row>
    <row r="185" spans="1:14" ht="14.25" customHeight="1" x14ac:dyDescent="0.3">
      <c r="A185" t="s">
        <v>386</v>
      </c>
      <c r="B185" t="s">
        <v>387</v>
      </c>
      <c r="C185">
        <v>4.3899999999999997</v>
      </c>
      <c r="D185">
        <v>3.86</v>
      </c>
      <c r="E185">
        <v>4.08</v>
      </c>
      <c r="F185">
        <v>4.49</v>
      </c>
      <c r="G185">
        <v>4.05</v>
      </c>
      <c r="H185">
        <v>4.3499999999999996</v>
      </c>
      <c r="I185">
        <v>4.09</v>
      </c>
      <c r="J185">
        <v>3.93</v>
      </c>
      <c r="K185">
        <v>4.3899999999999997</v>
      </c>
      <c r="L185">
        <v>3.96</v>
      </c>
      <c r="M185">
        <f t="shared" si="4"/>
        <v>4.1740000000000004</v>
      </c>
      <c r="N185">
        <f t="shared" si="5"/>
        <v>4.1440000000000001</v>
      </c>
    </row>
    <row r="186" spans="1:14" ht="14.25" customHeight="1" x14ac:dyDescent="0.3">
      <c r="A186" t="s">
        <v>388</v>
      </c>
      <c r="B186" t="s">
        <v>389</v>
      </c>
      <c r="C186">
        <v>3.86</v>
      </c>
      <c r="D186">
        <v>4.62</v>
      </c>
      <c r="E186">
        <v>4.92</v>
      </c>
      <c r="F186">
        <v>4.53</v>
      </c>
      <c r="G186">
        <v>4</v>
      </c>
      <c r="H186">
        <v>3.98</v>
      </c>
      <c r="I186">
        <v>3.79</v>
      </c>
      <c r="J186">
        <v>4.22</v>
      </c>
      <c r="K186">
        <v>3.6</v>
      </c>
      <c r="L186">
        <v>4.12</v>
      </c>
      <c r="M186">
        <f t="shared" si="4"/>
        <v>4.3860000000000001</v>
      </c>
      <c r="N186">
        <f t="shared" si="5"/>
        <v>3.9419999999999993</v>
      </c>
    </row>
    <row r="187" spans="1:14" ht="14.25" customHeight="1" x14ac:dyDescent="0.3">
      <c r="A187" t="s">
        <v>390</v>
      </c>
      <c r="B187" t="s">
        <v>391</v>
      </c>
      <c r="C187">
        <v>3.71</v>
      </c>
      <c r="D187">
        <v>4.05</v>
      </c>
      <c r="E187">
        <v>4.1399999999999997</v>
      </c>
      <c r="G187">
        <v>4.1399999999999997</v>
      </c>
      <c r="H187">
        <v>3.94</v>
      </c>
      <c r="I187">
        <v>3.96</v>
      </c>
      <c r="J187">
        <v>4.03</v>
      </c>
      <c r="K187">
        <v>4.2</v>
      </c>
      <c r="L187">
        <v>4.68</v>
      </c>
      <c r="M187">
        <f t="shared" si="4"/>
        <v>4.01</v>
      </c>
      <c r="N187">
        <f t="shared" si="5"/>
        <v>4.1619999999999999</v>
      </c>
    </row>
    <row r="188" spans="1:14" ht="14.25" customHeight="1" x14ac:dyDescent="0.3">
      <c r="A188" t="s">
        <v>392</v>
      </c>
      <c r="B188" t="s">
        <v>393</v>
      </c>
      <c r="C188">
        <v>3.95</v>
      </c>
      <c r="D188">
        <v>4.7699999999999996</v>
      </c>
      <c r="E188">
        <v>3.95</v>
      </c>
      <c r="F188">
        <v>3.81</v>
      </c>
      <c r="H188">
        <v>3.92</v>
      </c>
      <c r="I188">
        <v>4.32</v>
      </c>
      <c r="J188">
        <v>4.6100000000000003</v>
      </c>
      <c r="K188">
        <v>4.2699999999999996</v>
      </c>
      <c r="L188">
        <v>4.07</v>
      </c>
      <c r="M188">
        <f t="shared" si="4"/>
        <v>4.1199999999999992</v>
      </c>
      <c r="N188">
        <f t="shared" si="5"/>
        <v>4.2380000000000004</v>
      </c>
    </row>
    <row r="189" spans="1:14" ht="14.25" customHeight="1" x14ac:dyDescent="0.3">
      <c r="A189" t="s">
        <v>394</v>
      </c>
      <c r="B189" t="s">
        <v>395</v>
      </c>
      <c r="C189">
        <v>4.29</v>
      </c>
      <c r="D189">
        <v>3.93</v>
      </c>
      <c r="E189">
        <v>3.67</v>
      </c>
      <c r="F189">
        <v>3.89</v>
      </c>
      <c r="G189">
        <v>4.33</v>
      </c>
      <c r="H189">
        <v>3.66</v>
      </c>
      <c r="I189">
        <v>3.75</v>
      </c>
      <c r="J189">
        <v>3.97</v>
      </c>
      <c r="K189">
        <v>4.01</v>
      </c>
      <c r="L189">
        <v>3.49</v>
      </c>
      <c r="M189">
        <f t="shared" si="4"/>
        <v>4.0220000000000002</v>
      </c>
      <c r="N189">
        <f t="shared" si="5"/>
        <v>3.7760000000000007</v>
      </c>
    </row>
    <row r="190" spans="1:14" ht="14.25" customHeight="1" x14ac:dyDescent="0.3">
      <c r="A190" t="s">
        <v>396</v>
      </c>
      <c r="B190" t="s">
        <v>397</v>
      </c>
      <c r="C190">
        <v>4.04</v>
      </c>
      <c r="D190">
        <v>3.76</v>
      </c>
      <c r="E190">
        <v>4.24</v>
      </c>
      <c r="F190">
        <v>4.18</v>
      </c>
      <c r="G190">
        <v>4.4400000000000004</v>
      </c>
      <c r="H190">
        <v>4.25</v>
      </c>
      <c r="I190">
        <v>3.72</v>
      </c>
      <c r="J190">
        <v>3.77</v>
      </c>
      <c r="K190">
        <v>4.33</v>
      </c>
      <c r="L190">
        <v>3.99</v>
      </c>
      <c r="M190">
        <f t="shared" si="4"/>
        <v>4.1319999999999997</v>
      </c>
      <c r="N190">
        <f t="shared" si="5"/>
        <v>4.0120000000000005</v>
      </c>
    </row>
    <row r="191" spans="1:14" ht="14.25" customHeight="1" x14ac:dyDescent="0.3">
      <c r="A191" t="s">
        <v>398</v>
      </c>
      <c r="B191" t="s">
        <v>399</v>
      </c>
      <c r="C191">
        <v>3.75</v>
      </c>
      <c r="D191">
        <v>4.07</v>
      </c>
      <c r="E191">
        <v>4.37</v>
      </c>
      <c r="F191">
        <v>3.93</v>
      </c>
      <c r="G191">
        <v>3.85</v>
      </c>
      <c r="H191">
        <v>3.62</v>
      </c>
      <c r="I191">
        <v>4.43</v>
      </c>
      <c r="J191">
        <v>4.28</v>
      </c>
      <c r="K191">
        <v>4.2</v>
      </c>
      <c r="L191">
        <v>3.57</v>
      </c>
      <c r="M191">
        <f t="shared" si="4"/>
        <v>3.9940000000000007</v>
      </c>
      <c r="N191">
        <f t="shared" si="5"/>
        <v>4.0200000000000005</v>
      </c>
    </row>
    <row r="192" spans="1:14" ht="14.25" customHeight="1" x14ac:dyDescent="0.3">
      <c r="A192" t="s">
        <v>400</v>
      </c>
      <c r="B192" t="s">
        <v>401</v>
      </c>
      <c r="C192">
        <v>4.34</v>
      </c>
      <c r="D192">
        <v>4.47</v>
      </c>
      <c r="E192">
        <v>3.7</v>
      </c>
      <c r="F192">
        <v>3.66</v>
      </c>
      <c r="G192">
        <v>3.99</v>
      </c>
      <c r="H192">
        <v>4.1900000000000004</v>
      </c>
      <c r="I192">
        <v>4.32</v>
      </c>
      <c r="J192">
        <v>4.0599999999999996</v>
      </c>
      <c r="K192">
        <v>3.89</v>
      </c>
      <c r="L192">
        <v>4.25</v>
      </c>
      <c r="M192">
        <f t="shared" si="4"/>
        <v>4.0319999999999991</v>
      </c>
      <c r="N192">
        <f t="shared" si="5"/>
        <v>4.1420000000000003</v>
      </c>
    </row>
    <row r="193" spans="1:14" ht="14.25" customHeight="1" x14ac:dyDescent="0.3">
      <c r="A193" t="s">
        <v>402</v>
      </c>
      <c r="B193" t="s">
        <v>403</v>
      </c>
      <c r="C193">
        <v>4.18</v>
      </c>
      <c r="D193">
        <v>4.37</v>
      </c>
      <c r="E193">
        <v>3.74</v>
      </c>
      <c r="F193">
        <v>3.94</v>
      </c>
      <c r="G193">
        <v>4.3499999999999996</v>
      </c>
      <c r="H193">
        <v>4.0999999999999996</v>
      </c>
      <c r="I193">
        <v>4.41</v>
      </c>
      <c r="J193">
        <v>4.29</v>
      </c>
      <c r="K193">
        <v>3.91</v>
      </c>
      <c r="L193">
        <v>4.33</v>
      </c>
      <c r="M193">
        <f t="shared" si="4"/>
        <v>4.1159999999999997</v>
      </c>
      <c r="N193">
        <f t="shared" si="5"/>
        <v>4.2080000000000002</v>
      </c>
    </row>
    <row r="194" spans="1:14" ht="14.25" customHeight="1" x14ac:dyDescent="0.3">
      <c r="A194" t="s">
        <v>404</v>
      </c>
      <c r="B194" t="s">
        <v>405</v>
      </c>
      <c r="C194">
        <v>3.95</v>
      </c>
      <c r="D194">
        <v>4.1399999999999997</v>
      </c>
      <c r="E194">
        <v>4.6100000000000003</v>
      </c>
      <c r="F194">
        <v>3.65</v>
      </c>
      <c r="G194">
        <v>4.46</v>
      </c>
      <c r="H194">
        <v>3.99</v>
      </c>
      <c r="I194">
        <v>4.2</v>
      </c>
      <c r="J194">
        <v>4.32</v>
      </c>
      <c r="K194">
        <v>4.22</v>
      </c>
      <c r="L194">
        <v>4.26</v>
      </c>
      <c r="M194">
        <f t="shared" ref="M194:M257" si="6">AVERAGE(C194:G194)</f>
        <v>4.1619999999999999</v>
      </c>
      <c r="N194">
        <f t="shared" ref="N194:N257" si="7">AVERAGE(H194:L194)</f>
        <v>4.1980000000000004</v>
      </c>
    </row>
    <row r="195" spans="1:14" ht="14.25" customHeight="1" x14ac:dyDescent="0.3">
      <c r="A195" t="s">
        <v>406</v>
      </c>
      <c r="B195" t="s">
        <v>407</v>
      </c>
      <c r="C195">
        <v>4.37</v>
      </c>
      <c r="D195">
        <v>4.18</v>
      </c>
      <c r="E195">
        <v>3.73</v>
      </c>
      <c r="F195">
        <v>4.2300000000000004</v>
      </c>
      <c r="G195">
        <v>4.2699999999999996</v>
      </c>
      <c r="H195">
        <v>4.16</v>
      </c>
      <c r="I195">
        <v>4.0599999999999996</v>
      </c>
      <c r="J195">
        <v>4.5</v>
      </c>
      <c r="K195">
        <v>3.87</v>
      </c>
      <c r="L195">
        <v>3.93</v>
      </c>
      <c r="M195">
        <f t="shared" si="6"/>
        <v>4.1560000000000006</v>
      </c>
      <c r="N195">
        <f t="shared" si="7"/>
        <v>4.1040000000000001</v>
      </c>
    </row>
    <row r="196" spans="1:14" ht="14.25" customHeight="1" x14ac:dyDescent="0.3">
      <c r="A196" t="s">
        <v>408</v>
      </c>
      <c r="B196" t="s">
        <v>409</v>
      </c>
      <c r="C196">
        <v>3.79</v>
      </c>
      <c r="D196">
        <v>4.78</v>
      </c>
      <c r="E196">
        <v>3.83</v>
      </c>
      <c r="F196">
        <v>4.4400000000000004</v>
      </c>
      <c r="G196">
        <v>4.1500000000000004</v>
      </c>
      <c r="H196">
        <v>3.78</v>
      </c>
      <c r="I196">
        <v>3.75</v>
      </c>
      <c r="J196">
        <v>4.5599999999999996</v>
      </c>
      <c r="K196">
        <v>4.5999999999999996</v>
      </c>
      <c r="L196">
        <v>3.38</v>
      </c>
      <c r="M196">
        <f t="shared" si="6"/>
        <v>4.1980000000000004</v>
      </c>
      <c r="N196">
        <f t="shared" si="7"/>
        <v>4.0139999999999993</v>
      </c>
    </row>
    <row r="197" spans="1:14" ht="14.25" customHeight="1" x14ac:dyDescent="0.3">
      <c r="A197" t="s">
        <v>410</v>
      </c>
      <c r="B197" t="s">
        <v>411</v>
      </c>
      <c r="C197">
        <v>3.72</v>
      </c>
      <c r="D197">
        <v>4.75</v>
      </c>
      <c r="E197">
        <v>4.13</v>
      </c>
      <c r="F197">
        <v>4.3099999999999996</v>
      </c>
      <c r="H197">
        <v>3.86</v>
      </c>
      <c r="I197">
        <v>3.92</v>
      </c>
      <c r="J197">
        <v>4.53</v>
      </c>
      <c r="K197">
        <v>3.63</v>
      </c>
      <c r="L197">
        <v>4.07</v>
      </c>
      <c r="M197">
        <f t="shared" si="6"/>
        <v>4.2275</v>
      </c>
      <c r="N197">
        <f t="shared" si="7"/>
        <v>4.0019999999999998</v>
      </c>
    </row>
    <row r="198" spans="1:14" ht="14.25" customHeight="1" x14ac:dyDescent="0.3">
      <c r="A198" t="s">
        <v>412</v>
      </c>
      <c r="B198" t="s">
        <v>413</v>
      </c>
      <c r="C198">
        <v>3.63</v>
      </c>
      <c r="D198">
        <v>4.46</v>
      </c>
      <c r="E198">
        <v>3.93</v>
      </c>
      <c r="F198">
        <v>4.1500000000000004</v>
      </c>
      <c r="G198">
        <v>3.66</v>
      </c>
      <c r="H198">
        <v>3.88</v>
      </c>
      <c r="I198">
        <v>3.59</v>
      </c>
      <c r="J198">
        <v>3.91</v>
      </c>
      <c r="K198">
        <v>3.3</v>
      </c>
      <c r="L198">
        <v>3.8</v>
      </c>
      <c r="M198">
        <f t="shared" si="6"/>
        <v>3.9660000000000002</v>
      </c>
      <c r="N198">
        <f t="shared" si="7"/>
        <v>3.6960000000000002</v>
      </c>
    </row>
    <row r="199" spans="1:14" ht="14.25" customHeight="1" x14ac:dyDescent="0.3">
      <c r="A199" t="s">
        <v>414</v>
      </c>
      <c r="B199" t="s">
        <v>415</v>
      </c>
      <c r="C199">
        <v>3.8</v>
      </c>
      <c r="D199">
        <v>4.1500000000000004</v>
      </c>
      <c r="E199">
        <v>3.84</v>
      </c>
      <c r="F199">
        <v>3.5</v>
      </c>
      <c r="G199">
        <v>4.1399999999999997</v>
      </c>
      <c r="H199">
        <v>3.74</v>
      </c>
      <c r="I199">
        <v>3.6</v>
      </c>
      <c r="J199">
        <v>4.05</v>
      </c>
      <c r="K199">
        <v>4.07</v>
      </c>
      <c r="L199">
        <v>4.5199999999999996</v>
      </c>
      <c r="M199">
        <f t="shared" si="6"/>
        <v>3.8860000000000001</v>
      </c>
      <c r="N199">
        <f t="shared" si="7"/>
        <v>3.996</v>
      </c>
    </row>
    <row r="200" spans="1:14" ht="14.25" customHeight="1" x14ac:dyDescent="0.3">
      <c r="A200" t="s">
        <v>416</v>
      </c>
      <c r="B200" t="s">
        <v>417</v>
      </c>
      <c r="C200">
        <v>4.92</v>
      </c>
      <c r="D200">
        <v>4.49</v>
      </c>
      <c r="E200">
        <v>3.73</v>
      </c>
      <c r="F200">
        <v>4.09</v>
      </c>
      <c r="G200">
        <v>3.33</v>
      </c>
      <c r="H200">
        <v>4.0199999999999996</v>
      </c>
      <c r="I200">
        <v>3.91</v>
      </c>
      <c r="J200">
        <v>3.68</v>
      </c>
      <c r="K200">
        <v>4.13</v>
      </c>
      <c r="M200">
        <f t="shared" si="6"/>
        <v>4.1120000000000001</v>
      </c>
      <c r="N200">
        <f t="shared" si="7"/>
        <v>3.9349999999999996</v>
      </c>
    </row>
    <row r="201" spans="1:14" ht="14.25" customHeight="1" x14ac:dyDescent="0.3">
      <c r="A201" t="s">
        <v>418</v>
      </c>
      <c r="B201" t="s">
        <v>419</v>
      </c>
      <c r="C201">
        <v>4.24</v>
      </c>
      <c r="D201">
        <v>4.2</v>
      </c>
      <c r="E201">
        <v>3.95</v>
      </c>
      <c r="F201">
        <v>3.88</v>
      </c>
      <c r="G201">
        <v>3.74</v>
      </c>
      <c r="H201">
        <v>3.78</v>
      </c>
      <c r="I201">
        <v>3.77</v>
      </c>
      <c r="J201">
        <v>3.69</v>
      </c>
      <c r="K201">
        <v>4.33</v>
      </c>
      <c r="L201">
        <v>3.99</v>
      </c>
      <c r="M201">
        <f t="shared" si="6"/>
        <v>4.0019999999999998</v>
      </c>
      <c r="N201">
        <f t="shared" si="7"/>
        <v>3.9120000000000004</v>
      </c>
    </row>
    <row r="202" spans="1:14" ht="14.25" customHeight="1" x14ac:dyDescent="0.3">
      <c r="A202" t="s">
        <v>420</v>
      </c>
      <c r="B202" t="s">
        <v>421</v>
      </c>
      <c r="C202">
        <v>4.3</v>
      </c>
      <c r="D202">
        <v>4.07</v>
      </c>
      <c r="E202">
        <v>3.66</v>
      </c>
      <c r="F202">
        <v>4.0199999999999996</v>
      </c>
      <c r="G202">
        <v>3.68</v>
      </c>
      <c r="I202">
        <v>3.75</v>
      </c>
      <c r="J202">
        <v>4.16</v>
      </c>
      <c r="K202">
        <v>4.1100000000000003</v>
      </c>
      <c r="L202">
        <v>3.63</v>
      </c>
      <c r="M202">
        <f t="shared" si="6"/>
        <v>3.9460000000000002</v>
      </c>
      <c r="N202">
        <f t="shared" si="7"/>
        <v>3.9124999999999996</v>
      </c>
    </row>
    <row r="203" spans="1:14" ht="14.25" customHeight="1" x14ac:dyDescent="0.3">
      <c r="A203" t="s">
        <v>422</v>
      </c>
      <c r="B203" t="s">
        <v>423</v>
      </c>
      <c r="C203">
        <v>4.01</v>
      </c>
      <c r="D203">
        <v>4.1100000000000003</v>
      </c>
      <c r="E203">
        <v>4.3099999999999996</v>
      </c>
      <c r="F203">
        <v>4.25</v>
      </c>
      <c r="G203">
        <v>4.2</v>
      </c>
      <c r="H203">
        <v>4.01</v>
      </c>
      <c r="I203">
        <v>4.21</v>
      </c>
      <c r="J203">
        <v>3.99</v>
      </c>
      <c r="K203">
        <v>3.92</v>
      </c>
      <c r="L203">
        <v>4.38</v>
      </c>
      <c r="M203">
        <f t="shared" si="6"/>
        <v>4.1760000000000002</v>
      </c>
      <c r="N203">
        <f t="shared" si="7"/>
        <v>4.1019999999999994</v>
      </c>
    </row>
    <row r="204" spans="1:14" ht="14.25" customHeight="1" x14ac:dyDescent="0.3">
      <c r="A204" t="s">
        <v>424</v>
      </c>
      <c r="B204" t="s">
        <v>425</v>
      </c>
      <c r="C204">
        <v>3.69</v>
      </c>
      <c r="D204">
        <v>4.09</v>
      </c>
      <c r="E204">
        <v>3.59</v>
      </c>
      <c r="F204">
        <v>4.24</v>
      </c>
      <c r="G204">
        <v>3.94</v>
      </c>
      <c r="H204">
        <v>4.3</v>
      </c>
      <c r="I204">
        <v>4.1100000000000003</v>
      </c>
      <c r="J204">
        <v>3.9</v>
      </c>
      <c r="K204">
        <v>4.32</v>
      </c>
      <c r="L204">
        <v>3.67</v>
      </c>
      <c r="M204">
        <f t="shared" si="6"/>
        <v>3.91</v>
      </c>
      <c r="N204">
        <f t="shared" si="7"/>
        <v>4.0600000000000005</v>
      </c>
    </row>
    <row r="205" spans="1:14" ht="14.25" customHeight="1" x14ac:dyDescent="0.3">
      <c r="A205" t="s">
        <v>426</v>
      </c>
      <c r="B205" t="s">
        <v>427</v>
      </c>
      <c r="C205">
        <v>3.65</v>
      </c>
      <c r="D205">
        <v>4.01</v>
      </c>
      <c r="E205">
        <v>3.89</v>
      </c>
      <c r="F205">
        <v>4.34</v>
      </c>
      <c r="G205">
        <v>3.49</v>
      </c>
      <c r="H205">
        <v>4.1900000000000004</v>
      </c>
      <c r="I205">
        <v>3.91</v>
      </c>
      <c r="J205">
        <v>3.9</v>
      </c>
      <c r="K205">
        <v>3.87</v>
      </c>
      <c r="L205">
        <v>3.78</v>
      </c>
      <c r="M205">
        <f t="shared" si="6"/>
        <v>3.8760000000000003</v>
      </c>
      <c r="N205">
        <f t="shared" si="7"/>
        <v>3.9300000000000006</v>
      </c>
    </row>
    <row r="206" spans="1:14" ht="14.25" customHeight="1" x14ac:dyDescent="0.3">
      <c r="A206" t="s">
        <v>428</v>
      </c>
      <c r="B206" t="s">
        <v>429</v>
      </c>
      <c r="C206">
        <v>3.73</v>
      </c>
      <c r="D206">
        <v>4.16</v>
      </c>
      <c r="E206">
        <v>4.2699999999999996</v>
      </c>
      <c r="F206">
        <v>4.0599999999999996</v>
      </c>
      <c r="H206">
        <v>4.54</v>
      </c>
      <c r="I206">
        <v>4.17</v>
      </c>
      <c r="J206">
        <v>3.65</v>
      </c>
      <c r="L206">
        <v>3.67</v>
      </c>
      <c r="M206">
        <f t="shared" si="6"/>
        <v>4.0549999999999997</v>
      </c>
      <c r="N206">
        <f t="shared" si="7"/>
        <v>4.0075000000000003</v>
      </c>
    </row>
    <row r="207" spans="1:14" ht="14.25" customHeight="1" x14ac:dyDescent="0.3">
      <c r="A207" t="s">
        <v>430</v>
      </c>
      <c r="B207" t="s">
        <v>431</v>
      </c>
      <c r="C207">
        <v>4.0999999999999996</v>
      </c>
      <c r="D207">
        <v>4.2</v>
      </c>
      <c r="E207">
        <v>3.87</v>
      </c>
      <c r="F207">
        <v>3.72</v>
      </c>
      <c r="G207">
        <v>4.32</v>
      </c>
      <c r="H207">
        <v>3.99</v>
      </c>
      <c r="I207">
        <v>3.81</v>
      </c>
      <c r="J207">
        <v>4.26</v>
      </c>
      <c r="K207">
        <v>4.2699999999999996</v>
      </c>
      <c r="L207">
        <v>4.25</v>
      </c>
      <c r="M207">
        <f t="shared" si="6"/>
        <v>4.0419999999999998</v>
      </c>
      <c r="N207">
        <f t="shared" si="7"/>
        <v>4.1159999999999997</v>
      </c>
    </row>
    <row r="208" spans="1:14" ht="14.25" customHeight="1" x14ac:dyDescent="0.3">
      <c r="A208" t="s">
        <v>432</v>
      </c>
      <c r="B208" t="s">
        <v>433</v>
      </c>
      <c r="C208">
        <v>4.25</v>
      </c>
      <c r="D208">
        <v>3.59</v>
      </c>
      <c r="E208">
        <v>3.92</v>
      </c>
      <c r="F208">
        <v>4.47</v>
      </c>
      <c r="G208">
        <v>4.2</v>
      </c>
      <c r="H208">
        <v>4.1399999999999997</v>
      </c>
      <c r="I208">
        <v>4.25</v>
      </c>
      <c r="J208">
        <v>4.2300000000000004</v>
      </c>
      <c r="K208">
        <v>4.25</v>
      </c>
      <c r="L208">
        <v>4.5</v>
      </c>
      <c r="M208">
        <f t="shared" si="6"/>
        <v>4.0860000000000003</v>
      </c>
      <c r="N208">
        <f t="shared" si="7"/>
        <v>4.274</v>
      </c>
    </row>
    <row r="209" spans="1:14" ht="14.25" customHeight="1" x14ac:dyDescent="0.3">
      <c r="A209" t="s">
        <v>434</v>
      </c>
      <c r="B209" t="s">
        <v>435</v>
      </c>
      <c r="C209">
        <v>3.9</v>
      </c>
      <c r="D209">
        <v>4.1399999999999997</v>
      </c>
      <c r="E209">
        <v>3.9</v>
      </c>
      <c r="F209">
        <v>4.1900000000000004</v>
      </c>
      <c r="G209">
        <v>3.73</v>
      </c>
      <c r="H209">
        <v>3.68</v>
      </c>
      <c r="I209">
        <v>3.21</v>
      </c>
      <c r="J209">
        <v>2.96</v>
      </c>
      <c r="K209">
        <v>3.7</v>
      </c>
      <c r="L209">
        <v>3.92</v>
      </c>
      <c r="M209">
        <f t="shared" si="6"/>
        <v>3.972</v>
      </c>
      <c r="N209">
        <f t="shared" si="7"/>
        <v>3.4939999999999998</v>
      </c>
    </row>
    <row r="210" spans="1:14" ht="14.25" customHeight="1" x14ac:dyDescent="0.3">
      <c r="A210" t="s">
        <v>436</v>
      </c>
      <c r="B210" t="s">
        <v>437</v>
      </c>
      <c r="C210">
        <v>3.91</v>
      </c>
      <c r="D210" t="s">
        <v>438</v>
      </c>
      <c r="E210">
        <v>4.33</v>
      </c>
      <c r="F210">
        <v>4.1500000000000004</v>
      </c>
      <c r="G210">
        <v>4.22</v>
      </c>
      <c r="H210">
        <v>4.0599999999999996</v>
      </c>
      <c r="I210">
        <v>4.38</v>
      </c>
      <c r="J210">
        <v>3.29</v>
      </c>
      <c r="K210">
        <v>3.68</v>
      </c>
      <c r="L210">
        <v>4.04</v>
      </c>
      <c r="M210">
        <f t="shared" si="6"/>
        <v>4.1524999999999999</v>
      </c>
      <c r="N210">
        <f t="shared" si="7"/>
        <v>3.8899999999999997</v>
      </c>
    </row>
    <row r="211" spans="1:14" ht="14.25" customHeight="1" x14ac:dyDescent="0.3">
      <c r="A211" t="s">
        <v>439</v>
      </c>
      <c r="B211" t="s">
        <v>440</v>
      </c>
      <c r="C211">
        <v>3.96</v>
      </c>
      <c r="D211">
        <v>3.71</v>
      </c>
      <c r="E211">
        <v>4.26</v>
      </c>
      <c r="F211">
        <v>4.41</v>
      </c>
      <c r="G211">
        <v>4.1100000000000003</v>
      </c>
      <c r="H211">
        <v>3.83</v>
      </c>
      <c r="I211">
        <v>4.2699999999999996</v>
      </c>
      <c r="J211">
        <v>4.0999999999999996</v>
      </c>
      <c r="K211">
        <v>3.92</v>
      </c>
      <c r="L211">
        <v>4.59</v>
      </c>
      <c r="M211">
        <f t="shared" si="6"/>
        <v>4.09</v>
      </c>
      <c r="N211">
        <f t="shared" si="7"/>
        <v>4.1419999999999995</v>
      </c>
    </row>
    <row r="212" spans="1:14" ht="14.25" customHeight="1" x14ac:dyDescent="0.3">
      <c r="A212" t="s">
        <v>441</v>
      </c>
      <c r="B212" t="s">
        <v>442</v>
      </c>
      <c r="C212">
        <v>3.9</v>
      </c>
      <c r="D212">
        <v>4</v>
      </c>
      <c r="E212">
        <v>4.47</v>
      </c>
      <c r="F212">
        <v>4.41</v>
      </c>
      <c r="G212">
        <v>4.1900000000000004</v>
      </c>
      <c r="H212">
        <v>3.78</v>
      </c>
      <c r="I212">
        <v>4.09</v>
      </c>
      <c r="J212">
        <v>3.97</v>
      </c>
      <c r="L212">
        <v>3.66</v>
      </c>
      <c r="M212">
        <f t="shared" si="6"/>
        <v>4.1940000000000008</v>
      </c>
      <c r="N212">
        <f t="shared" si="7"/>
        <v>3.875</v>
      </c>
    </row>
    <row r="213" spans="1:14" ht="14.25" customHeight="1" x14ac:dyDescent="0.3">
      <c r="A213" t="s">
        <v>443</v>
      </c>
      <c r="B213" t="s">
        <v>444</v>
      </c>
      <c r="C213">
        <v>4.01</v>
      </c>
      <c r="D213">
        <v>3.59</v>
      </c>
      <c r="E213">
        <v>4.0599999999999996</v>
      </c>
      <c r="F213">
        <v>4.7</v>
      </c>
      <c r="G213" t="s">
        <v>445</v>
      </c>
      <c r="H213">
        <v>4.0999999999999996</v>
      </c>
      <c r="I213">
        <v>4.1399999999999997</v>
      </c>
      <c r="J213">
        <v>3.95</v>
      </c>
      <c r="K213">
        <v>4.16</v>
      </c>
      <c r="L213">
        <v>3.93</v>
      </c>
      <c r="M213">
        <f t="shared" si="6"/>
        <v>4.09</v>
      </c>
      <c r="N213">
        <f t="shared" si="7"/>
        <v>4.0559999999999992</v>
      </c>
    </row>
    <row r="214" spans="1:14" ht="14.25" customHeight="1" x14ac:dyDescent="0.3">
      <c r="A214" t="s">
        <v>446</v>
      </c>
      <c r="B214" t="s">
        <v>447</v>
      </c>
      <c r="C214">
        <v>4.21</v>
      </c>
      <c r="D214">
        <v>3.65</v>
      </c>
      <c r="E214">
        <v>3.75</v>
      </c>
      <c r="F214">
        <v>4.46</v>
      </c>
      <c r="G214">
        <v>3.92</v>
      </c>
      <c r="H214">
        <v>3.91</v>
      </c>
      <c r="I214">
        <v>4.1900000000000004</v>
      </c>
      <c r="J214">
        <v>4.22</v>
      </c>
      <c r="K214">
        <v>4.08</v>
      </c>
      <c r="L214">
        <v>4.16</v>
      </c>
      <c r="M214">
        <f t="shared" si="6"/>
        <v>3.9980000000000002</v>
      </c>
      <c r="N214">
        <f t="shared" si="7"/>
        <v>4.1120000000000001</v>
      </c>
    </row>
    <row r="215" spans="1:14" ht="14.25" customHeight="1" x14ac:dyDescent="0.3">
      <c r="A215" t="s">
        <v>448</v>
      </c>
      <c r="B215" t="s">
        <v>449</v>
      </c>
      <c r="C215">
        <v>3.97</v>
      </c>
      <c r="D215">
        <v>4.4400000000000004</v>
      </c>
      <c r="E215">
        <v>3.83</v>
      </c>
      <c r="F215">
        <v>4.5</v>
      </c>
      <c r="G215">
        <v>3.99</v>
      </c>
      <c r="H215">
        <v>4.29</v>
      </c>
      <c r="I215">
        <v>4.63</v>
      </c>
      <c r="J215">
        <v>3.33</v>
      </c>
      <c r="K215">
        <v>3.99</v>
      </c>
      <c r="L215">
        <v>3.92</v>
      </c>
      <c r="M215">
        <f t="shared" si="6"/>
        <v>4.1460000000000008</v>
      </c>
      <c r="N215">
        <f t="shared" si="7"/>
        <v>4.0320000000000009</v>
      </c>
    </row>
    <row r="216" spans="1:14" ht="14.25" customHeight="1" x14ac:dyDescent="0.3">
      <c r="A216" t="s">
        <v>450</v>
      </c>
      <c r="B216" t="s">
        <v>451</v>
      </c>
      <c r="C216">
        <v>4.6900000000000004</v>
      </c>
      <c r="D216">
        <v>4.0199999999999996</v>
      </c>
      <c r="E216">
        <v>4.5</v>
      </c>
      <c r="F216">
        <v>4.51</v>
      </c>
      <c r="G216">
        <v>4.05</v>
      </c>
      <c r="H216">
        <v>4.55</v>
      </c>
      <c r="I216">
        <v>4.3099999999999996</v>
      </c>
      <c r="J216">
        <v>3.57</v>
      </c>
      <c r="K216">
        <v>3.88</v>
      </c>
      <c r="L216">
        <v>3.72</v>
      </c>
      <c r="M216">
        <f t="shared" si="6"/>
        <v>4.3540000000000001</v>
      </c>
      <c r="N216">
        <f t="shared" si="7"/>
        <v>4.0059999999999993</v>
      </c>
    </row>
    <row r="217" spans="1:14" ht="14.25" customHeight="1" x14ac:dyDescent="0.3">
      <c r="A217" t="s">
        <v>452</v>
      </c>
      <c r="B217" t="s">
        <v>453</v>
      </c>
      <c r="C217">
        <v>3.83</v>
      </c>
      <c r="D217">
        <v>3.83</v>
      </c>
      <c r="E217">
        <v>4.5599999999999996</v>
      </c>
      <c r="F217">
        <v>4.3099999999999996</v>
      </c>
      <c r="G217">
        <v>4.09</v>
      </c>
      <c r="H217">
        <v>3.73</v>
      </c>
      <c r="I217">
        <v>4.05</v>
      </c>
      <c r="J217">
        <v>3.56</v>
      </c>
      <c r="K217">
        <v>4.3</v>
      </c>
      <c r="L217">
        <v>3.8</v>
      </c>
      <c r="M217">
        <f t="shared" si="6"/>
        <v>4.1239999999999997</v>
      </c>
      <c r="N217">
        <f t="shared" si="7"/>
        <v>3.8880000000000003</v>
      </c>
    </row>
    <row r="218" spans="1:14" ht="14.25" customHeight="1" x14ac:dyDescent="0.3">
      <c r="A218" t="s">
        <v>454</v>
      </c>
      <c r="B218" t="s">
        <v>455</v>
      </c>
      <c r="C218">
        <v>3.49</v>
      </c>
      <c r="D218">
        <v>3.73</v>
      </c>
      <c r="E218">
        <v>4.13</v>
      </c>
      <c r="F218">
        <v>3.93</v>
      </c>
      <c r="G218">
        <v>4.5</v>
      </c>
      <c r="H218">
        <v>3.97</v>
      </c>
      <c r="I218">
        <v>3.85</v>
      </c>
      <c r="J218">
        <v>3.46</v>
      </c>
      <c r="K218">
        <v>4.1399999999999997</v>
      </c>
      <c r="L218">
        <v>3.74</v>
      </c>
      <c r="M218">
        <f t="shared" si="6"/>
        <v>3.9560000000000004</v>
      </c>
      <c r="N218">
        <f t="shared" si="7"/>
        <v>3.8320000000000007</v>
      </c>
    </row>
    <row r="219" spans="1:14" ht="14.25" customHeight="1" x14ac:dyDescent="0.3">
      <c r="A219" t="s">
        <v>456</v>
      </c>
      <c r="B219" t="s">
        <v>457</v>
      </c>
      <c r="C219">
        <v>3.77</v>
      </c>
      <c r="D219">
        <v>4.0599999999999996</v>
      </c>
      <c r="E219">
        <v>3.97</v>
      </c>
      <c r="F219">
        <v>4.4400000000000004</v>
      </c>
      <c r="H219">
        <v>4.51</v>
      </c>
      <c r="I219">
        <v>4.21</v>
      </c>
      <c r="J219">
        <v>3.39</v>
      </c>
      <c r="K219">
        <v>4.0599999999999996</v>
      </c>
      <c r="L219">
        <v>3.95</v>
      </c>
      <c r="M219">
        <f t="shared" si="6"/>
        <v>4.0600000000000005</v>
      </c>
      <c r="N219">
        <f t="shared" si="7"/>
        <v>4.0239999999999991</v>
      </c>
    </row>
    <row r="220" spans="1:14" ht="14.25" customHeight="1" x14ac:dyDescent="0.3">
      <c r="A220" t="s">
        <v>458</v>
      </c>
      <c r="B220" t="s">
        <v>459</v>
      </c>
      <c r="C220">
        <v>4.5</v>
      </c>
      <c r="D220">
        <v>4.49</v>
      </c>
      <c r="E220">
        <v>4.04</v>
      </c>
      <c r="F220">
        <v>4.05</v>
      </c>
      <c r="G220">
        <v>4.26</v>
      </c>
      <c r="H220">
        <v>3.99</v>
      </c>
      <c r="I220">
        <v>3.99</v>
      </c>
      <c r="J220">
        <v>3.89</v>
      </c>
      <c r="K220">
        <v>3.94</v>
      </c>
      <c r="L220">
        <v>3.9</v>
      </c>
      <c r="M220">
        <f t="shared" si="6"/>
        <v>4.2680000000000007</v>
      </c>
      <c r="N220">
        <f t="shared" si="7"/>
        <v>3.9420000000000002</v>
      </c>
    </row>
    <row r="221" spans="1:14" ht="14.25" customHeight="1" x14ac:dyDescent="0.3">
      <c r="A221" t="s">
        <v>460</v>
      </c>
      <c r="B221" t="s">
        <v>461</v>
      </c>
      <c r="D221">
        <v>3.85</v>
      </c>
      <c r="E221">
        <v>3.57</v>
      </c>
      <c r="F221">
        <v>4.55</v>
      </c>
      <c r="G221">
        <v>4.21</v>
      </c>
      <c r="H221">
        <v>4.33</v>
      </c>
      <c r="I221">
        <v>3.88</v>
      </c>
      <c r="J221">
        <v>4.5199999999999996</v>
      </c>
      <c r="K221">
        <v>4.0999999999999996</v>
      </c>
      <c r="L221">
        <v>4.51</v>
      </c>
      <c r="M221">
        <f t="shared" si="6"/>
        <v>4.0449999999999999</v>
      </c>
      <c r="N221">
        <f t="shared" si="7"/>
        <v>4.2679999999999989</v>
      </c>
    </row>
    <row r="222" spans="1:14" ht="14.25" customHeight="1" x14ac:dyDescent="0.3">
      <c r="A222" t="s">
        <v>462</v>
      </c>
      <c r="B222" t="s">
        <v>463</v>
      </c>
      <c r="C222">
        <v>4.08</v>
      </c>
      <c r="D222">
        <v>4.18</v>
      </c>
      <c r="E222">
        <v>3.73</v>
      </c>
      <c r="F222">
        <v>3.83</v>
      </c>
      <c r="G222">
        <v>4.01</v>
      </c>
      <c r="H222">
        <v>4.0599999999999996</v>
      </c>
      <c r="I222">
        <v>3.96</v>
      </c>
      <c r="J222">
        <v>4.18</v>
      </c>
      <c r="K222">
        <v>4.3600000000000003</v>
      </c>
      <c r="L222">
        <v>3.67</v>
      </c>
      <c r="M222">
        <f t="shared" si="6"/>
        <v>3.9659999999999997</v>
      </c>
      <c r="N222">
        <f t="shared" si="7"/>
        <v>4.0459999999999994</v>
      </c>
    </row>
    <row r="223" spans="1:14" ht="14.25" customHeight="1" x14ac:dyDescent="0.3">
      <c r="A223" t="s">
        <v>464</v>
      </c>
      <c r="B223" t="s">
        <v>465</v>
      </c>
      <c r="C223">
        <v>4.07</v>
      </c>
      <c r="D223">
        <v>4.1900000000000004</v>
      </c>
      <c r="E223">
        <v>4.0999999999999996</v>
      </c>
      <c r="F223">
        <v>3.91</v>
      </c>
      <c r="G223">
        <v>3.87</v>
      </c>
      <c r="H223">
        <v>4.25</v>
      </c>
      <c r="I223">
        <v>3.62</v>
      </c>
      <c r="J223">
        <v>4.4400000000000004</v>
      </c>
      <c r="K223">
        <v>4.37</v>
      </c>
      <c r="L223">
        <v>3.72</v>
      </c>
      <c r="M223">
        <f t="shared" si="6"/>
        <v>4.0280000000000005</v>
      </c>
      <c r="N223">
        <f t="shared" si="7"/>
        <v>4.08</v>
      </c>
    </row>
    <row r="224" spans="1:14" ht="14.25" customHeight="1" x14ac:dyDescent="0.3">
      <c r="A224" t="s">
        <v>466</v>
      </c>
      <c r="B224" t="s">
        <v>467</v>
      </c>
      <c r="C224">
        <v>4.01</v>
      </c>
      <c r="D224">
        <v>4.04</v>
      </c>
      <c r="E224">
        <v>3.85</v>
      </c>
      <c r="F224">
        <v>3.77</v>
      </c>
      <c r="G224">
        <v>3.97</v>
      </c>
      <c r="H224">
        <v>3.61</v>
      </c>
      <c r="I224">
        <v>4.24</v>
      </c>
      <c r="J224">
        <v>4.32</v>
      </c>
      <c r="K224">
        <v>3.8</v>
      </c>
      <c r="L224">
        <v>3.47</v>
      </c>
      <c r="M224">
        <f t="shared" si="6"/>
        <v>3.9279999999999999</v>
      </c>
      <c r="N224">
        <f t="shared" si="7"/>
        <v>3.8879999999999995</v>
      </c>
    </row>
    <row r="225" spans="1:14" ht="14.25" customHeight="1" x14ac:dyDescent="0.3">
      <c r="A225" t="s">
        <v>468</v>
      </c>
      <c r="B225" t="s">
        <v>469</v>
      </c>
      <c r="C225">
        <v>4.1500000000000004</v>
      </c>
      <c r="D225">
        <v>4.18</v>
      </c>
      <c r="E225">
        <v>4.01</v>
      </c>
      <c r="F225">
        <v>3.75</v>
      </c>
      <c r="H225">
        <v>4.29</v>
      </c>
      <c r="I225">
        <v>4.0599999999999996</v>
      </c>
      <c r="J225">
        <v>4.51</v>
      </c>
      <c r="K225">
        <v>4.05</v>
      </c>
      <c r="L225">
        <v>4.4800000000000004</v>
      </c>
      <c r="M225">
        <f t="shared" si="6"/>
        <v>4.0225</v>
      </c>
      <c r="N225">
        <f t="shared" si="7"/>
        <v>4.2780000000000005</v>
      </c>
    </row>
    <row r="226" spans="1:14" ht="14.25" customHeight="1" x14ac:dyDescent="0.3">
      <c r="A226" t="s">
        <v>470</v>
      </c>
      <c r="B226" t="s">
        <v>471</v>
      </c>
      <c r="C226">
        <v>4.1399999999999997</v>
      </c>
      <c r="E226">
        <v>4.32</v>
      </c>
      <c r="F226">
        <v>3.67</v>
      </c>
      <c r="G226">
        <v>3.93</v>
      </c>
      <c r="H226">
        <v>4.42</v>
      </c>
      <c r="I226">
        <v>3.52</v>
      </c>
      <c r="J226">
        <v>4.0199999999999996</v>
      </c>
      <c r="K226">
        <v>4.0199999999999996</v>
      </c>
      <c r="L226">
        <v>4.1500000000000004</v>
      </c>
      <c r="M226">
        <f t="shared" si="6"/>
        <v>4.0150000000000006</v>
      </c>
      <c r="N226">
        <f t="shared" si="7"/>
        <v>4.0259999999999998</v>
      </c>
    </row>
    <row r="227" spans="1:14" ht="14.25" customHeight="1" x14ac:dyDescent="0.3">
      <c r="A227" t="s">
        <v>472</v>
      </c>
      <c r="B227" t="s">
        <v>473</v>
      </c>
      <c r="C227">
        <v>3.87</v>
      </c>
      <c r="D227">
        <v>4.21</v>
      </c>
      <c r="E227">
        <v>3.97</v>
      </c>
      <c r="F227">
        <v>3.96</v>
      </c>
      <c r="G227">
        <v>4.09</v>
      </c>
      <c r="H227">
        <v>4.0199999999999996</v>
      </c>
      <c r="I227">
        <v>3.87</v>
      </c>
      <c r="J227">
        <v>4.26</v>
      </c>
      <c r="K227">
        <v>3.59</v>
      </c>
      <c r="L227">
        <v>4.45</v>
      </c>
      <c r="M227">
        <f t="shared" si="6"/>
        <v>4.0200000000000005</v>
      </c>
      <c r="N227">
        <f t="shared" si="7"/>
        <v>4.0379999999999994</v>
      </c>
    </row>
    <row r="228" spans="1:14" ht="14.25" customHeight="1" x14ac:dyDescent="0.3">
      <c r="A228" t="s">
        <v>474</v>
      </c>
      <c r="B228" t="s">
        <v>475</v>
      </c>
      <c r="C228">
        <v>3.86</v>
      </c>
      <c r="D228">
        <v>3.99</v>
      </c>
      <c r="E228">
        <v>3.12</v>
      </c>
      <c r="F228">
        <v>4.22</v>
      </c>
      <c r="G228">
        <v>4.43</v>
      </c>
      <c r="H228">
        <v>4.24</v>
      </c>
      <c r="I228">
        <v>4.2699999999999996</v>
      </c>
      <c r="J228">
        <v>4.07</v>
      </c>
      <c r="K228">
        <v>4.74</v>
      </c>
      <c r="L228">
        <v>3.69</v>
      </c>
      <c r="M228">
        <f t="shared" si="6"/>
        <v>3.9239999999999995</v>
      </c>
      <c r="N228">
        <f t="shared" si="7"/>
        <v>4.202</v>
      </c>
    </row>
    <row r="229" spans="1:14" ht="14.25" customHeight="1" x14ac:dyDescent="0.3">
      <c r="A229" t="s">
        <v>476</v>
      </c>
      <c r="B229" t="s">
        <v>477</v>
      </c>
      <c r="C229">
        <v>3.94</v>
      </c>
      <c r="D229">
        <v>4.54</v>
      </c>
      <c r="E229">
        <v>4.09</v>
      </c>
      <c r="F229">
        <v>3.72</v>
      </c>
      <c r="G229">
        <v>3.68</v>
      </c>
      <c r="H229">
        <v>4.3099999999999996</v>
      </c>
      <c r="I229">
        <v>3.87</v>
      </c>
      <c r="J229">
        <v>4.01</v>
      </c>
      <c r="K229">
        <v>4.16</v>
      </c>
      <c r="L229">
        <v>4.12</v>
      </c>
      <c r="M229">
        <f t="shared" si="6"/>
        <v>3.9939999999999998</v>
      </c>
      <c r="N229">
        <f t="shared" si="7"/>
        <v>4.0940000000000003</v>
      </c>
    </row>
    <row r="230" spans="1:14" ht="14.25" customHeight="1" x14ac:dyDescent="0.3">
      <c r="A230" t="s">
        <v>478</v>
      </c>
      <c r="B230" t="s">
        <v>479</v>
      </c>
      <c r="C230">
        <v>3.74</v>
      </c>
      <c r="D230">
        <v>3.98</v>
      </c>
      <c r="E230">
        <v>3.65</v>
      </c>
      <c r="F230">
        <v>3.6</v>
      </c>
      <c r="G230">
        <v>4</v>
      </c>
      <c r="H230">
        <v>3.94</v>
      </c>
      <c r="I230">
        <v>3.89</v>
      </c>
      <c r="J230">
        <v>3.56</v>
      </c>
      <c r="K230">
        <v>4.1100000000000003</v>
      </c>
      <c r="L230">
        <v>3.96</v>
      </c>
      <c r="M230">
        <f t="shared" si="6"/>
        <v>3.7939999999999996</v>
      </c>
      <c r="N230">
        <f t="shared" si="7"/>
        <v>3.8920000000000003</v>
      </c>
    </row>
    <row r="231" spans="1:14" ht="14.25" customHeight="1" x14ac:dyDescent="0.3">
      <c r="A231" t="s">
        <v>480</v>
      </c>
      <c r="B231" t="s">
        <v>481</v>
      </c>
      <c r="C231">
        <v>4.38</v>
      </c>
      <c r="D231">
        <v>4.34</v>
      </c>
      <c r="E231">
        <v>4.5</v>
      </c>
      <c r="F231">
        <v>4.21</v>
      </c>
      <c r="G231">
        <v>3.94</v>
      </c>
      <c r="H231">
        <v>3.88</v>
      </c>
      <c r="I231">
        <v>4.22</v>
      </c>
      <c r="J231">
        <v>4.0599999999999996</v>
      </c>
      <c r="K231">
        <v>4.42</v>
      </c>
      <c r="L231">
        <v>4.08</v>
      </c>
      <c r="M231">
        <f t="shared" si="6"/>
        <v>4.274</v>
      </c>
      <c r="N231">
        <f t="shared" si="7"/>
        <v>4.1319999999999997</v>
      </c>
    </row>
    <row r="232" spans="1:14" ht="14.25" customHeight="1" x14ac:dyDescent="0.3">
      <c r="A232" t="s">
        <v>482</v>
      </c>
      <c r="B232" t="s">
        <v>483</v>
      </c>
      <c r="C232">
        <v>3.46</v>
      </c>
      <c r="D232">
        <v>3.99</v>
      </c>
      <c r="E232">
        <v>4.03</v>
      </c>
      <c r="F232">
        <v>4.3600000000000003</v>
      </c>
      <c r="G232">
        <v>4.05</v>
      </c>
      <c r="H232">
        <v>3.4</v>
      </c>
      <c r="I232">
        <v>4.03</v>
      </c>
      <c r="J232">
        <v>3.89</v>
      </c>
      <c r="K232">
        <v>4.28</v>
      </c>
      <c r="L232">
        <v>3.88</v>
      </c>
      <c r="M232">
        <f t="shared" si="6"/>
        <v>3.9780000000000002</v>
      </c>
      <c r="N232">
        <f t="shared" si="7"/>
        <v>3.8959999999999999</v>
      </c>
    </row>
    <row r="233" spans="1:14" ht="14.25" customHeight="1" x14ac:dyDescent="0.3">
      <c r="A233" t="s">
        <v>484</v>
      </c>
      <c r="B233" t="s">
        <v>485</v>
      </c>
      <c r="C233">
        <v>3.8</v>
      </c>
      <c r="D233">
        <v>4.01</v>
      </c>
      <c r="E233">
        <v>4.49</v>
      </c>
      <c r="F233">
        <v>3.98</v>
      </c>
      <c r="G233">
        <v>3.67</v>
      </c>
      <c r="H233">
        <v>4.0599999999999996</v>
      </c>
      <c r="I233">
        <v>4.6500000000000004</v>
      </c>
      <c r="J233">
        <v>4.2699999999999996</v>
      </c>
      <c r="K233">
        <v>4.1399999999999997</v>
      </c>
      <c r="L233">
        <v>4.21</v>
      </c>
      <c r="M233">
        <f t="shared" si="6"/>
        <v>3.9900000000000007</v>
      </c>
      <c r="N233">
        <f t="shared" si="7"/>
        <v>4.266</v>
      </c>
    </row>
    <row r="234" spans="1:14" ht="14.25" customHeight="1" x14ac:dyDescent="0.3">
      <c r="A234" t="s">
        <v>486</v>
      </c>
      <c r="B234" t="s">
        <v>487</v>
      </c>
      <c r="C234">
        <v>4.0999999999999996</v>
      </c>
      <c r="D234">
        <v>4.43</v>
      </c>
      <c r="E234">
        <v>4.66</v>
      </c>
      <c r="F234">
        <v>4.22</v>
      </c>
      <c r="G234">
        <v>4.0599999999999996</v>
      </c>
      <c r="H234">
        <v>4.41</v>
      </c>
      <c r="I234">
        <v>3.91</v>
      </c>
      <c r="J234">
        <v>4.17</v>
      </c>
      <c r="K234">
        <v>4.62</v>
      </c>
      <c r="L234">
        <v>3.79</v>
      </c>
      <c r="M234">
        <f t="shared" si="6"/>
        <v>4.2939999999999996</v>
      </c>
      <c r="N234">
        <f t="shared" si="7"/>
        <v>4.18</v>
      </c>
    </row>
    <row r="235" spans="1:14" ht="14.25" customHeight="1" x14ac:dyDescent="0.3">
      <c r="A235" t="s">
        <v>488</v>
      </c>
      <c r="B235" t="s">
        <v>489</v>
      </c>
      <c r="C235">
        <v>4.09</v>
      </c>
      <c r="D235">
        <v>4.29</v>
      </c>
      <c r="E235">
        <v>4.29</v>
      </c>
      <c r="F235">
        <v>3.91</v>
      </c>
      <c r="G235">
        <v>4.24</v>
      </c>
      <c r="H235">
        <v>3.68</v>
      </c>
      <c r="I235">
        <v>4.4000000000000004</v>
      </c>
      <c r="J235">
        <v>4.38</v>
      </c>
      <c r="K235">
        <v>4.2699999999999996</v>
      </c>
      <c r="L235">
        <v>4.12</v>
      </c>
      <c r="M235">
        <f t="shared" si="6"/>
        <v>4.1639999999999997</v>
      </c>
      <c r="N235">
        <f t="shared" si="7"/>
        <v>4.17</v>
      </c>
    </row>
    <row r="236" spans="1:14" ht="14.25" customHeight="1" x14ac:dyDescent="0.3">
      <c r="A236" t="s">
        <v>490</v>
      </c>
      <c r="B236" t="s">
        <v>491</v>
      </c>
      <c r="C236">
        <v>4.17</v>
      </c>
      <c r="D236">
        <v>4.0199999999999996</v>
      </c>
      <c r="E236">
        <v>3.8</v>
      </c>
      <c r="F236">
        <v>4.1100000000000003</v>
      </c>
      <c r="G236">
        <v>4.21</v>
      </c>
      <c r="H236">
        <v>3.81</v>
      </c>
      <c r="I236">
        <v>4.01</v>
      </c>
      <c r="J236">
        <v>4.04</v>
      </c>
      <c r="K236">
        <v>4.18</v>
      </c>
      <c r="L236">
        <v>4.4400000000000004</v>
      </c>
      <c r="M236">
        <f t="shared" si="6"/>
        <v>4.0619999999999994</v>
      </c>
      <c r="N236">
        <f t="shared" si="7"/>
        <v>4.0960000000000001</v>
      </c>
    </row>
    <row r="237" spans="1:14" ht="14.25" customHeight="1" x14ac:dyDescent="0.3">
      <c r="A237" t="s">
        <v>492</v>
      </c>
      <c r="B237" t="s">
        <v>493</v>
      </c>
      <c r="C237">
        <v>3.63</v>
      </c>
      <c r="D237">
        <v>4.1500000000000004</v>
      </c>
      <c r="E237">
        <v>3.5</v>
      </c>
      <c r="F237">
        <v>4.07</v>
      </c>
      <c r="G237">
        <v>4.28</v>
      </c>
      <c r="H237">
        <v>4.7</v>
      </c>
      <c r="I237">
        <v>4.07</v>
      </c>
      <c r="J237">
        <v>3.81</v>
      </c>
      <c r="K237">
        <v>4.38</v>
      </c>
      <c r="L237">
        <v>4.0599999999999996</v>
      </c>
      <c r="M237">
        <f t="shared" si="6"/>
        <v>3.9260000000000006</v>
      </c>
      <c r="N237">
        <f t="shared" si="7"/>
        <v>4.2039999999999997</v>
      </c>
    </row>
    <row r="238" spans="1:14" ht="14.25" customHeight="1" x14ac:dyDescent="0.3">
      <c r="A238" t="s">
        <v>494</v>
      </c>
      <c r="B238" t="s">
        <v>495</v>
      </c>
      <c r="C238">
        <v>3.7</v>
      </c>
      <c r="D238">
        <v>4.55</v>
      </c>
      <c r="E238">
        <v>4.6100000000000003</v>
      </c>
      <c r="F238">
        <v>3.5</v>
      </c>
      <c r="G238">
        <v>4.5199999999999996</v>
      </c>
      <c r="H238">
        <v>4.05</v>
      </c>
      <c r="I238">
        <v>4.3499999999999996</v>
      </c>
      <c r="J238">
        <v>3.63</v>
      </c>
      <c r="K238">
        <v>4.3600000000000003</v>
      </c>
      <c r="L238">
        <v>4.29</v>
      </c>
      <c r="M238">
        <f t="shared" si="6"/>
        <v>4.1760000000000002</v>
      </c>
      <c r="N238">
        <f t="shared" si="7"/>
        <v>4.1359999999999992</v>
      </c>
    </row>
    <row r="239" spans="1:14" ht="14.25" customHeight="1" x14ac:dyDescent="0.3">
      <c r="A239" t="s">
        <v>496</v>
      </c>
      <c r="B239" t="s">
        <v>497</v>
      </c>
      <c r="C239">
        <v>3.94</v>
      </c>
      <c r="D239">
        <v>4.0599999999999996</v>
      </c>
      <c r="E239">
        <v>4.55</v>
      </c>
      <c r="G239">
        <v>4.6500000000000004</v>
      </c>
      <c r="H239">
        <v>4.45</v>
      </c>
      <c r="I239">
        <v>4.3600000000000003</v>
      </c>
      <c r="J239">
        <v>3.82</v>
      </c>
      <c r="K239">
        <v>3.96</v>
      </c>
      <c r="L239">
        <v>3.76</v>
      </c>
      <c r="M239">
        <f t="shared" si="6"/>
        <v>4.3000000000000007</v>
      </c>
      <c r="N239">
        <f t="shared" si="7"/>
        <v>4.07</v>
      </c>
    </row>
    <row r="240" spans="1:14" ht="14.25" customHeight="1" x14ac:dyDescent="0.3">
      <c r="A240" t="s">
        <v>498</v>
      </c>
      <c r="B240" t="s">
        <v>499</v>
      </c>
      <c r="C240">
        <v>3.59</v>
      </c>
      <c r="D240">
        <v>4.03</v>
      </c>
      <c r="E240">
        <v>3.71</v>
      </c>
      <c r="F240">
        <v>4.3099999999999996</v>
      </c>
      <c r="G240">
        <v>4.49</v>
      </c>
      <c r="H240">
        <v>4.2300000000000004</v>
      </c>
      <c r="I240">
        <v>4.2300000000000004</v>
      </c>
      <c r="J240">
        <v>4.24</v>
      </c>
      <c r="K240">
        <v>4.4800000000000004</v>
      </c>
      <c r="L240">
        <v>3.46</v>
      </c>
      <c r="M240">
        <f t="shared" si="6"/>
        <v>4.0260000000000007</v>
      </c>
      <c r="N240">
        <f t="shared" si="7"/>
        <v>4.1280000000000001</v>
      </c>
    </row>
    <row r="241" spans="1:14" ht="14.25" customHeight="1" x14ac:dyDescent="0.3">
      <c r="A241" t="s">
        <v>500</v>
      </c>
      <c r="B241" t="s">
        <v>501</v>
      </c>
      <c r="C241">
        <v>3.94</v>
      </c>
      <c r="D241">
        <v>4.28</v>
      </c>
      <c r="E241">
        <v>4.24</v>
      </c>
      <c r="F241">
        <v>4.1500000000000004</v>
      </c>
      <c r="G241">
        <v>4.13</v>
      </c>
      <c r="H241">
        <v>3.63</v>
      </c>
      <c r="I241">
        <v>4.16</v>
      </c>
      <c r="J241">
        <v>4.21</v>
      </c>
      <c r="K241">
        <v>3.73</v>
      </c>
      <c r="L241">
        <v>4.12</v>
      </c>
      <c r="M241">
        <f t="shared" si="6"/>
        <v>4.1479999999999997</v>
      </c>
      <c r="N241">
        <f t="shared" si="7"/>
        <v>3.97</v>
      </c>
    </row>
    <row r="242" spans="1:14" ht="14.25" customHeight="1" x14ac:dyDescent="0.3">
      <c r="A242" t="s">
        <v>502</v>
      </c>
      <c r="B242" t="s">
        <v>503</v>
      </c>
      <c r="C242">
        <v>4.26</v>
      </c>
      <c r="D242">
        <v>4</v>
      </c>
      <c r="E242">
        <v>3.96</v>
      </c>
      <c r="F242">
        <v>4.28</v>
      </c>
      <c r="G242">
        <v>4.1900000000000004</v>
      </c>
      <c r="H242">
        <v>4.18</v>
      </c>
      <c r="I242">
        <v>3.82</v>
      </c>
      <c r="J242">
        <v>3.5</v>
      </c>
      <c r="K242">
        <v>4.0199999999999996</v>
      </c>
      <c r="L242">
        <v>3.96</v>
      </c>
      <c r="M242">
        <f t="shared" si="6"/>
        <v>4.1379999999999999</v>
      </c>
      <c r="N242">
        <f t="shared" si="7"/>
        <v>3.8959999999999999</v>
      </c>
    </row>
    <row r="243" spans="1:14" ht="14.25" customHeight="1" x14ac:dyDescent="0.3">
      <c r="A243" t="s">
        <v>504</v>
      </c>
      <c r="B243" t="s">
        <v>505</v>
      </c>
      <c r="C243">
        <v>4.25</v>
      </c>
      <c r="D243">
        <v>4.18</v>
      </c>
      <c r="E243">
        <v>3.81</v>
      </c>
      <c r="F243">
        <v>4.3499999999999996</v>
      </c>
      <c r="G243">
        <v>3.94</v>
      </c>
      <c r="H243">
        <v>3.83</v>
      </c>
      <c r="I243">
        <v>4.13</v>
      </c>
      <c r="J243">
        <v>4.05</v>
      </c>
      <c r="K243">
        <v>3.76</v>
      </c>
      <c r="L243">
        <v>4.25</v>
      </c>
      <c r="M243">
        <f t="shared" si="6"/>
        <v>4.1059999999999999</v>
      </c>
      <c r="N243">
        <f t="shared" si="7"/>
        <v>4.0039999999999996</v>
      </c>
    </row>
    <row r="244" spans="1:14" ht="14.25" customHeight="1" x14ac:dyDescent="0.3">
      <c r="A244" t="s">
        <v>506</v>
      </c>
      <c r="B244" t="s">
        <v>507</v>
      </c>
      <c r="C244">
        <v>4.17</v>
      </c>
      <c r="D244">
        <v>4.13</v>
      </c>
      <c r="E244">
        <v>4.09</v>
      </c>
      <c r="F244">
        <v>3.89</v>
      </c>
      <c r="G244">
        <v>4.57</v>
      </c>
      <c r="H244">
        <v>4.26</v>
      </c>
      <c r="I244">
        <v>4.09</v>
      </c>
      <c r="J244">
        <v>4.26</v>
      </c>
      <c r="K244">
        <v>3.65</v>
      </c>
      <c r="L244">
        <v>4.33</v>
      </c>
      <c r="M244">
        <f t="shared" si="6"/>
        <v>4.17</v>
      </c>
      <c r="N244">
        <f t="shared" si="7"/>
        <v>4.1179999999999994</v>
      </c>
    </row>
    <row r="245" spans="1:14" ht="14.25" customHeight="1" x14ac:dyDescent="0.3">
      <c r="A245" t="s">
        <v>508</v>
      </c>
      <c r="B245" t="s">
        <v>509</v>
      </c>
      <c r="C245">
        <v>4.16</v>
      </c>
      <c r="D245">
        <v>3.99</v>
      </c>
      <c r="E245">
        <v>4.26</v>
      </c>
      <c r="F245">
        <v>4.05</v>
      </c>
      <c r="G245">
        <v>3.7</v>
      </c>
      <c r="H245">
        <v>3.59</v>
      </c>
      <c r="I245">
        <v>4.57</v>
      </c>
      <c r="J245">
        <v>4.3899999999999997</v>
      </c>
      <c r="K245">
        <v>4.1100000000000003</v>
      </c>
      <c r="L245">
        <v>3.9</v>
      </c>
      <c r="M245">
        <f t="shared" si="6"/>
        <v>4.032</v>
      </c>
      <c r="N245">
        <f t="shared" si="7"/>
        <v>4.1120000000000001</v>
      </c>
    </row>
    <row r="246" spans="1:14" ht="14.25" customHeight="1" x14ac:dyDescent="0.3">
      <c r="A246" t="s">
        <v>510</v>
      </c>
      <c r="B246" t="s">
        <v>511</v>
      </c>
      <c r="C246">
        <v>4.26</v>
      </c>
      <c r="D246">
        <v>4.41</v>
      </c>
      <c r="E246">
        <v>4.1900000000000004</v>
      </c>
      <c r="F246">
        <v>3.76</v>
      </c>
      <c r="G246">
        <v>4.53</v>
      </c>
      <c r="H246">
        <v>4.1399999999999997</v>
      </c>
      <c r="I246">
        <v>4.1500000000000004</v>
      </c>
      <c r="J246">
        <v>4.25</v>
      </c>
      <c r="K246">
        <v>4.1500000000000004</v>
      </c>
      <c r="L246">
        <v>4.29</v>
      </c>
      <c r="M246">
        <f t="shared" si="6"/>
        <v>4.2299999999999995</v>
      </c>
      <c r="N246">
        <f t="shared" si="7"/>
        <v>4.1959999999999997</v>
      </c>
    </row>
    <row r="247" spans="1:14" ht="14.25" customHeight="1" x14ac:dyDescent="0.3">
      <c r="A247" t="s">
        <v>512</v>
      </c>
      <c r="B247" t="s">
        <v>513</v>
      </c>
      <c r="C247">
        <v>3.72</v>
      </c>
      <c r="D247">
        <v>3.76</v>
      </c>
      <c r="E247">
        <v>3.82</v>
      </c>
      <c r="F247">
        <v>3.75</v>
      </c>
      <c r="G247">
        <v>4.32</v>
      </c>
      <c r="H247">
        <v>3.8</v>
      </c>
      <c r="I247">
        <v>4.32</v>
      </c>
      <c r="J247">
        <v>4.21</v>
      </c>
      <c r="K247">
        <v>3.65</v>
      </c>
      <c r="L247">
        <v>4.2699999999999996</v>
      </c>
      <c r="M247">
        <f t="shared" si="6"/>
        <v>3.8740000000000001</v>
      </c>
      <c r="N247">
        <f t="shared" si="7"/>
        <v>4.05</v>
      </c>
    </row>
    <row r="248" spans="1:14" ht="14.25" customHeight="1" x14ac:dyDescent="0.3">
      <c r="A248" t="s">
        <v>514</v>
      </c>
      <c r="B248" t="s">
        <v>515</v>
      </c>
      <c r="C248">
        <v>3.66</v>
      </c>
      <c r="E248">
        <v>4.32</v>
      </c>
      <c r="F248">
        <v>3.12</v>
      </c>
      <c r="G248">
        <v>4.1100000000000003</v>
      </c>
      <c r="H248">
        <v>3.75</v>
      </c>
      <c r="I248">
        <v>3.7</v>
      </c>
      <c r="J248">
        <v>3.95</v>
      </c>
      <c r="K248">
        <v>4.37</v>
      </c>
      <c r="L248">
        <v>3.85</v>
      </c>
      <c r="M248">
        <f t="shared" si="6"/>
        <v>3.8025000000000002</v>
      </c>
      <c r="N248">
        <f t="shared" si="7"/>
        <v>3.9240000000000004</v>
      </c>
    </row>
    <row r="249" spans="1:14" ht="14.25" customHeight="1" x14ac:dyDescent="0.3">
      <c r="A249" t="s">
        <v>516</v>
      </c>
      <c r="B249" t="s">
        <v>517</v>
      </c>
      <c r="C249">
        <v>4.17</v>
      </c>
      <c r="D249">
        <v>4.3</v>
      </c>
      <c r="E249">
        <v>4.18</v>
      </c>
      <c r="F249">
        <v>4.72</v>
      </c>
      <c r="G249">
        <v>4.07</v>
      </c>
      <c r="H249">
        <v>3.94</v>
      </c>
      <c r="I249">
        <v>4.4400000000000004</v>
      </c>
      <c r="J249">
        <v>4.03</v>
      </c>
      <c r="K249">
        <v>4.18</v>
      </c>
      <c r="L249">
        <v>2.8</v>
      </c>
      <c r="M249">
        <f t="shared" si="6"/>
        <v>4.2879999999999994</v>
      </c>
      <c r="N249">
        <f t="shared" si="7"/>
        <v>3.8780000000000001</v>
      </c>
    </row>
    <row r="250" spans="1:14" ht="14.25" customHeight="1" x14ac:dyDescent="0.3">
      <c r="A250" t="s">
        <v>518</v>
      </c>
      <c r="B250" t="s">
        <v>519</v>
      </c>
      <c r="C250">
        <v>4.05</v>
      </c>
      <c r="D250">
        <v>4.29</v>
      </c>
      <c r="E250">
        <v>3.5</v>
      </c>
      <c r="F250">
        <v>3.93</v>
      </c>
      <c r="G250">
        <v>4.01</v>
      </c>
      <c r="H250">
        <v>3.51</v>
      </c>
      <c r="I250">
        <v>4.45</v>
      </c>
      <c r="J250">
        <v>3.92</v>
      </c>
      <c r="K250">
        <v>4.37</v>
      </c>
      <c r="L250">
        <v>4.0199999999999996</v>
      </c>
      <c r="M250">
        <f t="shared" si="6"/>
        <v>3.9560000000000004</v>
      </c>
      <c r="N250">
        <f t="shared" si="7"/>
        <v>4.0540000000000003</v>
      </c>
    </row>
    <row r="251" spans="1:14" ht="14.25" customHeight="1" x14ac:dyDescent="0.3">
      <c r="A251" t="s">
        <v>520</v>
      </c>
      <c r="B251" t="s">
        <v>521</v>
      </c>
      <c r="C251">
        <v>4.07</v>
      </c>
      <c r="D251">
        <v>4.33</v>
      </c>
      <c r="E251">
        <v>4.03</v>
      </c>
      <c r="F251">
        <v>3.75</v>
      </c>
      <c r="G251">
        <v>3.63</v>
      </c>
      <c r="H251">
        <v>3.78</v>
      </c>
      <c r="I251">
        <v>3.8</v>
      </c>
      <c r="J251">
        <v>4.38</v>
      </c>
      <c r="K251">
        <v>4.54</v>
      </c>
      <c r="L251">
        <v>4.66</v>
      </c>
      <c r="M251">
        <f t="shared" si="6"/>
        <v>3.9619999999999997</v>
      </c>
      <c r="N251">
        <f t="shared" si="7"/>
        <v>4.2320000000000002</v>
      </c>
    </row>
    <row r="252" spans="1:14" ht="14.25" customHeight="1" x14ac:dyDescent="0.3">
      <c r="A252" t="s">
        <v>522</v>
      </c>
      <c r="B252" t="s">
        <v>523</v>
      </c>
      <c r="C252">
        <v>3.92</v>
      </c>
      <c r="D252">
        <v>4.4000000000000004</v>
      </c>
      <c r="E252">
        <v>4.25</v>
      </c>
      <c r="F252">
        <v>4.18</v>
      </c>
      <c r="G252">
        <v>4.13</v>
      </c>
      <c r="H252">
        <v>4.43</v>
      </c>
      <c r="I252">
        <v>4.7699999999999996</v>
      </c>
      <c r="J252">
        <v>4.05</v>
      </c>
      <c r="K252">
        <v>4.0999999999999996</v>
      </c>
      <c r="L252">
        <v>4.21</v>
      </c>
      <c r="M252">
        <f t="shared" si="6"/>
        <v>4.1760000000000002</v>
      </c>
      <c r="N252">
        <f t="shared" si="7"/>
        <v>4.3120000000000003</v>
      </c>
    </row>
    <row r="253" spans="1:14" ht="14.25" customHeight="1" x14ac:dyDescent="0.3">
      <c r="A253" t="s">
        <v>524</v>
      </c>
      <c r="B253" t="s">
        <v>525</v>
      </c>
      <c r="C253">
        <v>4.22</v>
      </c>
      <c r="D253">
        <v>4.12</v>
      </c>
      <c r="E253">
        <v>4</v>
      </c>
      <c r="F253">
        <v>3.88</v>
      </c>
      <c r="G253">
        <v>4.3499999999999996</v>
      </c>
      <c r="H253">
        <v>4.3</v>
      </c>
      <c r="I253">
        <v>3.97</v>
      </c>
      <c r="K253">
        <v>3.92</v>
      </c>
      <c r="L253">
        <v>3.6</v>
      </c>
      <c r="M253">
        <f t="shared" si="6"/>
        <v>4.1139999999999999</v>
      </c>
      <c r="N253">
        <f t="shared" si="7"/>
        <v>3.9474999999999998</v>
      </c>
    </row>
    <row r="254" spans="1:14" ht="14.25" customHeight="1" x14ac:dyDescent="0.3">
      <c r="A254" t="s">
        <v>526</v>
      </c>
      <c r="B254" t="s">
        <v>527</v>
      </c>
      <c r="C254">
        <v>3.9</v>
      </c>
      <c r="D254">
        <v>4.29</v>
      </c>
      <c r="E254">
        <v>4.5599999999999996</v>
      </c>
      <c r="F254">
        <v>3.97</v>
      </c>
      <c r="G254">
        <v>3.63</v>
      </c>
      <c r="H254">
        <v>4.2300000000000004</v>
      </c>
      <c r="I254">
        <v>3.77</v>
      </c>
      <c r="J254">
        <v>4.07</v>
      </c>
      <c r="K254">
        <v>3.94</v>
      </c>
      <c r="L254">
        <v>3.65</v>
      </c>
      <c r="M254">
        <f t="shared" si="6"/>
        <v>4.0699999999999994</v>
      </c>
      <c r="N254">
        <f t="shared" si="7"/>
        <v>3.9319999999999999</v>
      </c>
    </row>
    <row r="255" spans="1:14" ht="14.25" customHeight="1" x14ac:dyDescent="0.3">
      <c r="A255" t="s">
        <v>528</v>
      </c>
      <c r="B255" t="s">
        <v>529</v>
      </c>
      <c r="C255">
        <v>4.12</v>
      </c>
      <c r="D255">
        <v>4.47</v>
      </c>
      <c r="E255">
        <v>4.17</v>
      </c>
      <c r="F255">
        <v>4.29</v>
      </c>
      <c r="G255">
        <v>3.99</v>
      </c>
      <c r="H255">
        <v>3.9</v>
      </c>
      <c r="I255">
        <v>3.95</v>
      </c>
      <c r="J255">
        <v>3.28</v>
      </c>
      <c r="K255">
        <v>4.3499999999999996</v>
      </c>
      <c r="L255">
        <v>3.95</v>
      </c>
      <c r="M255">
        <f t="shared" si="6"/>
        <v>4.2080000000000002</v>
      </c>
      <c r="N255">
        <f t="shared" si="7"/>
        <v>3.8860000000000001</v>
      </c>
    </row>
    <row r="256" spans="1:14" ht="14.25" customHeight="1" x14ac:dyDescent="0.3">
      <c r="A256" t="s">
        <v>530</v>
      </c>
      <c r="B256" t="s">
        <v>531</v>
      </c>
      <c r="C256">
        <v>4.17</v>
      </c>
      <c r="D256">
        <v>4.3</v>
      </c>
      <c r="F256">
        <v>3.64</v>
      </c>
      <c r="G256">
        <v>3.95</v>
      </c>
      <c r="H256">
        <v>3.93</v>
      </c>
      <c r="I256">
        <v>3.76</v>
      </c>
      <c r="J256">
        <v>4.0599999999999996</v>
      </c>
      <c r="K256">
        <v>4.3099999999999996</v>
      </c>
      <c r="L256">
        <v>4.1900000000000004</v>
      </c>
      <c r="M256">
        <f t="shared" si="6"/>
        <v>4.0149999999999997</v>
      </c>
      <c r="N256">
        <f t="shared" si="7"/>
        <v>4.05</v>
      </c>
    </row>
    <row r="257" spans="1:14" ht="14.25" customHeight="1" x14ac:dyDescent="0.3">
      <c r="A257" t="s">
        <v>532</v>
      </c>
      <c r="B257" t="s">
        <v>533</v>
      </c>
      <c r="C257">
        <v>3.51</v>
      </c>
      <c r="D257">
        <v>3.43</v>
      </c>
      <c r="E257">
        <v>4.26</v>
      </c>
      <c r="F257">
        <v>3.62</v>
      </c>
      <c r="G257">
        <v>4.01</v>
      </c>
      <c r="H257">
        <v>3.76</v>
      </c>
      <c r="I257">
        <v>4.2699999999999996</v>
      </c>
      <c r="J257">
        <v>4.07</v>
      </c>
      <c r="K257">
        <v>3.95</v>
      </c>
      <c r="L257">
        <v>3.77</v>
      </c>
      <c r="M257">
        <f t="shared" si="6"/>
        <v>3.7659999999999996</v>
      </c>
      <c r="N257">
        <f t="shared" si="7"/>
        <v>3.964</v>
      </c>
    </row>
    <row r="258" spans="1:14" ht="14.25" customHeight="1" x14ac:dyDescent="0.3">
      <c r="A258" t="s">
        <v>534</v>
      </c>
      <c r="B258" t="s">
        <v>535</v>
      </c>
      <c r="D258">
        <v>4.1500000000000004</v>
      </c>
      <c r="E258">
        <v>3.88</v>
      </c>
      <c r="F258">
        <v>4.1399999999999997</v>
      </c>
      <c r="G258">
        <v>3.48</v>
      </c>
      <c r="H258">
        <v>4.3899999999999997</v>
      </c>
      <c r="I258">
        <v>3.87</v>
      </c>
      <c r="J258">
        <v>4.3</v>
      </c>
      <c r="K258">
        <v>4.32</v>
      </c>
      <c r="L258">
        <v>3.55</v>
      </c>
      <c r="M258">
        <f t="shared" ref="M258:M321" si="8">AVERAGE(C258:G258)</f>
        <v>3.9125000000000005</v>
      </c>
      <c r="N258">
        <f t="shared" ref="N258:N321" si="9">AVERAGE(H258:L258)</f>
        <v>4.0860000000000003</v>
      </c>
    </row>
    <row r="259" spans="1:14" ht="14.25" customHeight="1" x14ac:dyDescent="0.3">
      <c r="A259" t="s">
        <v>536</v>
      </c>
      <c r="B259" t="s">
        <v>537</v>
      </c>
      <c r="C259">
        <v>4.12</v>
      </c>
      <c r="D259">
        <v>4.16</v>
      </c>
      <c r="E259">
        <v>4.2</v>
      </c>
      <c r="F259">
        <v>3.83</v>
      </c>
      <c r="G259">
        <v>3.72</v>
      </c>
      <c r="H259">
        <v>4.7699999999999996</v>
      </c>
      <c r="I259">
        <v>4.22</v>
      </c>
      <c r="J259">
        <v>4.1399999999999997</v>
      </c>
      <c r="K259">
        <v>3.68</v>
      </c>
      <c r="L259">
        <v>4.42</v>
      </c>
      <c r="M259">
        <f t="shared" si="8"/>
        <v>4.0060000000000002</v>
      </c>
      <c r="N259">
        <f t="shared" si="9"/>
        <v>4.2459999999999996</v>
      </c>
    </row>
    <row r="260" spans="1:14" ht="14.25" customHeight="1" x14ac:dyDescent="0.3">
      <c r="A260" t="s">
        <v>538</v>
      </c>
      <c r="B260" t="s">
        <v>539</v>
      </c>
      <c r="C260">
        <v>3.56</v>
      </c>
      <c r="D260">
        <v>4.84</v>
      </c>
      <c r="E260">
        <v>4.4400000000000004</v>
      </c>
      <c r="F260">
        <v>3.74</v>
      </c>
      <c r="G260">
        <v>3.63</v>
      </c>
      <c r="H260">
        <v>4.24</v>
      </c>
      <c r="I260">
        <v>3.78</v>
      </c>
      <c r="J260">
        <v>3.84</v>
      </c>
      <c r="K260">
        <v>4.32</v>
      </c>
      <c r="L260">
        <v>4.1399999999999997</v>
      </c>
      <c r="M260">
        <f t="shared" si="8"/>
        <v>4.0419999999999998</v>
      </c>
      <c r="N260">
        <f t="shared" si="9"/>
        <v>4.0640000000000001</v>
      </c>
    </row>
    <row r="261" spans="1:14" ht="14.25" customHeight="1" x14ac:dyDescent="0.3">
      <c r="A261" t="s">
        <v>540</v>
      </c>
      <c r="B261" t="s">
        <v>541</v>
      </c>
      <c r="C261">
        <v>3.88</v>
      </c>
      <c r="D261">
        <v>3.57</v>
      </c>
      <c r="E261">
        <v>4.0199999999999996</v>
      </c>
      <c r="F261">
        <v>3.8</v>
      </c>
      <c r="G261">
        <v>4</v>
      </c>
      <c r="H261">
        <v>4.28</v>
      </c>
      <c r="I261">
        <v>4.45</v>
      </c>
      <c r="J261">
        <v>4.18</v>
      </c>
      <c r="K261">
        <v>4.1500000000000004</v>
      </c>
      <c r="L261">
        <v>3.89</v>
      </c>
      <c r="M261">
        <f t="shared" si="8"/>
        <v>3.8540000000000001</v>
      </c>
      <c r="N261">
        <f t="shared" si="9"/>
        <v>4.1900000000000004</v>
      </c>
    </row>
    <row r="262" spans="1:14" ht="14.25" customHeight="1" x14ac:dyDescent="0.3">
      <c r="A262" t="s">
        <v>542</v>
      </c>
      <c r="B262" t="s">
        <v>543</v>
      </c>
      <c r="C262">
        <v>3.81</v>
      </c>
      <c r="D262">
        <v>4.17</v>
      </c>
      <c r="E262">
        <v>3.82</v>
      </c>
      <c r="F262">
        <v>3.68</v>
      </c>
      <c r="G262">
        <v>4.07</v>
      </c>
      <c r="H262">
        <v>4.12</v>
      </c>
      <c r="I262">
        <v>4.18</v>
      </c>
      <c r="J262">
        <v>4.28</v>
      </c>
      <c r="K262">
        <v>4.59</v>
      </c>
      <c r="L262">
        <v>4.3499999999999996</v>
      </c>
      <c r="M262">
        <f t="shared" si="8"/>
        <v>3.91</v>
      </c>
      <c r="N262">
        <f t="shared" si="9"/>
        <v>4.3040000000000003</v>
      </c>
    </row>
    <row r="263" spans="1:14" ht="14.25" customHeight="1" x14ac:dyDescent="0.3">
      <c r="A263" t="s">
        <v>544</v>
      </c>
      <c r="B263" t="s">
        <v>545</v>
      </c>
      <c r="C263">
        <v>3.38</v>
      </c>
      <c r="D263">
        <v>4.17</v>
      </c>
      <c r="E263">
        <v>4.01</v>
      </c>
      <c r="F263">
        <v>4.51</v>
      </c>
      <c r="G263">
        <v>3.82</v>
      </c>
      <c r="H263">
        <v>4.25</v>
      </c>
      <c r="I263">
        <v>3.9</v>
      </c>
      <c r="J263">
        <v>4.1900000000000004</v>
      </c>
      <c r="K263">
        <v>4.38</v>
      </c>
      <c r="L263">
        <v>4.1500000000000004</v>
      </c>
      <c r="M263">
        <f t="shared" si="8"/>
        <v>3.9780000000000002</v>
      </c>
      <c r="N263">
        <f t="shared" si="9"/>
        <v>4.1739999999999995</v>
      </c>
    </row>
    <row r="264" spans="1:14" ht="14.25" customHeight="1" x14ac:dyDescent="0.3">
      <c r="A264" t="s">
        <v>546</v>
      </c>
      <c r="B264" t="s">
        <v>547</v>
      </c>
      <c r="C264">
        <v>4.26</v>
      </c>
      <c r="D264">
        <v>3.7</v>
      </c>
      <c r="E264">
        <v>4.34</v>
      </c>
      <c r="F264">
        <v>4.45</v>
      </c>
      <c r="G264" t="s">
        <v>548</v>
      </c>
      <c r="H264">
        <v>4.32</v>
      </c>
      <c r="I264">
        <v>4.17</v>
      </c>
      <c r="J264">
        <v>3.74</v>
      </c>
      <c r="K264">
        <v>4.0599999999999996</v>
      </c>
      <c r="L264">
        <v>3.82</v>
      </c>
      <c r="M264">
        <f t="shared" si="8"/>
        <v>4.1875</v>
      </c>
      <c r="N264">
        <f t="shared" si="9"/>
        <v>4.0220000000000002</v>
      </c>
    </row>
    <row r="265" spans="1:14" ht="14.25" customHeight="1" x14ac:dyDescent="0.3">
      <c r="A265" t="s">
        <v>549</v>
      </c>
      <c r="B265" t="s">
        <v>550</v>
      </c>
      <c r="C265">
        <v>4.1900000000000004</v>
      </c>
      <c r="D265">
        <v>3.75</v>
      </c>
      <c r="E265">
        <v>3.42</v>
      </c>
      <c r="F265">
        <v>3.91</v>
      </c>
      <c r="G265">
        <v>3.4</v>
      </c>
      <c r="H265">
        <v>4.1500000000000004</v>
      </c>
      <c r="I265">
        <v>3.92</v>
      </c>
      <c r="J265">
        <v>4.07</v>
      </c>
      <c r="K265">
        <v>4.46</v>
      </c>
      <c r="L265">
        <v>3.76</v>
      </c>
      <c r="M265">
        <f t="shared" si="8"/>
        <v>3.7339999999999995</v>
      </c>
      <c r="N265">
        <f t="shared" si="9"/>
        <v>4.0720000000000001</v>
      </c>
    </row>
    <row r="266" spans="1:14" ht="14.25" customHeight="1" x14ac:dyDescent="0.3">
      <c r="A266" t="s">
        <v>551</v>
      </c>
      <c r="B266" t="s">
        <v>552</v>
      </c>
      <c r="C266">
        <v>4.2</v>
      </c>
      <c r="D266">
        <v>3.59</v>
      </c>
      <c r="E266">
        <v>3.93</v>
      </c>
      <c r="F266">
        <v>3.94</v>
      </c>
      <c r="G266">
        <v>4.0599999999999996</v>
      </c>
      <c r="H266">
        <v>3.85</v>
      </c>
      <c r="I266">
        <v>4.9000000000000004</v>
      </c>
      <c r="J266">
        <v>3.97</v>
      </c>
      <c r="K266">
        <v>4.1100000000000003</v>
      </c>
      <c r="L266">
        <v>3.89</v>
      </c>
      <c r="M266">
        <f t="shared" si="8"/>
        <v>3.944</v>
      </c>
      <c r="N266">
        <f t="shared" si="9"/>
        <v>4.1440000000000001</v>
      </c>
    </row>
    <row r="267" spans="1:14" ht="14.25" customHeight="1" x14ac:dyDescent="0.3">
      <c r="A267" t="s">
        <v>553</v>
      </c>
      <c r="B267" t="s">
        <v>554</v>
      </c>
      <c r="C267">
        <v>4.5</v>
      </c>
      <c r="D267">
        <v>4.04</v>
      </c>
      <c r="E267">
        <v>4.17</v>
      </c>
      <c r="F267">
        <v>3.84</v>
      </c>
      <c r="G267">
        <v>4.6500000000000004</v>
      </c>
      <c r="H267">
        <v>3.67</v>
      </c>
      <c r="I267">
        <v>4.34</v>
      </c>
      <c r="J267">
        <v>4.18</v>
      </c>
      <c r="K267">
        <v>3.82</v>
      </c>
      <c r="L267">
        <v>4.22</v>
      </c>
      <c r="M267">
        <f t="shared" si="8"/>
        <v>4.2399999999999993</v>
      </c>
      <c r="N267">
        <f t="shared" si="9"/>
        <v>4.0459999999999994</v>
      </c>
    </row>
    <row r="268" spans="1:14" ht="14.25" customHeight="1" x14ac:dyDescent="0.3">
      <c r="A268" t="s">
        <v>555</v>
      </c>
      <c r="B268" t="s">
        <v>556</v>
      </c>
      <c r="C268">
        <v>3.42</v>
      </c>
      <c r="D268">
        <v>4.22</v>
      </c>
      <c r="E268">
        <v>4.1500000000000004</v>
      </c>
      <c r="F268">
        <v>3.61</v>
      </c>
      <c r="G268">
        <v>3.72</v>
      </c>
      <c r="H268">
        <v>4</v>
      </c>
      <c r="I268">
        <v>3.89</v>
      </c>
      <c r="J268">
        <v>4.1399999999999997</v>
      </c>
      <c r="K268">
        <v>3.59</v>
      </c>
      <c r="L268">
        <v>3.77</v>
      </c>
      <c r="M268">
        <f t="shared" si="8"/>
        <v>3.8239999999999994</v>
      </c>
      <c r="N268">
        <f t="shared" si="9"/>
        <v>3.8780000000000001</v>
      </c>
    </row>
    <row r="269" spans="1:14" ht="14.25" customHeight="1" x14ac:dyDescent="0.3">
      <c r="A269" t="s">
        <v>557</v>
      </c>
      <c r="B269" t="s">
        <v>558</v>
      </c>
      <c r="C269" t="s">
        <v>559</v>
      </c>
      <c r="D269">
        <v>3.99</v>
      </c>
      <c r="E269">
        <v>3.96</v>
      </c>
      <c r="F269">
        <v>4.4400000000000004</v>
      </c>
      <c r="G269">
        <v>3.87</v>
      </c>
      <c r="H269">
        <v>4.32</v>
      </c>
      <c r="I269">
        <v>3.78</v>
      </c>
      <c r="J269">
        <v>4.3</v>
      </c>
      <c r="K269">
        <v>3.98</v>
      </c>
      <c r="L269">
        <v>3.99</v>
      </c>
      <c r="M269">
        <f t="shared" si="8"/>
        <v>4.0650000000000004</v>
      </c>
      <c r="N269">
        <f t="shared" si="9"/>
        <v>4.0739999999999998</v>
      </c>
    </row>
    <row r="270" spans="1:14" ht="14.25" customHeight="1" x14ac:dyDescent="0.3">
      <c r="A270" t="s">
        <v>560</v>
      </c>
      <c r="B270" t="s">
        <v>561</v>
      </c>
      <c r="D270">
        <v>4.3899999999999997</v>
      </c>
      <c r="E270">
        <v>4.0199999999999996</v>
      </c>
      <c r="F270">
        <v>3.97</v>
      </c>
      <c r="G270">
        <v>4.2699999999999996</v>
      </c>
      <c r="H270">
        <v>3.87</v>
      </c>
      <c r="I270">
        <v>4.09</v>
      </c>
      <c r="J270">
        <v>4.58</v>
      </c>
      <c r="K270">
        <v>4.6500000000000004</v>
      </c>
      <c r="L270">
        <v>3.72</v>
      </c>
      <c r="M270">
        <f t="shared" si="8"/>
        <v>4.1624999999999996</v>
      </c>
      <c r="N270">
        <f t="shared" si="9"/>
        <v>4.1819999999999995</v>
      </c>
    </row>
    <row r="271" spans="1:14" ht="14.25" customHeight="1" x14ac:dyDescent="0.3">
      <c r="A271" t="s">
        <v>562</v>
      </c>
      <c r="B271" t="s">
        <v>563</v>
      </c>
      <c r="C271">
        <v>4.16</v>
      </c>
      <c r="D271">
        <v>3.8</v>
      </c>
      <c r="E271">
        <v>3.98</v>
      </c>
      <c r="F271">
        <v>4.42</v>
      </c>
      <c r="G271">
        <v>4</v>
      </c>
      <c r="H271">
        <v>3.91</v>
      </c>
      <c r="I271">
        <v>4.17</v>
      </c>
      <c r="J271">
        <v>3.92</v>
      </c>
      <c r="K271">
        <v>4.3899999999999997</v>
      </c>
      <c r="L271">
        <v>3.99</v>
      </c>
      <c r="M271">
        <f t="shared" si="8"/>
        <v>4.0720000000000001</v>
      </c>
      <c r="N271">
        <f t="shared" si="9"/>
        <v>4.0760000000000005</v>
      </c>
    </row>
    <row r="272" spans="1:14" ht="14.25" customHeight="1" x14ac:dyDescent="0.3">
      <c r="A272" t="s">
        <v>564</v>
      </c>
      <c r="B272" t="s">
        <v>565</v>
      </c>
      <c r="C272">
        <v>3.99</v>
      </c>
      <c r="D272">
        <v>3.62</v>
      </c>
      <c r="E272">
        <v>4.34</v>
      </c>
      <c r="F272">
        <v>4.2300000000000004</v>
      </c>
      <c r="G272">
        <v>4.33</v>
      </c>
      <c r="H272">
        <v>3.88</v>
      </c>
      <c r="I272">
        <v>3.67</v>
      </c>
      <c r="J272">
        <v>4.09</v>
      </c>
      <c r="K272">
        <v>3.97</v>
      </c>
      <c r="L272">
        <v>4.13</v>
      </c>
      <c r="M272">
        <f t="shared" si="8"/>
        <v>4.1019999999999994</v>
      </c>
      <c r="N272">
        <f t="shared" si="9"/>
        <v>3.9480000000000004</v>
      </c>
    </row>
    <row r="273" spans="1:14" ht="14.25" customHeight="1" x14ac:dyDescent="0.3">
      <c r="A273" t="s">
        <v>566</v>
      </c>
      <c r="B273" t="s">
        <v>567</v>
      </c>
      <c r="C273">
        <v>3.91</v>
      </c>
      <c r="D273">
        <v>4.4000000000000004</v>
      </c>
      <c r="E273">
        <v>4.46</v>
      </c>
      <c r="F273">
        <v>4.5199999999999996</v>
      </c>
      <c r="G273">
        <v>4.1100000000000003</v>
      </c>
      <c r="H273">
        <v>4</v>
      </c>
      <c r="I273">
        <v>4.26</v>
      </c>
      <c r="J273">
        <v>4.62</v>
      </c>
      <c r="K273">
        <v>4.18</v>
      </c>
      <c r="L273">
        <v>3.84</v>
      </c>
      <c r="M273">
        <f t="shared" si="8"/>
        <v>4.2799999999999994</v>
      </c>
      <c r="N273">
        <f t="shared" si="9"/>
        <v>4.18</v>
      </c>
    </row>
    <row r="274" spans="1:14" ht="14.25" customHeight="1" x14ac:dyDescent="0.3">
      <c r="A274" t="s">
        <v>568</v>
      </c>
      <c r="B274" t="s">
        <v>569</v>
      </c>
      <c r="C274">
        <v>4.4800000000000004</v>
      </c>
      <c r="D274">
        <v>3.8</v>
      </c>
      <c r="E274">
        <v>3.96</v>
      </c>
      <c r="F274">
        <v>4.6399999999999997</v>
      </c>
      <c r="G274">
        <v>3.6</v>
      </c>
      <c r="H274">
        <v>4.04</v>
      </c>
      <c r="I274">
        <v>4.1100000000000003</v>
      </c>
      <c r="J274">
        <v>4.1100000000000003</v>
      </c>
      <c r="K274">
        <v>3.75</v>
      </c>
      <c r="L274">
        <v>4.3600000000000003</v>
      </c>
      <c r="M274">
        <f t="shared" si="8"/>
        <v>4.096000000000001</v>
      </c>
      <c r="N274">
        <f t="shared" si="9"/>
        <v>4.0739999999999998</v>
      </c>
    </row>
    <row r="275" spans="1:14" ht="14.25" customHeight="1" x14ac:dyDescent="0.3">
      <c r="A275" t="s">
        <v>570</v>
      </c>
      <c r="B275" t="s">
        <v>571</v>
      </c>
      <c r="C275">
        <v>3.8</v>
      </c>
      <c r="D275">
        <v>3.9</v>
      </c>
      <c r="E275">
        <v>4.4000000000000004</v>
      </c>
      <c r="F275">
        <v>4.63</v>
      </c>
      <c r="G275">
        <v>4.05</v>
      </c>
      <c r="H275">
        <v>3.56</v>
      </c>
      <c r="I275">
        <v>3.98</v>
      </c>
      <c r="J275">
        <v>4.3600000000000003</v>
      </c>
      <c r="K275">
        <v>4.2699999999999996</v>
      </c>
      <c r="L275">
        <v>4.41</v>
      </c>
      <c r="M275">
        <f t="shared" si="8"/>
        <v>4.1560000000000006</v>
      </c>
      <c r="N275">
        <f t="shared" si="9"/>
        <v>4.1160000000000005</v>
      </c>
    </row>
    <row r="276" spans="1:14" ht="14.25" customHeight="1" x14ac:dyDescent="0.3">
      <c r="A276" t="s">
        <v>572</v>
      </c>
      <c r="B276" t="s">
        <v>573</v>
      </c>
      <c r="C276">
        <v>3.76</v>
      </c>
      <c r="D276">
        <v>3.67</v>
      </c>
      <c r="E276">
        <v>4.01</v>
      </c>
      <c r="F276">
        <v>4.38</v>
      </c>
      <c r="G276">
        <v>4.5999999999999996</v>
      </c>
      <c r="H276">
        <v>4.12</v>
      </c>
      <c r="I276">
        <v>4.05</v>
      </c>
      <c r="J276">
        <v>4.01</v>
      </c>
      <c r="K276">
        <v>4.4400000000000004</v>
      </c>
      <c r="L276">
        <v>3.81</v>
      </c>
      <c r="M276">
        <f t="shared" si="8"/>
        <v>4.0840000000000005</v>
      </c>
      <c r="N276">
        <f t="shared" si="9"/>
        <v>4.0860000000000003</v>
      </c>
    </row>
    <row r="277" spans="1:14" ht="14.25" customHeight="1" x14ac:dyDescent="0.3">
      <c r="A277" t="s">
        <v>574</v>
      </c>
      <c r="B277" t="s">
        <v>575</v>
      </c>
      <c r="D277">
        <v>4.4800000000000004</v>
      </c>
      <c r="E277">
        <v>4.5199999999999996</v>
      </c>
      <c r="F277">
        <v>3.87</v>
      </c>
      <c r="G277">
        <v>3.99</v>
      </c>
      <c r="H277">
        <v>3.8</v>
      </c>
      <c r="I277">
        <v>4.55</v>
      </c>
      <c r="J277">
        <v>3.67</v>
      </c>
      <c r="K277">
        <v>3.83</v>
      </c>
      <c r="L277">
        <v>4.1100000000000003</v>
      </c>
      <c r="M277">
        <f t="shared" si="8"/>
        <v>4.2149999999999999</v>
      </c>
      <c r="N277">
        <f t="shared" si="9"/>
        <v>3.992</v>
      </c>
    </row>
    <row r="278" spans="1:14" ht="14.25" customHeight="1" x14ac:dyDescent="0.3">
      <c r="A278" t="s">
        <v>576</v>
      </c>
      <c r="B278" t="s">
        <v>577</v>
      </c>
      <c r="C278">
        <v>4.1900000000000004</v>
      </c>
      <c r="D278">
        <v>3.76</v>
      </c>
      <c r="F278">
        <v>4.28</v>
      </c>
      <c r="G278">
        <v>3.73</v>
      </c>
      <c r="H278">
        <v>3.52</v>
      </c>
      <c r="I278">
        <v>3.72</v>
      </c>
      <c r="J278">
        <v>4.38</v>
      </c>
      <c r="K278">
        <v>3.84</v>
      </c>
      <c r="L278">
        <v>3.88</v>
      </c>
      <c r="M278">
        <f t="shared" si="8"/>
        <v>3.99</v>
      </c>
      <c r="N278">
        <f t="shared" si="9"/>
        <v>3.8679999999999999</v>
      </c>
    </row>
    <row r="279" spans="1:14" ht="14.25" customHeight="1" x14ac:dyDescent="0.3">
      <c r="A279" t="s">
        <v>578</v>
      </c>
      <c r="B279" t="s">
        <v>579</v>
      </c>
      <c r="C279">
        <v>4.93</v>
      </c>
      <c r="D279">
        <v>4.42</v>
      </c>
      <c r="E279">
        <v>3.65</v>
      </c>
      <c r="F279">
        <v>3.56</v>
      </c>
      <c r="G279">
        <v>4.01</v>
      </c>
      <c r="I279">
        <v>4.26</v>
      </c>
      <c r="J279">
        <v>3.88</v>
      </c>
      <c r="K279">
        <v>4.37</v>
      </c>
      <c r="L279">
        <v>4.49</v>
      </c>
      <c r="M279">
        <f t="shared" si="8"/>
        <v>4.1139999999999999</v>
      </c>
      <c r="N279">
        <f t="shared" si="9"/>
        <v>4.25</v>
      </c>
    </row>
    <row r="280" spans="1:14" ht="14.25" customHeight="1" x14ac:dyDescent="0.3">
      <c r="A280" t="s">
        <v>580</v>
      </c>
      <c r="B280" t="s">
        <v>581</v>
      </c>
      <c r="D280">
        <v>3.64</v>
      </c>
      <c r="E280">
        <v>3.97</v>
      </c>
      <c r="F280">
        <v>3.59</v>
      </c>
      <c r="G280">
        <v>4.3</v>
      </c>
      <c r="H280">
        <v>4.05</v>
      </c>
      <c r="I280">
        <v>3.77</v>
      </c>
      <c r="J280">
        <v>4.21</v>
      </c>
      <c r="K280">
        <v>4.54</v>
      </c>
      <c r="L280">
        <v>4.16</v>
      </c>
      <c r="M280">
        <f t="shared" si="8"/>
        <v>3.875</v>
      </c>
      <c r="N280">
        <f t="shared" si="9"/>
        <v>4.1459999999999999</v>
      </c>
    </row>
    <row r="281" spans="1:14" ht="14.25" customHeight="1" x14ac:dyDescent="0.3">
      <c r="A281" t="s">
        <v>582</v>
      </c>
      <c r="B281" t="s">
        <v>583</v>
      </c>
      <c r="C281">
        <v>3.77</v>
      </c>
      <c r="D281">
        <v>4.47</v>
      </c>
      <c r="E281">
        <v>3.87</v>
      </c>
      <c r="F281">
        <v>3.63</v>
      </c>
      <c r="G281">
        <v>3.3</v>
      </c>
      <c r="H281">
        <v>4.17</v>
      </c>
      <c r="I281">
        <v>3.88</v>
      </c>
      <c r="J281">
        <v>4.26</v>
      </c>
      <c r="K281">
        <v>4.28</v>
      </c>
      <c r="L281">
        <v>4.46</v>
      </c>
      <c r="M281">
        <f t="shared" si="8"/>
        <v>3.8079999999999998</v>
      </c>
      <c r="N281">
        <f t="shared" si="9"/>
        <v>4.21</v>
      </c>
    </row>
    <row r="282" spans="1:14" ht="14.25" customHeight="1" x14ac:dyDescent="0.3">
      <c r="A282" t="s">
        <v>584</v>
      </c>
      <c r="B282" t="s">
        <v>585</v>
      </c>
      <c r="C282">
        <v>3.95</v>
      </c>
      <c r="D282">
        <v>4.4000000000000004</v>
      </c>
      <c r="E282">
        <v>4.0199999999999996</v>
      </c>
      <c r="F282">
        <v>3.54</v>
      </c>
      <c r="G282">
        <v>3.39</v>
      </c>
      <c r="H282">
        <v>3.79</v>
      </c>
      <c r="I282">
        <v>4.7</v>
      </c>
      <c r="J282">
        <v>3.83</v>
      </c>
      <c r="K282">
        <v>3.92</v>
      </c>
      <c r="L282">
        <v>3.86</v>
      </c>
      <c r="M282">
        <f t="shared" si="8"/>
        <v>3.8600000000000003</v>
      </c>
      <c r="N282">
        <f t="shared" si="9"/>
        <v>4.0200000000000005</v>
      </c>
    </row>
    <row r="283" spans="1:14" ht="14.25" customHeight="1" x14ac:dyDescent="0.3">
      <c r="A283" t="s">
        <v>586</v>
      </c>
      <c r="B283" t="s">
        <v>587</v>
      </c>
      <c r="C283">
        <v>3.46</v>
      </c>
      <c r="D283">
        <v>4.37</v>
      </c>
      <c r="E283">
        <v>3.76</v>
      </c>
      <c r="F283">
        <v>4.3600000000000003</v>
      </c>
      <c r="G283">
        <v>3.89</v>
      </c>
      <c r="H283">
        <v>4.09</v>
      </c>
      <c r="I283">
        <v>4.4800000000000004</v>
      </c>
      <c r="J283">
        <v>4.2</v>
      </c>
      <c r="K283">
        <v>3.66</v>
      </c>
      <c r="L283">
        <v>3.83</v>
      </c>
      <c r="M283">
        <f t="shared" si="8"/>
        <v>3.968</v>
      </c>
      <c r="N283">
        <f t="shared" si="9"/>
        <v>4.0519999999999996</v>
      </c>
    </row>
    <row r="284" spans="1:14" ht="14.25" customHeight="1" x14ac:dyDescent="0.3">
      <c r="A284" t="s">
        <v>588</v>
      </c>
      <c r="B284" t="s">
        <v>589</v>
      </c>
      <c r="C284">
        <v>3.41</v>
      </c>
      <c r="D284">
        <v>4.05</v>
      </c>
      <c r="E284">
        <v>3.85</v>
      </c>
      <c r="F284">
        <v>4.2300000000000004</v>
      </c>
      <c r="G284">
        <v>4.6399999999999997</v>
      </c>
      <c r="H284">
        <v>4.26</v>
      </c>
      <c r="I284">
        <v>4.1900000000000004</v>
      </c>
      <c r="J284">
        <v>4.21</v>
      </c>
      <c r="K284">
        <v>3.7</v>
      </c>
      <c r="L284">
        <v>4.2699999999999996</v>
      </c>
      <c r="M284">
        <f t="shared" si="8"/>
        <v>4.0359999999999996</v>
      </c>
      <c r="N284">
        <f t="shared" si="9"/>
        <v>4.1259999999999994</v>
      </c>
    </row>
    <row r="285" spans="1:14" ht="14.25" customHeight="1" x14ac:dyDescent="0.3">
      <c r="A285" t="s">
        <v>590</v>
      </c>
      <c r="B285" t="s">
        <v>591</v>
      </c>
      <c r="C285">
        <v>3.84</v>
      </c>
      <c r="D285">
        <v>4.51</v>
      </c>
      <c r="E285">
        <v>4.12</v>
      </c>
      <c r="F285">
        <v>3.69</v>
      </c>
      <c r="G285">
        <v>3.91</v>
      </c>
      <c r="H285">
        <v>3.9</v>
      </c>
      <c r="I285">
        <v>4.03</v>
      </c>
      <c r="J285">
        <v>4.03</v>
      </c>
      <c r="K285">
        <v>3.97</v>
      </c>
      <c r="L285">
        <v>4.59</v>
      </c>
      <c r="M285">
        <f t="shared" si="8"/>
        <v>4.0140000000000002</v>
      </c>
      <c r="N285">
        <f t="shared" si="9"/>
        <v>4.104000000000001</v>
      </c>
    </row>
    <row r="286" spans="1:14" ht="14.25" customHeight="1" x14ac:dyDescent="0.3">
      <c r="A286" t="s">
        <v>592</v>
      </c>
      <c r="B286" t="s">
        <v>593</v>
      </c>
      <c r="C286">
        <v>3.51</v>
      </c>
      <c r="D286">
        <v>4.09</v>
      </c>
      <c r="E286">
        <v>4.43</v>
      </c>
      <c r="F286">
        <v>4.28</v>
      </c>
      <c r="G286">
        <v>3.83</v>
      </c>
      <c r="H286">
        <v>3.81</v>
      </c>
      <c r="I286">
        <v>4.3600000000000003</v>
      </c>
      <c r="J286">
        <v>3.98</v>
      </c>
      <c r="K286">
        <v>4.26</v>
      </c>
      <c r="L286">
        <v>4.0999999999999996</v>
      </c>
      <c r="M286">
        <f t="shared" si="8"/>
        <v>4.0280000000000005</v>
      </c>
      <c r="N286">
        <f t="shared" si="9"/>
        <v>4.1019999999999994</v>
      </c>
    </row>
    <row r="287" spans="1:14" ht="14.25" customHeight="1" x14ac:dyDescent="0.3">
      <c r="A287" t="s">
        <v>594</v>
      </c>
      <c r="B287" t="s">
        <v>595</v>
      </c>
      <c r="C287">
        <v>4.47</v>
      </c>
      <c r="D287">
        <v>3.71</v>
      </c>
      <c r="E287">
        <v>3.99</v>
      </c>
      <c r="F287">
        <v>4.04</v>
      </c>
      <c r="G287">
        <v>4.57</v>
      </c>
      <c r="H287">
        <v>4.0599999999999996</v>
      </c>
      <c r="J287">
        <v>4.7</v>
      </c>
      <c r="K287">
        <v>3.99</v>
      </c>
      <c r="L287">
        <v>4.1900000000000004</v>
      </c>
      <c r="M287">
        <f t="shared" si="8"/>
        <v>4.1560000000000006</v>
      </c>
      <c r="N287">
        <f t="shared" si="9"/>
        <v>4.2350000000000003</v>
      </c>
    </row>
    <row r="288" spans="1:14" ht="14.25" customHeight="1" x14ac:dyDescent="0.3">
      <c r="A288" t="s">
        <v>596</v>
      </c>
      <c r="B288" t="s">
        <v>597</v>
      </c>
      <c r="C288">
        <v>4.3499999999999996</v>
      </c>
      <c r="D288">
        <v>4.57</v>
      </c>
      <c r="E288">
        <v>3.97</v>
      </c>
      <c r="F288">
        <v>4.3</v>
      </c>
      <c r="G288">
        <v>3.99</v>
      </c>
      <c r="H288">
        <v>3.62</v>
      </c>
      <c r="I288">
        <v>3.7</v>
      </c>
      <c r="J288">
        <v>4.62</v>
      </c>
      <c r="K288">
        <v>4.34</v>
      </c>
      <c r="L288">
        <v>4.04</v>
      </c>
      <c r="M288">
        <f t="shared" si="8"/>
        <v>4.2359999999999998</v>
      </c>
      <c r="N288">
        <f t="shared" si="9"/>
        <v>4.0640000000000001</v>
      </c>
    </row>
    <row r="289" spans="1:14" ht="14.25" customHeight="1" x14ac:dyDescent="0.3">
      <c r="A289" t="s">
        <v>598</v>
      </c>
      <c r="B289" t="s">
        <v>599</v>
      </c>
      <c r="C289">
        <v>4.05</v>
      </c>
      <c r="D289">
        <v>3.86</v>
      </c>
      <c r="E289">
        <v>4.54</v>
      </c>
      <c r="F289">
        <v>3.73</v>
      </c>
      <c r="G289">
        <v>4.28</v>
      </c>
      <c r="H289">
        <v>4.08</v>
      </c>
      <c r="I289">
        <v>4.2699999999999996</v>
      </c>
      <c r="J289">
        <v>4.03</v>
      </c>
      <c r="K289">
        <v>4.43</v>
      </c>
      <c r="L289">
        <v>4.0999999999999996</v>
      </c>
      <c r="M289">
        <f t="shared" si="8"/>
        <v>4.0920000000000005</v>
      </c>
      <c r="N289">
        <f t="shared" si="9"/>
        <v>4.1819999999999995</v>
      </c>
    </row>
    <row r="290" spans="1:14" ht="14.25" customHeight="1" x14ac:dyDescent="0.3">
      <c r="A290" t="s">
        <v>600</v>
      </c>
      <c r="B290" t="s">
        <v>601</v>
      </c>
      <c r="D290">
        <v>3.5</v>
      </c>
      <c r="E290">
        <v>3.73</v>
      </c>
      <c r="F290">
        <v>4.37</v>
      </c>
      <c r="G290">
        <v>4.1100000000000003</v>
      </c>
      <c r="H290">
        <v>3.61</v>
      </c>
      <c r="I290">
        <v>3.97</v>
      </c>
      <c r="J290">
        <v>3.99</v>
      </c>
      <c r="K290">
        <v>4.5199999999999996</v>
      </c>
      <c r="L290">
        <v>4.43</v>
      </c>
      <c r="M290">
        <f t="shared" si="8"/>
        <v>3.9275000000000002</v>
      </c>
      <c r="N290">
        <f t="shared" si="9"/>
        <v>4.1040000000000001</v>
      </c>
    </row>
    <row r="291" spans="1:14" ht="14.25" customHeight="1" x14ac:dyDescent="0.3">
      <c r="A291" t="s">
        <v>602</v>
      </c>
      <c r="B291" t="s">
        <v>603</v>
      </c>
      <c r="C291">
        <v>3.78</v>
      </c>
      <c r="D291">
        <v>4.21</v>
      </c>
      <c r="E291">
        <v>3.7</v>
      </c>
      <c r="F291">
        <v>3.94</v>
      </c>
      <c r="G291">
        <v>4.33</v>
      </c>
      <c r="H291">
        <v>4.45</v>
      </c>
      <c r="I291">
        <v>3.86</v>
      </c>
      <c r="J291">
        <v>3.85</v>
      </c>
      <c r="K291">
        <v>3.8</v>
      </c>
      <c r="L291">
        <v>3.65</v>
      </c>
      <c r="M291">
        <f t="shared" si="8"/>
        <v>3.992</v>
      </c>
      <c r="N291">
        <f t="shared" si="9"/>
        <v>3.9219999999999997</v>
      </c>
    </row>
    <row r="292" spans="1:14" ht="14.25" customHeight="1" x14ac:dyDescent="0.3">
      <c r="A292" t="s">
        <v>604</v>
      </c>
      <c r="B292" t="s">
        <v>605</v>
      </c>
      <c r="C292">
        <v>3.45</v>
      </c>
      <c r="D292">
        <v>4.38</v>
      </c>
      <c r="E292">
        <v>3.61</v>
      </c>
      <c r="F292">
        <v>4.0199999999999996</v>
      </c>
      <c r="G292">
        <v>3.94</v>
      </c>
      <c r="H292">
        <v>4.5999999999999996</v>
      </c>
      <c r="I292">
        <v>3.61</v>
      </c>
      <c r="J292">
        <v>4.0599999999999996</v>
      </c>
      <c r="K292">
        <v>4.16</v>
      </c>
      <c r="L292">
        <v>3.46</v>
      </c>
      <c r="M292">
        <f t="shared" si="8"/>
        <v>3.88</v>
      </c>
      <c r="N292">
        <f t="shared" si="9"/>
        <v>3.9780000000000002</v>
      </c>
    </row>
    <row r="293" spans="1:14" ht="14.25" customHeight="1" x14ac:dyDescent="0.3">
      <c r="A293" t="s">
        <v>606</v>
      </c>
      <c r="B293" t="s">
        <v>607</v>
      </c>
      <c r="C293">
        <v>3.97</v>
      </c>
      <c r="D293">
        <v>3.79</v>
      </c>
      <c r="E293">
        <v>4.41</v>
      </c>
      <c r="F293">
        <v>4.1399999999999997</v>
      </c>
      <c r="G293">
        <v>4.25</v>
      </c>
      <c r="H293">
        <v>4.7699999999999996</v>
      </c>
      <c r="J293">
        <v>4.07</v>
      </c>
      <c r="K293">
        <v>3.72</v>
      </c>
      <c r="L293">
        <v>3.44</v>
      </c>
      <c r="M293">
        <f t="shared" si="8"/>
        <v>4.1120000000000001</v>
      </c>
      <c r="N293">
        <f t="shared" si="9"/>
        <v>4</v>
      </c>
    </row>
    <row r="294" spans="1:14" ht="14.25" customHeight="1" x14ac:dyDescent="0.3">
      <c r="A294" t="s">
        <v>608</v>
      </c>
      <c r="B294" t="s">
        <v>609</v>
      </c>
      <c r="C294">
        <v>4.13</v>
      </c>
      <c r="D294">
        <v>4.16</v>
      </c>
      <c r="E294">
        <v>3.54</v>
      </c>
      <c r="F294">
        <v>4.01</v>
      </c>
      <c r="G294">
        <v>4.25</v>
      </c>
      <c r="H294">
        <v>4.2</v>
      </c>
      <c r="I294">
        <v>4.16</v>
      </c>
      <c r="J294">
        <v>5</v>
      </c>
      <c r="K294">
        <v>3.95</v>
      </c>
      <c r="L294">
        <v>4.3899999999999997</v>
      </c>
      <c r="M294">
        <f t="shared" si="8"/>
        <v>4.0179999999999989</v>
      </c>
      <c r="N294">
        <f t="shared" si="9"/>
        <v>4.34</v>
      </c>
    </row>
    <row r="295" spans="1:14" ht="14.25" customHeight="1" x14ac:dyDescent="0.3">
      <c r="A295" t="s">
        <v>610</v>
      </c>
      <c r="B295" t="s">
        <v>611</v>
      </c>
      <c r="C295">
        <v>4.49</v>
      </c>
      <c r="D295">
        <v>3.61</v>
      </c>
      <c r="E295">
        <v>3.74</v>
      </c>
      <c r="F295">
        <v>4.42</v>
      </c>
      <c r="G295">
        <v>3.91</v>
      </c>
      <c r="H295">
        <v>4.12</v>
      </c>
      <c r="I295">
        <v>4.45</v>
      </c>
      <c r="J295">
        <v>3.51</v>
      </c>
      <c r="K295">
        <v>4.22</v>
      </c>
      <c r="L295">
        <v>4.0599999999999996</v>
      </c>
      <c r="M295">
        <f t="shared" si="8"/>
        <v>4.0339999999999998</v>
      </c>
      <c r="N295">
        <f t="shared" si="9"/>
        <v>4.0720000000000001</v>
      </c>
    </row>
    <row r="296" spans="1:14" ht="14.25" customHeight="1" x14ac:dyDescent="0.3">
      <c r="A296" t="s">
        <v>612</v>
      </c>
      <c r="B296" t="s">
        <v>613</v>
      </c>
      <c r="C296">
        <v>3.84</v>
      </c>
      <c r="D296">
        <v>4.32</v>
      </c>
      <c r="E296">
        <v>3.58</v>
      </c>
      <c r="F296">
        <v>3.59</v>
      </c>
      <c r="G296">
        <v>4.54</v>
      </c>
      <c r="H296">
        <v>4.37</v>
      </c>
      <c r="I296">
        <v>4.18</v>
      </c>
      <c r="J296">
        <v>4.3499999999999996</v>
      </c>
      <c r="K296">
        <v>4.3</v>
      </c>
      <c r="M296">
        <f t="shared" si="8"/>
        <v>3.9740000000000002</v>
      </c>
      <c r="N296">
        <f t="shared" si="9"/>
        <v>4.3</v>
      </c>
    </row>
    <row r="297" spans="1:14" ht="14.25" customHeight="1" x14ac:dyDescent="0.3">
      <c r="A297" t="s">
        <v>614</v>
      </c>
      <c r="B297" t="s">
        <v>615</v>
      </c>
      <c r="C297">
        <v>4.1900000000000004</v>
      </c>
      <c r="D297">
        <v>3.61</v>
      </c>
      <c r="E297">
        <v>4.0999999999999996</v>
      </c>
      <c r="F297">
        <v>3.9</v>
      </c>
      <c r="G297">
        <v>4.01</v>
      </c>
      <c r="H297">
        <v>3.95</v>
      </c>
      <c r="I297">
        <v>4.2300000000000004</v>
      </c>
      <c r="J297">
        <v>3.98</v>
      </c>
      <c r="K297">
        <v>3.68</v>
      </c>
      <c r="L297">
        <v>4.2699999999999996</v>
      </c>
      <c r="M297">
        <f t="shared" si="8"/>
        <v>3.9620000000000006</v>
      </c>
      <c r="N297">
        <f t="shared" si="9"/>
        <v>4.0220000000000002</v>
      </c>
    </row>
    <row r="298" spans="1:14" ht="14.25" customHeight="1" x14ac:dyDescent="0.3">
      <c r="A298" t="s">
        <v>616</v>
      </c>
      <c r="B298" t="s">
        <v>617</v>
      </c>
      <c r="C298">
        <v>4.18</v>
      </c>
      <c r="D298">
        <v>4.33</v>
      </c>
      <c r="E298">
        <v>4</v>
      </c>
      <c r="F298">
        <v>4.1100000000000003</v>
      </c>
      <c r="G298">
        <v>3.81</v>
      </c>
      <c r="H298">
        <v>3.49</v>
      </c>
      <c r="K298">
        <v>4.1900000000000004</v>
      </c>
      <c r="L298">
        <v>3.97</v>
      </c>
      <c r="M298">
        <f t="shared" si="8"/>
        <v>4.0860000000000003</v>
      </c>
      <c r="N298">
        <f t="shared" si="9"/>
        <v>3.8833333333333333</v>
      </c>
    </row>
    <row r="299" spans="1:14" ht="14.25" customHeight="1" x14ac:dyDescent="0.3">
      <c r="A299" t="s">
        <v>618</v>
      </c>
      <c r="B299" t="s">
        <v>619</v>
      </c>
      <c r="C299">
        <v>4.29</v>
      </c>
      <c r="D299">
        <v>4.12</v>
      </c>
      <c r="E299">
        <v>3.85</v>
      </c>
      <c r="F299">
        <v>4.51</v>
      </c>
      <c r="G299">
        <v>3.81</v>
      </c>
      <c r="H299">
        <v>3.56</v>
      </c>
      <c r="I299">
        <v>3.68</v>
      </c>
      <c r="J299">
        <v>3.86</v>
      </c>
      <c r="K299">
        <v>4.5199999999999996</v>
      </c>
      <c r="L299">
        <v>3.98</v>
      </c>
      <c r="M299">
        <f t="shared" si="8"/>
        <v>4.1159999999999997</v>
      </c>
      <c r="N299">
        <f t="shared" si="9"/>
        <v>3.9199999999999995</v>
      </c>
    </row>
    <row r="300" spans="1:14" ht="14.25" customHeight="1" x14ac:dyDescent="0.3">
      <c r="A300" t="s">
        <v>620</v>
      </c>
      <c r="B300" t="s">
        <v>621</v>
      </c>
      <c r="C300">
        <v>3.56</v>
      </c>
      <c r="D300">
        <v>3.98</v>
      </c>
      <c r="E300">
        <v>4.4400000000000004</v>
      </c>
      <c r="F300">
        <v>4.32</v>
      </c>
      <c r="G300">
        <v>4.05</v>
      </c>
      <c r="H300">
        <v>4.34</v>
      </c>
      <c r="I300">
        <v>3.91</v>
      </c>
      <c r="J300">
        <v>3.77</v>
      </c>
      <c r="K300">
        <v>4.2699999999999996</v>
      </c>
      <c r="L300">
        <v>3.7</v>
      </c>
      <c r="M300">
        <f t="shared" si="8"/>
        <v>4.07</v>
      </c>
      <c r="N300">
        <f t="shared" si="9"/>
        <v>3.9979999999999998</v>
      </c>
    </row>
    <row r="301" spans="1:14" ht="14.25" customHeight="1" x14ac:dyDescent="0.3">
      <c r="A301" t="s">
        <v>622</v>
      </c>
      <c r="B301" t="s">
        <v>623</v>
      </c>
      <c r="C301">
        <v>4.79</v>
      </c>
      <c r="D301">
        <v>4.0999999999999996</v>
      </c>
      <c r="E301">
        <v>3.69</v>
      </c>
      <c r="F301">
        <v>4.04</v>
      </c>
      <c r="G301">
        <v>3.86</v>
      </c>
      <c r="H301">
        <v>4.0599999999999996</v>
      </c>
      <c r="I301">
        <v>4.05</v>
      </c>
      <c r="J301">
        <v>3.77</v>
      </c>
      <c r="K301">
        <v>3.92</v>
      </c>
      <c r="L301">
        <v>4.28</v>
      </c>
      <c r="M301">
        <f t="shared" si="8"/>
        <v>4.0960000000000001</v>
      </c>
      <c r="N301">
        <f t="shared" si="9"/>
        <v>4.016</v>
      </c>
    </row>
    <row r="302" spans="1:14" ht="14.25" customHeight="1" x14ac:dyDescent="0.3">
      <c r="A302" t="s">
        <v>624</v>
      </c>
      <c r="B302" t="s">
        <v>625</v>
      </c>
      <c r="C302">
        <v>3.75</v>
      </c>
      <c r="D302">
        <v>3.95</v>
      </c>
      <c r="E302">
        <v>4.0999999999999996</v>
      </c>
      <c r="F302">
        <v>3.93</v>
      </c>
      <c r="G302">
        <v>3.66</v>
      </c>
      <c r="H302">
        <v>4.1900000000000004</v>
      </c>
      <c r="I302">
        <v>4.37</v>
      </c>
      <c r="J302">
        <v>4.25</v>
      </c>
      <c r="K302">
        <v>3.69</v>
      </c>
      <c r="L302">
        <v>4.87</v>
      </c>
      <c r="M302">
        <f t="shared" si="8"/>
        <v>3.8780000000000001</v>
      </c>
      <c r="N302">
        <f t="shared" si="9"/>
        <v>4.274</v>
      </c>
    </row>
    <row r="303" spans="1:14" ht="14.25" customHeight="1" x14ac:dyDescent="0.3">
      <c r="A303" t="s">
        <v>626</v>
      </c>
      <c r="B303" t="s">
        <v>627</v>
      </c>
      <c r="C303">
        <v>3.98</v>
      </c>
      <c r="D303">
        <v>4.0999999999999996</v>
      </c>
      <c r="E303">
        <v>3.48</v>
      </c>
      <c r="F303">
        <v>3.87</v>
      </c>
      <c r="G303">
        <v>4.26</v>
      </c>
      <c r="H303">
        <v>3.26</v>
      </c>
      <c r="I303">
        <v>3.61</v>
      </c>
      <c r="J303">
        <v>3.54</v>
      </c>
      <c r="K303">
        <v>3.62</v>
      </c>
      <c r="L303">
        <v>3.87</v>
      </c>
      <c r="M303">
        <f t="shared" si="8"/>
        <v>3.9379999999999997</v>
      </c>
      <c r="N303">
        <f t="shared" si="9"/>
        <v>3.5800000000000005</v>
      </c>
    </row>
    <row r="304" spans="1:14" ht="14.25" customHeight="1" x14ac:dyDescent="0.3">
      <c r="A304" t="s">
        <v>628</v>
      </c>
      <c r="B304" t="s">
        <v>629</v>
      </c>
      <c r="C304">
        <v>3.98</v>
      </c>
      <c r="D304">
        <v>4.13</v>
      </c>
      <c r="E304">
        <v>4.1100000000000003</v>
      </c>
      <c r="F304">
        <v>4.4000000000000004</v>
      </c>
      <c r="G304">
        <v>3.64</v>
      </c>
      <c r="H304">
        <v>3.89</v>
      </c>
      <c r="I304">
        <v>3.59</v>
      </c>
      <c r="J304">
        <v>4.13</v>
      </c>
      <c r="L304">
        <v>3.9</v>
      </c>
      <c r="M304">
        <f t="shared" si="8"/>
        <v>4.0519999999999996</v>
      </c>
      <c r="N304">
        <f t="shared" si="9"/>
        <v>3.8774999999999999</v>
      </c>
    </row>
    <row r="305" spans="1:14" ht="14.25" customHeight="1" x14ac:dyDescent="0.3">
      <c r="A305" t="s">
        <v>630</v>
      </c>
      <c r="B305" t="s">
        <v>631</v>
      </c>
      <c r="C305">
        <v>3.72</v>
      </c>
      <c r="D305">
        <v>4.5599999999999996</v>
      </c>
      <c r="E305">
        <v>4.3099999999999996</v>
      </c>
      <c r="F305">
        <v>3.99</v>
      </c>
      <c r="G305">
        <v>3.56</v>
      </c>
      <c r="H305">
        <v>3.98</v>
      </c>
      <c r="I305">
        <v>4.2300000000000004</v>
      </c>
      <c r="J305">
        <v>4.0999999999999996</v>
      </c>
      <c r="K305">
        <v>4.37</v>
      </c>
      <c r="L305">
        <v>4.4400000000000004</v>
      </c>
      <c r="M305">
        <f t="shared" si="8"/>
        <v>4.0279999999999996</v>
      </c>
      <c r="N305">
        <f t="shared" si="9"/>
        <v>4.2240000000000002</v>
      </c>
    </row>
    <row r="306" spans="1:14" ht="14.25" customHeight="1" x14ac:dyDescent="0.3">
      <c r="A306" t="s">
        <v>632</v>
      </c>
      <c r="B306" t="s">
        <v>633</v>
      </c>
      <c r="C306">
        <v>4.04</v>
      </c>
      <c r="D306">
        <v>4.26</v>
      </c>
      <c r="E306">
        <v>4.5</v>
      </c>
      <c r="F306">
        <v>4.4800000000000004</v>
      </c>
      <c r="G306">
        <v>4.18</v>
      </c>
      <c r="H306">
        <v>4.63</v>
      </c>
      <c r="I306">
        <v>4.16</v>
      </c>
      <c r="J306">
        <v>4.32</v>
      </c>
      <c r="K306">
        <v>4.05</v>
      </c>
      <c r="L306">
        <v>3.95</v>
      </c>
      <c r="M306">
        <f t="shared" si="8"/>
        <v>4.2919999999999998</v>
      </c>
      <c r="N306">
        <f t="shared" si="9"/>
        <v>4.2219999999999995</v>
      </c>
    </row>
    <row r="307" spans="1:14" ht="14.25" customHeight="1" x14ac:dyDescent="0.3">
      <c r="A307" t="s">
        <v>634</v>
      </c>
      <c r="B307" t="s">
        <v>635</v>
      </c>
      <c r="C307">
        <v>4.0999999999999996</v>
      </c>
      <c r="E307">
        <v>3.61</v>
      </c>
      <c r="F307">
        <v>3.38</v>
      </c>
      <c r="G307">
        <v>4.3</v>
      </c>
      <c r="H307">
        <v>4.33</v>
      </c>
      <c r="I307">
        <v>3.95</v>
      </c>
      <c r="J307">
        <v>4.03</v>
      </c>
      <c r="K307">
        <v>4.6100000000000003</v>
      </c>
      <c r="L307">
        <v>3.81</v>
      </c>
      <c r="M307">
        <f t="shared" si="8"/>
        <v>3.8475000000000001</v>
      </c>
      <c r="N307">
        <f t="shared" si="9"/>
        <v>4.1459999999999999</v>
      </c>
    </row>
    <row r="308" spans="1:14" ht="14.25" customHeight="1" x14ac:dyDescent="0.3">
      <c r="A308" t="s">
        <v>636</v>
      </c>
      <c r="B308" t="s">
        <v>637</v>
      </c>
      <c r="C308">
        <v>4.1900000000000004</v>
      </c>
      <c r="D308">
        <v>3.36</v>
      </c>
      <c r="E308">
        <v>3.98</v>
      </c>
      <c r="F308">
        <v>3.87</v>
      </c>
      <c r="G308">
        <v>4.1100000000000003</v>
      </c>
      <c r="H308">
        <v>3.91</v>
      </c>
      <c r="I308">
        <v>3.81</v>
      </c>
      <c r="J308">
        <v>3.68</v>
      </c>
      <c r="K308">
        <v>3.76</v>
      </c>
      <c r="L308">
        <v>4.6399999999999997</v>
      </c>
      <c r="M308">
        <f t="shared" si="8"/>
        <v>3.9020000000000001</v>
      </c>
      <c r="N308">
        <f t="shared" si="9"/>
        <v>3.96</v>
      </c>
    </row>
    <row r="309" spans="1:14" ht="14.25" customHeight="1" x14ac:dyDescent="0.3">
      <c r="A309" t="s">
        <v>638</v>
      </c>
      <c r="B309" t="s">
        <v>639</v>
      </c>
      <c r="C309">
        <v>3.93</v>
      </c>
      <c r="D309">
        <v>4.8600000000000003</v>
      </c>
      <c r="E309">
        <v>4.4000000000000004</v>
      </c>
      <c r="F309">
        <v>3.99</v>
      </c>
      <c r="G309">
        <v>4.2699999999999996</v>
      </c>
      <c r="H309">
        <v>4.3</v>
      </c>
      <c r="I309">
        <v>3.89</v>
      </c>
      <c r="J309">
        <v>3.54</v>
      </c>
      <c r="L309">
        <v>4.5199999999999996</v>
      </c>
      <c r="M309">
        <f t="shared" si="8"/>
        <v>4.29</v>
      </c>
      <c r="N309">
        <f t="shared" si="9"/>
        <v>4.0625</v>
      </c>
    </row>
    <row r="310" spans="1:14" ht="14.25" customHeight="1" x14ac:dyDescent="0.3">
      <c r="A310" t="s">
        <v>640</v>
      </c>
      <c r="B310" t="s">
        <v>641</v>
      </c>
      <c r="C310">
        <v>4.1900000000000004</v>
      </c>
      <c r="D310">
        <v>4.4800000000000004</v>
      </c>
      <c r="E310">
        <v>3.98</v>
      </c>
      <c r="F310">
        <v>4.34</v>
      </c>
      <c r="G310">
        <v>3.63</v>
      </c>
      <c r="H310">
        <v>3.25</v>
      </c>
      <c r="I310">
        <v>3.58</v>
      </c>
      <c r="J310">
        <v>3.4</v>
      </c>
      <c r="K310">
        <v>3.56</v>
      </c>
      <c r="L310">
        <v>4.04</v>
      </c>
      <c r="M310">
        <f t="shared" si="8"/>
        <v>4.1240000000000006</v>
      </c>
      <c r="N310">
        <f t="shared" si="9"/>
        <v>3.5660000000000003</v>
      </c>
    </row>
    <row r="311" spans="1:14" ht="14.25" customHeight="1" x14ac:dyDescent="0.3">
      <c r="A311" t="s">
        <v>642</v>
      </c>
      <c r="B311" t="s">
        <v>643</v>
      </c>
      <c r="C311">
        <v>4.08</v>
      </c>
      <c r="D311">
        <v>3.64</v>
      </c>
      <c r="E311">
        <v>3.39</v>
      </c>
      <c r="F311">
        <v>3.67</v>
      </c>
      <c r="G311">
        <v>3.93</v>
      </c>
      <c r="H311">
        <v>3.59</v>
      </c>
      <c r="I311">
        <v>4.3600000000000003</v>
      </c>
      <c r="J311">
        <v>3.81</v>
      </c>
      <c r="K311">
        <v>4.29</v>
      </c>
      <c r="L311">
        <v>3.82</v>
      </c>
      <c r="M311">
        <f t="shared" si="8"/>
        <v>3.742</v>
      </c>
      <c r="N311">
        <f t="shared" si="9"/>
        <v>3.9740000000000002</v>
      </c>
    </row>
    <row r="312" spans="1:14" ht="14.25" customHeight="1" x14ac:dyDescent="0.3">
      <c r="A312" t="s">
        <v>644</v>
      </c>
      <c r="B312" t="s">
        <v>645</v>
      </c>
      <c r="C312">
        <v>4.3</v>
      </c>
      <c r="D312">
        <v>4.24</v>
      </c>
      <c r="E312">
        <v>4.1500000000000004</v>
      </c>
      <c r="F312">
        <v>4.09</v>
      </c>
      <c r="G312">
        <v>3.99</v>
      </c>
      <c r="H312">
        <v>4.6100000000000003</v>
      </c>
      <c r="I312">
        <v>4.53</v>
      </c>
      <c r="J312">
        <v>4</v>
      </c>
      <c r="K312">
        <v>4.12</v>
      </c>
      <c r="L312">
        <v>4.1399999999999997</v>
      </c>
      <c r="M312">
        <f t="shared" si="8"/>
        <v>4.1540000000000008</v>
      </c>
      <c r="N312">
        <f t="shared" si="9"/>
        <v>4.28</v>
      </c>
    </row>
    <row r="313" spans="1:14" ht="14.25" customHeight="1" x14ac:dyDescent="0.3">
      <c r="A313" t="s">
        <v>646</v>
      </c>
      <c r="B313" t="s">
        <v>647</v>
      </c>
      <c r="C313">
        <v>4.05</v>
      </c>
      <c r="D313">
        <v>3.97</v>
      </c>
      <c r="E313">
        <v>4.1100000000000003</v>
      </c>
      <c r="F313">
        <v>3.91</v>
      </c>
      <c r="G313">
        <v>4.4000000000000004</v>
      </c>
      <c r="H313">
        <v>3.66</v>
      </c>
      <c r="I313">
        <v>4.4000000000000004</v>
      </c>
      <c r="J313">
        <v>3.65</v>
      </c>
      <c r="K313">
        <v>3.83</v>
      </c>
      <c r="L313">
        <v>3.96</v>
      </c>
      <c r="M313">
        <f t="shared" si="8"/>
        <v>4.0879999999999992</v>
      </c>
      <c r="N313">
        <f t="shared" si="9"/>
        <v>3.9</v>
      </c>
    </row>
    <row r="314" spans="1:14" ht="14.25" customHeight="1" x14ac:dyDescent="0.3">
      <c r="A314" t="s">
        <v>648</v>
      </c>
      <c r="B314" t="s">
        <v>649</v>
      </c>
      <c r="C314">
        <v>4.33</v>
      </c>
      <c r="D314">
        <v>3.91</v>
      </c>
      <c r="E314">
        <v>4.8899999999999997</v>
      </c>
      <c r="F314">
        <v>3.82</v>
      </c>
      <c r="G314">
        <v>3.89</v>
      </c>
      <c r="H314">
        <v>4.42</v>
      </c>
      <c r="I314">
        <v>4.29</v>
      </c>
      <c r="J314">
        <v>4.07</v>
      </c>
      <c r="K314">
        <v>3.64</v>
      </c>
      <c r="L314">
        <v>3.67</v>
      </c>
      <c r="M314">
        <f t="shared" si="8"/>
        <v>4.1680000000000001</v>
      </c>
      <c r="N314">
        <f t="shared" si="9"/>
        <v>4.0180000000000007</v>
      </c>
    </row>
    <row r="315" spans="1:14" ht="14.25" customHeight="1" x14ac:dyDescent="0.3">
      <c r="A315" t="s">
        <v>650</v>
      </c>
      <c r="B315" t="s">
        <v>651</v>
      </c>
      <c r="C315">
        <v>4.47</v>
      </c>
      <c r="D315">
        <v>3.79</v>
      </c>
      <c r="E315">
        <v>3.73</v>
      </c>
      <c r="F315">
        <v>3.62</v>
      </c>
      <c r="G315">
        <v>3.63</v>
      </c>
      <c r="H315">
        <v>3.92</v>
      </c>
      <c r="I315">
        <v>4.1900000000000004</v>
      </c>
      <c r="J315">
        <v>3.24</v>
      </c>
      <c r="K315">
        <v>4</v>
      </c>
      <c r="L315">
        <v>4.24</v>
      </c>
      <c r="M315">
        <f t="shared" si="8"/>
        <v>3.8479999999999999</v>
      </c>
      <c r="N315">
        <f t="shared" si="9"/>
        <v>3.9180000000000001</v>
      </c>
    </row>
    <row r="316" spans="1:14" ht="14.25" customHeight="1" x14ac:dyDescent="0.3">
      <c r="A316" t="s">
        <v>652</v>
      </c>
      <c r="B316" t="s">
        <v>653</v>
      </c>
      <c r="C316">
        <v>4.5599999999999996</v>
      </c>
      <c r="D316">
        <v>3.93</v>
      </c>
      <c r="E316">
        <v>4.12</v>
      </c>
      <c r="F316">
        <v>4.1100000000000003</v>
      </c>
      <c r="G316">
        <v>4</v>
      </c>
      <c r="H316">
        <v>4.3</v>
      </c>
      <c r="I316">
        <v>4.38</v>
      </c>
      <c r="J316">
        <v>4.57</v>
      </c>
      <c r="K316">
        <v>4.41</v>
      </c>
      <c r="L316">
        <v>4.0599999999999996</v>
      </c>
      <c r="M316">
        <f t="shared" si="8"/>
        <v>4.1440000000000001</v>
      </c>
      <c r="N316">
        <f t="shared" si="9"/>
        <v>4.3439999999999994</v>
      </c>
    </row>
    <row r="317" spans="1:14" ht="14.25" customHeight="1" x14ac:dyDescent="0.3">
      <c r="A317" t="s">
        <v>654</v>
      </c>
      <c r="B317" t="s">
        <v>655</v>
      </c>
      <c r="C317">
        <v>4.21</v>
      </c>
      <c r="D317">
        <v>4.28</v>
      </c>
      <c r="E317">
        <v>4.76</v>
      </c>
      <c r="F317">
        <v>4.28</v>
      </c>
      <c r="G317">
        <v>3.7</v>
      </c>
      <c r="H317">
        <v>3.74</v>
      </c>
      <c r="I317">
        <v>3.63</v>
      </c>
      <c r="J317">
        <v>4.07</v>
      </c>
      <c r="L317">
        <v>4.49</v>
      </c>
      <c r="M317">
        <f t="shared" si="8"/>
        <v>4.2460000000000004</v>
      </c>
      <c r="N317">
        <f t="shared" si="9"/>
        <v>3.9825000000000004</v>
      </c>
    </row>
    <row r="318" spans="1:14" ht="14.25" customHeight="1" x14ac:dyDescent="0.3">
      <c r="A318" t="s">
        <v>656</v>
      </c>
      <c r="B318" t="s">
        <v>657</v>
      </c>
      <c r="C318">
        <v>4.09</v>
      </c>
      <c r="D318">
        <v>4.25</v>
      </c>
      <c r="E318">
        <v>4.4000000000000004</v>
      </c>
      <c r="F318">
        <v>4.21</v>
      </c>
      <c r="G318">
        <v>3.71</v>
      </c>
      <c r="H318">
        <v>4.25</v>
      </c>
      <c r="I318">
        <v>4.24</v>
      </c>
      <c r="J318">
        <v>4.17</v>
      </c>
      <c r="K318">
        <v>4.12</v>
      </c>
      <c r="L318">
        <v>4.33</v>
      </c>
      <c r="M318">
        <f t="shared" si="8"/>
        <v>4.1319999999999997</v>
      </c>
      <c r="N318">
        <f t="shared" si="9"/>
        <v>4.2219999999999995</v>
      </c>
    </row>
    <row r="319" spans="1:14" ht="14.25" customHeight="1" x14ac:dyDescent="0.3">
      <c r="A319" t="s">
        <v>658</v>
      </c>
      <c r="B319" t="s">
        <v>659</v>
      </c>
      <c r="C319">
        <v>4.16</v>
      </c>
      <c r="D319">
        <v>4.57</v>
      </c>
      <c r="E319">
        <v>2.99</v>
      </c>
      <c r="F319">
        <v>3.84</v>
      </c>
      <c r="G319">
        <v>4.45</v>
      </c>
      <c r="H319">
        <v>3.24</v>
      </c>
      <c r="I319">
        <v>4.53</v>
      </c>
      <c r="J319">
        <v>4.08</v>
      </c>
      <c r="K319">
        <v>3.4</v>
      </c>
      <c r="L319">
        <v>4.28</v>
      </c>
      <c r="M319">
        <f t="shared" si="8"/>
        <v>4.0020000000000007</v>
      </c>
      <c r="N319">
        <f t="shared" si="9"/>
        <v>3.9060000000000001</v>
      </c>
    </row>
    <row r="320" spans="1:14" ht="14.25" customHeight="1" x14ac:dyDescent="0.3">
      <c r="A320" t="s">
        <v>660</v>
      </c>
      <c r="B320" t="s">
        <v>661</v>
      </c>
      <c r="C320">
        <v>4.5199999999999996</v>
      </c>
      <c r="D320">
        <v>3.93</v>
      </c>
      <c r="E320">
        <v>3.74</v>
      </c>
      <c r="F320">
        <v>4.6900000000000004</v>
      </c>
      <c r="G320">
        <v>4.3499999999999996</v>
      </c>
      <c r="H320">
        <v>3.94</v>
      </c>
      <c r="I320">
        <v>3.8</v>
      </c>
      <c r="J320">
        <v>3.98</v>
      </c>
      <c r="K320">
        <v>4.55</v>
      </c>
      <c r="L320">
        <v>3.74</v>
      </c>
      <c r="M320">
        <f t="shared" si="8"/>
        <v>4.2459999999999996</v>
      </c>
      <c r="N320">
        <f t="shared" si="9"/>
        <v>4.0019999999999998</v>
      </c>
    </row>
    <row r="321" spans="1:14" ht="14.25" customHeight="1" x14ac:dyDescent="0.3">
      <c r="A321" t="s">
        <v>662</v>
      </c>
      <c r="B321" t="s">
        <v>663</v>
      </c>
      <c r="C321">
        <v>4.16</v>
      </c>
      <c r="D321">
        <v>3.72</v>
      </c>
      <c r="E321">
        <v>4.71</v>
      </c>
      <c r="F321">
        <v>4.24</v>
      </c>
      <c r="G321">
        <v>4.1900000000000004</v>
      </c>
      <c r="H321">
        <v>4.41</v>
      </c>
      <c r="I321">
        <v>4.2300000000000004</v>
      </c>
      <c r="J321">
        <v>3.99</v>
      </c>
      <c r="K321">
        <v>4.43</v>
      </c>
      <c r="L321">
        <v>3.94</v>
      </c>
      <c r="M321">
        <f t="shared" si="8"/>
        <v>4.2039999999999997</v>
      </c>
      <c r="N321">
        <f t="shared" si="9"/>
        <v>4.2000000000000011</v>
      </c>
    </row>
    <row r="322" spans="1:14" ht="14.25" customHeight="1" x14ac:dyDescent="0.3">
      <c r="A322" t="s">
        <v>664</v>
      </c>
      <c r="B322" t="s">
        <v>665</v>
      </c>
      <c r="C322">
        <v>4.16</v>
      </c>
      <c r="D322">
        <v>4.49</v>
      </c>
      <c r="E322">
        <v>4.16</v>
      </c>
      <c r="F322">
        <v>4.5199999999999996</v>
      </c>
      <c r="G322">
        <v>4.16</v>
      </c>
      <c r="H322">
        <v>3.86</v>
      </c>
      <c r="I322">
        <v>4.3600000000000003</v>
      </c>
      <c r="J322">
        <v>3.47</v>
      </c>
      <c r="K322">
        <v>4.03</v>
      </c>
      <c r="L322">
        <v>3.71</v>
      </c>
      <c r="M322">
        <f t="shared" ref="M322:M385" si="10">AVERAGE(C322:G322)</f>
        <v>4.298</v>
      </c>
      <c r="N322">
        <f t="shared" ref="N322:N385" si="11">AVERAGE(H322:L322)</f>
        <v>3.8860000000000006</v>
      </c>
    </row>
    <row r="323" spans="1:14" ht="14.25" customHeight="1" x14ac:dyDescent="0.3">
      <c r="A323" t="s">
        <v>666</v>
      </c>
      <c r="B323" t="s">
        <v>667</v>
      </c>
      <c r="C323">
        <v>4.55</v>
      </c>
      <c r="D323">
        <v>4.13</v>
      </c>
      <c r="E323">
        <v>4.17</v>
      </c>
      <c r="F323">
        <v>4.08</v>
      </c>
      <c r="G323">
        <v>4.16</v>
      </c>
      <c r="H323">
        <v>4.2699999999999996</v>
      </c>
      <c r="I323">
        <v>4.59</v>
      </c>
      <c r="J323">
        <v>4.3</v>
      </c>
      <c r="K323">
        <v>4.33</v>
      </c>
      <c r="L323">
        <v>3.88</v>
      </c>
      <c r="M323">
        <f t="shared" si="10"/>
        <v>4.218</v>
      </c>
      <c r="N323">
        <f t="shared" si="11"/>
        <v>4.274</v>
      </c>
    </row>
    <row r="324" spans="1:14" ht="14.25" customHeight="1" x14ac:dyDescent="0.3">
      <c r="A324" t="s">
        <v>668</v>
      </c>
      <c r="B324" t="s">
        <v>669</v>
      </c>
      <c r="C324">
        <v>4</v>
      </c>
      <c r="D324">
        <v>4.07</v>
      </c>
      <c r="E324">
        <v>3.87</v>
      </c>
      <c r="F324">
        <v>3.7</v>
      </c>
      <c r="G324">
        <v>3.77</v>
      </c>
      <c r="H324">
        <v>3.71</v>
      </c>
      <c r="I324">
        <v>4.07</v>
      </c>
      <c r="J324">
        <v>3.63</v>
      </c>
      <c r="K324">
        <v>4.01</v>
      </c>
      <c r="L324">
        <v>3.93</v>
      </c>
      <c r="M324">
        <f t="shared" si="10"/>
        <v>3.8820000000000001</v>
      </c>
      <c r="N324">
        <f t="shared" si="11"/>
        <v>3.87</v>
      </c>
    </row>
    <row r="325" spans="1:14" ht="14.25" customHeight="1" x14ac:dyDescent="0.3">
      <c r="A325" t="s">
        <v>670</v>
      </c>
      <c r="B325" t="s">
        <v>671</v>
      </c>
      <c r="C325">
        <v>3.93</v>
      </c>
      <c r="D325">
        <v>4.5199999999999996</v>
      </c>
      <c r="E325">
        <v>3.85</v>
      </c>
      <c r="F325">
        <v>3.89</v>
      </c>
      <c r="G325">
        <v>4.33</v>
      </c>
      <c r="H325">
        <v>3.91</v>
      </c>
      <c r="I325">
        <v>4.09</v>
      </c>
      <c r="J325">
        <v>3.98</v>
      </c>
      <c r="K325">
        <v>4.18</v>
      </c>
      <c r="L325">
        <v>4.24</v>
      </c>
      <c r="M325">
        <f t="shared" si="10"/>
        <v>4.1039999999999992</v>
      </c>
      <c r="N325">
        <f t="shared" si="11"/>
        <v>4.08</v>
      </c>
    </row>
    <row r="326" spans="1:14" ht="14.25" customHeight="1" x14ac:dyDescent="0.3">
      <c r="A326" t="s">
        <v>672</v>
      </c>
      <c r="B326" t="s">
        <v>673</v>
      </c>
      <c r="C326">
        <v>3.92</v>
      </c>
      <c r="D326">
        <v>4.49</v>
      </c>
      <c r="E326">
        <v>3.85</v>
      </c>
      <c r="F326">
        <v>4.6900000000000004</v>
      </c>
      <c r="G326">
        <v>4.68</v>
      </c>
      <c r="H326">
        <v>3.91</v>
      </c>
      <c r="I326">
        <v>3.57</v>
      </c>
      <c r="J326">
        <v>3.41</v>
      </c>
      <c r="K326">
        <v>4.7</v>
      </c>
      <c r="L326">
        <v>4.0999999999999996</v>
      </c>
      <c r="M326">
        <f t="shared" si="10"/>
        <v>4.3259999999999996</v>
      </c>
      <c r="N326">
        <f t="shared" si="11"/>
        <v>3.9379999999999997</v>
      </c>
    </row>
    <row r="327" spans="1:14" ht="14.25" customHeight="1" x14ac:dyDescent="0.3">
      <c r="A327" t="s">
        <v>674</v>
      </c>
      <c r="B327" t="s">
        <v>675</v>
      </c>
      <c r="C327">
        <v>4.45</v>
      </c>
      <c r="D327">
        <v>4.16</v>
      </c>
      <c r="E327">
        <v>3.73</v>
      </c>
      <c r="F327">
        <v>4.3</v>
      </c>
      <c r="G327">
        <v>4.24</v>
      </c>
      <c r="H327">
        <v>4.16</v>
      </c>
      <c r="I327">
        <v>4.0199999999999996</v>
      </c>
      <c r="J327">
        <v>3.54</v>
      </c>
      <c r="K327">
        <v>4.22</v>
      </c>
      <c r="L327">
        <v>4.7300000000000004</v>
      </c>
      <c r="M327">
        <f t="shared" si="10"/>
        <v>4.1760000000000002</v>
      </c>
      <c r="N327">
        <f t="shared" si="11"/>
        <v>4.1339999999999995</v>
      </c>
    </row>
    <row r="328" spans="1:14" ht="14.25" customHeight="1" x14ac:dyDescent="0.3">
      <c r="A328" t="s">
        <v>676</v>
      </c>
      <c r="B328" t="s">
        <v>677</v>
      </c>
      <c r="C328">
        <v>4.17</v>
      </c>
      <c r="F328">
        <v>3.87</v>
      </c>
      <c r="G328">
        <v>4.29</v>
      </c>
      <c r="H328" t="s">
        <v>211</v>
      </c>
      <c r="I328">
        <v>4.42</v>
      </c>
      <c r="J328">
        <v>3.55</v>
      </c>
      <c r="K328">
        <v>4.99</v>
      </c>
      <c r="L328">
        <v>3.63</v>
      </c>
      <c r="M328">
        <f t="shared" si="10"/>
        <v>4.1099999999999994</v>
      </c>
      <c r="N328">
        <f t="shared" si="11"/>
        <v>4.1475</v>
      </c>
    </row>
    <row r="329" spans="1:14" ht="14.25" customHeight="1" x14ac:dyDescent="0.3">
      <c r="A329" t="s">
        <v>678</v>
      </c>
      <c r="B329" t="s">
        <v>679</v>
      </c>
      <c r="C329">
        <v>4.0199999999999996</v>
      </c>
      <c r="D329">
        <v>4.17</v>
      </c>
      <c r="E329">
        <v>4.47</v>
      </c>
      <c r="F329">
        <v>4.3499999999999996</v>
      </c>
      <c r="G329">
        <v>3.76</v>
      </c>
      <c r="H329">
        <v>4.07</v>
      </c>
      <c r="I329">
        <v>4.37</v>
      </c>
      <c r="J329">
        <v>4.3899999999999997</v>
      </c>
      <c r="K329">
        <v>4.41</v>
      </c>
      <c r="L329">
        <v>4.3099999999999996</v>
      </c>
      <c r="M329">
        <f t="shared" si="10"/>
        <v>4.153999999999999</v>
      </c>
      <c r="N329">
        <f t="shared" si="11"/>
        <v>4.3100000000000005</v>
      </c>
    </row>
    <row r="330" spans="1:14" ht="14.25" customHeight="1" x14ac:dyDescent="0.3">
      <c r="A330" t="s">
        <v>680</v>
      </c>
      <c r="B330" t="s">
        <v>681</v>
      </c>
      <c r="C330">
        <v>3.77</v>
      </c>
      <c r="D330">
        <v>4.08</v>
      </c>
      <c r="E330">
        <v>3.78</v>
      </c>
      <c r="F330">
        <v>3.64</v>
      </c>
      <c r="G330">
        <v>4.29</v>
      </c>
      <c r="H330">
        <v>4.3899999999999997</v>
      </c>
      <c r="I330">
        <v>4.34</v>
      </c>
      <c r="J330">
        <v>3.29</v>
      </c>
      <c r="K330">
        <v>4.1900000000000004</v>
      </c>
      <c r="L330">
        <v>4.29</v>
      </c>
      <c r="M330">
        <f t="shared" si="10"/>
        <v>3.9119999999999999</v>
      </c>
      <c r="N330">
        <f t="shared" si="11"/>
        <v>4.0999999999999996</v>
      </c>
    </row>
    <row r="331" spans="1:14" ht="14.25" customHeight="1" x14ac:dyDescent="0.3">
      <c r="A331" t="s">
        <v>682</v>
      </c>
      <c r="B331" t="s">
        <v>683</v>
      </c>
      <c r="C331">
        <v>4</v>
      </c>
      <c r="D331">
        <v>4.3499999999999996</v>
      </c>
      <c r="E331">
        <v>3.93</v>
      </c>
      <c r="F331">
        <v>3.79</v>
      </c>
      <c r="G331">
        <v>3.71</v>
      </c>
      <c r="H331">
        <v>4.09</v>
      </c>
      <c r="I331">
        <v>4.1100000000000003</v>
      </c>
      <c r="J331">
        <v>3.68</v>
      </c>
      <c r="K331">
        <v>4.41</v>
      </c>
      <c r="L331">
        <v>4.34</v>
      </c>
      <c r="M331">
        <f t="shared" si="10"/>
        <v>3.9560000000000004</v>
      </c>
      <c r="N331">
        <f t="shared" si="11"/>
        <v>4.1259999999999994</v>
      </c>
    </row>
    <row r="332" spans="1:14" ht="14.25" customHeight="1" x14ac:dyDescent="0.3">
      <c r="A332" t="s">
        <v>684</v>
      </c>
      <c r="B332" t="s">
        <v>685</v>
      </c>
      <c r="C332">
        <v>4.16</v>
      </c>
      <c r="D332">
        <v>3.91</v>
      </c>
      <c r="E332">
        <v>3.81</v>
      </c>
      <c r="F332">
        <v>3.99</v>
      </c>
      <c r="G332">
        <v>4.1500000000000004</v>
      </c>
      <c r="H332">
        <v>3.97</v>
      </c>
      <c r="I332">
        <v>4.1100000000000003</v>
      </c>
      <c r="J332">
        <v>4.08</v>
      </c>
      <c r="K332">
        <v>3.97</v>
      </c>
      <c r="L332">
        <v>4.05</v>
      </c>
      <c r="M332">
        <f t="shared" si="10"/>
        <v>4.0040000000000004</v>
      </c>
      <c r="N332">
        <f t="shared" si="11"/>
        <v>4.0359999999999996</v>
      </c>
    </row>
    <row r="333" spans="1:14" ht="14.25" customHeight="1" x14ac:dyDescent="0.3">
      <c r="A333" t="s">
        <v>686</v>
      </c>
      <c r="B333" t="s">
        <v>687</v>
      </c>
      <c r="C333">
        <v>4.08</v>
      </c>
      <c r="D333">
        <v>3.83</v>
      </c>
      <c r="F333">
        <v>4.1100000000000003</v>
      </c>
      <c r="G333">
        <v>4.3600000000000003</v>
      </c>
      <c r="H333">
        <v>3.8</v>
      </c>
      <c r="I333">
        <v>3.95</v>
      </c>
      <c r="J333">
        <v>3.9</v>
      </c>
      <c r="K333">
        <v>3.52</v>
      </c>
      <c r="L333">
        <v>4.47</v>
      </c>
      <c r="M333">
        <f t="shared" si="10"/>
        <v>4.0949999999999998</v>
      </c>
      <c r="N333">
        <f t="shared" si="11"/>
        <v>3.9279999999999999</v>
      </c>
    </row>
    <row r="334" spans="1:14" ht="14.25" customHeight="1" x14ac:dyDescent="0.3">
      <c r="A334" t="s">
        <v>688</v>
      </c>
      <c r="B334" t="s">
        <v>689</v>
      </c>
      <c r="C334">
        <v>4.3</v>
      </c>
      <c r="D334">
        <v>4.33</v>
      </c>
      <c r="E334">
        <v>4.3099999999999996</v>
      </c>
      <c r="F334">
        <v>4.21</v>
      </c>
      <c r="G334">
        <v>4.29</v>
      </c>
      <c r="H334">
        <v>4.07</v>
      </c>
      <c r="I334">
        <v>4.93</v>
      </c>
      <c r="J334">
        <v>3.85</v>
      </c>
      <c r="K334">
        <v>3.83</v>
      </c>
      <c r="L334">
        <v>3.56</v>
      </c>
      <c r="M334">
        <f t="shared" si="10"/>
        <v>4.2879999999999994</v>
      </c>
      <c r="N334">
        <f t="shared" si="11"/>
        <v>4.048</v>
      </c>
    </row>
    <row r="335" spans="1:14" ht="14.25" customHeight="1" x14ac:dyDescent="0.3">
      <c r="A335" t="s">
        <v>690</v>
      </c>
      <c r="B335" t="s">
        <v>691</v>
      </c>
      <c r="C335">
        <v>4.2699999999999996</v>
      </c>
      <c r="D335">
        <v>4.4000000000000004</v>
      </c>
      <c r="E335">
        <v>3.46</v>
      </c>
      <c r="F335">
        <v>3.79</v>
      </c>
      <c r="H335">
        <v>4.46</v>
      </c>
      <c r="I335">
        <v>4.1399999999999997</v>
      </c>
      <c r="J335">
        <v>4.0199999999999996</v>
      </c>
      <c r="L335">
        <v>3.82</v>
      </c>
      <c r="M335">
        <f t="shared" si="10"/>
        <v>3.9799999999999995</v>
      </c>
      <c r="N335">
        <f t="shared" si="11"/>
        <v>4.1099999999999994</v>
      </c>
    </row>
    <row r="336" spans="1:14" ht="14.25" customHeight="1" x14ac:dyDescent="0.3">
      <c r="A336" t="s">
        <v>692</v>
      </c>
      <c r="B336" t="s">
        <v>693</v>
      </c>
      <c r="C336">
        <v>4.0999999999999996</v>
      </c>
      <c r="D336">
        <v>4.5199999999999996</v>
      </c>
      <c r="E336">
        <v>3.49</v>
      </c>
      <c r="F336">
        <v>3.99</v>
      </c>
      <c r="G336">
        <v>3.5</v>
      </c>
      <c r="H336">
        <v>4.51</v>
      </c>
      <c r="I336">
        <v>4.12</v>
      </c>
      <c r="J336">
        <v>3.99</v>
      </c>
      <c r="K336">
        <v>3.96</v>
      </c>
      <c r="L336">
        <v>3.93</v>
      </c>
      <c r="M336">
        <f t="shared" si="10"/>
        <v>3.9200000000000004</v>
      </c>
      <c r="N336">
        <f t="shared" si="11"/>
        <v>4.1019999999999994</v>
      </c>
    </row>
    <row r="337" spans="1:14" ht="14.25" customHeight="1" x14ac:dyDescent="0.3">
      <c r="A337" t="s">
        <v>694</v>
      </c>
      <c r="B337" t="s">
        <v>695</v>
      </c>
      <c r="C337">
        <v>4.18</v>
      </c>
      <c r="D337">
        <v>3.83</v>
      </c>
      <c r="E337">
        <v>3.86</v>
      </c>
      <c r="F337">
        <v>4</v>
      </c>
      <c r="G337">
        <v>3.88</v>
      </c>
      <c r="H337">
        <v>3.8</v>
      </c>
      <c r="I337">
        <v>3.7</v>
      </c>
      <c r="J337">
        <v>3.55</v>
      </c>
      <c r="K337">
        <v>3.74</v>
      </c>
      <c r="L337">
        <v>4.0199999999999996</v>
      </c>
      <c r="M337">
        <f t="shared" si="10"/>
        <v>3.95</v>
      </c>
      <c r="N337">
        <f t="shared" si="11"/>
        <v>3.7620000000000005</v>
      </c>
    </row>
    <row r="338" spans="1:14" ht="14.25" customHeight="1" x14ac:dyDescent="0.3">
      <c r="A338" t="s">
        <v>696</v>
      </c>
      <c r="B338" t="s">
        <v>697</v>
      </c>
      <c r="C338">
        <v>3.56</v>
      </c>
      <c r="D338">
        <v>4.38</v>
      </c>
      <c r="E338">
        <v>3.73</v>
      </c>
      <c r="F338">
        <v>4.5199999999999996</v>
      </c>
      <c r="G338">
        <v>4.08</v>
      </c>
      <c r="H338">
        <v>4.03</v>
      </c>
      <c r="I338">
        <v>4.3</v>
      </c>
      <c r="J338">
        <v>3.82</v>
      </c>
      <c r="K338">
        <v>4.0999999999999996</v>
      </c>
      <c r="L338">
        <v>4.43</v>
      </c>
      <c r="M338">
        <f t="shared" si="10"/>
        <v>4.0539999999999994</v>
      </c>
      <c r="N338">
        <f t="shared" si="11"/>
        <v>4.1360000000000001</v>
      </c>
    </row>
    <row r="339" spans="1:14" ht="14.25" customHeight="1" x14ac:dyDescent="0.3">
      <c r="A339" t="s">
        <v>698</v>
      </c>
      <c r="B339" t="s">
        <v>699</v>
      </c>
      <c r="C339">
        <v>4.16</v>
      </c>
      <c r="D339">
        <v>4.2</v>
      </c>
      <c r="E339">
        <v>3.58</v>
      </c>
      <c r="G339">
        <v>3.87</v>
      </c>
      <c r="H339">
        <v>3.77</v>
      </c>
      <c r="I339">
        <v>3.97</v>
      </c>
      <c r="J339">
        <v>4.1900000000000004</v>
      </c>
      <c r="K339">
        <v>3.88</v>
      </c>
      <c r="L339">
        <v>3.72</v>
      </c>
      <c r="M339">
        <f t="shared" si="10"/>
        <v>3.9524999999999997</v>
      </c>
      <c r="N339">
        <f t="shared" si="11"/>
        <v>3.9059999999999997</v>
      </c>
    </row>
    <row r="340" spans="1:14" ht="14.25" customHeight="1" x14ac:dyDescent="0.3">
      <c r="A340" t="s">
        <v>700</v>
      </c>
      <c r="B340" t="s">
        <v>701</v>
      </c>
      <c r="C340">
        <v>3.85</v>
      </c>
      <c r="D340">
        <v>3.79</v>
      </c>
      <c r="E340">
        <v>4.0599999999999996</v>
      </c>
      <c r="F340">
        <v>4.22</v>
      </c>
      <c r="G340">
        <v>3.91</v>
      </c>
      <c r="H340">
        <v>3.96</v>
      </c>
      <c r="I340">
        <v>3.38</v>
      </c>
      <c r="J340">
        <v>4</v>
      </c>
      <c r="K340">
        <v>4.17</v>
      </c>
      <c r="L340">
        <v>4.2</v>
      </c>
      <c r="M340">
        <f t="shared" si="10"/>
        <v>3.9659999999999997</v>
      </c>
      <c r="N340">
        <f t="shared" si="11"/>
        <v>3.9420000000000002</v>
      </c>
    </row>
    <row r="341" spans="1:14" ht="14.25" customHeight="1" x14ac:dyDescent="0.3">
      <c r="A341" t="s">
        <v>702</v>
      </c>
      <c r="B341" t="s">
        <v>703</v>
      </c>
      <c r="C341">
        <v>4.47</v>
      </c>
      <c r="D341">
        <v>3.94</v>
      </c>
      <c r="E341">
        <v>3.99</v>
      </c>
      <c r="F341">
        <v>4.03</v>
      </c>
      <c r="G341">
        <v>3.96</v>
      </c>
      <c r="H341">
        <v>3.59</v>
      </c>
      <c r="I341">
        <v>4.0199999999999996</v>
      </c>
      <c r="J341">
        <v>4.18</v>
      </c>
      <c r="K341">
        <v>3.1</v>
      </c>
      <c r="L341">
        <v>4.37</v>
      </c>
      <c r="M341">
        <f t="shared" si="10"/>
        <v>4.0780000000000003</v>
      </c>
      <c r="N341">
        <f t="shared" si="11"/>
        <v>3.8519999999999994</v>
      </c>
    </row>
    <row r="342" spans="1:14" ht="14.25" customHeight="1" x14ac:dyDescent="0.3">
      <c r="A342" t="s">
        <v>704</v>
      </c>
      <c r="B342" t="s">
        <v>705</v>
      </c>
      <c r="C342">
        <v>4.1100000000000003</v>
      </c>
      <c r="D342">
        <v>4.37</v>
      </c>
      <c r="E342">
        <v>4.3099999999999996</v>
      </c>
      <c r="F342">
        <v>4.38</v>
      </c>
      <c r="G342">
        <v>4.0999999999999996</v>
      </c>
      <c r="H342">
        <v>3.61</v>
      </c>
      <c r="I342">
        <v>3.86</v>
      </c>
      <c r="J342">
        <v>4.04</v>
      </c>
      <c r="K342">
        <v>3.77</v>
      </c>
      <c r="L342">
        <v>3.38</v>
      </c>
      <c r="M342">
        <f t="shared" si="10"/>
        <v>4.2539999999999996</v>
      </c>
      <c r="N342">
        <f t="shared" si="11"/>
        <v>3.7320000000000002</v>
      </c>
    </row>
    <row r="343" spans="1:14" ht="14.25" customHeight="1" x14ac:dyDescent="0.3">
      <c r="A343" t="s">
        <v>706</v>
      </c>
      <c r="B343" t="s">
        <v>707</v>
      </c>
      <c r="C343">
        <v>4.09</v>
      </c>
      <c r="D343">
        <v>4.3600000000000003</v>
      </c>
      <c r="E343">
        <v>4.22</v>
      </c>
      <c r="F343">
        <v>4.1900000000000004</v>
      </c>
      <c r="G343">
        <v>4.29</v>
      </c>
      <c r="H343">
        <v>3.76</v>
      </c>
      <c r="I343">
        <v>3.89</v>
      </c>
      <c r="J343">
        <v>4.1399999999999997</v>
      </c>
      <c r="K343">
        <v>4.3499999999999996</v>
      </c>
      <c r="L343">
        <v>4.26</v>
      </c>
      <c r="M343">
        <f t="shared" si="10"/>
        <v>4.2299999999999995</v>
      </c>
      <c r="N343">
        <f t="shared" si="11"/>
        <v>4.08</v>
      </c>
    </row>
    <row r="344" spans="1:14" ht="14.25" customHeight="1" x14ac:dyDescent="0.3">
      <c r="A344" t="s">
        <v>708</v>
      </c>
      <c r="B344" t="s">
        <v>709</v>
      </c>
      <c r="C344">
        <v>4.33</v>
      </c>
      <c r="D344">
        <v>3.78</v>
      </c>
      <c r="E344">
        <v>4.05</v>
      </c>
      <c r="F344">
        <v>3.91</v>
      </c>
      <c r="G344">
        <v>3.68</v>
      </c>
      <c r="H344">
        <v>3.47</v>
      </c>
      <c r="I344">
        <v>4.03</v>
      </c>
      <c r="J344">
        <v>4.05</v>
      </c>
      <c r="K344">
        <v>4.5</v>
      </c>
      <c r="L344">
        <v>3.87</v>
      </c>
      <c r="M344">
        <f t="shared" si="10"/>
        <v>3.95</v>
      </c>
      <c r="N344">
        <f t="shared" si="11"/>
        <v>3.9840000000000004</v>
      </c>
    </row>
    <row r="345" spans="1:14" ht="14.25" customHeight="1" x14ac:dyDescent="0.3">
      <c r="A345" t="s">
        <v>710</v>
      </c>
      <c r="B345" t="s">
        <v>711</v>
      </c>
      <c r="C345">
        <v>3.48</v>
      </c>
      <c r="D345">
        <v>4.3600000000000003</v>
      </c>
      <c r="E345">
        <v>3.94</v>
      </c>
      <c r="F345">
        <v>3.73</v>
      </c>
      <c r="G345">
        <v>4.3899999999999997</v>
      </c>
      <c r="H345">
        <v>3.91</v>
      </c>
      <c r="I345">
        <v>4.08</v>
      </c>
      <c r="J345">
        <v>3.75</v>
      </c>
      <c r="K345">
        <v>4.29</v>
      </c>
      <c r="L345">
        <v>3.39</v>
      </c>
      <c r="M345">
        <f t="shared" si="10"/>
        <v>3.9799999999999995</v>
      </c>
      <c r="N345">
        <f t="shared" si="11"/>
        <v>3.8840000000000003</v>
      </c>
    </row>
    <row r="346" spans="1:14" ht="14.25" customHeight="1" x14ac:dyDescent="0.3">
      <c r="A346" t="s">
        <v>712</v>
      </c>
      <c r="B346" t="s">
        <v>713</v>
      </c>
      <c r="C346">
        <v>3.83</v>
      </c>
      <c r="D346">
        <v>4.16</v>
      </c>
      <c r="E346">
        <v>4.12</v>
      </c>
      <c r="F346">
        <v>3.35</v>
      </c>
      <c r="G346">
        <v>4.42</v>
      </c>
      <c r="H346">
        <v>4.2699999999999996</v>
      </c>
      <c r="I346">
        <v>3.81</v>
      </c>
      <c r="J346">
        <v>3.98</v>
      </c>
      <c r="K346">
        <v>4.58</v>
      </c>
      <c r="L346">
        <v>4.07</v>
      </c>
      <c r="M346">
        <f t="shared" si="10"/>
        <v>3.976</v>
      </c>
      <c r="N346">
        <f t="shared" si="11"/>
        <v>4.1420000000000003</v>
      </c>
    </row>
    <row r="347" spans="1:14" ht="14.25" customHeight="1" x14ac:dyDescent="0.3">
      <c r="A347" t="s">
        <v>714</v>
      </c>
      <c r="B347" t="s">
        <v>715</v>
      </c>
      <c r="C347">
        <v>4.08</v>
      </c>
      <c r="D347">
        <v>4.08</v>
      </c>
      <c r="E347">
        <v>3.77</v>
      </c>
      <c r="G347">
        <v>3.93</v>
      </c>
      <c r="H347">
        <v>4.33</v>
      </c>
      <c r="I347">
        <v>4.3099999999999996</v>
      </c>
      <c r="J347">
        <v>4.43</v>
      </c>
      <c r="K347">
        <v>4.04</v>
      </c>
      <c r="L347">
        <v>4.68</v>
      </c>
      <c r="M347">
        <f t="shared" si="10"/>
        <v>3.9649999999999999</v>
      </c>
      <c r="N347">
        <f t="shared" si="11"/>
        <v>4.3579999999999997</v>
      </c>
    </row>
    <row r="348" spans="1:14" ht="14.25" customHeight="1" x14ac:dyDescent="0.3">
      <c r="A348" t="s">
        <v>716</v>
      </c>
      <c r="B348" t="s">
        <v>717</v>
      </c>
      <c r="C348">
        <v>3.29</v>
      </c>
      <c r="D348">
        <v>3.41</v>
      </c>
      <c r="E348">
        <v>3.88</v>
      </c>
      <c r="F348">
        <v>4.18</v>
      </c>
      <c r="G348">
        <v>3.66</v>
      </c>
      <c r="H348">
        <v>3.92</v>
      </c>
      <c r="I348">
        <v>4.2300000000000004</v>
      </c>
      <c r="J348">
        <v>4.42</v>
      </c>
      <c r="K348">
        <v>3.1</v>
      </c>
      <c r="L348">
        <v>4.1500000000000004</v>
      </c>
      <c r="M348">
        <f t="shared" si="10"/>
        <v>3.6840000000000002</v>
      </c>
      <c r="N348">
        <f t="shared" si="11"/>
        <v>3.964</v>
      </c>
    </row>
    <row r="349" spans="1:14" ht="14.25" customHeight="1" x14ac:dyDescent="0.3">
      <c r="A349" t="s">
        <v>718</v>
      </c>
      <c r="B349" t="s">
        <v>719</v>
      </c>
      <c r="C349">
        <v>4.0999999999999996</v>
      </c>
      <c r="D349">
        <v>3.73</v>
      </c>
      <c r="E349">
        <v>4.46</v>
      </c>
      <c r="F349">
        <v>4.54</v>
      </c>
      <c r="G349">
        <v>4.22</v>
      </c>
      <c r="H349">
        <v>4.21</v>
      </c>
      <c r="J349">
        <v>3.29</v>
      </c>
      <c r="L349">
        <v>4.2699999999999996</v>
      </c>
      <c r="M349">
        <f t="shared" si="10"/>
        <v>4.2099999999999991</v>
      </c>
      <c r="N349">
        <f t="shared" si="11"/>
        <v>3.9233333333333333</v>
      </c>
    </row>
    <row r="350" spans="1:14" ht="14.25" customHeight="1" x14ac:dyDescent="0.3">
      <c r="A350" t="s">
        <v>720</v>
      </c>
      <c r="B350" t="s">
        <v>721</v>
      </c>
      <c r="C350">
        <v>4.49</v>
      </c>
      <c r="D350">
        <v>4.75</v>
      </c>
      <c r="E350">
        <v>4.1900000000000004</v>
      </c>
      <c r="F350">
        <v>4.05</v>
      </c>
      <c r="G350">
        <v>4.5</v>
      </c>
      <c r="I350">
        <v>3.94</v>
      </c>
      <c r="J350">
        <v>4.0999999999999996</v>
      </c>
      <c r="K350">
        <v>4.07</v>
      </c>
      <c r="L350">
        <v>4.18</v>
      </c>
      <c r="M350">
        <f t="shared" si="10"/>
        <v>4.3959999999999999</v>
      </c>
      <c r="N350">
        <f t="shared" si="11"/>
        <v>4.0724999999999998</v>
      </c>
    </row>
    <row r="351" spans="1:14" ht="14.25" customHeight="1" x14ac:dyDescent="0.3">
      <c r="A351" t="s">
        <v>722</v>
      </c>
      <c r="B351" t="s">
        <v>723</v>
      </c>
      <c r="C351">
        <v>4.34</v>
      </c>
      <c r="D351">
        <v>3.91</v>
      </c>
      <c r="E351">
        <v>3.9</v>
      </c>
      <c r="F351">
        <v>3.83</v>
      </c>
      <c r="G351">
        <v>4.16</v>
      </c>
      <c r="H351">
        <v>4.0199999999999996</v>
      </c>
      <c r="I351">
        <v>4.08</v>
      </c>
      <c r="J351">
        <v>3.85</v>
      </c>
      <c r="K351">
        <v>4</v>
      </c>
      <c r="L351">
        <v>4.05</v>
      </c>
      <c r="M351">
        <f t="shared" si="10"/>
        <v>4.0280000000000005</v>
      </c>
      <c r="N351">
        <f t="shared" si="11"/>
        <v>4</v>
      </c>
    </row>
    <row r="352" spans="1:14" ht="14.25" customHeight="1" x14ac:dyDescent="0.3">
      <c r="A352" t="s">
        <v>724</v>
      </c>
      <c r="B352" t="s">
        <v>725</v>
      </c>
      <c r="C352">
        <v>4.24</v>
      </c>
      <c r="D352">
        <v>4.58</v>
      </c>
      <c r="E352">
        <v>3.56</v>
      </c>
      <c r="F352">
        <v>4.0199999999999996</v>
      </c>
      <c r="G352">
        <v>3.69</v>
      </c>
      <c r="H352">
        <v>3.73</v>
      </c>
      <c r="I352">
        <v>3.75</v>
      </c>
      <c r="J352">
        <v>4.41</v>
      </c>
      <c r="K352">
        <v>4.18</v>
      </c>
      <c r="L352">
        <v>4.03</v>
      </c>
      <c r="M352">
        <f t="shared" si="10"/>
        <v>4.0179999999999998</v>
      </c>
      <c r="N352">
        <f t="shared" si="11"/>
        <v>4.0200000000000005</v>
      </c>
    </row>
    <row r="353" spans="1:14" ht="14.25" customHeight="1" x14ac:dyDescent="0.3">
      <c r="A353" t="s">
        <v>726</v>
      </c>
      <c r="B353" t="s">
        <v>727</v>
      </c>
      <c r="C353">
        <v>3.86</v>
      </c>
      <c r="D353">
        <v>4.3099999999999996</v>
      </c>
      <c r="E353">
        <v>3.72</v>
      </c>
      <c r="F353">
        <v>3.85</v>
      </c>
      <c r="G353">
        <v>4.04</v>
      </c>
      <c r="H353">
        <v>3.93</v>
      </c>
      <c r="I353">
        <v>4.2699999999999996</v>
      </c>
      <c r="J353">
        <v>4.1900000000000004</v>
      </c>
      <c r="K353">
        <v>4.3899999999999997</v>
      </c>
      <c r="L353">
        <v>3.43</v>
      </c>
      <c r="M353">
        <f t="shared" si="10"/>
        <v>3.9560000000000004</v>
      </c>
      <c r="N353">
        <f t="shared" si="11"/>
        <v>4.0419999999999998</v>
      </c>
    </row>
    <row r="354" spans="1:14" ht="14.25" customHeight="1" x14ac:dyDescent="0.3">
      <c r="A354" t="s">
        <v>728</v>
      </c>
      <c r="B354" t="s">
        <v>729</v>
      </c>
      <c r="C354">
        <v>4.3</v>
      </c>
      <c r="D354">
        <v>3.99</v>
      </c>
      <c r="E354">
        <v>3.88</v>
      </c>
      <c r="F354">
        <v>3.92</v>
      </c>
      <c r="G354">
        <v>4.43</v>
      </c>
      <c r="H354">
        <v>3.87</v>
      </c>
      <c r="I354">
        <v>4.03</v>
      </c>
      <c r="J354">
        <v>4.38</v>
      </c>
      <c r="K354">
        <v>4.1500000000000004</v>
      </c>
      <c r="L354">
        <v>4.13</v>
      </c>
      <c r="M354">
        <f t="shared" si="10"/>
        <v>4.1039999999999992</v>
      </c>
      <c r="N354">
        <f t="shared" si="11"/>
        <v>4.1120000000000001</v>
      </c>
    </row>
    <row r="355" spans="1:14" ht="14.25" customHeight="1" x14ac:dyDescent="0.3">
      <c r="A355" t="s">
        <v>730</v>
      </c>
      <c r="B355" t="s">
        <v>731</v>
      </c>
      <c r="C355">
        <v>4.5999999999999996</v>
      </c>
      <c r="D355">
        <v>3.86</v>
      </c>
      <c r="E355">
        <v>4.68</v>
      </c>
      <c r="F355">
        <v>3.87</v>
      </c>
      <c r="G355">
        <v>4.21</v>
      </c>
      <c r="H355">
        <v>3.66</v>
      </c>
      <c r="I355">
        <v>3.76</v>
      </c>
      <c r="J355">
        <v>3.27</v>
      </c>
      <c r="K355">
        <v>3.54</v>
      </c>
      <c r="L355">
        <v>3.84</v>
      </c>
      <c r="M355">
        <f t="shared" si="10"/>
        <v>4.2439999999999998</v>
      </c>
      <c r="N355">
        <f t="shared" si="11"/>
        <v>3.6139999999999999</v>
      </c>
    </row>
    <row r="356" spans="1:14" ht="14.25" customHeight="1" x14ac:dyDescent="0.3">
      <c r="A356" t="s">
        <v>732</v>
      </c>
      <c r="B356" t="s">
        <v>733</v>
      </c>
      <c r="C356">
        <v>3.77</v>
      </c>
      <c r="D356">
        <v>3.43</v>
      </c>
      <c r="E356">
        <v>4.29</v>
      </c>
      <c r="F356">
        <v>3.77</v>
      </c>
      <c r="G356">
        <v>4.03</v>
      </c>
      <c r="H356">
        <v>4.3600000000000003</v>
      </c>
      <c r="I356">
        <v>4.0999999999999996</v>
      </c>
      <c r="J356">
        <v>3.83</v>
      </c>
      <c r="K356">
        <v>3.88</v>
      </c>
      <c r="L356">
        <v>3.5</v>
      </c>
      <c r="M356">
        <f t="shared" si="10"/>
        <v>3.8579999999999997</v>
      </c>
      <c r="N356">
        <f t="shared" si="11"/>
        <v>3.9340000000000002</v>
      </c>
    </row>
    <row r="357" spans="1:14" ht="14.25" customHeight="1" x14ac:dyDescent="0.3">
      <c r="A357" t="s">
        <v>734</v>
      </c>
      <c r="B357" t="s">
        <v>735</v>
      </c>
      <c r="C357">
        <v>4.01</v>
      </c>
      <c r="D357">
        <v>4.05</v>
      </c>
      <c r="E357">
        <v>4.17</v>
      </c>
      <c r="F357">
        <v>3.84</v>
      </c>
      <c r="G357">
        <v>4.45</v>
      </c>
      <c r="H357">
        <v>4.3099999999999996</v>
      </c>
      <c r="I357">
        <v>4.0999999999999996</v>
      </c>
      <c r="J357" t="s">
        <v>736</v>
      </c>
      <c r="K357">
        <v>4.38</v>
      </c>
      <c r="L357">
        <v>3.9</v>
      </c>
      <c r="M357">
        <f t="shared" si="10"/>
        <v>4.1040000000000001</v>
      </c>
      <c r="N357">
        <f t="shared" si="11"/>
        <v>4.1724999999999994</v>
      </c>
    </row>
    <row r="358" spans="1:14" ht="14.25" customHeight="1" x14ac:dyDescent="0.3">
      <c r="A358" t="s">
        <v>737</v>
      </c>
      <c r="B358" t="s">
        <v>738</v>
      </c>
      <c r="C358">
        <v>4.25</v>
      </c>
      <c r="D358">
        <v>3.89</v>
      </c>
      <c r="E358">
        <v>4.51</v>
      </c>
      <c r="F358">
        <v>3.89</v>
      </c>
      <c r="G358">
        <v>4.37</v>
      </c>
      <c r="H358">
        <v>3.85</v>
      </c>
      <c r="I358">
        <v>4.21</v>
      </c>
      <c r="J358" t="s">
        <v>739</v>
      </c>
      <c r="K358">
        <v>4.2</v>
      </c>
      <c r="L358">
        <v>3.89</v>
      </c>
      <c r="M358">
        <f t="shared" si="10"/>
        <v>4.1820000000000004</v>
      </c>
      <c r="N358">
        <f t="shared" si="11"/>
        <v>4.0375000000000005</v>
      </c>
    </row>
    <row r="359" spans="1:14" ht="14.25" customHeight="1" x14ac:dyDescent="0.3">
      <c r="A359" t="s">
        <v>740</v>
      </c>
      <c r="B359" t="s">
        <v>741</v>
      </c>
      <c r="C359">
        <v>4.2</v>
      </c>
      <c r="D359">
        <v>3.79</v>
      </c>
      <c r="E359">
        <v>4.08</v>
      </c>
      <c r="F359">
        <v>3.89</v>
      </c>
      <c r="G359">
        <v>4.75</v>
      </c>
      <c r="H359">
        <v>4.43</v>
      </c>
      <c r="I359">
        <v>4.01</v>
      </c>
      <c r="J359">
        <v>4.05</v>
      </c>
      <c r="K359">
        <v>4.55</v>
      </c>
      <c r="L359">
        <v>3.42</v>
      </c>
      <c r="M359">
        <f t="shared" si="10"/>
        <v>4.1420000000000003</v>
      </c>
      <c r="N359">
        <f t="shared" si="11"/>
        <v>4.0920000000000005</v>
      </c>
    </row>
    <row r="360" spans="1:14" ht="14.25" customHeight="1" x14ac:dyDescent="0.3">
      <c r="A360" t="s">
        <v>742</v>
      </c>
      <c r="B360" t="s">
        <v>743</v>
      </c>
      <c r="C360">
        <v>3.78</v>
      </c>
      <c r="D360">
        <v>3.79</v>
      </c>
      <c r="E360">
        <v>4.7300000000000004</v>
      </c>
      <c r="F360">
        <v>3.99</v>
      </c>
      <c r="G360">
        <v>4.3</v>
      </c>
      <c r="H360">
        <v>3.78</v>
      </c>
      <c r="I360">
        <v>4.76</v>
      </c>
      <c r="J360">
        <v>3.98</v>
      </c>
      <c r="K360">
        <v>4.01</v>
      </c>
      <c r="L360">
        <v>4.2699999999999996</v>
      </c>
      <c r="M360">
        <f t="shared" si="10"/>
        <v>4.1180000000000003</v>
      </c>
      <c r="N360">
        <f t="shared" si="11"/>
        <v>4.16</v>
      </c>
    </row>
    <row r="361" spans="1:14" ht="14.25" customHeight="1" x14ac:dyDescent="0.3">
      <c r="A361" t="s">
        <v>744</v>
      </c>
      <c r="B361" t="s">
        <v>745</v>
      </c>
      <c r="C361">
        <v>4.59</v>
      </c>
      <c r="D361">
        <v>4.24</v>
      </c>
      <c r="E361">
        <v>3.65</v>
      </c>
      <c r="F361">
        <v>4.0999999999999996</v>
      </c>
      <c r="G361">
        <v>3.73</v>
      </c>
      <c r="H361">
        <v>4.05</v>
      </c>
      <c r="I361">
        <v>3.97</v>
      </c>
      <c r="J361">
        <v>3.87</v>
      </c>
      <c r="K361">
        <v>4.54</v>
      </c>
      <c r="L361">
        <v>3.98</v>
      </c>
      <c r="M361">
        <f t="shared" si="10"/>
        <v>4.0619999999999994</v>
      </c>
      <c r="N361">
        <f t="shared" si="11"/>
        <v>4.0819999999999999</v>
      </c>
    </row>
    <row r="362" spans="1:14" ht="14.25" customHeight="1" x14ac:dyDescent="0.3">
      <c r="A362" t="s">
        <v>746</v>
      </c>
      <c r="B362" t="s">
        <v>747</v>
      </c>
      <c r="C362">
        <v>4.03</v>
      </c>
      <c r="D362">
        <v>4</v>
      </c>
      <c r="E362">
        <v>4.1500000000000004</v>
      </c>
      <c r="F362">
        <v>4.46</v>
      </c>
      <c r="G362">
        <v>3.85</v>
      </c>
      <c r="H362">
        <v>4.4400000000000004</v>
      </c>
      <c r="I362">
        <v>4.03</v>
      </c>
      <c r="J362">
        <v>4.45</v>
      </c>
      <c r="K362">
        <v>4.08</v>
      </c>
      <c r="L362">
        <v>4.41</v>
      </c>
      <c r="M362">
        <f t="shared" si="10"/>
        <v>4.0980000000000008</v>
      </c>
      <c r="N362">
        <f t="shared" si="11"/>
        <v>4.282</v>
      </c>
    </row>
    <row r="363" spans="1:14" ht="14.25" customHeight="1" x14ac:dyDescent="0.3">
      <c r="A363" t="s">
        <v>748</v>
      </c>
      <c r="B363" t="s">
        <v>749</v>
      </c>
      <c r="C363">
        <v>3.8</v>
      </c>
      <c r="D363">
        <v>4.33</v>
      </c>
      <c r="E363">
        <v>4.17</v>
      </c>
      <c r="F363">
        <v>4.53</v>
      </c>
      <c r="G363">
        <v>3.61</v>
      </c>
      <c r="H363">
        <v>4.5</v>
      </c>
      <c r="I363">
        <v>4.01</v>
      </c>
      <c r="J363">
        <v>4.25</v>
      </c>
      <c r="K363">
        <v>4.33</v>
      </c>
      <c r="L363">
        <v>4.3600000000000003</v>
      </c>
      <c r="M363">
        <f t="shared" si="10"/>
        <v>4.0879999999999992</v>
      </c>
      <c r="N363">
        <f t="shared" si="11"/>
        <v>4.29</v>
      </c>
    </row>
    <row r="364" spans="1:14" ht="14.25" customHeight="1" x14ac:dyDescent="0.3">
      <c r="A364" t="s">
        <v>750</v>
      </c>
      <c r="B364" t="s">
        <v>751</v>
      </c>
      <c r="C364">
        <v>3.94</v>
      </c>
      <c r="D364">
        <v>3.48</v>
      </c>
      <c r="E364">
        <v>3.46</v>
      </c>
      <c r="F364">
        <v>3.84</v>
      </c>
      <c r="G364">
        <v>4.24</v>
      </c>
      <c r="H364">
        <v>4.59</v>
      </c>
      <c r="I364">
        <v>4.0199999999999996</v>
      </c>
      <c r="J364">
        <v>3.69</v>
      </c>
      <c r="K364">
        <v>4.38</v>
      </c>
      <c r="L364">
        <v>4.07</v>
      </c>
      <c r="M364">
        <f t="shared" si="10"/>
        <v>3.7920000000000003</v>
      </c>
      <c r="N364">
        <f t="shared" si="11"/>
        <v>4.1500000000000004</v>
      </c>
    </row>
    <row r="365" spans="1:14" ht="14.25" customHeight="1" x14ac:dyDescent="0.3">
      <c r="A365" t="s">
        <v>752</v>
      </c>
      <c r="B365" t="s">
        <v>753</v>
      </c>
      <c r="C365">
        <v>3.78</v>
      </c>
      <c r="D365">
        <v>3.99</v>
      </c>
      <c r="F365">
        <v>4.07</v>
      </c>
      <c r="G365">
        <v>4.1100000000000003</v>
      </c>
      <c r="H365">
        <v>3.97</v>
      </c>
      <c r="I365">
        <v>4.21</v>
      </c>
      <c r="J365">
        <v>4.16</v>
      </c>
      <c r="K365">
        <v>4.0999999999999996</v>
      </c>
      <c r="L365">
        <v>4.29</v>
      </c>
      <c r="M365">
        <f t="shared" si="10"/>
        <v>3.9874999999999998</v>
      </c>
      <c r="N365">
        <f t="shared" si="11"/>
        <v>4.145999999999999</v>
      </c>
    </row>
    <row r="366" spans="1:14" ht="14.25" customHeight="1" x14ac:dyDescent="0.3">
      <c r="A366" t="s">
        <v>754</v>
      </c>
      <c r="B366" t="s">
        <v>755</v>
      </c>
      <c r="C366">
        <v>4.04</v>
      </c>
      <c r="D366">
        <v>3.8</v>
      </c>
      <c r="E366">
        <v>3.79</v>
      </c>
      <c r="G366">
        <v>4.16</v>
      </c>
      <c r="H366">
        <v>3.78</v>
      </c>
      <c r="I366">
        <v>3.8</v>
      </c>
      <c r="J366">
        <v>4.21</v>
      </c>
      <c r="K366">
        <v>3.86</v>
      </c>
      <c r="L366">
        <v>3.66</v>
      </c>
      <c r="M366">
        <f t="shared" si="10"/>
        <v>3.9474999999999998</v>
      </c>
      <c r="N366">
        <f t="shared" si="11"/>
        <v>3.8619999999999997</v>
      </c>
    </row>
    <row r="367" spans="1:14" ht="14.25" customHeight="1" x14ac:dyDescent="0.3">
      <c r="A367" t="s">
        <v>756</v>
      </c>
      <c r="B367" t="s">
        <v>757</v>
      </c>
      <c r="C367">
        <v>4.3</v>
      </c>
      <c r="D367">
        <v>4.55</v>
      </c>
      <c r="E367">
        <v>3.76</v>
      </c>
      <c r="F367">
        <v>4.43</v>
      </c>
      <c r="G367">
        <v>3.53</v>
      </c>
      <c r="H367">
        <v>4.09</v>
      </c>
      <c r="I367">
        <v>4.29</v>
      </c>
      <c r="J367">
        <v>3.85</v>
      </c>
      <c r="K367">
        <v>3.95</v>
      </c>
      <c r="L367">
        <v>4.49</v>
      </c>
      <c r="M367">
        <f t="shared" si="10"/>
        <v>4.1139999999999999</v>
      </c>
      <c r="N367">
        <f t="shared" si="11"/>
        <v>4.1340000000000003</v>
      </c>
    </row>
    <row r="368" spans="1:14" ht="14.25" customHeight="1" x14ac:dyDescent="0.3">
      <c r="A368" t="s">
        <v>758</v>
      </c>
      <c r="B368" t="s">
        <v>759</v>
      </c>
      <c r="C368">
        <v>3.58</v>
      </c>
      <c r="D368">
        <v>3.48</v>
      </c>
      <c r="E368">
        <v>3.66</v>
      </c>
      <c r="F368">
        <v>4.26</v>
      </c>
      <c r="G368">
        <v>3.47</v>
      </c>
      <c r="H368">
        <v>4.4400000000000004</v>
      </c>
      <c r="I368">
        <v>4.3099999999999996</v>
      </c>
      <c r="J368">
        <v>4.1900000000000004</v>
      </c>
      <c r="K368">
        <v>3.87</v>
      </c>
      <c r="L368">
        <v>4.4800000000000004</v>
      </c>
      <c r="M368">
        <f t="shared" si="10"/>
        <v>3.69</v>
      </c>
      <c r="N368">
        <f t="shared" si="11"/>
        <v>4.2580000000000009</v>
      </c>
    </row>
    <row r="369" spans="1:14" ht="14.25" customHeight="1" x14ac:dyDescent="0.3">
      <c r="A369" t="s">
        <v>760</v>
      </c>
      <c r="B369" t="s">
        <v>761</v>
      </c>
      <c r="C369">
        <v>4</v>
      </c>
      <c r="D369">
        <v>4.3899999999999997</v>
      </c>
      <c r="E369">
        <v>4.25</v>
      </c>
      <c r="F369">
        <v>3.82</v>
      </c>
      <c r="G369">
        <v>3.34</v>
      </c>
      <c r="H369">
        <v>3.62</v>
      </c>
      <c r="J369">
        <v>4.1500000000000004</v>
      </c>
      <c r="K369">
        <v>4.5599999999999996</v>
      </c>
      <c r="L369">
        <v>4.12</v>
      </c>
      <c r="M369">
        <f t="shared" si="10"/>
        <v>3.96</v>
      </c>
      <c r="N369">
        <f t="shared" si="11"/>
        <v>4.1124999999999998</v>
      </c>
    </row>
    <row r="370" spans="1:14" ht="14.25" customHeight="1" x14ac:dyDescent="0.3">
      <c r="A370" t="s">
        <v>762</v>
      </c>
      <c r="B370" t="s">
        <v>763</v>
      </c>
      <c r="C370">
        <v>4.13</v>
      </c>
      <c r="D370">
        <v>4.3600000000000003</v>
      </c>
      <c r="E370">
        <v>4.67</v>
      </c>
      <c r="F370">
        <v>4.47</v>
      </c>
      <c r="G370">
        <v>3.95</v>
      </c>
      <c r="H370">
        <v>4.07</v>
      </c>
      <c r="I370">
        <v>4.0999999999999996</v>
      </c>
      <c r="J370">
        <v>3.66</v>
      </c>
      <c r="K370">
        <v>4.2</v>
      </c>
      <c r="L370">
        <v>4.05</v>
      </c>
      <c r="M370">
        <f t="shared" si="10"/>
        <v>4.3159999999999998</v>
      </c>
      <c r="N370">
        <f t="shared" si="11"/>
        <v>4.016</v>
      </c>
    </row>
    <row r="371" spans="1:14" ht="14.25" customHeight="1" x14ac:dyDescent="0.3">
      <c r="A371" t="s">
        <v>764</v>
      </c>
      <c r="B371" t="s">
        <v>765</v>
      </c>
      <c r="C371">
        <v>4.6900000000000004</v>
      </c>
      <c r="D371">
        <v>4.42</v>
      </c>
      <c r="E371">
        <v>3.87</v>
      </c>
      <c r="F371">
        <v>4.2</v>
      </c>
      <c r="G371">
        <v>4.0199999999999996</v>
      </c>
      <c r="H371">
        <v>3.7</v>
      </c>
      <c r="I371">
        <v>4.32</v>
      </c>
      <c r="J371">
        <v>4.33</v>
      </c>
      <c r="K371">
        <v>4.09</v>
      </c>
      <c r="L371">
        <v>4.13</v>
      </c>
      <c r="M371">
        <f t="shared" si="10"/>
        <v>4.24</v>
      </c>
      <c r="N371">
        <f t="shared" si="11"/>
        <v>4.113999999999999</v>
      </c>
    </row>
    <row r="372" spans="1:14" ht="14.25" customHeight="1" x14ac:dyDescent="0.3">
      <c r="A372" t="s">
        <v>766</v>
      </c>
      <c r="B372" t="s">
        <v>767</v>
      </c>
      <c r="C372">
        <v>4.29</v>
      </c>
      <c r="D372">
        <v>3.78</v>
      </c>
      <c r="F372">
        <v>3.51</v>
      </c>
      <c r="H372">
        <v>4</v>
      </c>
      <c r="I372">
        <v>4.43</v>
      </c>
      <c r="J372">
        <v>3.92</v>
      </c>
      <c r="K372">
        <v>3.75</v>
      </c>
      <c r="L372">
        <v>3.86</v>
      </c>
      <c r="M372">
        <f t="shared" si="10"/>
        <v>3.86</v>
      </c>
      <c r="N372">
        <f t="shared" si="11"/>
        <v>3.992</v>
      </c>
    </row>
    <row r="373" spans="1:14" ht="14.25" customHeight="1" x14ac:dyDescent="0.3">
      <c r="A373" t="s">
        <v>768</v>
      </c>
      <c r="B373" t="s">
        <v>769</v>
      </c>
      <c r="C373">
        <v>3.6</v>
      </c>
      <c r="D373">
        <v>3.98</v>
      </c>
      <c r="E373">
        <v>3.94</v>
      </c>
      <c r="F373">
        <v>4.33</v>
      </c>
      <c r="G373">
        <v>3.49</v>
      </c>
      <c r="H373">
        <v>3.91</v>
      </c>
      <c r="I373">
        <v>3.76</v>
      </c>
      <c r="J373">
        <v>4.16</v>
      </c>
      <c r="K373">
        <v>4.03</v>
      </c>
      <c r="L373">
        <v>4.32</v>
      </c>
      <c r="M373">
        <f t="shared" si="10"/>
        <v>3.8679999999999999</v>
      </c>
      <c r="N373">
        <f t="shared" si="11"/>
        <v>4.0359999999999996</v>
      </c>
    </row>
    <row r="374" spans="1:14" ht="14.25" customHeight="1" x14ac:dyDescent="0.3">
      <c r="A374" t="s">
        <v>770</v>
      </c>
      <c r="B374" t="s">
        <v>771</v>
      </c>
      <c r="C374">
        <v>4.3</v>
      </c>
      <c r="D374">
        <v>3.48</v>
      </c>
      <c r="E374">
        <v>3.85</v>
      </c>
      <c r="F374">
        <v>4.3499999999999996</v>
      </c>
      <c r="G374">
        <v>4.7699999999999996</v>
      </c>
      <c r="H374">
        <v>4.09</v>
      </c>
      <c r="I374">
        <v>4.3899999999999997</v>
      </c>
      <c r="J374">
        <v>3.93</v>
      </c>
      <c r="K374">
        <v>4.3899999999999997</v>
      </c>
      <c r="L374">
        <v>4.07</v>
      </c>
      <c r="M374">
        <f t="shared" si="10"/>
        <v>4.1500000000000004</v>
      </c>
      <c r="N374">
        <f t="shared" si="11"/>
        <v>4.1740000000000004</v>
      </c>
    </row>
    <row r="375" spans="1:14" ht="14.25" customHeight="1" x14ac:dyDescent="0.3">
      <c r="A375" t="s">
        <v>772</v>
      </c>
      <c r="B375" t="s">
        <v>773</v>
      </c>
      <c r="C375">
        <v>4.17</v>
      </c>
      <c r="D375">
        <v>3.66</v>
      </c>
      <c r="E375">
        <v>4.3</v>
      </c>
      <c r="F375">
        <v>4.66</v>
      </c>
      <c r="G375">
        <v>3.83</v>
      </c>
      <c r="H375">
        <v>4.1399999999999997</v>
      </c>
      <c r="I375">
        <v>3.95</v>
      </c>
      <c r="J375">
        <v>3.6</v>
      </c>
      <c r="K375">
        <v>4.16</v>
      </c>
      <c r="L375">
        <v>3.85</v>
      </c>
      <c r="M375">
        <f t="shared" si="10"/>
        <v>4.1239999999999997</v>
      </c>
      <c r="N375">
        <f t="shared" si="11"/>
        <v>3.94</v>
      </c>
    </row>
    <row r="376" spans="1:14" ht="14.25" customHeight="1" x14ac:dyDescent="0.3">
      <c r="A376" t="s">
        <v>774</v>
      </c>
      <c r="B376" t="s">
        <v>775</v>
      </c>
      <c r="C376">
        <v>3.78</v>
      </c>
      <c r="D376">
        <v>3.78</v>
      </c>
      <c r="E376">
        <v>4.1900000000000004</v>
      </c>
      <c r="F376">
        <v>3.63</v>
      </c>
      <c r="G376">
        <v>3.96</v>
      </c>
      <c r="H376">
        <v>3.81</v>
      </c>
      <c r="I376">
        <v>3.82</v>
      </c>
      <c r="J376">
        <v>3.73</v>
      </c>
      <c r="K376">
        <v>4.03</v>
      </c>
      <c r="L376">
        <v>4.26</v>
      </c>
      <c r="M376">
        <f t="shared" si="10"/>
        <v>3.8679999999999999</v>
      </c>
      <c r="N376">
        <f t="shared" si="11"/>
        <v>3.9299999999999997</v>
      </c>
    </row>
    <row r="377" spans="1:14" ht="14.25" customHeight="1" x14ac:dyDescent="0.3">
      <c r="A377" t="s">
        <v>776</v>
      </c>
      <c r="B377" t="s">
        <v>777</v>
      </c>
      <c r="C377">
        <v>4.1500000000000004</v>
      </c>
      <c r="D377">
        <v>4.17</v>
      </c>
      <c r="E377">
        <v>3.71</v>
      </c>
      <c r="F377">
        <v>4.1500000000000004</v>
      </c>
      <c r="G377">
        <v>3.94</v>
      </c>
      <c r="H377">
        <v>3.7</v>
      </c>
      <c r="I377">
        <v>3.97</v>
      </c>
      <c r="J377">
        <v>4.22</v>
      </c>
      <c r="K377">
        <v>4.12</v>
      </c>
      <c r="L377">
        <v>4.04</v>
      </c>
      <c r="M377">
        <f t="shared" si="10"/>
        <v>4.024</v>
      </c>
      <c r="N377">
        <f t="shared" si="11"/>
        <v>4.01</v>
      </c>
    </row>
    <row r="378" spans="1:14" ht="14.25" customHeight="1" x14ac:dyDescent="0.3">
      <c r="A378" t="s">
        <v>778</v>
      </c>
      <c r="B378" t="s">
        <v>779</v>
      </c>
      <c r="C378">
        <v>3.99</v>
      </c>
      <c r="D378">
        <v>4.55</v>
      </c>
      <c r="E378">
        <v>4.0199999999999996</v>
      </c>
      <c r="F378">
        <v>3.82</v>
      </c>
      <c r="G378">
        <v>4.2699999999999996</v>
      </c>
      <c r="H378">
        <v>4.3499999999999996</v>
      </c>
      <c r="I378">
        <v>3.9</v>
      </c>
      <c r="J378">
        <v>4.28</v>
      </c>
      <c r="K378">
        <v>4.3899999999999997</v>
      </c>
      <c r="L378">
        <v>2.98</v>
      </c>
      <c r="M378">
        <f t="shared" si="10"/>
        <v>4.13</v>
      </c>
      <c r="N378">
        <f t="shared" si="11"/>
        <v>3.9800000000000004</v>
      </c>
    </row>
    <row r="379" spans="1:14" ht="14.25" customHeight="1" x14ac:dyDescent="0.3">
      <c r="A379" t="s">
        <v>780</v>
      </c>
      <c r="B379" t="s">
        <v>781</v>
      </c>
      <c r="C379">
        <v>3.75</v>
      </c>
      <c r="D379">
        <v>4.59</v>
      </c>
      <c r="E379">
        <v>4.1500000000000004</v>
      </c>
      <c r="F379">
        <v>4.0199999999999996</v>
      </c>
      <c r="G379">
        <v>4.07</v>
      </c>
      <c r="H379">
        <v>3.93</v>
      </c>
      <c r="I379">
        <v>3.84</v>
      </c>
      <c r="J379">
        <v>4.09</v>
      </c>
      <c r="K379">
        <v>4.37</v>
      </c>
      <c r="L379">
        <v>3.55</v>
      </c>
      <c r="M379">
        <f t="shared" si="10"/>
        <v>4.1159999999999997</v>
      </c>
      <c r="N379">
        <f t="shared" si="11"/>
        <v>3.9560000000000004</v>
      </c>
    </row>
    <row r="380" spans="1:14" ht="14.25" customHeight="1" x14ac:dyDescent="0.3">
      <c r="A380" t="s">
        <v>782</v>
      </c>
      <c r="B380" t="s">
        <v>783</v>
      </c>
      <c r="C380">
        <v>4.55</v>
      </c>
      <c r="D380">
        <v>3.97</v>
      </c>
      <c r="E380">
        <v>3.4</v>
      </c>
      <c r="F380">
        <v>4.63</v>
      </c>
      <c r="G380">
        <v>4.07</v>
      </c>
      <c r="H380">
        <v>5.08</v>
      </c>
      <c r="I380">
        <v>4.21</v>
      </c>
      <c r="J380">
        <v>4.55</v>
      </c>
      <c r="K380">
        <v>4.4400000000000004</v>
      </c>
      <c r="L380">
        <v>4.3099999999999996</v>
      </c>
      <c r="M380">
        <f t="shared" si="10"/>
        <v>4.1240000000000006</v>
      </c>
      <c r="N380">
        <f t="shared" si="11"/>
        <v>4.5179999999999998</v>
      </c>
    </row>
    <row r="381" spans="1:14" ht="14.25" customHeight="1" x14ac:dyDescent="0.3">
      <c r="A381" t="s">
        <v>784</v>
      </c>
      <c r="B381" t="s">
        <v>785</v>
      </c>
      <c r="C381">
        <v>3.42</v>
      </c>
      <c r="D381">
        <v>4.57</v>
      </c>
      <c r="E381">
        <v>4.22</v>
      </c>
      <c r="F381">
        <v>3.98</v>
      </c>
      <c r="G381">
        <v>3.98</v>
      </c>
      <c r="H381">
        <v>3.53</v>
      </c>
      <c r="I381">
        <v>3.89</v>
      </c>
      <c r="J381">
        <v>4</v>
      </c>
      <c r="K381">
        <v>3.78</v>
      </c>
      <c r="L381">
        <v>4.08</v>
      </c>
      <c r="M381">
        <f t="shared" si="10"/>
        <v>4.0340000000000007</v>
      </c>
      <c r="N381">
        <f t="shared" si="11"/>
        <v>3.8560000000000003</v>
      </c>
    </row>
    <row r="382" spans="1:14" ht="14.25" customHeight="1" x14ac:dyDescent="0.3">
      <c r="A382" t="s">
        <v>786</v>
      </c>
      <c r="B382" t="s">
        <v>787</v>
      </c>
      <c r="C382">
        <v>4.2</v>
      </c>
      <c r="D382">
        <v>3.88</v>
      </c>
      <c r="E382">
        <v>4.3899999999999997</v>
      </c>
      <c r="F382">
        <v>4.3499999999999996</v>
      </c>
      <c r="G382">
        <v>3.96</v>
      </c>
      <c r="H382">
        <v>4.22</v>
      </c>
      <c r="I382">
        <v>4.0199999999999996</v>
      </c>
      <c r="J382">
        <v>4.21</v>
      </c>
      <c r="K382">
        <v>4.0599999999999996</v>
      </c>
      <c r="L382">
        <v>4.01</v>
      </c>
      <c r="M382">
        <f t="shared" si="10"/>
        <v>4.1560000000000006</v>
      </c>
      <c r="N382">
        <f t="shared" si="11"/>
        <v>4.1039999999999992</v>
      </c>
    </row>
    <row r="383" spans="1:14" ht="14.25" customHeight="1" x14ac:dyDescent="0.3">
      <c r="A383" t="s">
        <v>788</v>
      </c>
      <c r="B383" t="s">
        <v>789</v>
      </c>
      <c r="C383">
        <v>3.98</v>
      </c>
      <c r="E383">
        <v>4.08</v>
      </c>
      <c r="F383">
        <v>3.81</v>
      </c>
      <c r="G383">
        <v>3.56</v>
      </c>
      <c r="H383">
        <v>4.05</v>
      </c>
      <c r="I383">
        <v>3.6</v>
      </c>
      <c r="J383">
        <v>4.7699999999999996</v>
      </c>
      <c r="K383">
        <v>4.0599999999999996</v>
      </c>
      <c r="L383">
        <v>3.94</v>
      </c>
      <c r="M383">
        <f t="shared" si="10"/>
        <v>3.8575000000000004</v>
      </c>
      <c r="N383">
        <f t="shared" si="11"/>
        <v>4.0840000000000005</v>
      </c>
    </row>
    <row r="384" spans="1:14" ht="14.25" customHeight="1" x14ac:dyDescent="0.3">
      <c r="A384" t="s">
        <v>790</v>
      </c>
      <c r="B384" t="s">
        <v>791</v>
      </c>
      <c r="C384">
        <v>3.88</v>
      </c>
      <c r="D384">
        <v>3.51</v>
      </c>
      <c r="E384">
        <v>4.21</v>
      </c>
      <c r="F384">
        <v>4.22</v>
      </c>
      <c r="G384">
        <v>4.6100000000000003</v>
      </c>
      <c r="H384">
        <v>3.99</v>
      </c>
      <c r="I384">
        <v>4.07</v>
      </c>
      <c r="J384">
        <v>3.47</v>
      </c>
      <c r="K384">
        <v>3.86</v>
      </c>
      <c r="L384">
        <v>4.13</v>
      </c>
      <c r="M384">
        <f t="shared" si="10"/>
        <v>4.0860000000000003</v>
      </c>
      <c r="N384">
        <f t="shared" si="11"/>
        <v>3.9039999999999999</v>
      </c>
    </row>
    <row r="385" spans="1:14" ht="14.25" customHeight="1" x14ac:dyDescent="0.3">
      <c r="A385" t="s">
        <v>792</v>
      </c>
      <c r="B385" t="s">
        <v>793</v>
      </c>
      <c r="C385">
        <v>4.01</v>
      </c>
      <c r="D385">
        <v>3.81</v>
      </c>
      <c r="E385">
        <v>4.54</v>
      </c>
      <c r="F385">
        <v>4.17</v>
      </c>
      <c r="G385">
        <v>3.68</v>
      </c>
      <c r="H385">
        <v>3.9</v>
      </c>
      <c r="I385">
        <v>3.64</v>
      </c>
      <c r="J385">
        <v>4.08</v>
      </c>
      <c r="K385">
        <v>3.78</v>
      </c>
      <c r="L385">
        <v>3.97</v>
      </c>
      <c r="M385">
        <f t="shared" si="10"/>
        <v>4.0419999999999998</v>
      </c>
      <c r="N385">
        <f t="shared" si="11"/>
        <v>3.8740000000000001</v>
      </c>
    </row>
    <row r="386" spans="1:14" ht="14.25" customHeight="1" x14ac:dyDescent="0.3">
      <c r="A386" t="s">
        <v>794</v>
      </c>
      <c r="B386" t="s">
        <v>795</v>
      </c>
      <c r="C386">
        <v>4.34</v>
      </c>
      <c r="D386">
        <v>3.73</v>
      </c>
      <c r="E386">
        <v>4.17</v>
      </c>
      <c r="F386">
        <v>3.9</v>
      </c>
      <c r="G386">
        <v>3.71</v>
      </c>
      <c r="H386">
        <v>3.98</v>
      </c>
      <c r="I386">
        <v>4.22</v>
      </c>
      <c r="J386">
        <v>3.69</v>
      </c>
      <c r="K386">
        <v>3.52</v>
      </c>
      <c r="L386">
        <v>4.21</v>
      </c>
      <c r="M386">
        <f t="shared" ref="M386:M449" si="12">AVERAGE(C386:G386)</f>
        <v>3.97</v>
      </c>
      <c r="N386">
        <f t="shared" ref="N386:N449" si="13">AVERAGE(H386:L386)</f>
        <v>3.9239999999999995</v>
      </c>
    </row>
    <row r="387" spans="1:14" ht="14.25" customHeight="1" x14ac:dyDescent="0.3">
      <c r="A387" t="s">
        <v>796</v>
      </c>
      <c r="B387" t="s">
        <v>797</v>
      </c>
      <c r="C387">
        <v>3.98</v>
      </c>
      <c r="D387">
        <v>3.39</v>
      </c>
      <c r="E387">
        <v>3.83</v>
      </c>
      <c r="F387">
        <v>3.84</v>
      </c>
      <c r="G387">
        <v>3.85</v>
      </c>
      <c r="H387">
        <v>3.86</v>
      </c>
      <c r="I387">
        <v>4.82</v>
      </c>
      <c r="J387">
        <v>4.37</v>
      </c>
      <c r="K387">
        <v>4.1399999999999997</v>
      </c>
      <c r="L387">
        <v>3.86</v>
      </c>
      <c r="M387">
        <f t="shared" si="12"/>
        <v>3.778</v>
      </c>
      <c r="N387">
        <f t="shared" si="13"/>
        <v>4.21</v>
      </c>
    </row>
    <row r="388" spans="1:14" ht="14.25" customHeight="1" x14ac:dyDescent="0.3">
      <c r="A388" t="s">
        <v>798</v>
      </c>
      <c r="B388" t="s">
        <v>799</v>
      </c>
      <c r="C388">
        <v>3.84</v>
      </c>
      <c r="D388">
        <v>3.87</v>
      </c>
      <c r="E388">
        <v>3.95</v>
      </c>
      <c r="F388">
        <v>3.93</v>
      </c>
      <c r="G388">
        <v>3.93</v>
      </c>
      <c r="H388">
        <v>4.03</v>
      </c>
      <c r="I388">
        <v>4.1399999999999997</v>
      </c>
      <c r="J388">
        <v>3.9</v>
      </c>
      <c r="K388">
        <v>4.2</v>
      </c>
      <c r="L388">
        <v>3.9</v>
      </c>
      <c r="M388">
        <f t="shared" si="12"/>
        <v>3.9039999999999999</v>
      </c>
      <c r="N388">
        <f t="shared" si="13"/>
        <v>4.0339999999999998</v>
      </c>
    </row>
    <row r="389" spans="1:14" ht="14.25" customHeight="1" x14ac:dyDescent="0.3">
      <c r="A389" t="s">
        <v>800</v>
      </c>
      <c r="B389" t="s">
        <v>801</v>
      </c>
      <c r="C389">
        <v>4.3899999999999997</v>
      </c>
      <c r="D389">
        <v>4.29</v>
      </c>
      <c r="E389">
        <v>4.29</v>
      </c>
      <c r="F389">
        <v>3.65</v>
      </c>
      <c r="G389">
        <v>3.56</v>
      </c>
      <c r="H389">
        <v>3.97</v>
      </c>
      <c r="I389">
        <v>4.04</v>
      </c>
      <c r="J389">
        <v>4.3600000000000003</v>
      </c>
      <c r="K389">
        <v>3.95</v>
      </c>
      <c r="L389">
        <v>3.97</v>
      </c>
      <c r="M389">
        <f t="shared" si="12"/>
        <v>4.0359999999999996</v>
      </c>
      <c r="N389">
        <f t="shared" si="13"/>
        <v>4.0579999999999998</v>
      </c>
    </row>
    <row r="390" spans="1:14" ht="14.25" customHeight="1" x14ac:dyDescent="0.3">
      <c r="A390" t="s">
        <v>802</v>
      </c>
      <c r="B390" t="s">
        <v>803</v>
      </c>
      <c r="C390">
        <v>4.59</v>
      </c>
      <c r="D390">
        <v>3.79</v>
      </c>
      <c r="E390">
        <v>3.6</v>
      </c>
      <c r="F390" t="s">
        <v>211</v>
      </c>
      <c r="G390">
        <v>3.71</v>
      </c>
      <c r="H390">
        <v>4.45</v>
      </c>
      <c r="I390">
        <v>4.51</v>
      </c>
      <c r="J390">
        <v>3.67</v>
      </c>
      <c r="K390">
        <v>4.08</v>
      </c>
      <c r="L390">
        <v>3.94</v>
      </c>
      <c r="M390">
        <f t="shared" si="12"/>
        <v>3.9224999999999994</v>
      </c>
      <c r="N390">
        <f t="shared" si="13"/>
        <v>4.1300000000000008</v>
      </c>
    </row>
    <row r="391" spans="1:14" ht="14.25" customHeight="1" x14ac:dyDescent="0.3">
      <c r="A391" t="s">
        <v>804</v>
      </c>
      <c r="B391" t="s">
        <v>805</v>
      </c>
      <c r="C391">
        <v>3.54</v>
      </c>
      <c r="D391">
        <v>3.96</v>
      </c>
      <c r="E391">
        <v>4.12</v>
      </c>
      <c r="F391">
        <v>3.94</v>
      </c>
      <c r="G391">
        <v>4.13</v>
      </c>
      <c r="H391">
        <v>4.43</v>
      </c>
      <c r="I391">
        <v>4.24</v>
      </c>
      <c r="J391">
        <v>4.1900000000000004</v>
      </c>
      <c r="K391">
        <v>3.89</v>
      </c>
      <c r="L391">
        <v>4.1900000000000004</v>
      </c>
      <c r="M391">
        <f t="shared" si="12"/>
        <v>3.9380000000000002</v>
      </c>
      <c r="N391">
        <f t="shared" si="13"/>
        <v>4.1880000000000006</v>
      </c>
    </row>
    <row r="392" spans="1:14" ht="14.25" customHeight="1" x14ac:dyDescent="0.3">
      <c r="A392" t="s">
        <v>806</v>
      </c>
      <c r="B392" t="s">
        <v>807</v>
      </c>
      <c r="C392">
        <v>3.67</v>
      </c>
      <c r="D392">
        <v>3.9</v>
      </c>
      <c r="E392">
        <v>4.04</v>
      </c>
      <c r="F392">
        <v>3.5</v>
      </c>
      <c r="G392">
        <v>3.62</v>
      </c>
      <c r="H392">
        <v>3.83</v>
      </c>
      <c r="I392">
        <v>3.95</v>
      </c>
      <c r="J392">
        <v>3.73</v>
      </c>
      <c r="K392">
        <v>4.5</v>
      </c>
      <c r="L392">
        <v>4.4000000000000004</v>
      </c>
      <c r="M392">
        <f t="shared" si="12"/>
        <v>3.746</v>
      </c>
      <c r="N392">
        <f t="shared" si="13"/>
        <v>4.081999999999999</v>
      </c>
    </row>
    <row r="393" spans="1:14" ht="14.25" customHeight="1" x14ac:dyDescent="0.3">
      <c r="A393" t="s">
        <v>808</v>
      </c>
      <c r="B393" t="s">
        <v>809</v>
      </c>
      <c r="C393">
        <v>3.58</v>
      </c>
      <c r="D393">
        <v>4.04</v>
      </c>
      <c r="E393">
        <v>3.63</v>
      </c>
      <c r="F393">
        <v>3.96</v>
      </c>
      <c r="G393">
        <v>4.68</v>
      </c>
      <c r="H393">
        <v>3.77</v>
      </c>
      <c r="I393">
        <v>3.02</v>
      </c>
      <c r="J393">
        <v>3.71</v>
      </c>
      <c r="K393">
        <v>4.24</v>
      </c>
      <c r="L393">
        <v>3.78</v>
      </c>
      <c r="M393">
        <f t="shared" si="12"/>
        <v>3.9780000000000002</v>
      </c>
      <c r="N393">
        <f t="shared" si="13"/>
        <v>3.7039999999999997</v>
      </c>
    </row>
    <row r="394" spans="1:14" ht="14.25" customHeight="1" x14ac:dyDescent="0.3">
      <c r="A394" t="s">
        <v>810</v>
      </c>
      <c r="B394" t="s">
        <v>811</v>
      </c>
      <c r="C394">
        <v>3.73</v>
      </c>
      <c r="D394">
        <v>3.79</v>
      </c>
      <c r="E394">
        <v>4.17</v>
      </c>
      <c r="F394">
        <v>4.58</v>
      </c>
      <c r="G394">
        <v>4.2699999999999996</v>
      </c>
      <c r="H394">
        <v>3.94</v>
      </c>
      <c r="I394">
        <v>4.3899999999999997</v>
      </c>
      <c r="J394">
        <v>3.97</v>
      </c>
      <c r="K394">
        <v>3.64</v>
      </c>
      <c r="L394">
        <v>4.3600000000000003</v>
      </c>
      <c r="M394">
        <f t="shared" si="12"/>
        <v>4.1079999999999997</v>
      </c>
      <c r="N394">
        <f t="shared" si="13"/>
        <v>4.0600000000000005</v>
      </c>
    </row>
    <row r="395" spans="1:14" ht="14.25" customHeight="1" x14ac:dyDescent="0.3">
      <c r="A395" t="s">
        <v>812</v>
      </c>
      <c r="B395" t="s">
        <v>813</v>
      </c>
      <c r="C395">
        <v>3.04</v>
      </c>
      <c r="D395">
        <v>3.94</v>
      </c>
      <c r="E395">
        <v>3.96</v>
      </c>
      <c r="F395">
        <v>4.3099999999999996</v>
      </c>
      <c r="G395">
        <v>4.16</v>
      </c>
      <c r="I395">
        <v>4.6399999999999997</v>
      </c>
      <c r="J395">
        <v>4.13</v>
      </c>
      <c r="K395">
        <v>3.95</v>
      </c>
      <c r="L395">
        <v>3.81</v>
      </c>
      <c r="M395">
        <f t="shared" si="12"/>
        <v>3.8820000000000001</v>
      </c>
      <c r="N395">
        <f t="shared" si="13"/>
        <v>4.1324999999999994</v>
      </c>
    </row>
    <row r="396" spans="1:14" ht="14.25" customHeight="1" x14ac:dyDescent="0.3">
      <c r="A396" t="s">
        <v>814</v>
      </c>
      <c r="B396" t="s">
        <v>815</v>
      </c>
      <c r="C396">
        <v>3.37</v>
      </c>
      <c r="D396">
        <v>3.8</v>
      </c>
      <c r="E396">
        <v>4.0999999999999996</v>
      </c>
      <c r="F396">
        <v>4.12</v>
      </c>
      <c r="G396">
        <v>3.94</v>
      </c>
      <c r="H396">
        <v>4.1900000000000004</v>
      </c>
      <c r="I396">
        <v>3.77</v>
      </c>
      <c r="J396">
        <v>4.3600000000000003</v>
      </c>
      <c r="K396">
        <v>4.1100000000000003</v>
      </c>
      <c r="L396">
        <v>4.63</v>
      </c>
      <c r="M396">
        <f t="shared" si="12"/>
        <v>3.8660000000000005</v>
      </c>
      <c r="N396">
        <f t="shared" si="13"/>
        <v>4.2119999999999997</v>
      </c>
    </row>
    <row r="397" spans="1:14" ht="14.25" customHeight="1" x14ac:dyDescent="0.3">
      <c r="A397" t="s">
        <v>816</v>
      </c>
      <c r="B397" t="s">
        <v>817</v>
      </c>
      <c r="C397">
        <v>3.85</v>
      </c>
      <c r="D397">
        <v>3.96</v>
      </c>
      <c r="E397">
        <v>4.3</v>
      </c>
      <c r="F397">
        <v>4.18</v>
      </c>
      <c r="G397">
        <v>3.68</v>
      </c>
      <c r="H397">
        <v>4.09</v>
      </c>
      <c r="I397">
        <v>4.45</v>
      </c>
      <c r="J397">
        <v>3.75</v>
      </c>
      <c r="K397">
        <v>4.1100000000000003</v>
      </c>
      <c r="L397">
        <v>3.92</v>
      </c>
      <c r="M397">
        <f t="shared" si="12"/>
        <v>3.9939999999999998</v>
      </c>
      <c r="N397">
        <f t="shared" si="13"/>
        <v>4.0640000000000001</v>
      </c>
    </row>
    <row r="398" spans="1:14" ht="14.25" customHeight="1" x14ac:dyDescent="0.3">
      <c r="A398" t="s">
        <v>818</v>
      </c>
      <c r="B398" t="s">
        <v>819</v>
      </c>
      <c r="C398">
        <v>4</v>
      </c>
      <c r="D398">
        <v>3.63</v>
      </c>
      <c r="E398">
        <v>4.1500000000000004</v>
      </c>
      <c r="F398">
        <v>4.0999999999999996</v>
      </c>
      <c r="G398">
        <v>4.09</v>
      </c>
      <c r="H398">
        <v>3.76</v>
      </c>
      <c r="I398">
        <v>4.1900000000000004</v>
      </c>
      <c r="J398">
        <v>3.75</v>
      </c>
      <c r="K398">
        <v>4.49</v>
      </c>
      <c r="L398">
        <v>3.57</v>
      </c>
      <c r="M398">
        <f t="shared" si="12"/>
        <v>3.9939999999999998</v>
      </c>
      <c r="N398">
        <f t="shared" si="13"/>
        <v>3.9519999999999995</v>
      </c>
    </row>
    <row r="399" spans="1:14" ht="14.25" customHeight="1" x14ac:dyDescent="0.3">
      <c r="A399" t="s">
        <v>820</v>
      </c>
      <c r="B399" t="s">
        <v>821</v>
      </c>
      <c r="C399">
        <v>3.75</v>
      </c>
      <c r="D399">
        <v>3.71</v>
      </c>
      <c r="E399">
        <v>4.42</v>
      </c>
      <c r="F399">
        <v>4.18</v>
      </c>
      <c r="G399">
        <v>3.88</v>
      </c>
      <c r="H399">
        <v>4.42</v>
      </c>
      <c r="I399">
        <v>3.82</v>
      </c>
      <c r="J399">
        <v>4.49</v>
      </c>
      <c r="K399">
        <v>4.32</v>
      </c>
      <c r="L399">
        <v>4.4400000000000004</v>
      </c>
      <c r="M399">
        <f t="shared" si="12"/>
        <v>3.9879999999999995</v>
      </c>
      <c r="N399">
        <f t="shared" si="13"/>
        <v>4.298</v>
      </c>
    </row>
    <row r="400" spans="1:14" ht="14.25" customHeight="1" x14ac:dyDescent="0.3">
      <c r="A400" t="s">
        <v>822</v>
      </c>
      <c r="B400" t="s">
        <v>823</v>
      </c>
      <c r="C400">
        <v>4.0599999999999996</v>
      </c>
      <c r="D400">
        <v>3.63</v>
      </c>
      <c r="E400">
        <v>4.34</v>
      </c>
      <c r="F400">
        <v>4.2300000000000004</v>
      </c>
      <c r="G400">
        <v>4.09</v>
      </c>
      <c r="H400">
        <v>3.87</v>
      </c>
      <c r="I400">
        <v>3.86</v>
      </c>
      <c r="J400">
        <v>4.3600000000000003</v>
      </c>
      <c r="K400">
        <v>4.04</v>
      </c>
      <c r="L400">
        <v>3.65</v>
      </c>
      <c r="M400">
        <f t="shared" si="12"/>
        <v>4.0699999999999994</v>
      </c>
      <c r="N400">
        <f t="shared" si="13"/>
        <v>3.9559999999999995</v>
      </c>
    </row>
    <row r="401" spans="1:14" ht="14.25" customHeight="1" x14ac:dyDescent="0.3">
      <c r="A401" t="s">
        <v>824</v>
      </c>
      <c r="B401" t="s">
        <v>825</v>
      </c>
      <c r="C401">
        <v>3.78</v>
      </c>
      <c r="D401">
        <v>4.25</v>
      </c>
      <c r="E401">
        <v>3.88</v>
      </c>
      <c r="F401">
        <v>3.54</v>
      </c>
      <c r="G401">
        <v>3.84</v>
      </c>
      <c r="H401">
        <v>4.08</v>
      </c>
      <c r="I401">
        <v>3.72</v>
      </c>
      <c r="J401">
        <v>4.3</v>
      </c>
      <c r="K401">
        <v>3.04</v>
      </c>
      <c r="L401">
        <v>3.64</v>
      </c>
      <c r="M401">
        <f t="shared" si="12"/>
        <v>3.8579999999999997</v>
      </c>
      <c r="N401">
        <f t="shared" si="13"/>
        <v>3.7560000000000002</v>
      </c>
    </row>
    <row r="402" spans="1:14" ht="14.25" customHeight="1" x14ac:dyDescent="0.3">
      <c r="A402" t="s">
        <v>826</v>
      </c>
      <c r="B402" t="s">
        <v>827</v>
      </c>
      <c r="C402">
        <v>4.0199999999999996</v>
      </c>
      <c r="D402">
        <v>4.3899999999999997</v>
      </c>
      <c r="E402">
        <v>3.88</v>
      </c>
      <c r="F402">
        <v>3.67</v>
      </c>
      <c r="G402">
        <v>4.3</v>
      </c>
      <c r="H402">
        <v>4.26</v>
      </c>
      <c r="I402">
        <v>3.91</v>
      </c>
      <c r="J402">
        <v>4.21</v>
      </c>
      <c r="K402">
        <v>3.79</v>
      </c>
      <c r="L402">
        <v>4.4400000000000004</v>
      </c>
      <c r="M402">
        <f t="shared" si="12"/>
        <v>4.0519999999999996</v>
      </c>
      <c r="N402">
        <f t="shared" si="13"/>
        <v>4.1219999999999999</v>
      </c>
    </row>
    <row r="403" spans="1:14" ht="14.25" customHeight="1" x14ac:dyDescent="0.3">
      <c r="A403" t="s">
        <v>828</v>
      </c>
      <c r="B403" t="s">
        <v>829</v>
      </c>
      <c r="C403">
        <v>4.49</v>
      </c>
      <c r="D403">
        <v>4.0199999999999996</v>
      </c>
      <c r="E403">
        <v>4.4000000000000004</v>
      </c>
      <c r="F403">
        <v>4.03</v>
      </c>
      <c r="G403">
        <v>4.1100000000000003</v>
      </c>
      <c r="H403">
        <v>4.13</v>
      </c>
      <c r="J403">
        <v>3.86</v>
      </c>
      <c r="K403">
        <v>3.67</v>
      </c>
      <c r="L403">
        <v>4.43</v>
      </c>
      <c r="M403">
        <f t="shared" si="12"/>
        <v>4.21</v>
      </c>
      <c r="N403">
        <f t="shared" si="13"/>
        <v>4.0225</v>
      </c>
    </row>
    <row r="404" spans="1:14" ht="14.25" customHeight="1" x14ac:dyDescent="0.3">
      <c r="A404" t="s">
        <v>830</v>
      </c>
      <c r="B404" t="s">
        <v>831</v>
      </c>
      <c r="C404">
        <v>4.03</v>
      </c>
      <c r="D404">
        <v>3.81</v>
      </c>
      <c r="E404">
        <v>3.92</v>
      </c>
      <c r="F404">
        <v>3.93</v>
      </c>
      <c r="G404">
        <v>4.18</v>
      </c>
      <c r="H404">
        <v>3.82</v>
      </c>
      <c r="I404">
        <v>3.73</v>
      </c>
      <c r="J404">
        <v>4.53</v>
      </c>
      <c r="K404">
        <v>3.93</v>
      </c>
      <c r="L404">
        <v>4.3899999999999997</v>
      </c>
      <c r="M404">
        <f t="shared" si="12"/>
        <v>3.9739999999999993</v>
      </c>
      <c r="N404">
        <f t="shared" si="13"/>
        <v>4.08</v>
      </c>
    </row>
    <row r="405" spans="1:14" ht="14.25" customHeight="1" x14ac:dyDescent="0.3">
      <c r="A405" t="s">
        <v>832</v>
      </c>
      <c r="B405" t="s">
        <v>833</v>
      </c>
      <c r="C405">
        <v>4.04</v>
      </c>
      <c r="D405">
        <v>3.83</v>
      </c>
      <c r="E405">
        <v>3.54</v>
      </c>
      <c r="F405">
        <v>3.9</v>
      </c>
      <c r="G405">
        <v>3.62</v>
      </c>
      <c r="H405">
        <v>3.92</v>
      </c>
      <c r="I405">
        <v>4.54</v>
      </c>
      <c r="J405">
        <v>4.03</v>
      </c>
      <c r="K405">
        <v>3.9</v>
      </c>
      <c r="L405">
        <v>3.78</v>
      </c>
      <c r="M405">
        <f t="shared" si="12"/>
        <v>3.786</v>
      </c>
      <c r="N405">
        <f t="shared" si="13"/>
        <v>4.0340000000000007</v>
      </c>
    </row>
    <row r="406" spans="1:14" ht="14.25" customHeight="1" x14ac:dyDescent="0.3">
      <c r="A406" t="s">
        <v>834</v>
      </c>
      <c r="B406" t="s">
        <v>835</v>
      </c>
      <c r="D406">
        <v>4.16</v>
      </c>
      <c r="E406">
        <v>4.2</v>
      </c>
      <c r="F406">
        <v>4.5199999999999996</v>
      </c>
      <c r="G406">
        <v>4</v>
      </c>
      <c r="H406">
        <v>4.4000000000000004</v>
      </c>
      <c r="I406">
        <v>4.16</v>
      </c>
      <c r="J406">
        <v>4.01</v>
      </c>
      <c r="K406">
        <v>3.8</v>
      </c>
      <c r="L406">
        <v>3.65</v>
      </c>
      <c r="M406">
        <f t="shared" si="12"/>
        <v>4.22</v>
      </c>
      <c r="N406">
        <f t="shared" si="13"/>
        <v>4.0039999999999996</v>
      </c>
    </row>
    <row r="407" spans="1:14" ht="14.25" customHeight="1" x14ac:dyDescent="0.3">
      <c r="A407" t="s">
        <v>836</v>
      </c>
      <c r="B407" t="s">
        <v>837</v>
      </c>
      <c r="C407">
        <v>4.6900000000000004</v>
      </c>
      <c r="D407">
        <v>4.13</v>
      </c>
      <c r="E407">
        <v>3.91</v>
      </c>
      <c r="F407">
        <v>3.86</v>
      </c>
      <c r="G407">
        <v>3.41</v>
      </c>
      <c r="H407">
        <v>4.6500000000000004</v>
      </c>
      <c r="I407">
        <v>4.28</v>
      </c>
      <c r="J407">
        <v>4.21</v>
      </c>
      <c r="K407">
        <v>4.3099999999999996</v>
      </c>
      <c r="L407">
        <v>3.76</v>
      </c>
      <c r="M407">
        <f t="shared" si="12"/>
        <v>4</v>
      </c>
      <c r="N407">
        <f t="shared" si="13"/>
        <v>4.242</v>
      </c>
    </row>
    <row r="408" spans="1:14" ht="14.25" customHeight="1" x14ac:dyDescent="0.3">
      <c r="A408" t="s">
        <v>838</v>
      </c>
      <c r="B408" t="s">
        <v>839</v>
      </c>
      <c r="D408">
        <v>4.05</v>
      </c>
      <c r="E408">
        <v>4.1100000000000003</v>
      </c>
      <c r="F408">
        <v>4.0199999999999996</v>
      </c>
      <c r="G408">
        <v>4.0599999999999996</v>
      </c>
      <c r="H408">
        <v>4.4400000000000004</v>
      </c>
      <c r="I408">
        <v>3.89</v>
      </c>
      <c r="J408">
        <v>4.33</v>
      </c>
      <c r="K408">
        <v>4.21</v>
      </c>
      <c r="L408">
        <v>4.3</v>
      </c>
      <c r="M408">
        <f t="shared" si="12"/>
        <v>4.0599999999999996</v>
      </c>
      <c r="N408">
        <f t="shared" si="13"/>
        <v>4.234</v>
      </c>
    </row>
    <row r="409" spans="1:14" ht="14.25" customHeight="1" x14ac:dyDescent="0.3">
      <c r="A409" t="s">
        <v>840</v>
      </c>
      <c r="B409" t="s">
        <v>841</v>
      </c>
      <c r="C409">
        <v>3.88</v>
      </c>
      <c r="D409">
        <v>3.88</v>
      </c>
      <c r="E409">
        <v>4.42</v>
      </c>
      <c r="F409">
        <v>4</v>
      </c>
      <c r="G409">
        <v>4.22</v>
      </c>
      <c r="H409">
        <v>3.63</v>
      </c>
      <c r="K409">
        <v>4.08</v>
      </c>
      <c r="L409">
        <v>3.98</v>
      </c>
      <c r="M409">
        <f t="shared" si="12"/>
        <v>4.08</v>
      </c>
      <c r="N409">
        <f t="shared" si="13"/>
        <v>3.8966666666666665</v>
      </c>
    </row>
    <row r="410" spans="1:14" ht="14.25" customHeight="1" x14ac:dyDescent="0.3">
      <c r="A410" t="s">
        <v>842</v>
      </c>
      <c r="B410" t="s">
        <v>843</v>
      </c>
      <c r="C410">
        <v>4.09</v>
      </c>
      <c r="D410">
        <v>4.34</v>
      </c>
      <c r="E410">
        <v>3.91</v>
      </c>
      <c r="F410">
        <v>4.16</v>
      </c>
      <c r="G410">
        <v>4</v>
      </c>
      <c r="H410">
        <v>3.66</v>
      </c>
      <c r="J410">
        <v>3.47</v>
      </c>
      <c r="K410">
        <v>3.92</v>
      </c>
      <c r="L410">
        <v>3.74</v>
      </c>
      <c r="M410">
        <f t="shared" si="12"/>
        <v>4.0999999999999996</v>
      </c>
      <c r="N410">
        <f t="shared" si="13"/>
        <v>3.6975000000000002</v>
      </c>
    </row>
    <row r="411" spans="1:14" ht="14.25" customHeight="1" x14ac:dyDescent="0.3">
      <c r="A411" t="s">
        <v>844</v>
      </c>
      <c r="B411" t="s">
        <v>845</v>
      </c>
      <c r="C411">
        <v>3.8</v>
      </c>
      <c r="D411">
        <v>4.17</v>
      </c>
      <c r="E411">
        <v>3.77</v>
      </c>
      <c r="F411">
        <v>3.84</v>
      </c>
      <c r="G411">
        <v>4.3600000000000003</v>
      </c>
      <c r="H411">
        <v>4.3899999999999997</v>
      </c>
      <c r="I411">
        <v>3.63</v>
      </c>
      <c r="J411">
        <v>3.81</v>
      </c>
      <c r="K411">
        <v>4.0999999999999996</v>
      </c>
      <c r="L411">
        <v>4.22</v>
      </c>
      <c r="M411">
        <f t="shared" si="12"/>
        <v>3.9880000000000004</v>
      </c>
      <c r="N411">
        <f t="shared" si="13"/>
        <v>4.0299999999999994</v>
      </c>
    </row>
    <row r="412" spans="1:14" ht="14.25" customHeight="1" x14ac:dyDescent="0.3">
      <c r="A412" t="s">
        <v>846</v>
      </c>
      <c r="B412" t="s">
        <v>847</v>
      </c>
      <c r="C412">
        <v>3.42</v>
      </c>
      <c r="D412">
        <v>4.3499999999999996</v>
      </c>
      <c r="E412">
        <v>4.1100000000000003</v>
      </c>
      <c r="F412">
        <v>3.59</v>
      </c>
      <c r="G412">
        <v>3.88</v>
      </c>
      <c r="H412">
        <v>3.98</v>
      </c>
      <c r="I412">
        <v>4.41</v>
      </c>
      <c r="J412">
        <v>4.21</v>
      </c>
      <c r="K412">
        <v>4.01</v>
      </c>
      <c r="L412">
        <v>3.85</v>
      </c>
      <c r="M412">
        <f t="shared" si="12"/>
        <v>3.8699999999999997</v>
      </c>
      <c r="N412">
        <f t="shared" si="13"/>
        <v>4.0920000000000005</v>
      </c>
    </row>
    <row r="413" spans="1:14" ht="14.25" customHeight="1" x14ac:dyDescent="0.3">
      <c r="A413" t="s">
        <v>848</v>
      </c>
      <c r="B413" t="s">
        <v>849</v>
      </c>
      <c r="C413">
        <v>4.1100000000000003</v>
      </c>
      <c r="D413">
        <v>3.39</v>
      </c>
      <c r="E413">
        <v>3.77</v>
      </c>
      <c r="F413">
        <v>4.22</v>
      </c>
      <c r="G413">
        <v>3.35</v>
      </c>
      <c r="H413">
        <v>4.3099999999999996</v>
      </c>
      <c r="I413">
        <v>4.6399999999999997</v>
      </c>
      <c r="J413">
        <v>3.59</v>
      </c>
      <c r="K413">
        <v>3.97</v>
      </c>
      <c r="L413">
        <v>4.5999999999999996</v>
      </c>
      <c r="M413">
        <f t="shared" si="12"/>
        <v>3.7679999999999998</v>
      </c>
      <c r="N413">
        <f t="shared" si="13"/>
        <v>4.2219999999999995</v>
      </c>
    </row>
    <row r="414" spans="1:14" ht="14.25" customHeight="1" x14ac:dyDescent="0.3">
      <c r="A414" t="s">
        <v>850</v>
      </c>
      <c r="B414" t="s">
        <v>851</v>
      </c>
      <c r="C414">
        <v>4.2699999999999996</v>
      </c>
      <c r="D414">
        <v>4.55</v>
      </c>
      <c r="E414">
        <v>3.86</v>
      </c>
      <c r="F414">
        <v>3.89</v>
      </c>
      <c r="G414">
        <v>3.84</v>
      </c>
      <c r="H414">
        <v>3.96</v>
      </c>
      <c r="I414">
        <v>4.0999999999999996</v>
      </c>
      <c r="J414">
        <v>4.53</v>
      </c>
      <c r="K414">
        <v>3.74</v>
      </c>
      <c r="L414">
        <v>4.43</v>
      </c>
      <c r="M414">
        <f t="shared" si="12"/>
        <v>4.0819999999999999</v>
      </c>
      <c r="N414">
        <f t="shared" si="13"/>
        <v>4.1519999999999992</v>
      </c>
    </row>
    <row r="415" spans="1:14" ht="14.25" customHeight="1" x14ac:dyDescent="0.3">
      <c r="A415" t="s">
        <v>852</v>
      </c>
      <c r="B415" t="s">
        <v>853</v>
      </c>
      <c r="C415">
        <v>3.61</v>
      </c>
      <c r="D415">
        <v>4.04</v>
      </c>
      <c r="E415">
        <v>3.98</v>
      </c>
      <c r="F415">
        <v>3.75</v>
      </c>
      <c r="G415">
        <v>4.2699999999999996</v>
      </c>
      <c r="H415">
        <v>3.75</v>
      </c>
      <c r="I415">
        <v>4.1900000000000004</v>
      </c>
      <c r="J415">
        <v>4.21</v>
      </c>
      <c r="K415">
        <v>4.58</v>
      </c>
      <c r="L415">
        <v>4.16</v>
      </c>
      <c r="M415">
        <f t="shared" si="12"/>
        <v>3.9299999999999997</v>
      </c>
      <c r="N415">
        <f t="shared" si="13"/>
        <v>4.1779999999999999</v>
      </c>
    </row>
    <row r="416" spans="1:14" ht="14.25" customHeight="1" x14ac:dyDescent="0.3">
      <c r="A416" t="s">
        <v>854</v>
      </c>
      <c r="B416" t="s">
        <v>855</v>
      </c>
      <c r="C416">
        <v>4.2699999999999996</v>
      </c>
      <c r="D416">
        <v>3.98</v>
      </c>
      <c r="E416">
        <v>3.95</v>
      </c>
      <c r="F416">
        <v>3.86</v>
      </c>
      <c r="G416">
        <v>4.1100000000000003</v>
      </c>
      <c r="H416">
        <v>4.24</v>
      </c>
      <c r="I416">
        <v>4.38</v>
      </c>
      <c r="J416">
        <v>3.95</v>
      </c>
      <c r="K416">
        <v>3.69</v>
      </c>
      <c r="L416">
        <v>3.72</v>
      </c>
      <c r="M416">
        <f t="shared" si="12"/>
        <v>4.0339999999999998</v>
      </c>
      <c r="N416">
        <f t="shared" si="13"/>
        <v>3.996</v>
      </c>
    </row>
    <row r="417" spans="1:14" ht="14.25" customHeight="1" x14ac:dyDescent="0.3">
      <c r="A417" t="s">
        <v>856</v>
      </c>
      <c r="B417" t="s">
        <v>857</v>
      </c>
      <c r="C417">
        <v>3.55</v>
      </c>
      <c r="D417">
        <v>4.29</v>
      </c>
      <c r="F417">
        <v>3.68</v>
      </c>
      <c r="G417">
        <v>3.99</v>
      </c>
      <c r="H417">
        <v>3.74</v>
      </c>
      <c r="I417">
        <v>4.4400000000000004</v>
      </c>
      <c r="J417">
        <v>3.89</v>
      </c>
      <c r="K417">
        <v>3.6</v>
      </c>
      <c r="L417">
        <v>3.95</v>
      </c>
      <c r="M417">
        <f t="shared" si="12"/>
        <v>3.8774999999999999</v>
      </c>
      <c r="N417">
        <f t="shared" si="13"/>
        <v>3.9240000000000004</v>
      </c>
    </row>
    <row r="418" spans="1:14" ht="14.25" customHeight="1" x14ac:dyDescent="0.3">
      <c r="A418" t="s">
        <v>858</v>
      </c>
      <c r="B418" t="s">
        <v>859</v>
      </c>
      <c r="C418">
        <v>4.32</v>
      </c>
      <c r="D418">
        <v>4.2699999999999996</v>
      </c>
      <c r="E418">
        <v>4.5199999999999996</v>
      </c>
      <c r="F418">
        <v>3.59</v>
      </c>
      <c r="G418">
        <v>4.0599999999999996</v>
      </c>
      <c r="H418">
        <v>4.45</v>
      </c>
      <c r="I418">
        <v>4.1399999999999997</v>
      </c>
      <c r="J418">
        <v>4.04</v>
      </c>
      <c r="K418">
        <v>3.64</v>
      </c>
      <c r="L418">
        <v>4.4000000000000004</v>
      </c>
      <c r="M418">
        <f t="shared" si="12"/>
        <v>4.1519999999999992</v>
      </c>
      <c r="N418">
        <f t="shared" si="13"/>
        <v>4.1340000000000003</v>
      </c>
    </row>
    <row r="419" spans="1:14" ht="14.25" customHeight="1" x14ac:dyDescent="0.3">
      <c r="A419" t="s">
        <v>860</v>
      </c>
      <c r="B419" t="s">
        <v>861</v>
      </c>
      <c r="C419">
        <v>3.97</v>
      </c>
      <c r="D419">
        <v>4.3600000000000003</v>
      </c>
      <c r="E419">
        <v>3.85</v>
      </c>
      <c r="F419">
        <v>4.62</v>
      </c>
      <c r="G419">
        <v>3.72</v>
      </c>
      <c r="H419">
        <v>4.13</v>
      </c>
      <c r="I419">
        <v>3.97</v>
      </c>
      <c r="J419">
        <v>3.98</v>
      </c>
      <c r="K419">
        <v>3.87</v>
      </c>
      <c r="L419">
        <v>4.03</v>
      </c>
      <c r="M419">
        <f t="shared" si="12"/>
        <v>4.1040000000000001</v>
      </c>
      <c r="N419">
        <f t="shared" si="13"/>
        <v>3.996</v>
      </c>
    </row>
    <row r="420" spans="1:14" ht="14.25" customHeight="1" x14ac:dyDescent="0.3">
      <c r="A420" t="s">
        <v>862</v>
      </c>
      <c r="B420" t="s">
        <v>863</v>
      </c>
      <c r="C420">
        <v>4.0199999999999996</v>
      </c>
      <c r="D420">
        <v>3.9</v>
      </c>
      <c r="E420">
        <v>4.1900000000000004</v>
      </c>
      <c r="F420">
        <v>3.31</v>
      </c>
      <c r="G420">
        <v>3.99</v>
      </c>
      <c r="H420">
        <v>3.89</v>
      </c>
      <c r="I420">
        <v>3.75</v>
      </c>
      <c r="J420">
        <v>4.2300000000000004</v>
      </c>
      <c r="K420">
        <v>4.2300000000000004</v>
      </c>
      <c r="L420">
        <v>4.4400000000000004</v>
      </c>
      <c r="M420">
        <f t="shared" si="12"/>
        <v>3.8820000000000001</v>
      </c>
      <c r="N420">
        <f t="shared" si="13"/>
        <v>4.1080000000000005</v>
      </c>
    </row>
    <row r="421" spans="1:14" ht="14.25" customHeight="1" x14ac:dyDescent="0.3">
      <c r="A421" t="s">
        <v>864</v>
      </c>
      <c r="B421" t="s">
        <v>865</v>
      </c>
      <c r="C421">
        <v>4.29</v>
      </c>
      <c r="D421">
        <v>4.2</v>
      </c>
      <c r="E421">
        <v>3.75</v>
      </c>
      <c r="F421">
        <v>3.64</v>
      </c>
      <c r="G421">
        <v>4.32</v>
      </c>
      <c r="H421">
        <v>4.5</v>
      </c>
      <c r="I421">
        <v>4.47</v>
      </c>
      <c r="J421">
        <v>4.32</v>
      </c>
      <c r="K421">
        <v>3.96</v>
      </c>
      <c r="L421">
        <v>3.95</v>
      </c>
      <c r="M421">
        <f t="shared" si="12"/>
        <v>4.0400000000000009</v>
      </c>
      <c r="N421">
        <f t="shared" si="13"/>
        <v>4.24</v>
      </c>
    </row>
    <row r="422" spans="1:14" ht="14.25" customHeight="1" x14ac:dyDescent="0.3">
      <c r="A422" t="s">
        <v>866</v>
      </c>
      <c r="B422" t="s">
        <v>867</v>
      </c>
      <c r="C422">
        <v>3.91</v>
      </c>
      <c r="D422">
        <v>3.93</v>
      </c>
      <c r="E422">
        <v>3.96</v>
      </c>
      <c r="F422">
        <v>4.0199999999999996</v>
      </c>
      <c r="G422">
        <v>4.1900000000000004</v>
      </c>
      <c r="H422">
        <v>4.3</v>
      </c>
      <c r="I422">
        <v>4.49</v>
      </c>
      <c r="J422">
        <v>3.59</v>
      </c>
      <c r="K422">
        <v>4.1399999999999997</v>
      </c>
      <c r="L422">
        <v>4.2</v>
      </c>
      <c r="M422">
        <f t="shared" si="12"/>
        <v>4.0020000000000007</v>
      </c>
      <c r="N422">
        <f t="shared" si="13"/>
        <v>4.1440000000000001</v>
      </c>
    </row>
    <row r="423" spans="1:14" ht="14.25" customHeight="1" x14ac:dyDescent="0.3">
      <c r="A423" t="s">
        <v>868</v>
      </c>
      <c r="B423" t="s">
        <v>869</v>
      </c>
      <c r="C423">
        <v>3.87</v>
      </c>
      <c r="D423">
        <v>4.53</v>
      </c>
      <c r="E423">
        <v>4.3099999999999996</v>
      </c>
      <c r="F423">
        <v>3.99</v>
      </c>
      <c r="G423">
        <v>4.34</v>
      </c>
      <c r="H423">
        <v>4.67</v>
      </c>
      <c r="I423">
        <v>4.08</v>
      </c>
      <c r="J423">
        <v>4.04</v>
      </c>
      <c r="K423">
        <v>4.05</v>
      </c>
      <c r="L423">
        <v>4</v>
      </c>
      <c r="M423">
        <f t="shared" si="12"/>
        <v>4.2080000000000002</v>
      </c>
      <c r="N423">
        <f t="shared" si="13"/>
        <v>4.1680000000000001</v>
      </c>
    </row>
    <row r="424" spans="1:14" ht="14.25" customHeight="1" x14ac:dyDescent="0.3">
      <c r="A424" t="s">
        <v>870</v>
      </c>
      <c r="B424" t="s">
        <v>871</v>
      </c>
      <c r="C424">
        <v>4.0199999999999996</v>
      </c>
      <c r="D424">
        <v>4.04</v>
      </c>
      <c r="E424">
        <v>4.22</v>
      </c>
      <c r="F424">
        <v>3.89</v>
      </c>
      <c r="G424">
        <v>3.74</v>
      </c>
      <c r="H424">
        <v>3.86</v>
      </c>
      <c r="I424">
        <v>3.94</v>
      </c>
      <c r="J424">
        <v>4.12</v>
      </c>
      <c r="K424">
        <v>3.86</v>
      </c>
      <c r="L424">
        <v>3.91</v>
      </c>
      <c r="M424">
        <f t="shared" si="12"/>
        <v>3.9819999999999993</v>
      </c>
      <c r="N424">
        <f t="shared" si="13"/>
        <v>3.9379999999999997</v>
      </c>
    </row>
    <row r="425" spans="1:14" ht="14.25" customHeight="1" x14ac:dyDescent="0.3">
      <c r="A425" t="s">
        <v>872</v>
      </c>
      <c r="B425" t="s">
        <v>873</v>
      </c>
      <c r="C425">
        <v>3.75</v>
      </c>
      <c r="D425">
        <v>3.77</v>
      </c>
      <c r="E425">
        <v>4.0999999999999996</v>
      </c>
      <c r="F425">
        <v>3.96</v>
      </c>
      <c r="G425">
        <v>4.33</v>
      </c>
      <c r="H425">
        <v>4.42</v>
      </c>
      <c r="I425">
        <v>4.66</v>
      </c>
      <c r="J425">
        <v>4.1900000000000004</v>
      </c>
      <c r="K425">
        <v>3.75</v>
      </c>
      <c r="L425">
        <v>3.52</v>
      </c>
      <c r="M425">
        <f t="shared" si="12"/>
        <v>3.9819999999999993</v>
      </c>
      <c r="N425">
        <f t="shared" si="13"/>
        <v>4.1079999999999997</v>
      </c>
    </row>
    <row r="426" spans="1:14" ht="14.25" customHeight="1" x14ac:dyDescent="0.3">
      <c r="A426" t="s">
        <v>874</v>
      </c>
      <c r="B426" t="s">
        <v>875</v>
      </c>
      <c r="C426">
        <v>4.1399999999999997</v>
      </c>
      <c r="D426">
        <v>4</v>
      </c>
      <c r="E426">
        <v>3.88</v>
      </c>
      <c r="F426">
        <v>4.1500000000000004</v>
      </c>
      <c r="G426">
        <v>3.84</v>
      </c>
      <c r="H426">
        <v>3.66</v>
      </c>
      <c r="I426">
        <v>3.9</v>
      </c>
      <c r="J426">
        <v>3.65</v>
      </c>
      <c r="K426">
        <v>4.0999999999999996</v>
      </c>
      <c r="L426">
        <v>3.86</v>
      </c>
      <c r="M426">
        <f t="shared" si="12"/>
        <v>4.0020000000000007</v>
      </c>
      <c r="N426">
        <f t="shared" si="13"/>
        <v>3.8340000000000005</v>
      </c>
    </row>
    <row r="427" spans="1:14" ht="14.25" customHeight="1" x14ac:dyDescent="0.3">
      <c r="A427" t="s">
        <v>876</v>
      </c>
      <c r="B427" t="s">
        <v>877</v>
      </c>
      <c r="C427">
        <v>4.18</v>
      </c>
      <c r="D427">
        <v>3.99</v>
      </c>
      <c r="E427">
        <v>3.96</v>
      </c>
      <c r="F427">
        <v>4.34</v>
      </c>
      <c r="G427">
        <v>3.96</v>
      </c>
      <c r="H427">
        <v>4.13</v>
      </c>
      <c r="I427">
        <v>3.69</v>
      </c>
      <c r="J427">
        <v>4.2300000000000004</v>
      </c>
      <c r="K427">
        <v>4</v>
      </c>
      <c r="L427">
        <v>4.22</v>
      </c>
      <c r="M427">
        <f t="shared" si="12"/>
        <v>4.0860000000000003</v>
      </c>
      <c r="N427">
        <f t="shared" si="13"/>
        <v>4.0540000000000003</v>
      </c>
    </row>
    <row r="428" spans="1:14" ht="14.25" customHeight="1" x14ac:dyDescent="0.3">
      <c r="A428" t="s">
        <v>878</v>
      </c>
      <c r="B428" t="s">
        <v>879</v>
      </c>
      <c r="C428">
        <v>3.67</v>
      </c>
      <c r="D428">
        <v>3.98</v>
      </c>
      <c r="E428">
        <v>3.9</v>
      </c>
      <c r="F428">
        <v>3.63</v>
      </c>
      <c r="G428">
        <v>4.45</v>
      </c>
      <c r="H428">
        <v>4.38</v>
      </c>
      <c r="I428">
        <v>3.4</v>
      </c>
      <c r="J428">
        <v>3.37</v>
      </c>
      <c r="K428">
        <v>3.56</v>
      </c>
      <c r="L428">
        <v>4.0999999999999996</v>
      </c>
      <c r="M428">
        <f t="shared" si="12"/>
        <v>3.9259999999999997</v>
      </c>
      <c r="N428">
        <f t="shared" si="13"/>
        <v>3.7619999999999996</v>
      </c>
    </row>
    <row r="429" spans="1:14" ht="14.25" customHeight="1" x14ac:dyDescent="0.3">
      <c r="A429" t="s">
        <v>880</v>
      </c>
      <c r="B429" t="s">
        <v>881</v>
      </c>
      <c r="C429">
        <v>3.83</v>
      </c>
      <c r="D429">
        <v>3.87</v>
      </c>
      <c r="E429">
        <v>3.02</v>
      </c>
      <c r="F429">
        <v>3.88</v>
      </c>
      <c r="H429">
        <v>4.18</v>
      </c>
      <c r="I429">
        <v>3.69</v>
      </c>
      <c r="J429">
        <v>3.9</v>
      </c>
      <c r="K429">
        <v>3.8</v>
      </c>
      <c r="L429">
        <v>3.78</v>
      </c>
      <c r="M429">
        <f t="shared" si="12"/>
        <v>3.6500000000000004</v>
      </c>
      <c r="N429">
        <f t="shared" si="13"/>
        <v>3.87</v>
      </c>
    </row>
    <row r="430" spans="1:14" ht="14.25" customHeight="1" x14ac:dyDescent="0.3">
      <c r="A430" t="s">
        <v>882</v>
      </c>
      <c r="B430" t="s">
        <v>883</v>
      </c>
      <c r="C430">
        <v>3.82</v>
      </c>
      <c r="E430">
        <v>4.12</v>
      </c>
      <c r="F430">
        <v>4.05</v>
      </c>
      <c r="G430">
        <v>3.94</v>
      </c>
      <c r="H430">
        <v>3.94</v>
      </c>
      <c r="I430">
        <v>4.38</v>
      </c>
      <c r="J430">
        <v>3.58</v>
      </c>
      <c r="K430">
        <v>4.38</v>
      </c>
      <c r="L430">
        <v>4.05</v>
      </c>
      <c r="M430">
        <f t="shared" si="12"/>
        <v>3.9824999999999995</v>
      </c>
      <c r="N430">
        <f t="shared" si="13"/>
        <v>4.0660000000000007</v>
      </c>
    </row>
    <row r="431" spans="1:14" ht="14.25" customHeight="1" x14ac:dyDescent="0.3">
      <c r="A431" t="s">
        <v>884</v>
      </c>
      <c r="B431" t="s">
        <v>885</v>
      </c>
      <c r="C431">
        <v>3.63</v>
      </c>
      <c r="D431">
        <v>3.88</v>
      </c>
      <c r="E431">
        <v>4.26</v>
      </c>
      <c r="F431">
        <v>4.07</v>
      </c>
      <c r="G431">
        <v>3.94</v>
      </c>
      <c r="H431">
        <v>4.5999999999999996</v>
      </c>
      <c r="I431">
        <v>3.91</v>
      </c>
      <c r="J431">
        <v>4.41</v>
      </c>
      <c r="K431">
        <v>4.03</v>
      </c>
      <c r="L431">
        <v>4.08</v>
      </c>
      <c r="M431">
        <f t="shared" si="12"/>
        <v>3.9560000000000004</v>
      </c>
      <c r="N431">
        <f t="shared" si="13"/>
        <v>4.2060000000000004</v>
      </c>
    </row>
    <row r="432" spans="1:14" ht="14.25" customHeight="1" x14ac:dyDescent="0.3">
      <c r="A432" t="s">
        <v>886</v>
      </c>
      <c r="B432" t="s">
        <v>887</v>
      </c>
      <c r="C432">
        <v>3.72</v>
      </c>
      <c r="D432">
        <v>4.3</v>
      </c>
      <c r="E432">
        <v>4.6399999999999997</v>
      </c>
      <c r="F432">
        <v>3.9</v>
      </c>
      <c r="G432">
        <v>4.26</v>
      </c>
      <c r="H432">
        <v>4.62</v>
      </c>
      <c r="I432">
        <v>4.37</v>
      </c>
      <c r="J432">
        <v>3.88</v>
      </c>
      <c r="L432">
        <v>4.0599999999999996</v>
      </c>
      <c r="M432">
        <f t="shared" si="12"/>
        <v>4.1639999999999997</v>
      </c>
      <c r="N432">
        <f t="shared" si="13"/>
        <v>4.2324999999999999</v>
      </c>
    </row>
    <row r="433" spans="1:14" ht="14.25" customHeight="1" x14ac:dyDescent="0.3">
      <c r="A433" t="s">
        <v>888</v>
      </c>
      <c r="B433" t="s">
        <v>889</v>
      </c>
      <c r="D433">
        <v>4.34</v>
      </c>
      <c r="E433">
        <v>4.5</v>
      </c>
      <c r="F433">
        <v>3.54</v>
      </c>
      <c r="G433">
        <v>3.48</v>
      </c>
      <c r="H433">
        <v>4.1900000000000004</v>
      </c>
      <c r="I433">
        <v>4.1500000000000004</v>
      </c>
      <c r="J433">
        <v>4</v>
      </c>
      <c r="K433">
        <v>3.64</v>
      </c>
      <c r="L433">
        <v>4</v>
      </c>
      <c r="M433">
        <f t="shared" si="12"/>
        <v>3.9649999999999999</v>
      </c>
      <c r="N433">
        <f t="shared" si="13"/>
        <v>3.996</v>
      </c>
    </row>
    <row r="434" spans="1:14" ht="14.25" customHeight="1" x14ac:dyDescent="0.3">
      <c r="A434" t="s">
        <v>890</v>
      </c>
      <c r="B434" t="s">
        <v>891</v>
      </c>
      <c r="C434">
        <v>4.47</v>
      </c>
      <c r="D434">
        <v>4.0999999999999996</v>
      </c>
      <c r="E434">
        <v>3.7</v>
      </c>
      <c r="F434">
        <v>4.67</v>
      </c>
      <c r="G434">
        <v>4.08</v>
      </c>
      <c r="H434">
        <v>3.94</v>
      </c>
      <c r="I434">
        <v>4.41</v>
      </c>
      <c r="J434">
        <v>4.54</v>
      </c>
      <c r="K434">
        <v>3.89</v>
      </c>
      <c r="L434">
        <v>4.3099999999999996</v>
      </c>
      <c r="M434">
        <f t="shared" si="12"/>
        <v>4.2039999999999988</v>
      </c>
      <c r="N434">
        <f t="shared" si="13"/>
        <v>4.218</v>
      </c>
    </row>
    <row r="435" spans="1:14" ht="14.25" customHeight="1" x14ac:dyDescent="0.3">
      <c r="A435" t="s">
        <v>892</v>
      </c>
      <c r="B435" t="s">
        <v>893</v>
      </c>
      <c r="C435">
        <v>3.76</v>
      </c>
      <c r="D435">
        <v>3.91</v>
      </c>
      <c r="E435">
        <v>3.52</v>
      </c>
      <c r="F435">
        <v>3.69</v>
      </c>
      <c r="G435">
        <v>4.05</v>
      </c>
      <c r="H435">
        <v>3.55</v>
      </c>
      <c r="I435">
        <v>4.0199999999999996</v>
      </c>
      <c r="J435">
        <v>4.12</v>
      </c>
      <c r="K435">
        <v>3.73</v>
      </c>
      <c r="L435">
        <v>4.24</v>
      </c>
      <c r="M435">
        <f t="shared" si="12"/>
        <v>3.786</v>
      </c>
      <c r="N435">
        <f t="shared" si="13"/>
        <v>3.9319999999999999</v>
      </c>
    </row>
    <row r="436" spans="1:14" ht="14.25" customHeight="1" x14ac:dyDescent="0.3">
      <c r="A436" t="s">
        <v>894</v>
      </c>
      <c r="B436" t="s">
        <v>895</v>
      </c>
      <c r="C436">
        <v>3.3</v>
      </c>
      <c r="D436">
        <v>4.28</v>
      </c>
      <c r="E436">
        <v>4.1100000000000003</v>
      </c>
      <c r="F436">
        <v>4.32</v>
      </c>
      <c r="G436">
        <v>4.4800000000000004</v>
      </c>
      <c r="H436">
        <v>4.41</v>
      </c>
      <c r="I436">
        <v>4.17</v>
      </c>
      <c r="J436">
        <v>3.35</v>
      </c>
      <c r="K436">
        <v>3.98</v>
      </c>
      <c r="L436">
        <v>4.07</v>
      </c>
      <c r="M436">
        <f t="shared" si="12"/>
        <v>4.0980000000000008</v>
      </c>
      <c r="N436">
        <f t="shared" si="13"/>
        <v>3.996</v>
      </c>
    </row>
    <row r="437" spans="1:14" ht="14.25" customHeight="1" x14ac:dyDescent="0.3">
      <c r="A437" t="s">
        <v>896</v>
      </c>
      <c r="B437" t="s">
        <v>897</v>
      </c>
      <c r="C437">
        <v>4.22</v>
      </c>
      <c r="E437">
        <v>3.4</v>
      </c>
      <c r="F437">
        <v>4.12</v>
      </c>
      <c r="G437">
        <v>3.94</v>
      </c>
      <c r="H437">
        <v>4.3099999999999996</v>
      </c>
      <c r="I437">
        <v>4.07</v>
      </c>
      <c r="J437">
        <v>3.91</v>
      </c>
      <c r="K437">
        <v>4.43</v>
      </c>
      <c r="L437">
        <v>4.01</v>
      </c>
      <c r="M437">
        <f t="shared" si="12"/>
        <v>3.9199999999999995</v>
      </c>
      <c r="N437">
        <f t="shared" si="13"/>
        <v>4.145999999999999</v>
      </c>
    </row>
    <row r="438" spans="1:14" ht="14.25" customHeight="1" x14ac:dyDescent="0.3">
      <c r="A438" t="s">
        <v>898</v>
      </c>
      <c r="B438" t="s">
        <v>899</v>
      </c>
      <c r="C438">
        <v>3.99</v>
      </c>
      <c r="D438">
        <v>3.7</v>
      </c>
      <c r="E438">
        <v>3.96</v>
      </c>
      <c r="F438">
        <v>3.67</v>
      </c>
      <c r="G438">
        <v>4.79</v>
      </c>
      <c r="H438">
        <v>4.07</v>
      </c>
      <c r="I438">
        <v>3.88</v>
      </c>
      <c r="J438">
        <v>3.65</v>
      </c>
      <c r="K438">
        <v>4.3600000000000003</v>
      </c>
      <c r="L438">
        <v>4.24</v>
      </c>
      <c r="M438">
        <f t="shared" si="12"/>
        <v>4.0220000000000002</v>
      </c>
      <c r="N438">
        <f t="shared" si="13"/>
        <v>4.0400000000000009</v>
      </c>
    </row>
    <row r="439" spans="1:14" ht="14.25" customHeight="1" x14ac:dyDescent="0.3">
      <c r="A439" t="s">
        <v>900</v>
      </c>
      <c r="B439" t="s">
        <v>901</v>
      </c>
      <c r="C439">
        <v>3.58</v>
      </c>
      <c r="D439">
        <v>3.99</v>
      </c>
      <c r="E439">
        <v>3.89</v>
      </c>
      <c r="F439">
        <v>4.4400000000000004</v>
      </c>
      <c r="G439">
        <v>3.79</v>
      </c>
      <c r="I439">
        <v>3.96</v>
      </c>
      <c r="J439">
        <v>4.24</v>
      </c>
      <c r="K439">
        <v>4</v>
      </c>
      <c r="L439">
        <v>4.33</v>
      </c>
      <c r="M439">
        <f t="shared" si="12"/>
        <v>3.9380000000000002</v>
      </c>
      <c r="N439">
        <f t="shared" si="13"/>
        <v>4.1325000000000003</v>
      </c>
    </row>
    <row r="440" spans="1:14" ht="14.25" customHeight="1" x14ac:dyDescent="0.3">
      <c r="A440" t="s">
        <v>902</v>
      </c>
      <c r="B440" t="s">
        <v>903</v>
      </c>
      <c r="C440">
        <v>4.0199999999999996</v>
      </c>
      <c r="E440">
        <v>4.66</v>
      </c>
      <c r="F440">
        <v>4.58</v>
      </c>
      <c r="G440">
        <v>3.91</v>
      </c>
      <c r="H440">
        <v>4</v>
      </c>
      <c r="I440">
        <v>3.66</v>
      </c>
      <c r="J440">
        <v>3.94</v>
      </c>
      <c r="K440" t="s">
        <v>904</v>
      </c>
      <c r="L440">
        <v>4.8099999999999996</v>
      </c>
      <c r="M440">
        <f t="shared" si="12"/>
        <v>4.2925000000000004</v>
      </c>
      <c r="N440">
        <f t="shared" si="13"/>
        <v>4.1025</v>
      </c>
    </row>
    <row r="441" spans="1:14" ht="14.25" customHeight="1" x14ac:dyDescent="0.3">
      <c r="A441" t="s">
        <v>905</v>
      </c>
      <c r="B441" t="s">
        <v>906</v>
      </c>
      <c r="C441">
        <v>4.18</v>
      </c>
      <c r="D441">
        <v>4.29</v>
      </c>
      <c r="E441">
        <v>4.3600000000000003</v>
      </c>
      <c r="F441">
        <v>3.8</v>
      </c>
      <c r="G441">
        <v>4.12</v>
      </c>
      <c r="H441">
        <v>4.07</v>
      </c>
      <c r="I441">
        <v>4.13</v>
      </c>
      <c r="J441">
        <v>3.99</v>
      </c>
      <c r="K441">
        <v>3.95</v>
      </c>
      <c r="L441">
        <v>4.1399999999999997</v>
      </c>
      <c r="M441">
        <f t="shared" si="12"/>
        <v>4.1500000000000004</v>
      </c>
      <c r="N441">
        <f t="shared" si="13"/>
        <v>4.056</v>
      </c>
    </row>
    <row r="442" spans="1:14" ht="14.25" customHeight="1" x14ac:dyDescent="0.3">
      <c r="A442" t="s">
        <v>907</v>
      </c>
      <c r="B442" t="s">
        <v>908</v>
      </c>
      <c r="C442">
        <v>3.86</v>
      </c>
      <c r="D442">
        <v>3.4</v>
      </c>
      <c r="E442">
        <v>3.71</v>
      </c>
      <c r="F442">
        <v>3.69</v>
      </c>
      <c r="G442">
        <v>3.77</v>
      </c>
      <c r="H442">
        <v>4.1500000000000004</v>
      </c>
      <c r="I442">
        <v>3.94</v>
      </c>
      <c r="J442">
        <v>4.2300000000000004</v>
      </c>
      <c r="K442">
        <v>4.08</v>
      </c>
      <c r="L442">
        <v>3.47</v>
      </c>
      <c r="M442">
        <f t="shared" si="12"/>
        <v>3.6859999999999999</v>
      </c>
      <c r="N442">
        <f t="shared" si="13"/>
        <v>3.9739999999999993</v>
      </c>
    </row>
    <row r="443" spans="1:14" ht="14.25" customHeight="1" x14ac:dyDescent="0.3">
      <c r="A443" t="s">
        <v>909</v>
      </c>
      <c r="B443" t="s">
        <v>910</v>
      </c>
      <c r="C443">
        <v>3.92</v>
      </c>
      <c r="D443">
        <v>3.99</v>
      </c>
      <c r="E443">
        <v>4.21</v>
      </c>
      <c r="F443">
        <v>3.58</v>
      </c>
      <c r="G443">
        <v>4.28</v>
      </c>
      <c r="H443">
        <v>4.21</v>
      </c>
      <c r="I443">
        <v>3.71</v>
      </c>
      <c r="J443">
        <v>3.62</v>
      </c>
      <c r="K443">
        <v>3.29</v>
      </c>
      <c r="L443">
        <v>4.1900000000000004</v>
      </c>
      <c r="M443">
        <f t="shared" si="12"/>
        <v>3.996</v>
      </c>
      <c r="N443">
        <f t="shared" si="13"/>
        <v>3.8039999999999998</v>
      </c>
    </row>
    <row r="444" spans="1:14" ht="14.25" customHeight="1" x14ac:dyDescent="0.3">
      <c r="A444" t="s">
        <v>911</v>
      </c>
      <c r="B444" t="s">
        <v>912</v>
      </c>
      <c r="C444">
        <v>4.32</v>
      </c>
      <c r="D444">
        <v>3.88</v>
      </c>
      <c r="E444">
        <v>3.9</v>
      </c>
      <c r="F444">
        <v>3.6</v>
      </c>
      <c r="G444">
        <v>4.21</v>
      </c>
      <c r="H444">
        <v>3.41</v>
      </c>
      <c r="I444">
        <v>3.97</v>
      </c>
      <c r="J444">
        <v>4.07</v>
      </c>
      <c r="K444">
        <v>3.76</v>
      </c>
      <c r="L444">
        <v>4.0999999999999996</v>
      </c>
      <c r="M444">
        <f t="shared" si="12"/>
        <v>3.9820000000000002</v>
      </c>
      <c r="N444">
        <f t="shared" si="13"/>
        <v>3.8620000000000005</v>
      </c>
    </row>
    <row r="445" spans="1:14" ht="14.25" customHeight="1" x14ac:dyDescent="0.3">
      <c r="A445" t="s">
        <v>913</v>
      </c>
      <c r="B445" t="s">
        <v>914</v>
      </c>
      <c r="C445">
        <v>3.99</v>
      </c>
      <c r="D445">
        <v>4.34</v>
      </c>
      <c r="E445">
        <v>3.71</v>
      </c>
      <c r="F445">
        <v>3.88</v>
      </c>
      <c r="G445">
        <v>3.63</v>
      </c>
      <c r="H445">
        <v>4.33</v>
      </c>
      <c r="I445">
        <v>4.37</v>
      </c>
      <c r="J445">
        <v>4.3</v>
      </c>
      <c r="K445">
        <v>4.29</v>
      </c>
      <c r="L445">
        <v>4.17</v>
      </c>
      <c r="M445">
        <f t="shared" si="12"/>
        <v>3.9099999999999993</v>
      </c>
      <c r="N445">
        <f t="shared" si="13"/>
        <v>4.2919999999999998</v>
      </c>
    </row>
    <row r="446" spans="1:14" ht="14.25" customHeight="1" x14ac:dyDescent="0.3">
      <c r="A446" t="s">
        <v>915</v>
      </c>
      <c r="B446" t="s">
        <v>916</v>
      </c>
      <c r="C446">
        <v>3.85</v>
      </c>
      <c r="D446">
        <v>3.92</v>
      </c>
      <c r="E446">
        <v>4.0599999999999996</v>
      </c>
      <c r="G446">
        <v>3.93</v>
      </c>
      <c r="I446">
        <v>4.18</v>
      </c>
      <c r="J446">
        <v>4.53</v>
      </c>
      <c r="K446">
        <v>3.24</v>
      </c>
      <c r="L446">
        <v>4.43</v>
      </c>
      <c r="M446">
        <f t="shared" si="12"/>
        <v>3.9399999999999995</v>
      </c>
      <c r="N446">
        <f t="shared" si="13"/>
        <v>4.0950000000000006</v>
      </c>
    </row>
    <row r="447" spans="1:14" ht="14.25" customHeight="1" x14ac:dyDescent="0.3">
      <c r="A447" t="s">
        <v>917</v>
      </c>
      <c r="B447" t="s">
        <v>918</v>
      </c>
      <c r="C447">
        <v>3.82</v>
      </c>
      <c r="D447">
        <v>3.99</v>
      </c>
      <c r="E447">
        <v>3.98</v>
      </c>
      <c r="F447">
        <v>3.94</v>
      </c>
      <c r="G447">
        <v>4.43</v>
      </c>
      <c r="H447">
        <v>3.87</v>
      </c>
      <c r="I447">
        <v>3.62</v>
      </c>
      <c r="J447">
        <v>4.09</v>
      </c>
      <c r="K447">
        <v>3.65</v>
      </c>
      <c r="L447">
        <v>4.1399999999999997</v>
      </c>
      <c r="M447">
        <f t="shared" si="12"/>
        <v>4.032</v>
      </c>
      <c r="N447">
        <f t="shared" si="13"/>
        <v>3.8740000000000001</v>
      </c>
    </row>
    <row r="448" spans="1:14" ht="14.25" customHeight="1" x14ac:dyDescent="0.3">
      <c r="A448" t="s">
        <v>919</v>
      </c>
      <c r="B448" t="s">
        <v>920</v>
      </c>
      <c r="C448">
        <v>3.93</v>
      </c>
      <c r="D448">
        <v>4.3600000000000003</v>
      </c>
      <c r="E448">
        <v>3.65</v>
      </c>
      <c r="F448">
        <v>3.77</v>
      </c>
      <c r="G448">
        <v>3.56</v>
      </c>
      <c r="H448">
        <v>3.71</v>
      </c>
      <c r="I448">
        <v>3.83</v>
      </c>
      <c r="J448">
        <v>4.46</v>
      </c>
      <c r="K448" t="s">
        <v>921</v>
      </c>
      <c r="L448">
        <v>4.13</v>
      </c>
      <c r="M448">
        <f t="shared" si="12"/>
        <v>3.8540000000000001</v>
      </c>
      <c r="N448">
        <f t="shared" si="13"/>
        <v>4.0324999999999998</v>
      </c>
    </row>
    <row r="449" spans="1:14" ht="14.25" customHeight="1" x14ac:dyDescent="0.3">
      <c r="A449" t="s">
        <v>922</v>
      </c>
      <c r="B449" t="s">
        <v>923</v>
      </c>
      <c r="C449">
        <v>4.07</v>
      </c>
      <c r="D449">
        <v>3.58</v>
      </c>
      <c r="E449">
        <v>3.8</v>
      </c>
      <c r="F449">
        <v>4.13</v>
      </c>
      <c r="G449">
        <v>3.79</v>
      </c>
      <c r="H449">
        <v>3.82</v>
      </c>
      <c r="I449">
        <v>4.2300000000000004</v>
      </c>
      <c r="J449">
        <v>4.68</v>
      </c>
      <c r="K449">
        <v>3.88</v>
      </c>
      <c r="L449">
        <v>4.59</v>
      </c>
      <c r="M449">
        <f t="shared" si="12"/>
        <v>3.8739999999999997</v>
      </c>
      <c r="N449">
        <f t="shared" si="13"/>
        <v>4.24</v>
      </c>
    </row>
    <row r="450" spans="1:14" ht="14.25" customHeight="1" x14ac:dyDescent="0.3">
      <c r="A450" t="s">
        <v>924</v>
      </c>
      <c r="B450" t="s">
        <v>925</v>
      </c>
      <c r="C450">
        <v>3.91</v>
      </c>
      <c r="D450">
        <v>3.35</v>
      </c>
      <c r="E450">
        <v>4.47</v>
      </c>
      <c r="F450">
        <v>4.0199999999999996</v>
      </c>
      <c r="G450">
        <v>3.76</v>
      </c>
      <c r="H450">
        <v>3.8</v>
      </c>
      <c r="I450">
        <v>4.41</v>
      </c>
      <c r="J450">
        <v>3.54</v>
      </c>
      <c r="K450">
        <v>4.6900000000000004</v>
      </c>
      <c r="L450">
        <v>4.3099999999999996</v>
      </c>
      <c r="M450">
        <f t="shared" ref="M450:M513" si="14">AVERAGE(C450:G450)</f>
        <v>3.9019999999999997</v>
      </c>
      <c r="N450">
        <f t="shared" ref="N450:N513" si="15">AVERAGE(H450:L450)</f>
        <v>4.1500000000000004</v>
      </c>
    </row>
    <row r="451" spans="1:14" ht="14.25" customHeight="1" x14ac:dyDescent="0.3">
      <c r="A451" t="s">
        <v>926</v>
      </c>
      <c r="B451" t="s">
        <v>927</v>
      </c>
      <c r="C451">
        <v>3.88</v>
      </c>
      <c r="D451">
        <v>3.48</v>
      </c>
      <c r="E451">
        <v>3.65</v>
      </c>
      <c r="F451">
        <v>4.54</v>
      </c>
      <c r="G451">
        <v>4.21</v>
      </c>
      <c r="H451">
        <v>3.87</v>
      </c>
      <c r="I451">
        <v>3.96</v>
      </c>
      <c r="J451">
        <v>3.74</v>
      </c>
      <c r="K451">
        <v>3.92</v>
      </c>
      <c r="L451">
        <v>4.34</v>
      </c>
      <c r="M451">
        <f t="shared" si="14"/>
        <v>3.9520000000000004</v>
      </c>
      <c r="N451">
        <f t="shared" si="15"/>
        <v>3.9659999999999997</v>
      </c>
    </row>
    <row r="452" spans="1:14" ht="14.25" customHeight="1" x14ac:dyDescent="0.3">
      <c r="A452" t="s">
        <v>928</v>
      </c>
      <c r="B452" t="s">
        <v>929</v>
      </c>
      <c r="C452">
        <v>3.6</v>
      </c>
      <c r="D452">
        <v>3.92</v>
      </c>
      <c r="E452">
        <v>3.85</v>
      </c>
      <c r="F452">
        <v>4.08</v>
      </c>
      <c r="G452">
        <v>3.51</v>
      </c>
      <c r="H452">
        <v>4.53</v>
      </c>
      <c r="I452">
        <v>4.1500000000000004</v>
      </c>
      <c r="J452">
        <v>3.89</v>
      </c>
      <c r="K452">
        <v>4.53</v>
      </c>
      <c r="L452">
        <v>4.04</v>
      </c>
      <c r="M452">
        <f t="shared" si="14"/>
        <v>3.7920000000000003</v>
      </c>
      <c r="N452">
        <f t="shared" si="15"/>
        <v>4.2279999999999998</v>
      </c>
    </row>
    <row r="453" spans="1:14" ht="14.25" customHeight="1" x14ac:dyDescent="0.3">
      <c r="A453" t="s">
        <v>930</v>
      </c>
      <c r="B453" t="s">
        <v>931</v>
      </c>
      <c r="D453">
        <v>4.07</v>
      </c>
      <c r="F453">
        <v>3.69</v>
      </c>
      <c r="G453">
        <v>3.15</v>
      </c>
      <c r="H453">
        <v>4.43</v>
      </c>
      <c r="I453">
        <v>4.45</v>
      </c>
      <c r="J453">
        <v>4.28</v>
      </c>
      <c r="K453">
        <v>3.75</v>
      </c>
      <c r="L453">
        <v>4.2300000000000004</v>
      </c>
      <c r="M453">
        <f t="shared" si="14"/>
        <v>3.6366666666666667</v>
      </c>
      <c r="N453">
        <f t="shared" si="15"/>
        <v>4.2279999999999998</v>
      </c>
    </row>
    <row r="454" spans="1:14" ht="14.25" customHeight="1" x14ac:dyDescent="0.3">
      <c r="A454" t="s">
        <v>932</v>
      </c>
      <c r="B454" t="s">
        <v>933</v>
      </c>
      <c r="C454">
        <v>3.8</v>
      </c>
      <c r="D454">
        <v>3.8</v>
      </c>
      <c r="E454">
        <v>3.52</v>
      </c>
      <c r="F454">
        <v>4.32</v>
      </c>
      <c r="G454">
        <v>3.88</v>
      </c>
      <c r="I454">
        <v>4.0199999999999996</v>
      </c>
      <c r="J454">
        <v>4.07</v>
      </c>
      <c r="K454">
        <v>3.53</v>
      </c>
      <c r="L454">
        <v>4.0599999999999996</v>
      </c>
      <c r="M454">
        <f t="shared" si="14"/>
        <v>3.8639999999999999</v>
      </c>
      <c r="N454">
        <f t="shared" si="15"/>
        <v>3.92</v>
      </c>
    </row>
    <row r="455" spans="1:14" ht="14.25" customHeight="1" x14ac:dyDescent="0.3">
      <c r="A455" t="s">
        <v>934</v>
      </c>
      <c r="B455" t="s">
        <v>935</v>
      </c>
      <c r="C455">
        <v>3.71</v>
      </c>
      <c r="D455">
        <v>4.26</v>
      </c>
      <c r="E455">
        <v>3.46</v>
      </c>
      <c r="F455">
        <v>4.71</v>
      </c>
      <c r="G455">
        <v>3.6</v>
      </c>
      <c r="I455">
        <v>4.33</v>
      </c>
      <c r="J455">
        <v>4.29</v>
      </c>
      <c r="K455">
        <v>3.99</v>
      </c>
      <c r="L455">
        <v>3.89</v>
      </c>
      <c r="M455">
        <f t="shared" si="14"/>
        <v>3.9480000000000004</v>
      </c>
      <c r="N455">
        <f t="shared" si="15"/>
        <v>4.125</v>
      </c>
    </row>
    <row r="456" spans="1:14" ht="14.25" customHeight="1" x14ac:dyDescent="0.3">
      <c r="A456" t="s">
        <v>936</v>
      </c>
      <c r="B456" t="s">
        <v>937</v>
      </c>
      <c r="C456">
        <v>3.92</v>
      </c>
      <c r="D456">
        <v>4.08</v>
      </c>
      <c r="E456">
        <v>4.16</v>
      </c>
      <c r="F456">
        <v>3.96</v>
      </c>
      <c r="G456">
        <v>3.53</v>
      </c>
      <c r="H456">
        <v>4.1399999999999997</v>
      </c>
      <c r="I456">
        <v>4.18</v>
      </c>
      <c r="J456">
        <v>4.0199999999999996</v>
      </c>
      <c r="K456">
        <v>3.67</v>
      </c>
      <c r="L456">
        <v>3.62</v>
      </c>
      <c r="M456">
        <f t="shared" si="14"/>
        <v>3.9300000000000006</v>
      </c>
      <c r="N456">
        <f t="shared" si="15"/>
        <v>3.9259999999999997</v>
      </c>
    </row>
    <row r="457" spans="1:14" ht="14.25" customHeight="1" x14ac:dyDescent="0.3">
      <c r="A457" t="s">
        <v>938</v>
      </c>
      <c r="B457" t="s">
        <v>939</v>
      </c>
      <c r="C457">
        <v>4.38</v>
      </c>
      <c r="D457">
        <v>3.82</v>
      </c>
      <c r="E457">
        <v>4.4000000000000004</v>
      </c>
      <c r="F457">
        <v>4.07</v>
      </c>
      <c r="G457">
        <v>4.4000000000000004</v>
      </c>
      <c r="H457">
        <v>3.82</v>
      </c>
      <c r="I457">
        <v>3.9</v>
      </c>
      <c r="J457">
        <v>4.3099999999999996</v>
      </c>
      <c r="K457">
        <v>4.3099999999999996</v>
      </c>
      <c r="L457">
        <v>4.01</v>
      </c>
      <c r="M457">
        <f t="shared" si="14"/>
        <v>4.2140000000000004</v>
      </c>
      <c r="N457">
        <f t="shared" si="15"/>
        <v>4.07</v>
      </c>
    </row>
    <row r="458" spans="1:14" ht="14.25" customHeight="1" x14ac:dyDescent="0.3">
      <c r="A458" t="s">
        <v>940</v>
      </c>
      <c r="B458" t="s">
        <v>941</v>
      </c>
      <c r="C458">
        <v>3.9</v>
      </c>
      <c r="D458">
        <v>3.64</v>
      </c>
      <c r="E458">
        <v>3.86</v>
      </c>
      <c r="F458">
        <v>4.58</v>
      </c>
      <c r="G458">
        <v>4.0199999999999996</v>
      </c>
      <c r="H458">
        <v>4.5</v>
      </c>
      <c r="I458">
        <v>3.68</v>
      </c>
      <c r="J458">
        <v>3.85</v>
      </c>
      <c r="K458">
        <v>3.9</v>
      </c>
      <c r="L458">
        <v>3.83</v>
      </c>
      <c r="M458">
        <f t="shared" si="14"/>
        <v>4</v>
      </c>
      <c r="N458">
        <f t="shared" si="15"/>
        <v>3.9519999999999995</v>
      </c>
    </row>
    <row r="459" spans="1:14" ht="14.25" customHeight="1" x14ac:dyDescent="0.3">
      <c r="A459" t="s">
        <v>942</v>
      </c>
      <c r="B459" t="s">
        <v>943</v>
      </c>
      <c r="C459">
        <v>4.0199999999999996</v>
      </c>
      <c r="D459">
        <v>4.18</v>
      </c>
      <c r="E459">
        <v>3.43</v>
      </c>
      <c r="F459">
        <v>4.03</v>
      </c>
      <c r="G459">
        <v>4.0199999999999996</v>
      </c>
      <c r="I459">
        <v>3.93</v>
      </c>
      <c r="J459">
        <v>4.67</v>
      </c>
      <c r="K459">
        <v>4.21</v>
      </c>
      <c r="L459">
        <v>4.0599999999999996</v>
      </c>
      <c r="M459">
        <f t="shared" si="14"/>
        <v>3.9359999999999999</v>
      </c>
      <c r="N459">
        <f t="shared" si="15"/>
        <v>4.2174999999999994</v>
      </c>
    </row>
    <row r="460" spans="1:14" ht="14.25" customHeight="1" x14ac:dyDescent="0.3">
      <c r="A460" t="s">
        <v>944</v>
      </c>
      <c r="B460" t="s">
        <v>945</v>
      </c>
      <c r="C460">
        <v>3.88</v>
      </c>
      <c r="D460">
        <v>3.79</v>
      </c>
      <c r="E460">
        <v>4.3</v>
      </c>
      <c r="F460">
        <v>4.55</v>
      </c>
      <c r="G460">
        <v>4.07</v>
      </c>
      <c r="H460">
        <v>4.25</v>
      </c>
      <c r="I460">
        <v>3.97</v>
      </c>
      <c r="J460">
        <v>4.04</v>
      </c>
      <c r="K460">
        <v>4.88</v>
      </c>
      <c r="L460">
        <v>3.97</v>
      </c>
      <c r="M460">
        <f t="shared" si="14"/>
        <v>4.1180000000000003</v>
      </c>
      <c r="N460">
        <f t="shared" si="15"/>
        <v>4.2219999999999995</v>
      </c>
    </row>
    <row r="461" spans="1:14" ht="14.25" customHeight="1" x14ac:dyDescent="0.3">
      <c r="A461" t="s">
        <v>946</v>
      </c>
      <c r="B461" t="s">
        <v>947</v>
      </c>
      <c r="C461">
        <v>4.33</v>
      </c>
      <c r="D461">
        <v>3.59</v>
      </c>
      <c r="E461">
        <v>3.78</v>
      </c>
      <c r="F461">
        <v>4.21</v>
      </c>
      <c r="G461">
        <v>3.78</v>
      </c>
      <c r="H461">
        <v>3.61</v>
      </c>
      <c r="J461">
        <v>4.41</v>
      </c>
      <c r="K461">
        <v>4.1100000000000003</v>
      </c>
      <c r="L461">
        <v>3.96</v>
      </c>
      <c r="M461">
        <f t="shared" si="14"/>
        <v>3.9380000000000002</v>
      </c>
      <c r="N461">
        <f t="shared" si="15"/>
        <v>4.0225</v>
      </c>
    </row>
    <row r="462" spans="1:14" ht="14.25" customHeight="1" x14ac:dyDescent="0.3">
      <c r="A462" t="s">
        <v>948</v>
      </c>
      <c r="B462" t="s">
        <v>949</v>
      </c>
      <c r="C462">
        <v>4.3899999999999997</v>
      </c>
      <c r="D462">
        <v>4.17</v>
      </c>
      <c r="E462">
        <v>3.69</v>
      </c>
      <c r="F462">
        <v>4.0999999999999996</v>
      </c>
      <c r="G462">
        <v>4.74</v>
      </c>
      <c r="H462">
        <v>3.82</v>
      </c>
      <c r="I462">
        <v>4.0999999999999996</v>
      </c>
      <c r="J462">
        <v>4.53</v>
      </c>
      <c r="K462">
        <v>3.86</v>
      </c>
      <c r="L462">
        <v>4.21</v>
      </c>
      <c r="M462">
        <f t="shared" si="14"/>
        <v>4.2179999999999991</v>
      </c>
      <c r="N462">
        <f t="shared" si="15"/>
        <v>4.1040000000000001</v>
      </c>
    </row>
    <row r="463" spans="1:14" ht="14.25" customHeight="1" x14ac:dyDescent="0.3">
      <c r="A463" t="s">
        <v>950</v>
      </c>
      <c r="B463" t="s">
        <v>951</v>
      </c>
      <c r="C463">
        <v>4.78</v>
      </c>
      <c r="D463">
        <v>4.0999999999999996</v>
      </c>
      <c r="E463">
        <v>3.59</v>
      </c>
      <c r="F463">
        <v>4.2</v>
      </c>
      <c r="G463">
        <v>4.5199999999999996</v>
      </c>
      <c r="H463">
        <v>3.93</v>
      </c>
      <c r="I463">
        <v>4.74</v>
      </c>
      <c r="J463">
        <v>4.2300000000000004</v>
      </c>
      <c r="K463">
        <v>3.53</v>
      </c>
      <c r="L463">
        <v>3.44</v>
      </c>
      <c r="M463">
        <f t="shared" si="14"/>
        <v>4.2379999999999995</v>
      </c>
      <c r="N463">
        <f t="shared" si="15"/>
        <v>3.9740000000000002</v>
      </c>
    </row>
    <row r="464" spans="1:14" ht="14.25" customHeight="1" x14ac:dyDescent="0.3">
      <c r="A464" t="s">
        <v>952</v>
      </c>
      <c r="B464" t="s">
        <v>953</v>
      </c>
      <c r="C464">
        <v>3.92</v>
      </c>
      <c r="D464">
        <v>4.2699999999999996</v>
      </c>
      <c r="E464">
        <v>4.43</v>
      </c>
      <c r="F464">
        <v>4.32</v>
      </c>
      <c r="G464">
        <v>3.62</v>
      </c>
      <c r="H464">
        <v>4.4000000000000004</v>
      </c>
      <c r="I464">
        <v>4.05</v>
      </c>
      <c r="J464">
        <v>3.53</v>
      </c>
      <c r="K464">
        <v>3.87</v>
      </c>
      <c r="L464">
        <v>3.94</v>
      </c>
      <c r="M464">
        <f t="shared" si="14"/>
        <v>4.1120000000000001</v>
      </c>
      <c r="N464">
        <f t="shared" si="15"/>
        <v>3.9579999999999997</v>
      </c>
    </row>
    <row r="465" spans="1:14" ht="14.25" customHeight="1" x14ac:dyDescent="0.3">
      <c r="A465" t="s">
        <v>954</v>
      </c>
      <c r="B465" t="s">
        <v>955</v>
      </c>
      <c r="C465">
        <v>4.03</v>
      </c>
      <c r="D465">
        <v>4.09</v>
      </c>
      <c r="E465">
        <v>4.17</v>
      </c>
      <c r="F465">
        <v>4.0599999999999996</v>
      </c>
      <c r="G465">
        <v>3.72</v>
      </c>
      <c r="H465">
        <v>4.26</v>
      </c>
      <c r="I465">
        <v>3.93</v>
      </c>
      <c r="J465">
        <v>3.78</v>
      </c>
      <c r="L465">
        <v>3.81</v>
      </c>
      <c r="M465">
        <f t="shared" si="14"/>
        <v>4.0140000000000002</v>
      </c>
      <c r="N465">
        <f t="shared" si="15"/>
        <v>3.9449999999999998</v>
      </c>
    </row>
    <row r="466" spans="1:14" ht="14.25" customHeight="1" x14ac:dyDescent="0.3">
      <c r="A466" t="s">
        <v>956</v>
      </c>
      <c r="B466" t="s">
        <v>957</v>
      </c>
      <c r="D466">
        <v>3.98</v>
      </c>
      <c r="E466">
        <v>3.49</v>
      </c>
      <c r="F466">
        <v>3.67</v>
      </c>
      <c r="G466">
        <v>4.1399999999999997</v>
      </c>
      <c r="H466">
        <v>4.47</v>
      </c>
      <c r="I466">
        <v>4.63</v>
      </c>
      <c r="J466">
        <v>4.6100000000000003</v>
      </c>
      <c r="K466">
        <v>4.42</v>
      </c>
      <c r="L466">
        <v>4.28</v>
      </c>
      <c r="M466">
        <f t="shared" si="14"/>
        <v>3.8200000000000003</v>
      </c>
      <c r="N466">
        <f t="shared" si="15"/>
        <v>4.4820000000000011</v>
      </c>
    </row>
    <row r="467" spans="1:14" ht="14.25" customHeight="1" x14ac:dyDescent="0.3">
      <c r="A467" t="s">
        <v>958</v>
      </c>
      <c r="B467" t="s">
        <v>959</v>
      </c>
      <c r="C467">
        <v>4.4400000000000004</v>
      </c>
      <c r="D467">
        <v>3.75</v>
      </c>
      <c r="E467">
        <v>4.04</v>
      </c>
      <c r="F467">
        <v>4.41</v>
      </c>
      <c r="G467">
        <v>4.47</v>
      </c>
      <c r="H467">
        <v>3.87</v>
      </c>
      <c r="I467">
        <v>4.28</v>
      </c>
      <c r="J467">
        <v>3.93</v>
      </c>
      <c r="K467">
        <v>3.43</v>
      </c>
      <c r="L467">
        <v>4.3600000000000003</v>
      </c>
      <c r="M467">
        <f t="shared" si="14"/>
        <v>4.2219999999999995</v>
      </c>
      <c r="N467">
        <f t="shared" si="15"/>
        <v>3.9740000000000002</v>
      </c>
    </row>
    <row r="468" spans="1:14" ht="14.25" customHeight="1" x14ac:dyDescent="0.3">
      <c r="A468" t="s">
        <v>960</v>
      </c>
      <c r="B468" t="s">
        <v>961</v>
      </c>
      <c r="C468">
        <v>4.12</v>
      </c>
      <c r="D468">
        <v>4.16</v>
      </c>
      <c r="E468">
        <v>4.0999999999999996</v>
      </c>
      <c r="F468">
        <v>3.74</v>
      </c>
      <c r="G468">
        <v>3.99</v>
      </c>
      <c r="H468">
        <v>4.1500000000000004</v>
      </c>
      <c r="I468">
        <v>4.29</v>
      </c>
      <c r="J468">
        <v>3.98</v>
      </c>
      <c r="K468">
        <v>3.7</v>
      </c>
      <c r="L468">
        <v>4.1900000000000004</v>
      </c>
      <c r="M468">
        <f t="shared" si="14"/>
        <v>4.0220000000000002</v>
      </c>
      <c r="N468">
        <f t="shared" si="15"/>
        <v>4.0620000000000003</v>
      </c>
    </row>
    <row r="469" spans="1:14" ht="14.25" customHeight="1" x14ac:dyDescent="0.3">
      <c r="A469" t="s">
        <v>962</v>
      </c>
      <c r="B469" t="s">
        <v>963</v>
      </c>
      <c r="C469">
        <v>4.21</v>
      </c>
      <c r="D469">
        <v>4.3899999999999997</v>
      </c>
      <c r="E469">
        <v>4.3899999999999997</v>
      </c>
      <c r="F469">
        <v>4.4800000000000004</v>
      </c>
      <c r="G469">
        <v>4.1399999999999997</v>
      </c>
      <c r="H469">
        <v>4.5</v>
      </c>
      <c r="I469">
        <v>4.4800000000000004</v>
      </c>
      <c r="J469">
        <v>3.79</v>
      </c>
      <c r="L469">
        <v>4.13</v>
      </c>
      <c r="M469">
        <f t="shared" si="14"/>
        <v>4.3220000000000001</v>
      </c>
      <c r="N469">
        <f t="shared" si="15"/>
        <v>4.2249999999999996</v>
      </c>
    </row>
    <row r="470" spans="1:14" ht="14.25" customHeight="1" x14ac:dyDescent="0.3">
      <c r="A470" t="s">
        <v>964</v>
      </c>
      <c r="B470" t="s">
        <v>965</v>
      </c>
      <c r="C470">
        <v>4.0599999999999996</v>
      </c>
      <c r="D470">
        <v>3.99</v>
      </c>
      <c r="E470">
        <v>3.58</v>
      </c>
      <c r="F470">
        <v>4.0599999999999996</v>
      </c>
      <c r="G470">
        <v>4.1399999999999997</v>
      </c>
      <c r="H470">
        <v>4.05</v>
      </c>
      <c r="I470">
        <v>3.91</v>
      </c>
      <c r="J470">
        <v>4.17</v>
      </c>
      <c r="K470">
        <v>3.9</v>
      </c>
      <c r="L470">
        <v>4.33</v>
      </c>
      <c r="M470">
        <f t="shared" si="14"/>
        <v>3.9660000000000002</v>
      </c>
      <c r="N470">
        <f t="shared" si="15"/>
        <v>4.0720000000000001</v>
      </c>
    </row>
    <row r="471" spans="1:14" ht="14.25" customHeight="1" x14ac:dyDescent="0.3">
      <c r="A471" t="s">
        <v>966</v>
      </c>
      <c r="B471" t="s">
        <v>967</v>
      </c>
      <c r="C471">
        <v>3.91</v>
      </c>
      <c r="D471">
        <v>3.52</v>
      </c>
      <c r="E471">
        <v>3.73</v>
      </c>
      <c r="F471">
        <v>4.09</v>
      </c>
      <c r="G471">
        <v>3.97</v>
      </c>
      <c r="H471">
        <v>3.47</v>
      </c>
      <c r="I471">
        <v>4.26</v>
      </c>
      <c r="J471">
        <v>4.1500000000000004</v>
      </c>
      <c r="K471">
        <v>3.68</v>
      </c>
      <c r="L471">
        <v>4.37</v>
      </c>
      <c r="M471">
        <f t="shared" si="14"/>
        <v>3.8439999999999999</v>
      </c>
      <c r="N471">
        <f t="shared" si="15"/>
        <v>3.9859999999999998</v>
      </c>
    </row>
    <row r="472" spans="1:14" ht="14.25" customHeight="1" x14ac:dyDescent="0.3">
      <c r="A472" t="s">
        <v>968</v>
      </c>
      <c r="B472" t="s">
        <v>969</v>
      </c>
      <c r="C472">
        <v>3.37</v>
      </c>
      <c r="D472">
        <v>3.74</v>
      </c>
      <c r="E472">
        <v>3.74</v>
      </c>
      <c r="F472">
        <v>4.43</v>
      </c>
      <c r="G472">
        <v>3.68</v>
      </c>
      <c r="H472">
        <v>4.3099999999999996</v>
      </c>
      <c r="I472">
        <v>4.18</v>
      </c>
      <c r="J472">
        <v>4.01</v>
      </c>
      <c r="K472">
        <v>3.25</v>
      </c>
      <c r="L472">
        <v>3.87</v>
      </c>
      <c r="M472">
        <f t="shared" si="14"/>
        <v>3.7920000000000003</v>
      </c>
      <c r="N472">
        <f t="shared" si="15"/>
        <v>3.9239999999999995</v>
      </c>
    </row>
    <row r="473" spans="1:14" ht="14.25" customHeight="1" x14ac:dyDescent="0.3">
      <c r="A473" t="s">
        <v>970</v>
      </c>
      <c r="B473" t="s">
        <v>971</v>
      </c>
      <c r="C473">
        <v>4.07</v>
      </c>
      <c r="D473">
        <v>3.79</v>
      </c>
      <c r="E473">
        <v>4.17</v>
      </c>
      <c r="F473">
        <v>4.4400000000000004</v>
      </c>
      <c r="G473">
        <v>4.51</v>
      </c>
      <c r="H473">
        <v>3.95</v>
      </c>
      <c r="I473">
        <v>3.95</v>
      </c>
      <c r="J473">
        <v>4.3499999999999996</v>
      </c>
      <c r="K473">
        <v>4.43</v>
      </c>
      <c r="L473">
        <v>4.3499999999999996</v>
      </c>
      <c r="M473">
        <f t="shared" si="14"/>
        <v>4.1960000000000006</v>
      </c>
      <c r="N473">
        <f t="shared" si="15"/>
        <v>4.2060000000000004</v>
      </c>
    </row>
    <row r="474" spans="1:14" ht="14.25" customHeight="1" x14ac:dyDescent="0.3">
      <c r="A474" t="s">
        <v>972</v>
      </c>
      <c r="B474" t="s">
        <v>973</v>
      </c>
      <c r="C474">
        <v>4.3099999999999996</v>
      </c>
      <c r="D474">
        <v>3.82</v>
      </c>
      <c r="E474">
        <v>4.08</v>
      </c>
      <c r="F474">
        <v>4.13</v>
      </c>
      <c r="G474">
        <v>5.1100000000000003</v>
      </c>
      <c r="H474">
        <v>4.22</v>
      </c>
      <c r="I474">
        <v>4.07</v>
      </c>
      <c r="J474">
        <v>4.37</v>
      </c>
      <c r="K474">
        <v>4.17</v>
      </c>
      <c r="L474">
        <v>3.61</v>
      </c>
      <c r="M474">
        <f t="shared" si="14"/>
        <v>4.29</v>
      </c>
      <c r="N474">
        <f t="shared" si="15"/>
        <v>4.0879999999999992</v>
      </c>
    </row>
    <row r="475" spans="1:14" ht="14.25" customHeight="1" x14ac:dyDescent="0.3">
      <c r="A475" t="s">
        <v>974</v>
      </c>
      <c r="B475" t="s">
        <v>975</v>
      </c>
      <c r="C475">
        <v>4.62</v>
      </c>
      <c r="D475">
        <v>3.92</v>
      </c>
      <c r="E475">
        <v>4.1100000000000003</v>
      </c>
      <c r="F475">
        <v>4.04</v>
      </c>
      <c r="G475">
        <v>3.9</v>
      </c>
      <c r="H475">
        <v>4.3</v>
      </c>
      <c r="I475">
        <v>3.99</v>
      </c>
      <c r="J475">
        <v>3.73</v>
      </c>
      <c r="K475">
        <v>4.16</v>
      </c>
      <c r="L475">
        <v>4.5</v>
      </c>
      <c r="M475">
        <f t="shared" si="14"/>
        <v>4.1179999999999994</v>
      </c>
      <c r="N475">
        <f t="shared" si="15"/>
        <v>4.1360000000000001</v>
      </c>
    </row>
    <row r="476" spans="1:14" ht="14.25" customHeight="1" x14ac:dyDescent="0.3">
      <c r="A476" t="s">
        <v>976</v>
      </c>
      <c r="B476" t="s">
        <v>977</v>
      </c>
      <c r="C476">
        <v>4.6500000000000004</v>
      </c>
      <c r="D476">
        <v>3.81</v>
      </c>
      <c r="E476">
        <v>3.54</v>
      </c>
      <c r="F476">
        <v>3.93</v>
      </c>
      <c r="G476">
        <v>4.0599999999999996</v>
      </c>
      <c r="H476">
        <v>4.17</v>
      </c>
      <c r="J476">
        <v>3.68</v>
      </c>
      <c r="K476">
        <v>4.74</v>
      </c>
      <c r="L476">
        <v>4.13</v>
      </c>
      <c r="M476">
        <f t="shared" si="14"/>
        <v>3.9979999999999998</v>
      </c>
      <c r="N476">
        <f t="shared" si="15"/>
        <v>4.18</v>
      </c>
    </row>
    <row r="477" spans="1:14" ht="14.25" customHeight="1" x14ac:dyDescent="0.3">
      <c r="A477" t="s">
        <v>978</v>
      </c>
      <c r="B477" t="s">
        <v>979</v>
      </c>
      <c r="C477">
        <v>4.07</v>
      </c>
      <c r="D477">
        <v>4.51</v>
      </c>
      <c r="E477">
        <v>4.5</v>
      </c>
      <c r="F477">
        <v>4.09</v>
      </c>
      <c r="G477">
        <v>4.54</v>
      </c>
      <c r="H477">
        <v>3.72</v>
      </c>
      <c r="I477">
        <v>4.41</v>
      </c>
      <c r="J477">
        <v>4.3</v>
      </c>
      <c r="K477">
        <v>4.1100000000000003</v>
      </c>
      <c r="L477">
        <v>3.95</v>
      </c>
      <c r="M477">
        <f t="shared" si="14"/>
        <v>4.3420000000000005</v>
      </c>
      <c r="N477">
        <f t="shared" si="15"/>
        <v>4.0979999999999999</v>
      </c>
    </row>
    <row r="478" spans="1:14" ht="14.25" customHeight="1" x14ac:dyDescent="0.3">
      <c r="A478" t="s">
        <v>980</v>
      </c>
      <c r="B478" t="s">
        <v>981</v>
      </c>
      <c r="C478">
        <v>3.48</v>
      </c>
      <c r="D478">
        <v>4.0599999999999996</v>
      </c>
      <c r="E478">
        <v>4.16</v>
      </c>
      <c r="F478">
        <v>4.62</v>
      </c>
      <c r="G478">
        <v>3.53</v>
      </c>
      <c r="H478">
        <v>4.3099999999999996</v>
      </c>
      <c r="I478">
        <v>4.53</v>
      </c>
      <c r="J478">
        <v>4</v>
      </c>
      <c r="K478">
        <v>3.66</v>
      </c>
      <c r="M478">
        <f t="shared" si="14"/>
        <v>3.97</v>
      </c>
      <c r="N478">
        <f t="shared" si="15"/>
        <v>4.125</v>
      </c>
    </row>
    <row r="479" spans="1:14" ht="14.25" customHeight="1" x14ac:dyDescent="0.3">
      <c r="A479" t="s">
        <v>982</v>
      </c>
      <c r="B479" t="s">
        <v>983</v>
      </c>
      <c r="C479">
        <v>4.45</v>
      </c>
      <c r="D479">
        <v>4.51</v>
      </c>
      <c r="E479">
        <v>4.2</v>
      </c>
      <c r="F479">
        <v>3.53</v>
      </c>
      <c r="G479">
        <v>3.81</v>
      </c>
      <c r="H479">
        <v>3.89</v>
      </c>
      <c r="I479">
        <v>4.18</v>
      </c>
      <c r="K479">
        <v>3.62</v>
      </c>
      <c r="L479">
        <v>4.3</v>
      </c>
      <c r="M479">
        <f t="shared" si="14"/>
        <v>4.0999999999999996</v>
      </c>
      <c r="N479">
        <f t="shared" si="15"/>
        <v>3.9975000000000005</v>
      </c>
    </row>
    <row r="480" spans="1:14" ht="14.25" customHeight="1" x14ac:dyDescent="0.3">
      <c r="A480" t="s">
        <v>984</v>
      </c>
      <c r="B480" t="s">
        <v>985</v>
      </c>
      <c r="C480">
        <v>3.37</v>
      </c>
      <c r="D480">
        <v>4.32</v>
      </c>
      <c r="E480">
        <v>4.1900000000000004</v>
      </c>
      <c r="F480">
        <v>4.09</v>
      </c>
      <c r="G480">
        <v>4.3</v>
      </c>
      <c r="H480">
        <v>3.69</v>
      </c>
      <c r="I480">
        <v>4.0599999999999996</v>
      </c>
      <c r="J480">
        <v>3.99</v>
      </c>
      <c r="K480">
        <v>4.01</v>
      </c>
      <c r="L480">
        <v>4.05</v>
      </c>
      <c r="M480">
        <f t="shared" si="14"/>
        <v>4.0540000000000003</v>
      </c>
      <c r="N480">
        <f t="shared" si="15"/>
        <v>3.96</v>
      </c>
    </row>
    <row r="481" spans="1:14" ht="14.25" customHeight="1" x14ac:dyDescent="0.3">
      <c r="A481" t="s">
        <v>986</v>
      </c>
      <c r="B481" t="s">
        <v>987</v>
      </c>
      <c r="C481">
        <v>3.93</v>
      </c>
      <c r="D481">
        <v>3.64</v>
      </c>
      <c r="E481">
        <v>3.95</v>
      </c>
      <c r="F481">
        <v>4.53</v>
      </c>
      <c r="G481">
        <v>4.1500000000000004</v>
      </c>
      <c r="H481">
        <v>3.7</v>
      </c>
      <c r="I481">
        <v>4.17</v>
      </c>
      <c r="J481">
        <v>4.18</v>
      </c>
      <c r="K481">
        <v>4</v>
      </c>
      <c r="L481">
        <v>4.4000000000000004</v>
      </c>
      <c r="M481">
        <f t="shared" si="14"/>
        <v>4.0400000000000009</v>
      </c>
      <c r="N481">
        <f t="shared" si="15"/>
        <v>4.0900000000000007</v>
      </c>
    </row>
    <row r="482" spans="1:14" ht="14.25" customHeight="1" x14ac:dyDescent="0.3">
      <c r="A482" t="s">
        <v>988</v>
      </c>
      <c r="B482" t="s">
        <v>989</v>
      </c>
      <c r="C482">
        <v>3.98</v>
      </c>
      <c r="D482">
        <v>3.99</v>
      </c>
      <c r="E482">
        <v>4.21</v>
      </c>
      <c r="F482">
        <v>4.3899999999999997</v>
      </c>
      <c r="G482">
        <v>4.4800000000000004</v>
      </c>
      <c r="H482">
        <v>3.91</v>
      </c>
      <c r="I482">
        <v>4.1100000000000003</v>
      </c>
      <c r="J482">
        <v>3.76</v>
      </c>
      <c r="K482">
        <v>4.28</v>
      </c>
      <c r="L482">
        <v>4.0599999999999996</v>
      </c>
      <c r="M482">
        <f t="shared" si="14"/>
        <v>4.21</v>
      </c>
      <c r="N482">
        <f t="shared" si="15"/>
        <v>4.0239999999999991</v>
      </c>
    </row>
    <row r="483" spans="1:14" ht="14.25" customHeight="1" x14ac:dyDescent="0.3">
      <c r="A483" t="s">
        <v>990</v>
      </c>
      <c r="B483" t="s">
        <v>991</v>
      </c>
      <c r="C483">
        <v>4.49</v>
      </c>
      <c r="D483">
        <v>3.99</v>
      </c>
      <c r="E483">
        <v>4.66</v>
      </c>
      <c r="G483">
        <v>3.69</v>
      </c>
      <c r="H483">
        <v>4.03</v>
      </c>
      <c r="I483">
        <v>3.9</v>
      </c>
      <c r="J483">
        <v>3.89</v>
      </c>
      <c r="K483">
        <v>4.2</v>
      </c>
      <c r="L483">
        <v>4.0999999999999996</v>
      </c>
      <c r="M483">
        <f t="shared" si="14"/>
        <v>4.2075000000000005</v>
      </c>
      <c r="N483">
        <f t="shared" si="15"/>
        <v>4.0239999999999991</v>
      </c>
    </row>
    <row r="484" spans="1:14" ht="14.25" customHeight="1" x14ac:dyDescent="0.3">
      <c r="A484" t="s">
        <v>992</v>
      </c>
      <c r="B484" t="s">
        <v>993</v>
      </c>
      <c r="C484">
        <v>3.86</v>
      </c>
      <c r="D484">
        <v>4.05</v>
      </c>
      <c r="E484">
        <v>4.1399999999999997</v>
      </c>
      <c r="F484">
        <v>4</v>
      </c>
      <c r="G484">
        <v>3.91</v>
      </c>
      <c r="H484">
        <v>4.22</v>
      </c>
      <c r="I484">
        <v>4.05</v>
      </c>
      <c r="J484">
        <v>4.49</v>
      </c>
      <c r="K484">
        <v>4.32</v>
      </c>
      <c r="L484">
        <v>3.83</v>
      </c>
      <c r="M484">
        <f t="shared" si="14"/>
        <v>3.992</v>
      </c>
      <c r="N484">
        <f t="shared" si="15"/>
        <v>4.1819999999999995</v>
      </c>
    </row>
    <row r="485" spans="1:14" ht="14.25" customHeight="1" x14ac:dyDescent="0.3">
      <c r="A485" t="s">
        <v>994</v>
      </c>
      <c r="B485" t="s">
        <v>995</v>
      </c>
      <c r="C485">
        <v>4.2300000000000004</v>
      </c>
      <c r="D485">
        <v>3.96</v>
      </c>
      <c r="E485">
        <v>4.13</v>
      </c>
      <c r="F485">
        <v>3.69</v>
      </c>
      <c r="H485">
        <v>4.5</v>
      </c>
      <c r="I485">
        <v>3.97</v>
      </c>
      <c r="J485">
        <v>3.63</v>
      </c>
      <c r="K485">
        <v>3.95</v>
      </c>
      <c r="L485">
        <v>4.24</v>
      </c>
      <c r="M485">
        <f t="shared" si="14"/>
        <v>4.0025000000000004</v>
      </c>
      <c r="N485">
        <f t="shared" si="15"/>
        <v>4.0579999999999998</v>
      </c>
    </row>
    <row r="486" spans="1:14" ht="14.25" customHeight="1" x14ac:dyDescent="0.3">
      <c r="A486" t="s">
        <v>996</v>
      </c>
      <c r="B486" t="s">
        <v>997</v>
      </c>
      <c r="C486">
        <v>4.0999999999999996</v>
      </c>
      <c r="D486">
        <v>3.77</v>
      </c>
      <c r="E486">
        <v>4.4800000000000004</v>
      </c>
      <c r="F486">
        <v>4.3499999999999996</v>
      </c>
      <c r="G486">
        <v>4.26</v>
      </c>
      <c r="H486">
        <v>3.82</v>
      </c>
      <c r="I486">
        <v>4.12</v>
      </c>
      <c r="J486">
        <v>4.41</v>
      </c>
      <c r="K486">
        <v>3.38</v>
      </c>
      <c r="M486">
        <f t="shared" si="14"/>
        <v>4.1920000000000002</v>
      </c>
      <c r="N486">
        <f t="shared" si="15"/>
        <v>3.9325000000000001</v>
      </c>
    </row>
    <row r="487" spans="1:14" ht="14.25" customHeight="1" x14ac:dyDescent="0.3">
      <c r="A487" t="s">
        <v>998</v>
      </c>
      <c r="B487" t="s">
        <v>999</v>
      </c>
      <c r="C487">
        <v>4.37</v>
      </c>
      <c r="E487">
        <v>3.92</v>
      </c>
      <c r="F487">
        <v>4.16</v>
      </c>
      <c r="G487">
        <v>3.96</v>
      </c>
      <c r="I487">
        <v>4.26</v>
      </c>
      <c r="J487">
        <v>4.0199999999999996</v>
      </c>
      <c r="K487">
        <v>4.3899999999999997</v>
      </c>
      <c r="L487">
        <v>4.4000000000000004</v>
      </c>
      <c r="M487">
        <f t="shared" si="14"/>
        <v>4.1025</v>
      </c>
      <c r="N487">
        <f t="shared" si="15"/>
        <v>4.2675000000000001</v>
      </c>
    </row>
    <row r="488" spans="1:14" ht="14.25" customHeight="1" x14ac:dyDescent="0.3">
      <c r="A488" t="s">
        <v>1000</v>
      </c>
      <c r="B488" t="s">
        <v>1001</v>
      </c>
      <c r="C488">
        <v>4.46</v>
      </c>
      <c r="D488">
        <v>4.5199999999999996</v>
      </c>
      <c r="E488">
        <v>3.86</v>
      </c>
      <c r="F488">
        <v>4.0999999999999996</v>
      </c>
      <c r="G488">
        <v>3.68</v>
      </c>
      <c r="H488">
        <v>4.6100000000000003</v>
      </c>
      <c r="I488">
        <v>3.6</v>
      </c>
      <c r="J488">
        <v>3.71</v>
      </c>
      <c r="K488">
        <v>3.77</v>
      </c>
      <c r="L488">
        <v>3.71</v>
      </c>
      <c r="M488">
        <f t="shared" si="14"/>
        <v>4.1239999999999997</v>
      </c>
      <c r="N488">
        <f t="shared" si="15"/>
        <v>3.8800000000000003</v>
      </c>
    </row>
    <row r="489" spans="1:14" ht="14.25" customHeight="1" x14ac:dyDescent="0.3">
      <c r="A489" t="s">
        <v>1002</v>
      </c>
      <c r="B489" t="s">
        <v>1003</v>
      </c>
      <c r="C489">
        <v>4.59</v>
      </c>
      <c r="D489">
        <v>4.38</v>
      </c>
      <c r="E489">
        <v>3</v>
      </c>
      <c r="F489">
        <v>4.12</v>
      </c>
      <c r="G489">
        <v>3.54</v>
      </c>
      <c r="H489">
        <v>3.72</v>
      </c>
      <c r="I489">
        <v>3.96</v>
      </c>
      <c r="J489">
        <v>4.5599999999999996</v>
      </c>
      <c r="K489">
        <v>4.03</v>
      </c>
      <c r="L489">
        <v>3.81</v>
      </c>
      <c r="M489">
        <f t="shared" si="14"/>
        <v>3.9259999999999997</v>
      </c>
      <c r="N489">
        <f t="shared" si="15"/>
        <v>4.016</v>
      </c>
    </row>
    <row r="490" spans="1:14" ht="14.25" customHeight="1" x14ac:dyDescent="0.3">
      <c r="A490" t="s">
        <v>1004</v>
      </c>
      <c r="B490" t="s">
        <v>1005</v>
      </c>
      <c r="C490">
        <v>3.46</v>
      </c>
      <c r="D490" t="s">
        <v>1006</v>
      </c>
      <c r="E490">
        <v>3.9</v>
      </c>
      <c r="F490">
        <v>3.95</v>
      </c>
      <c r="G490">
        <v>4.0199999999999996</v>
      </c>
      <c r="H490">
        <v>4.04</v>
      </c>
      <c r="I490">
        <v>4.1399999999999997</v>
      </c>
      <c r="J490">
        <v>4.04</v>
      </c>
      <c r="K490">
        <v>3.51</v>
      </c>
      <c r="L490">
        <v>4.1500000000000004</v>
      </c>
      <c r="M490">
        <f t="shared" si="14"/>
        <v>3.8324999999999996</v>
      </c>
      <c r="N490">
        <f t="shared" si="15"/>
        <v>3.976</v>
      </c>
    </row>
    <row r="491" spans="1:14" ht="14.25" customHeight="1" x14ac:dyDescent="0.3">
      <c r="A491" t="s">
        <v>1007</v>
      </c>
      <c r="B491" t="s">
        <v>1008</v>
      </c>
      <c r="C491">
        <v>3.69</v>
      </c>
      <c r="D491">
        <v>3.98</v>
      </c>
      <c r="F491">
        <v>3.48</v>
      </c>
      <c r="G491">
        <v>3.82</v>
      </c>
      <c r="H491">
        <v>4.12</v>
      </c>
      <c r="I491">
        <v>4</v>
      </c>
      <c r="J491">
        <v>4.03</v>
      </c>
      <c r="K491">
        <v>3.96</v>
      </c>
      <c r="L491">
        <v>3.27</v>
      </c>
      <c r="M491">
        <f t="shared" si="14"/>
        <v>3.7425000000000002</v>
      </c>
      <c r="N491">
        <f t="shared" si="15"/>
        <v>3.8760000000000003</v>
      </c>
    </row>
    <row r="492" spans="1:14" ht="14.25" customHeight="1" x14ac:dyDescent="0.3">
      <c r="A492" t="s">
        <v>1009</v>
      </c>
      <c r="B492" t="s">
        <v>1010</v>
      </c>
      <c r="C492">
        <v>3.92</v>
      </c>
      <c r="D492">
        <v>4.49</v>
      </c>
      <c r="F492">
        <v>4.25</v>
      </c>
      <c r="G492">
        <v>3.88</v>
      </c>
      <c r="I492">
        <v>4.38</v>
      </c>
      <c r="J492">
        <v>3.64</v>
      </c>
      <c r="K492">
        <v>4.4000000000000004</v>
      </c>
      <c r="L492">
        <v>4.0999999999999996</v>
      </c>
      <c r="M492">
        <f t="shared" si="14"/>
        <v>4.1349999999999998</v>
      </c>
      <c r="N492">
        <f t="shared" si="15"/>
        <v>4.13</v>
      </c>
    </row>
    <row r="493" spans="1:14" ht="14.25" customHeight="1" x14ac:dyDescent="0.3">
      <c r="A493" t="s">
        <v>1011</v>
      </c>
      <c r="B493" t="s">
        <v>1012</v>
      </c>
      <c r="C493">
        <v>4.3099999999999996</v>
      </c>
      <c r="D493">
        <v>4.6399999999999997</v>
      </c>
      <c r="E493">
        <v>3.7</v>
      </c>
      <c r="F493">
        <v>3.69</v>
      </c>
      <c r="G493">
        <v>4.5</v>
      </c>
      <c r="H493">
        <v>4.05</v>
      </c>
      <c r="I493">
        <v>3.68</v>
      </c>
      <c r="J493">
        <v>4.37</v>
      </c>
      <c r="K493">
        <v>3.79</v>
      </c>
      <c r="L493">
        <v>4</v>
      </c>
      <c r="M493">
        <f t="shared" si="14"/>
        <v>4.1680000000000001</v>
      </c>
      <c r="N493">
        <f t="shared" si="15"/>
        <v>3.9780000000000002</v>
      </c>
    </row>
    <row r="494" spans="1:14" ht="14.25" customHeight="1" x14ac:dyDescent="0.3">
      <c r="A494" t="s">
        <v>1013</v>
      </c>
      <c r="B494" t="s">
        <v>1014</v>
      </c>
      <c r="C494">
        <v>3.86</v>
      </c>
      <c r="D494">
        <v>3.95</v>
      </c>
      <c r="E494">
        <v>3.87</v>
      </c>
      <c r="F494">
        <v>3.64</v>
      </c>
      <c r="G494">
        <v>3.67</v>
      </c>
      <c r="H494">
        <v>4.6900000000000004</v>
      </c>
      <c r="I494">
        <v>3.35</v>
      </c>
      <c r="J494">
        <v>3.99</v>
      </c>
      <c r="K494">
        <v>3.98</v>
      </c>
      <c r="L494">
        <v>4.13</v>
      </c>
      <c r="M494">
        <f t="shared" si="14"/>
        <v>3.7980000000000005</v>
      </c>
      <c r="N494">
        <f t="shared" si="15"/>
        <v>4.0280000000000005</v>
      </c>
    </row>
    <row r="495" spans="1:14" ht="14.25" customHeight="1" x14ac:dyDescent="0.3">
      <c r="A495" t="s">
        <v>1015</v>
      </c>
      <c r="B495" t="s">
        <v>1016</v>
      </c>
      <c r="C495">
        <v>3.96</v>
      </c>
      <c r="D495">
        <v>4.07</v>
      </c>
      <c r="E495">
        <v>3.74</v>
      </c>
      <c r="F495">
        <v>4.3899999999999997</v>
      </c>
      <c r="G495">
        <v>3.94</v>
      </c>
      <c r="H495">
        <v>3.66</v>
      </c>
      <c r="I495">
        <v>4.08</v>
      </c>
      <c r="J495">
        <v>3.88</v>
      </c>
      <c r="K495">
        <v>3.85</v>
      </c>
      <c r="L495">
        <v>4.3899999999999997</v>
      </c>
      <c r="M495">
        <f t="shared" si="14"/>
        <v>4.0200000000000005</v>
      </c>
      <c r="N495">
        <f t="shared" si="15"/>
        <v>3.972</v>
      </c>
    </row>
    <row r="496" spans="1:14" ht="14.25" customHeight="1" x14ac:dyDescent="0.3">
      <c r="A496" t="s">
        <v>1017</v>
      </c>
      <c r="B496" t="s">
        <v>1018</v>
      </c>
      <c r="C496">
        <v>4.0599999999999996</v>
      </c>
      <c r="E496">
        <v>3.76</v>
      </c>
      <c r="F496">
        <v>4.67</v>
      </c>
      <c r="G496">
        <v>3.71</v>
      </c>
      <c r="H496">
        <v>4.04</v>
      </c>
      <c r="I496">
        <v>4.34</v>
      </c>
      <c r="J496">
        <v>4.1500000000000004</v>
      </c>
      <c r="K496">
        <v>3.69</v>
      </c>
      <c r="M496">
        <f t="shared" si="14"/>
        <v>4.05</v>
      </c>
      <c r="N496">
        <f t="shared" si="15"/>
        <v>4.0549999999999997</v>
      </c>
    </row>
    <row r="497" spans="1:14" ht="14.25" customHeight="1" x14ac:dyDescent="0.3">
      <c r="A497" t="s">
        <v>1019</v>
      </c>
      <c r="B497" t="s">
        <v>1020</v>
      </c>
      <c r="C497">
        <v>3.93</v>
      </c>
      <c r="D497">
        <v>3.58</v>
      </c>
      <c r="E497">
        <v>3.79</v>
      </c>
      <c r="F497">
        <v>4</v>
      </c>
      <c r="H497">
        <v>3.65</v>
      </c>
      <c r="I497">
        <v>4.5999999999999996</v>
      </c>
      <c r="J497">
        <v>3.85</v>
      </c>
      <c r="K497">
        <v>4.16</v>
      </c>
      <c r="L497">
        <v>4.01</v>
      </c>
      <c r="M497">
        <f t="shared" si="14"/>
        <v>3.8250000000000002</v>
      </c>
      <c r="N497">
        <f t="shared" si="15"/>
        <v>4.0539999999999994</v>
      </c>
    </row>
    <row r="498" spans="1:14" ht="14.25" customHeight="1" x14ac:dyDescent="0.3">
      <c r="A498" t="s">
        <v>1021</v>
      </c>
      <c r="B498" t="s">
        <v>1022</v>
      </c>
      <c r="C498">
        <v>4.6500000000000004</v>
      </c>
      <c r="D498">
        <v>4.38</v>
      </c>
      <c r="E498">
        <v>3.86</v>
      </c>
      <c r="F498">
        <v>4.83</v>
      </c>
      <c r="G498">
        <v>4.25</v>
      </c>
      <c r="H498">
        <v>4.21</v>
      </c>
      <c r="I498">
        <v>3.93</v>
      </c>
      <c r="J498">
        <v>3.7</v>
      </c>
      <c r="K498">
        <v>4.32</v>
      </c>
      <c r="L498">
        <v>3.78</v>
      </c>
      <c r="M498">
        <f t="shared" si="14"/>
        <v>4.3940000000000001</v>
      </c>
      <c r="N498">
        <f t="shared" si="15"/>
        <v>3.9880000000000004</v>
      </c>
    </row>
    <row r="499" spans="1:14" ht="14.25" customHeight="1" x14ac:dyDescent="0.3">
      <c r="A499" t="s">
        <v>1023</v>
      </c>
      <c r="B499" t="s">
        <v>1024</v>
      </c>
      <c r="C499">
        <v>3.63</v>
      </c>
      <c r="D499">
        <v>4.29</v>
      </c>
      <c r="E499">
        <v>4.38</v>
      </c>
      <c r="F499">
        <v>3.9</v>
      </c>
      <c r="G499">
        <v>3.59</v>
      </c>
      <c r="H499">
        <v>4.3</v>
      </c>
      <c r="I499">
        <v>4.26</v>
      </c>
      <c r="J499">
        <v>4.08</v>
      </c>
      <c r="K499">
        <v>4.62</v>
      </c>
      <c r="L499">
        <v>4.13</v>
      </c>
      <c r="M499">
        <f t="shared" si="14"/>
        <v>3.9579999999999997</v>
      </c>
      <c r="N499">
        <f t="shared" si="15"/>
        <v>4.2779999999999996</v>
      </c>
    </row>
    <row r="500" spans="1:14" ht="14.25" customHeight="1" x14ac:dyDescent="0.3">
      <c r="A500" t="s">
        <v>1025</v>
      </c>
      <c r="B500" t="s">
        <v>1026</v>
      </c>
      <c r="C500">
        <v>3.8</v>
      </c>
      <c r="D500">
        <v>4.2</v>
      </c>
      <c r="E500">
        <v>3.88</v>
      </c>
      <c r="F500">
        <v>3.82</v>
      </c>
      <c r="G500">
        <v>3.64</v>
      </c>
      <c r="H500">
        <v>3.78</v>
      </c>
      <c r="I500">
        <v>4.24</v>
      </c>
      <c r="J500">
        <v>3.76</v>
      </c>
      <c r="K500">
        <v>3.99</v>
      </c>
      <c r="L500">
        <v>4.21</v>
      </c>
      <c r="M500">
        <f t="shared" si="14"/>
        <v>3.8679999999999999</v>
      </c>
      <c r="N500">
        <f t="shared" si="15"/>
        <v>3.996</v>
      </c>
    </row>
    <row r="501" spans="1:14" ht="14.25" customHeight="1" x14ac:dyDescent="0.3">
      <c r="A501" t="s">
        <v>1027</v>
      </c>
      <c r="B501" t="s">
        <v>1028</v>
      </c>
      <c r="C501">
        <v>3.2</v>
      </c>
      <c r="D501">
        <v>4.13</v>
      </c>
      <c r="E501">
        <v>4.0599999999999996</v>
      </c>
      <c r="F501">
        <v>3.95</v>
      </c>
      <c r="G501">
        <v>3.84</v>
      </c>
      <c r="H501">
        <v>4.33</v>
      </c>
      <c r="I501">
        <v>4.41</v>
      </c>
      <c r="J501">
        <v>4.68</v>
      </c>
      <c r="K501">
        <v>3.99</v>
      </c>
      <c r="L501">
        <v>3.8</v>
      </c>
      <c r="M501">
        <f t="shared" si="14"/>
        <v>3.8359999999999999</v>
      </c>
      <c r="N501">
        <f t="shared" si="15"/>
        <v>4.242</v>
      </c>
    </row>
    <row r="502" spans="1:14" ht="14.25" customHeight="1" x14ac:dyDescent="0.3">
      <c r="A502" t="s">
        <v>1029</v>
      </c>
      <c r="B502" t="s">
        <v>1030</v>
      </c>
      <c r="C502">
        <v>4.13</v>
      </c>
      <c r="D502">
        <v>4.1900000000000004</v>
      </c>
      <c r="E502">
        <v>4.47</v>
      </c>
      <c r="F502">
        <v>4.03</v>
      </c>
      <c r="G502">
        <v>3.76</v>
      </c>
      <c r="H502">
        <v>4.16</v>
      </c>
      <c r="I502">
        <v>4.1900000000000004</v>
      </c>
      <c r="J502">
        <v>4.53</v>
      </c>
      <c r="K502">
        <v>3.6</v>
      </c>
      <c r="L502">
        <v>3.29</v>
      </c>
      <c r="M502">
        <f t="shared" si="14"/>
        <v>4.1159999999999997</v>
      </c>
      <c r="N502">
        <f t="shared" si="15"/>
        <v>3.9540000000000006</v>
      </c>
    </row>
    <row r="503" spans="1:14" ht="14.25" customHeight="1" x14ac:dyDescent="0.3">
      <c r="A503" t="s">
        <v>1031</v>
      </c>
      <c r="B503" t="s">
        <v>1032</v>
      </c>
      <c r="C503">
        <v>3.22</v>
      </c>
      <c r="D503">
        <v>4.33</v>
      </c>
      <c r="E503">
        <v>3.89</v>
      </c>
      <c r="F503">
        <v>4.0199999999999996</v>
      </c>
      <c r="G503">
        <v>4.78</v>
      </c>
      <c r="H503">
        <v>4.17</v>
      </c>
      <c r="I503">
        <v>4.1399999999999997</v>
      </c>
      <c r="J503">
        <v>3.28</v>
      </c>
      <c r="K503">
        <v>4.22</v>
      </c>
      <c r="L503">
        <v>3.97</v>
      </c>
      <c r="M503">
        <f t="shared" si="14"/>
        <v>4.048</v>
      </c>
      <c r="N503">
        <f t="shared" si="15"/>
        <v>3.9559999999999995</v>
      </c>
    </row>
    <row r="504" spans="1:14" ht="14.25" customHeight="1" x14ac:dyDescent="0.3">
      <c r="A504" t="s">
        <v>1033</v>
      </c>
      <c r="B504" t="s">
        <v>1034</v>
      </c>
      <c r="C504">
        <v>3.81</v>
      </c>
      <c r="D504">
        <v>4.49</v>
      </c>
      <c r="E504">
        <v>3.79</v>
      </c>
      <c r="F504">
        <v>4.09</v>
      </c>
      <c r="G504">
        <v>4.8899999999999997</v>
      </c>
      <c r="H504">
        <v>3.74</v>
      </c>
      <c r="I504">
        <v>3.89</v>
      </c>
      <c r="J504">
        <v>3.97</v>
      </c>
      <c r="K504">
        <v>3.41</v>
      </c>
      <c r="L504">
        <v>3.77</v>
      </c>
      <c r="M504">
        <f t="shared" si="14"/>
        <v>4.2140000000000004</v>
      </c>
      <c r="N504">
        <f t="shared" si="15"/>
        <v>3.7560000000000002</v>
      </c>
    </row>
    <row r="505" spans="1:14" ht="14.25" customHeight="1" x14ac:dyDescent="0.3">
      <c r="A505" t="s">
        <v>1035</v>
      </c>
      <c r="B505" t="s">
        <v>1036</v>
      </c>
      <c r="C505">
        <v>3.86</v>
      </c>
      <c r="D505">
        <v>3.57</v>
      </c>
      <c r="E505" t="s">
        <v>211</v>
      </c>
      <c r="F505">
        <v>3.95</v>
      </c>
      <c r="G505">
        <v>3.79</v>
      </c>
      <c r="H505">
        <v>3.96</v>
      </c>
      <c r="I505">
        <v>3.55</v>
      </c>
      <c r="J505">
        <v>4.41</v>
      </c>
      <c r="K505">
        <v>3.92</v>
      </c>
      <c r="L505">
        <v>4.0999999999999996</v>
      </c>
      <c r="M505">
        <f t="shared" si="14"/>
        <v>3.7924999999999995</v>
      </c>
      <c r="N505">
        <f t="shared" si="15"/>
        <v>3.9879999999999995</v>
      </c>
    </row>
    <row r="506" spans="1:14" ht="14.25" customHeight="1" x14ac:dyDescent="0.3">
      <c r="A506" t="s">
        <v>1037</v>
      </c>
      <c r="B506" t="s">
        <v>1038</v>
      </c>
      <c r="C506">
        <v>3.85</v>
      </c>
      <c r="D506">
        <v>3.94</v>
      </c>
      <c r="E506">
        <v>4.29</v>
      </c>
      <c r="F506">
        <v>3.95</v>
      </c>
      <c r="G506">
        <v>4.4400000000000004</v>
      </c>
      <c r="I506">
        <v>3.6</v>
      </c>
      <c r="J506">
        <v>4.21</v>
      </c>
      <c r="K506">
        <v>4.38</v>
      </c>
      <c r="L506">
        <v>4.25</v>
      </c>
      <c r="M506">
        <f t="shared" si="14"/>
        <v>4.0940000000000003</v>
      </c>
      <c r="N506">
        <f t="shared" si="15"/>
        <v>4.1100000000000003</v>
      </c>
    </row>
    <row r="507" spans="1:14" ht="14.25" customHeight="1" x14ac:dyDescent="0.3">
      <c r="A507" t="s">
        <v>1039</v>
      </c>
      <c r="B507" t="s">
        <v>1040</v>
      </c>
      <c r="D507">
        <v>4.45</v>
      </c>
      <c r="E507">
        <v>4.71</v>
      </c>
      <c r="F507">
        <v>3.81</v>
      </c>
      <c r="G507">
        <v>3.93</v>
      </c>
      <c r="H507">
        <v>4.1900000000000004</v>
      </c>
      <c r="I507">
        <v>4.24</v>
      </c>
      <c r="J507">
        <v>3.81</v>
      </c>
      <c r="K507">
        <v>3.87</v>
      </c>
      <c r="L507">
        <v>4.24</v>
      </c>
      <c r="M507">
        <f t="shared" si="14"/>
        <v>4.2250000000000005</v>
      </c>
      <c r="N507">
        <f t="shared" si="15"/>
        <v>4.07</v>
      </c>
    </row>
    <row r="508" spans="1:14" ht="14.25" customHeight="1" x14ac:dyDescent="0.3">
      <c r="A508" t="s">
        <v>1041</v>
      </c>
      <c r="B508" t="s">
        <v>1042</v>
      </c>
      <c r="C508">
        <v>4.7</v>
      </c>
      <c r="D508">
        <v>3.96</v>
      </c>
      <c r="E508">
        <v>4.49</v>
      </c>
      <c r="F508">
        <v>4.32</v>
      </c>
      <c r="G508">
        <v>3.11</v>
      </c>
      <c r="I508">
        <v>4.1399999999999997</v>
      </c>
      <c r="J508">
        <v>3.8</v>
      </c>
      <c r="K508">
        <v>4.34</v>
      </c>
      <c r="L508">
        <v>3.25</v>
      </c>
      <c r="M508">
        <f t="shared" si="14"/>
        <v>4.1159999999999997</v>
      </c>
      <c r="N508">
        <f t="shared" si="15"/>
        <v>3.8824999999999998</v>
      </c>
    </row>
    <row r="509" spans="1:14" ht="14.25" customHeight="1" x14ac:dyDescent="0.3">
      <c r="A509" t="s">
        <v>1043</v>
      </c>
      <c r="B509" t="s">
        <v>1044</v>
      </c>
      <c r="C509">
        <v>4.32</v>
      </c>
      <c r="D509">
        <v>4.38</v>
      </c>
      <c r="E509">
        <v>4.24</v>
      </c>
      <c r="F509">
        <v>4.16</v>
      </c>
      <c r="G509">
        <v>3.41</v>
      </c>
      <c r="H509">
        <v>4.1500000000000004</v>
      </c>
      <c r="I509">
        <v>4.17</v>
      </c>
      <c r="J509">
        <v>4.04</v>
      </c>
      <c r="K509">
        <v>4.57</v>
      </c>
      <c r="L509">
        <v>3.92</v>
      </c>
      <c r="M509">
        <f t="shared" si="14"/>
        <v>4.1020000000000003</v>
      </c>
      <c r="N509">
        <f t="shared" si="15"/>
        <v>4.17</v>
      </c>
    </row>
    <row r="510" spans="1:14" ht="14.25" customHeight="1" x14ac:dyDescent="0.3">
      <c r="A510" t="s">
        <v>1045</v>
      </c>
      <c r="B510" t="s">
        <v>1046</v>
      </c>
      <c r="C510">
        <v>3.45</v>
      </c>
      <c r="D510">
        <v>4.43</v>
      </c>
      <c r="E510">
        <v>3.7</v>
      </c>
      <c r="F510">
        <v>4.26</v>
      </c>
      <c r="G510">
        <v>3.92</v>
      </c>
      <c r="H510">
        <v>3.53</v>
      </c>
      <c r="I510">
        <v>4.18</v>
      </c>
      <c r="J510">
        <v>4.21</v>
      </c>
      <c r="L510">
        <v>4.33</v>
      </c>
      <c r="M510">
        <f t="shared" si="14"/>
        <v>3.9519999999999995</v>
      </c>
      <c r="N510">
        <f t="shared" si="15"/>
        <v>4.0625</v>
      </c>
    </row>
    <row r="511" spans="1:14" ht="14.25" customHeight="1" x14ac:dyDescent="0.3">
      <c r="A511" t="s">
        <v>1047</v>
      </c>
      <c r="B511" t="s">
        <v>1048</v>
      </c>
      <c r="C511">
        <v>4.1900000000000004</v>
      </c>
      <c r="D511">
        <v>3.82</v>
      </c>
      <c r="E511">
        <v>3.72</v>
      </c>
      <c r="F511">
        <v>3.92</v>
      </c>
      <c r="G511">
        <v>4.07</v>
      </c>
      <c r="H511">
        <v>4.05</v>
      </c>
      <c r="I511">
        <v>3.99</v>
      </c>
      <c r="J511">
        <v>4.8499999999999996</v>
      </c>
      <c r="K511">
        <v>4.2300000000000004</v>
      </c>
      <c r="L511">
        <v>3.74</v>
      </c>
      <c r="M511">
        <f t="shared" si="14"/>
        <v>3.944</v>
      </c>
      <c r="N511">
        <f t="shared" si="15"/>
        <v>4.1719999999999997</v>
      </c>
    </row>
    <row r="512" spans="1:14" ht="14.25" customHeight="1" x14ac:dyDescent="0.3">
      <c r="A512" t="s">
        <v>1049</v>
      </c>
      <c r="B512" t="s">
        <v>1050</v>
      </c>
      <c r="C512">
        <v>4.3499999999999996</v>
      </c>
      <c r="D512">
        <v>4.68</v>
      </c>
      <c r="E512" t="s">
        <v>1051</v>
      </c>
      <c r="F512">
        <v>3.99</v>
      </c>
      <c r="G512">
        <v>4.08</v>
      </c>
      <c r="H512">
        <v>3.68</v>
      </c>
      <c r="I512">
        <v>4.4800000000000004</v>
      </c>
      <c r="J512">
        <v>3.97</v>
      </c>
      <c r="K512">
        <v>3.81</v>
      </c>
      <c r="L512">
        <v>4.33</v>
      </c>
      <c r="M512">
        <f t="shared" si="14"/>
        <v>4.2750000000000004</v>
      </c>
      <c r="N512">
        <f t="shared" si="15"/>
        <v>4.0540000000000003</v>
      </c>
    </row>
    <row r="513" spans="1:14" ht="14.25" customHeight="1" x14ac:dyDescent="0.3">
      <c r="A513" t="s">
        <v>1052</v>
      </c>
      <c r="B513" t="s">
        <v>1053</v>
      </c>
      <c r="C513">
        <v>3.8</v>
      </c>
      <c r="D513">
        <v>3.79</v>
      </c>
      <c r="E513">
        <v>3.99</v>
      </c>
      <c r="F513">
        <v>3.9</v>
      </c>
      <c r="G513">
        <v>3.63</v>
      </c>
      <c r="H513">
        <v>4.0199999999999996</v>
      </c>
      <c r="I513">
        <v>4.16</v>
      </c>
      <c r="J513">
        <v>3.89</v>
      </c>
      <c r="K513">
        <v>4.3099999999999996</v>
      </c>
      <c r="L513">
        <v>4.1500000000000004</v>
      </c>
      <c r="M513">
        <f t="shared" si="14"/>
        <v>3.8220000000000001</v>
      </c>
      <c r="N513">
        <f t="shared" si="15"/>
        <v>4.1059999999999999</v>
      </c>
    </row>
    <row r="514" spans="1:14" ht="14.25" customHeight="1" x14ac:dyDescent="0.3">
      <c r="A514" t="s">
        <v>1054</v>
      </c>
      <c r="B514" t="s">
        <v>1055</v>
      </c>
      <c r="C514">
        <v>4.18</v>
      </c>
      <c r="D514">
        <v>4.2699999999999996</v>
      </c>
      <c r="F514">
        <v>4.3899999999999997</v>
      </c>
      <c r="G514">
        <v>3.89</v>
      </c>
      <c r="H514">
        <v>4.26</v>
      </c>
      <c r="I514">
        <v>3.31</v>
      </c>
      <c r="J514">
        <v>3.91</v>
      </c>
      <c r="K514">
        <v>3.51</v>
      </c>
      <c r="L514">
        <v>4</v>
      </c>
      <c r="M514">
        <f t="shared" ref="M514:M577" si="16">AVERAGE(C514:G514)</f>
        <v>4.1825000000000001</v>
      </c>
      <c r="N514">
        <f t="shared" ref="N514:N577" si="17">AVERAGE(H514:L514)</f>
        <v>3.7980000000000005</v>
      </c>
    </row>
    <row r="515" spans="1:14" ht="14.25" customHeight="1" x14ac:dyDescent="0.3">
      <c r="A515" t="s">
        <v>1056</v>
      </c>
      <c r="B515" t="s">
        <v>1057</v>
      </c>
      <c r="C515">
        <v>3.89</v>
      </c>
      <c r="D515">
        <v>3.94</v>
      </c>
      <c r="E515">
        <v>3.93</v>
      </c>
      <c r="G515">
        <v>4.37</v>
      </c>
      <c r="H515">
        <v>3.58</v>
      </c>
      <c r="I515">
        <v>3.98</v>
      </c>
      <c r="J515">
        <v>4.54</v>
      </c>
      <c r="K515">
        <v>3.79</v>
      </c>
      <c r="L515">
        <v>4.3499999999999996</v>
      </c>
      <c r="M515">
        <f t="shared" si="16"/>
        <v>4.0324999999999998</v>
      </c>
      <c r="N515">
        <f t="shared" si="17"/>
        <v>4.048</v>
      </c>
    </row>
    <row r="516" spans="1:14" ht="14.25" customHeight="1" x14ac:dyDescent="0.3">
      <c r="A516" t="s">
        <v>1058</v>
      </c>
      <c r="B516" t="s">
        <v>1059</v>
      </c>
      <c r="C516">
        <v>4.4400000000000004</v>
      </c>
      <c r="D516">
        <v>4.08</v>
      </c>
      <c r="E516">
        <v>3.79</v>
      </c>
      <c r="F516">
        <v>4.3099999999999996</v>
      </c>
      <c r="G516">
        <v>3.67</v>
      </c>
      <c r="H516">
        <v>4.6399999999999997</v>
      </c>
      <c r="I516">
        <v>4.2</v>
      </c>
      <c r="J516">
        <v>4.16</v>
      </c>
      <c r="K516">
        <v>4.09</v>
      </c>
      <c r="L516">
        <v>4.25</v>
      </c>
      <c r="M516">
        <f t="shared" si="16"/>
        <v>4.0579999999999998</v>
      </c>
      <c r="N516">
        <f t="shared" si="17"/>
        <v>4.2679999999999998</v>
      </c>
    </row>
    <row r="517" spans="1:14" ht="14.25" customHeight="1" x14ac:dyDescent="0.3">
      <c r="A517" t="s">
        <v>1060</v>
      </c>
      <c r="B517" t="s">
        <v>1061</v>
      </c>
      <c r="C517">
        <v>4.34</v>
      </c>
      <c r="D517">
        <v>3.63</v>
      </c>
      <c r="E517">
        <v>3.88</v>
      </c>
      <c r="F517">
        <v>3.5</v>
      </c>
      <c r="G517">
        <v>3.43</v>
      </c>
      <c r="H517">
        <v>4.4000000000000004</v>
      </c>
      <c r="I517">
        <v>4.18</v>
      </c>
      <c r="J517">
        <v>4.16</v>
      </c>
      <c r="K517">
        <v>4.34</v>
      </c>
      <c r="L517">
        <v>4.08</v>
      </c>
      <c r="M517">
        <f t="shared" si="16"/>
        <v>3.7560000000000002</v>
      </c>
      <c r="N517">
        <f t="shared" si="17"/>
        <v>4.2319999999999993</v>
      </c>
    </row>
    <row r="518" spans="1:14" ht="14.25" customHeight="1" x14ac:dyDescent="0.3">
      <c r="A518" t="s">
        <v>1062</v>
      </c>
      <c r="B518" t="s">
        <v>1063</v>
      </c>
      <c r="C518">
        <v>4.32</v>
      </c>
      <c r="D518">
        <v>3.44</v>
      </c>
      <c r="E518">
        <v>3.61</v>
      </c>
      <c r="F518">
        <v>3.74</v>
      </c>
      <c r="G518">
        <v>3.77</v>
      </c>
      <c r="H518">
        <v>4.47</v>
      </c>
      <c r="I518">
        <v>4.63</v>
      </c>
      <c r="J518">
        <v>4.16</v>
      </c>
      <c r="K518">
        <v>4.16</v>
      </c>
      <c r="L518">
        <v>4.67</v>
      </c>
      <c r="M518">
        <f t="shared" si="16"/>
        <v>3.7759999999999998</v>
      </c>
      <c r="N518">
        <f t="shared" si="17"/>
        <v>4.418000000000001</v>
      </c>
    </row>
    <row r="519" spans="1:14" ht="14.25" customHeight="1" x14ac:dyDescent="0.3">
      <c r="A519" t="s">
        <v>1064</v>
      </c>
      <c r="B519" t="s">
        <v>1065</v>
      </c>
      <c r="C519">
        <v>3.97</v>
      </c>
      <c r="D519">
        <v>4.26</v>
      </c>
      <c r="E519">
        <v>4.38</v>
      </c>
      <c r="F519">
        <v>4.01</v>
      </c>
      <c r="G519">
        <v>4.0599999999999996</v>
      </c>
      <c r="H519">
        <v>3.89</v>
      </c>
      <c r="I519">
        <v>4.42</v>
      </c>
      <c r="J519">
        <v>4.09</v>
      </c>
      <c r="K519">
        <v>3.86</v>
      </c>
      <c r="L519">
        <v>4.1399999999999997</v>
      </c>
      <c r="M519">
        <f t="shared" si="16"/>
        <v>4.1359999999999992</v>
      </c>
      <c r="N519">
        <f t="shared" si="17"/>
        <v>4.08</v>
      </c>
    </row>
    <row r="520" spans="1:14" ht="14.25" customHeight="1" x14ac:dyDescent="0.3">
      <c r="A520" t="s">
        <v>1066</v>
      </c>
      <c r="B520" t="s">
        <v>1067</v>
      </c>
      <c r="C520">
        <v>3.75</v>
      </c>
      <c r="D520">
        <v>3.85</v>
      </c>
      <c r="E520">
        <v>4.13</v>
      </c>
      <c r="F520">
        <v>4</v>
      </c>
      <c r="G520">
        <v>4.04</v>
      </c>
      <c r="H520">
        <v>4.09</v>
      </c>
      <c r="I520">
        <v>4.1900000000000004</v>
      </c>
      <c r="J520">
        <v>4.1399999999999997</v>
      </c>
      <c r="K520">
        <v>3.71</v>
      </c>
      <c r="L520">
        <v>3.8</v>
      </c>
      <c r="M520">
        <f t="shared" si="16"/>
        <v>3.9539999999999997</v>
      </c>
      <c r="N520">
        <f t="shared" si="17"/>
        <v>3.9860000000000007</v>
      </c>
    </row>
    <row r="521" spans="1:14" ht="14.25" customHeight="1" x14ac:dyDescent="0.3">
      <c r="A521" t="s">
        <v>1068</v>
      </c>
      <c r="B521" t="s">
        <v>1069</v>
      </c>
      <c r="C521">
        <v>4.01</v>
      </c>
      <c r="D521">
        <v>3.98</v>
      </c>
      <c r="E521">
        <v>4.37</v>
      </c>
      <c r="G521">
        <v>3.98</v>
      </c>
      <c r="H521">
        <v>4.47</v>
      </c>
      <c r="I521">
        <v>3.67</v>
      </c>
      <c r="K521">
        <v>4.13</v>
      </c>
      <c r="L521">
        <v>3.62</v>
      </c>
      <c r="M521">
        <f t="shared" si="16"/>
        <v>4.085</v>
      </c>
      <c r="N521">
        <f t="shared" si="17"/>
        <v>3.9725000000000001</v>
      </c>
    </row>
    <row r="522" spans="1:14" ht="14.25" customHeight="1" x14ac:dyDescent="0.3">
      <c r="A522" t="s">
        <v>1070</v>
      </c>
      <c r="B522" t="s">
        <v>1071</v>
      </c>
      <c r="C522">
        <v>4.3899999999999997</v>
      </c>
      <c r="D522">
        <v>4.3</v>
      </c>
      <c r="E522">
        <v>4.2699999999999996</v>
      </c>
      <c r="F522">
        <v>4.07</v>
      </c>
      <c r="G522">
        <v>4.1399999999999997</v>
      </c>
      <c r="H522">
        <v>4.29</v>
      </c>
      <c r="I522">
        <v>4.37</v>
      </c>
      <c r="J522">
        <v>3.82</v>
      </c>
      <c r="K522">
        <v>4.1900000000000004</v>
      </c>
      <c r="L522">
        <v>4.03</v>
      </c>
      <c r="M522">
        <f t="shared" si="16"/>
        <v>4.234</v>
      </c>
      <c r="N522">
        <f t="shared" si="17"/>
        <v>4.1400000000000006</v>
      </c>
    </row>
    <row r="523" spans="1:14" ht="14.25" customHeight="1" x14ac:dyDescent="0.3">
      <c r="A523" t="s">
        <v>1072</v>
      </c>
      <c r="B523" t="s">
        <v>1073</v>
      </c>
      <c r="C523">
        <v>4.2699999999999996</v>
      </c>
      <c r="D523">
        <v>3.76</v>
      </c>
      <c r="E523">
        <v>3.98</v>
      </c>
      <c r="F523">
        <v>3.86</v>
      </c>
      <c r="G523">
        <v>3.98</v>
      </c>
      <c r="H523">
        <v>3.91</v>
      </c>
      <c r="I523">
        <v>4.51</v>
      </c>
      <c r="J523">
        <v>3.27</v>
      </c>
      <c r="K523">
        <v>3.71</v>
      </c>
      <c r="L523">
        <v>4.2300000000000004</v>
      </c>
      <c r="M523">
        <f t="shared" si="16"/>
        <v>3.9699999999999998</v>
      </c>
      <c r="N523">
        <f t="shared" si="17"/>
        <v>3.9259999999999997</v>
      </c>
    </row>
    <row r="524" spans="1:14" ht="14.25" customHeight="1" x14ac:dyDescent="0.3">
      <c r="A524" t="s">
        <v>1074</v>
      </c>
      <c r="B524" t="s">
        <v>1075</v>
      </c>
      <c r="D524">
        <v>3.77</v>
      </c>
      <c r="E524">
        <v>3.67</v>
      </c>
      <c r="F524">
        <v>4.13</v>
      </c>
      <c r="G524">
        <v>3.75</v>
      </c>
      <c r="H524">
        <v>4.0599999999999996</v>
      </c>
      <c r="I524">
        <v>3.93</v>
      </c>
      <c r="J524">
        <v>4.55</v>
      </c>
      <c r="K524">
        <v>4.37</v>
      </c>
      <c r="L524">
        <v>4.2300000000000004</v>
      </c>
      <c r="M524">
        <f t="shared" si="16"/>
        <v>3.83</v>
      </c>
      <c r="N524">
        <f t="shared" si="17"/>
        <v>4.2279999999999998</v>
      </c>
    </row>
    <row r="525" spans="1:14" ht="14.25" customHeight="1" x14ac:dyDescent="0.3">
      <c r="A525" t="s">
        <v>1076</v>
      </c>
      <c r="B525" t="s">
        <v>1077</v>
      </c>
      <c r="C525">
        <v>3.55</v>
      </c>
      <c r="D525">
        <v>4.1900000000000004</v>
      </c>
      <c r="E525">
        <v>3.81</v>
      </c>
      <c r="F525">
        <v>3.48</v>
      </c>
      <c r="G525">
        <v>4.0999999999999996</v>
      </c>
      <c r="H525">
        <v>4.37</v>
      </c>
      <c r="I525">
        <v>4.3899999999999997</v>
      </c>
      <c r="J525">
        <v>4.0199999999999996</v>
      </c>
      <c r="K525">
        <v>4.47</v>
      </c>
      <c r="L525">
        <v>3.52</v>
      </c>
      <c r="M525">
        <f t="shared" si="16"/>
        <v>3.8260000000000005</v>
      </c>
      <c r="N525">
        <f t="shared" si="17"/>
        <v>4.1539999999999999</v>
      </c>
    </row>
    <row r="526" spans="1:14" ht="14.25" customHeight="1" x14ac:dyDescent="0.3">
      <c r="A526" t="s">
        <v>1078</v>
      </c>
      <c r="B526" t="s">
        <v>1079</v>
      </c>
      <c r="C526">
        <v>4.55</v>
      </c>
      <c r="D526">
        <v>5.0999999999999996</v>
      </c>
      <c r="E526">
        <v>3.9</v>
      </c>
      <c r="F526">
        <v>4.0599999999999996</v>
      </c>
      <c r="G526">
        <v>3.62</v>
      </c>
      <c r="H526">
        <v>4.2300000000000004</v>
      </c>
      <c r="J526">
        <v>4.1399999999999997</v>
      </c>
      <c r="K526">
        <v>3.7</v>
      </c>
      <c r="L526">
        <v>4.3</v>
      </c>
      <c r="M526">
        <f t="shared" si="16"/>
        <v>4.2460000000000004</v>
      </c>
      <c r="N526">
        <f t="shared" si="17"/>
        <v>4.0925000000000002</v>
      </c>
    </row>
    <row r="527" spans="1:14" ht="14.25" customHeight="1" x14ac:dyDescent="0.3">
      <c r="A527" t="s">
        <v>1080</v>
      </c>
      <c r="B527" t="s">
        <v>1081</v>
      </c>
      <c r="C527">
        <v>4.8499999999999996</v>
      </c>
      <c r="D527">
        <v>4.3899999999999997</v>
      </c>
      <c r="E527">
        <v>3.82</v>
      </c>
      <c r="F527">
        <v>4.42</v>
      </c>
      <c r="G527">
        <v>4.21</v>
      </c>
      <c r="H527">
        <v>4.04</v>
      </c>
      <c r="I527">
        <v>4.32</v>
      </c>
      <c r="J527">
        <v>3.61</v>
      </c>
      <c r="K527">
        <v>3.96</v>
      </c>
      <c r="L527">
        <v>4.55</v>
      </c>
      <c r="M527">
        <f t="shared" si="16"/>
        <v>4.3379999999999992</v>
      </c>
      <c r="N527">
        <f t="shared" si="17"/>
        <v>4.0960000000000001</v>
      </c>
    </row>
    <row r="528" spans="1:14" ht="14.25" customHeight="1" x14ac:dyDescent="0.3">
      <c r="A528" t="s">
        <v>1082</v>
      </c>
      <c r="B528" t="s">
        <v>1083</v>
      </c>
      <c r="C528">
        <v>4.07</v>
      </c>
      <c r="D528">
        <v>3.48</v>
      </c>
      <c r="E528">
        <v>4.33</v>
      </c>
      <c r="F528">
        <v>3.95</v>
      </c>
      <c r="G528">
        <v>3.66</v>
      </c>
      <c r="H528">
        <v>3.37</v>
      </c>
      <c r="I528">
        <v>4.43</v>
      </c>
      <c r="K528">
        <v>4.26</v>
      </c>
      <c r="L528">
        <v>4.33</v>
      </c>
      <c r="M528">
        <f t="shared" si="16"/>
        <v>3.8980000000000006</v>
      </c>
      <c r="N528">
        <f t="shared" si="17"/>
        <v>4.0975000000000001</v>
      </c>
    </row>
    <row r="529" spans="1:14" ht="14.25" customHeight="1" x14ac:dyDescent="0.3">
      <c r="A529" t="s">
        <v>1084</v>
      </c>
      <c r="B529" t="s">
        <v>1085</v>
      </c>
      <c r="C529">
        <v>3.82</v>
      </c>
      <c r="D529">
        <v>4.07</v>
      </c>
      <c r="E529">
        <v>4.12</v>
      </c>
      <c r="F529">
        <v>4.0199999999999996</v>
      </c>
      <c r="G529">
        <v>4</v>
      </c>
      <c r="H529">
        <v>3.45</v>
      </c>
      <c r="J529">
        <v>4.05</v>
      </c>
      <c r="K529">
        <v>4.24</v>
      </c>
      <c r="L529">
        <v>4.4400000000000004</v>
      </c>
      <c r="M529">
        <f t="shared" si="16"/>
        <v>4.0060000000000002</v>
      </c>
      <c r="N529">
        <f t="shared" si="17"/>
        <v>4.0449999999999999</v>
      </c>
    </row>
    <row r="530" spans="1:14" ht="14.25" customHeight="1" x14ac:dyDescent="0.3">
      <c r="A530" t="s">
        <v>1086</v>
      </c>
      <c r="B530" t="s">
        <v>1087</v>
      </c>
      <c r="D530">
        <v>4.47</v>
      </c>
      <c r="E530">
        <v>4.08</v>
      </c>
      <c r="F530">
        <v>3.58</v>
      </c>
      <c r="G530">
        <v>3.68</v>
      </c>
      <c r="H530">
        <v>4</v>
      </c>
      <c r="I530">
        <v>3.79</v>
      </c>
      <c r="J530">
        <v>4.1100000000000003</v>
      </c>
      <c r="K530">
        <v>3.67</v>
      </c>
      <c r="L530">
        <v>4.0599999999999996</v>
      </c>
      <c r="M530">
        <f t="shared" si="16"/>
        <v>3.9525000000000001</v>
      </c>
      <c r="N530">
        <f t="shared" si="17"/>
        <v>3.9259999999999997</v>
      </c>
    </row>
    <row r="531" spans="1:14" ht="14.25" customHeight="1" x14ac:dyDescent="0.3">
      <c r="A531" t="s">
        <v>1088</v>
      </c>
      <c r="B531" t="s">
        <v>1089</v>
      </c>
      <c r="C531">
        <v>4.2</v>
      </c>
      <c r="D531">
        <v>3.68</v>
      </c>
      <c r="E531">
        <v>4.59</v>
      </c>
      <c r="F531">
        <v>4.1100000000000003</v>
      </c>
      <c r="G531">
        <v>4.71</v>
      </c>
      <c r="H531">
        <v>4.01</v>
      </c>
      <c r="I531">
        <v>4.3099999999999996</v>
      </c>
      <c r="J531">
        <v>4.29</v>
      </c>
      <c r="K531">
        <v>4.26</v>
      </c>
      <c r="M531">
        <f t="shared" si="16"/>
        <v>4.2580000000000009</v>
      </c>
      <c r="N531">
        <f t="shared" si="17"/>
        <v>4.2174999999999994</v>
      </c>
    </row>
    <row r="532" spans="1:14" ht="14.25" customHeight="1" x14ac:dyDescent="0.3">
      <c r="A532" t="s">
        <v>1090</v>
      </c>
      <c r="B532" t="s">
        <v>1091</v>
      </c>
      <c r="C532">
        <v>4.26</v>
      </c>
      <c r="D532">
        <v>4.47</v>
      </c>
      <c r="E532">
        <v>4.17</v>
      </c>
      <c r="F532">
        <v>3.4</v>
      </c>
      <c r="G532">
        <v>4.22</v>
      </c>
      <c r="I532">
        <v>3.93</v>
      </c>
      <c r="J532">
        <v>4.34</v>
      </c>
      <c r="K532">
        <v>4.09</v>
      </c>
      <c r="L532">
        <v>3.64</v>
      </c>
      <c r="M532">
        <f t="shared" si="16"/>
        <v>4.1040000000000001</v>
      </c>
      <c r="N532">
        <f t="shared" si="17"/>
        <v>4</v>
      </c>
    </row>
    <row r="533" spans="1:14" ht="14.25" customHeight="1" x14ac:dyDescent="0.3">
      <c r="A533" t="s">
        <v>1092</v>
      </c>
      <c r="B533" t="s">
        <v>1093</v>
      </c>
      <c r="C533">
        <v>3.72</v>
      </c>
      <c r="D533">
        <v>3.89</v>
      </c>
      <c r="E533">
        <v>4.28</v>
      </c>
      <c r="F533">
        <v>3.75</v>
      </c>
      <c r="G533">
        <v>3.76</v>
      </c>
      <c r="H533">
        <v>4.29</v>
      </c>
      <c r="I533">
        <v>4.49</v>
      </c>
      <c r="J533">
        <v>3.97</v>
      </c>
      <c r="K533">
        <v>3.52</v>
      </c>
      <c r="L533">
        <v>4.76</v>
      </c>
      <c r="M533">
        <f t="shared" si="16"/>
        <v>3.88</v>
      </c>
      <c r="N533">
        <f t="shared" si="17"/>
        <v>4.2060000000000004</v>
      </c>
    </row>
    <row r="534" spans="1:14" ht="14.25" customHeight="1" x14ac:dyDescent="0.3">
      <c r="A534" t="s">
        <v>1094</v>
      </c>
      <c r="B534" t="s">
        <v>1095</v>
      </c>
      <c r="C534">
        <v>4.1500000000000004</v>
      </c>
      <c r="D534">
        <v>4.07</v>
      </c>
      <c r="E534">
        <v>4.2</v>
      </c>
      <c r="F534">
        <v>3.8</v>
      </c>
      <c r="G534">
        <v>4.05</v>
      </c>
      <c r="H534">
        <v>3.98</v>
      </c>
      <c r="I534">
        <v>4.28</v>
      </c>
      <c r="J534">
        <v>3.87</v>
      </c>
      <c r="K534">
        <v>4.29</v>
      </c>
      <c r="L534">
        <v>4.22</v>
      </c>
      <c r="M534">
        <f t="shared" si="16"/>
        <v>4.0540000000000003</v>
      </c>
      <c r="N534">
        <f t="shared" si="17"/>
        <v>4.1279999999999992</v>
      </c>
    </row>
    <row r="535" spans="1:14" ht="14.25" customHeight="1" x14ac:dyDescent="0.3">
      <c r="A535" t="s">
        <v>1096</v>
      </c>
      <c r="B535" t="s">
        <v>1097</v>
      </c>
      <c r="C535">
        <v>3.77</v>
      </c>
      <c r="D535">
        <v>4.43</v>
      </c>
      <c r="E535">
        <v>4.0599999999999996</v>
      </c>
      <c r="F535">
        <v>4.51</v>
      </c>
      <c r="G535">
        <v>3.46</v>
      </c>
      <c r="H535">
        <v>3.66</v>
      </c>
      <c r="I535">
        <v>4.3</v>
      </c>
      <c r="J535">
        <v>4.16</v>
      </c>
      <c r="K535">
        <v>4.0199999999999996</v>
      </c>
      <c r="L535">
        <v>4.0999999999999996</v>
      </c>
      <c r="M535">
        <f t="shared" si="16"/>
        <v>4.0459999999999994</v>
      </c>
      <c r="N535">
        <f t="shared" si="17"/>
        <v>4.048</v>
      </c>
    </row>
    <row r="536" spans="1:14" ht="14.25" customHeight="1" x14ac:dyDescent="0.3">
      <c r="A536" t="s">
        <v>1098</v>
      </c>
      <c r="B536" t="s">
        <v>1099</v>
      </c>
      <c r="C536">
        <v>3.43</v>
      </c>
      <c r="D536">
        <v>4.21</v>
      </c>
      <c r="E536">
        <v>3.42</v>
      </c>
      <c r="F536">
        <v>3.76</v>
      </c>
      <c r="G536">
        <v>4</v>
      </c>
      <c r="H536">
        <v>4.54</v>
      </c>
      <c r="I536">
        <v>3.26</v>
      </c>
      <c r="J536">
        <v>3.56</v>
      </c>
      <c r="K536">
        <v>3.82</v>
      </c>
      <c r="L536">
        <v>4.2699999999999996</v>
      </c>
      <c r="M536">
        <f t="shared" si="16"/>
        <v>3.7640000000000002</v>
      </c>
      <c r="N536">
        <f t="shared" si="17"/>
        <v>3.8899999999999997</v>
      </c>
    </row>
    <row r="537" spans="1:14" ht="14.25" customHeight="1" x14ac:dyDescent="0.3">
      <c r="A537" t="s">
        <v>1100</v>
      </c>
      <c r="B537" t="s">
        <v>1101</v>
      </c>
      <c r="C537">
        <v>4.0999999999999996</v>
      </c>
      <c r="D537">
        <v>3.91</v>
      </c>
      <c r="E537">
        <v>3.92</v>
      </c>
      <c r="F537">
        <v>3.79</v>
      </c>
      <c r="G537">
        <v>3.51</v>
      </c>
      <c r="H537">
        <v>4.04</v>
      </c>
      <c r="I537">
        <v>3.81</v>
      </c>
      <c r="J537">
        <v>4.42</v>
      </c>
      <c r="K537">
        <v>3.83</v>
      </c>
      <c r="L537">
        <v>4.3099999999999996</v>
      </c>
      <c r="M537">
        <f t="shared" si="16"/>
        <v>3.8459999999999992</v>
      </c>
      <c r="N537">
        <f t="shared" si="17"/>
        <v>4.0819999999999999</v>
      </c>
    </row>
    <row r="538" spans="1:14" ht="14.25" customHeight="1" x14ac:dyDescent="0.3">
      <c r="A538" t="s">
        <v>1102</v>
      </c>
      <c r="B538" t="s">
        <v>1103</v>
      </c>
      <c r="C538">
        <v>4.26</v>
      </c>
      <c r="D538">
        <v>3.72</v>
      </c>
      <c r="E538">
        <v>4.03</v>
      </c>
      <c r="F538" t="s">
        <v>1104</v>
      </c>
      <c r="G538">
        <v>4.37</v>
      </c>
      <c r="H538">
        <v>4.04</v>
      </c>
      <c r="I538">
        <v>4.13</v>
      </c>
      <c r="J538">
        <v>4.57</v>
      </c>
      <c r="K538">
        <v>4.57</v>
      </c>
      <c r="L538">
        <v>4.3899999999999997</v>
      </c>
      <c r="M538">
        <f t="shared" si="16"/>
        <v>4.0950000000000006</v>
      </c>
      <c r="N538">
        <f t="shared" si="17"/>
        <v>4.3400000000000007</v>
      </c>
    </row>
    <row r="539" spans="1:14" ht="14.25" customHeight="1" x14ac:dyDescent="0.3">
      <c r="A539" t="s">
        <v>1105</v>
      </c>
      <c r="B539" t="s">
        <v>1106</v>
      </c>
      <c r="C539">
        <v>3.99</v>
      </c>
      <c r="D539">
        <v>4.46</v>
      </c>
      <c r="E539">
        <v>3.72</v>
      </c>
      <c r="F539">
        <v>3.98</v>
      </c>
      <c r="G539">
        <v>3.98</v>
      </c>
      <c r="H539">
        <v>4.1500000000000004</v>
      </c>
      <c r="I539">
        <v>4.22</v>
      </c>
      <c r="J539">
        <v>3.71</v>
      </c>
      <c r="K539">
        <v>3.9</v>
      </c>
      <c r="L539">
        <v>4.5</v>
      </c>
      <c r="M539">
        <f t="shared" si="16"/>
        <v>4.0259999999999998</v>
      </c>
      <c r="N539">
        <f t="shared" si="17"/>
        <v>4.096000000000001</v>
      </c>
    </row>
    <row r="540" spans="1:14" ht="14.25" customHeight="1" x14ac:dyDescent="0.3">
      <c r="A540" t="s">
        <v>1107</v>
      </c>
      <c r="B540" t="s">
        <v>1108</v>
      </c>
      <c r="C540">
        <v>3.84</v>
      </c>
      <c r="D540">
        <v>4.17</v>
      </c>
      <c r="E540">
        <v>3.57</v>
      </c>
      <c r="F540">
        <v>4</v>
      </c>
      <c r="G540">
        <v>3.42</v>
      </c>
      <c r="H540">
        <v>3.86</v>
      </c>
      <c r="I540">
        <v>3.78</v>
      </c>
      <c r="J540">
        <v>3.77</v>
      </c>
      <c r="K540">
        <v>4.2</v>
      </c>
      <c r="L540">
        <v>4.4000000000000004</v>
      </c>
      <c r="M540">
        <f t="shared" si="16"/>
        <v>3.8</v>
      </c>
      <c r="N540">
        <f t="shared" si="17"/>
        <v>4.0019999999999998</v>
      </c>
    </row>
    <row r="541" spans="1:14" ht="14.25" customHeight="1" x14ac:dyDescent="0.3">
      <c r="A541" t="s">
        <v>1109</v>
      </c>
      <c r="B541" t="s">
        <v>1110</v>
      </c>
      <c r="C541">
        <v>4.41</v>
      </c>
      <c r="D541">
        <v>3.9</v>
      </c>
      <c r="F541">
        <v>3.69</v>
      </c>
      <c r="G541">
        <v>3.67</v>
      </c>
      <c r="H541">
        <v>4.22</v>
      </c>
      <c r="I541">
        <v>3.78</v>
      </c>
      <c r="J541">
        <v>3.77</v>
      </c>
      <c r="K541">
        <v>3.93</v>
      </c>
      <c r="L541">
        <v>4.1900000000000004</v>
      </c>
      <c r="M541">
        <f t="shared" si="16"/>
        <v>3.9175</v>
      </c>
      <c r="N541">
        <f t="shared" si="17"/>
        <v>3.9780000000000002</v>
      </c>
    </row>
    <row r="542" spans="1:14" ht="14.25" customHeight="1" x14ac:dyDescent="0.3">
      <c r="A542" t="s">
        <v>1111</v>
      </c>
      <c r="B542" t="s">
        <v>1112</v>
      </c>
      <c r="C542">
        <v>4.2300000000000004</v>
      </c>
      <c r="D542">
        <v>3.78</v>
      </c>
      <c r="E542">
        <v>4.5</v>
      </c>
      <c r="F542">
        <v>3.51</v>
      </c>
      <c r="G542">
        <v>3.64</v>
      </c>
      <c r="H542">
        <v>3.59</v>
      </c>
      <c r="I542">
        <v>4.0199999999999996</v>
      </c>
      <c r="J542">
        <v>4.3099999999999996</v>
      </c>
      <c r="K542">
        <v>4.3099999999999996</v>
      </c>
      <c r="L542">
        <v>4.46</v>
      </c>
      <c r="M542">
        <f t="shared" si="16"/>
        <v>3.9319999999999999</v>
      </c>
      <c r="N542">
        <f t="shared" si="17"/>
        <v>4.1379999999999999</v>
      </c>
    </row>
    <row r="543" spans="1:14" ht="14.25" customHeight="1" x14ac:dyDescent="0.3">
      <c r="A543" t="s">
        <v>1113</v>
      </c>
      <c r="B543" t="s">
        <v>1114</v>
      </c>
      <c r="C543">
        <v>4.09</v>
      </c>
      <c r="D543">
        <v>4.1100000000000003</v>
      </c>
      <c r="E543">
        <v>4.13</v>
      </c>
      <c r="F543">
        <v>3.79</v>
      </c>
      <c r="G543">
        <v>3.07</v>
      </c>
      <c r="H543">
        <v>4.1399999999999997</v>
      </c>
      <c r="I543">
        <v>3.44</v>
      </c>
      <c r="J543">
        <v>4.38</v>
      </c>
      <c r="K543">
        <v>4.13</v>
      </c>
      <c r="L543">
        <v>4.29</v>
      </c>
      <c r="M543">
        <f t="shared" si="16"/>
        <v>3.8379999999999996</v>
      </c>
      <c r="N543">
        <f t="shared" si="17"/>
        <v>4.0759999999999996</v>
      </c>
    </row>
    <row r="544" spans="1:14" ht="14.25" customHeight="1" x14ac:dyDescent="0.3">
      <c r="A544" t="s">
        <v>1115</v>
      </c>
      <c r="B544" t="s">
        <v>1116</v>
      </c>
      <c r="C544">
        <v>4.1100000000000003</v>
      </c>
      <c r="D544">
        <v>3.8</v>
      </c>
      <c r="E544">
        <v>3.61</v>
      </c>
      <c r="F544">
        <v>3.91</v>
      </c>
      <c r="G544">
        <v>4.54</v>
      </c>
      <c r="H544">
        <v>4.18</v>
      </c>
      <c r="I544">
        <v>4.07</v>
      </c>
      <c r="J544">
        <v>3.94</v>
      </c>
      <c r="K544">
        <v>4.2699999999999996</v>
      </c>
      <c r="L544">
        <v>3.88</v>
      </c>
      <c r="M544">
        <f t="shared" si="16"/>
        <v>3.9939999999999998</v>
      </c>
      <c r="N544">
        <f t="shared" si="17"/>
        <v>4.0679999999999996</v>
      </c>
    </row>
    <row r="545" spans="1:14" ht="14.25" customHeight="1" x14ac:dyDescent="0.3">
      <c r="A545" t="s">
        <v>1117</v>
      </c>
      <c r="B545" t="s">
        <v>1118</v>
      </c>
      <c r="C545">
        <v>4.32</v>
      </c>
      <c r="D545">
        <v>3.86</v>
      </c>
      <c r="E545">
        <v>3.74</v>
      </c>
      <c r="G545">
        <v>4.7</v>
      </c>
      <c r="H545">
        <v>4.46</v>
      </c>
      <c r="I545">
        <v>4.0199999999999996</v>
      </c>
      <c r="J545">
        <v>3.88</v>
      </c>
      <c r="L545">
        <v>4.3899999999999997</v>
      </c>
      <c r="M545">
        <f t="shared" si="16"/>
        <v>4.1550000000000002</v>
      </c>
      <c r="N545">
        <f t="shared" si="17"/>
        <v>4.1875</v>
      </c>
    </row>
    <row r="546" spans="1:14" ht="14.25" customHeight="1" x14ac:dyDescent="0.3">
      <c r="A546" t="s">
        <v>1119</v>
      </c>
      <c r="B546" t="s">
        <v>1120</v>
      </c>
      <c r="C546">
        <v>3.83</v>
      </c>
      <c r="D546">
        <v>3.69</v>
      </c>
      <c r="E546">
        <v>4.1100000000000003</v>
      </c>
      <c r="F546">
        <v>3.66</v>
      </c>
      <c r="G546">
        <v>3.91</v>
      </c>
      <c r="H546">
        <v>4.05</v>
      </c>
      <c r="I546">
        <v>3.6</v>
      </c>
      <c r="J546">
        <v>3.73</v>
      </c>
      <c r="K546">
        <v>3.82</v>
      </c>
      <c r="L546">
        <v>4.6100000000000003</v>
      </c>
      <c r="M546">
        <f t="shared" si="16"/>
        <v>3.84</v>
      </c>
      <c r="N546">
        <f t="shared" si="17"/>
        <v>3.9620000000000006</v>
      </c>
    </row>
    <row r="547" spans="1:14" ht="14.25" customHeight="1" x14ac:dyDescent="0.3">
      <c r="A547" t="s">
        <v>1121</v>
      </c>
      <c r="B547" t="s">
        <v>1122</v>
      </c>
      <c r="C547">
        <v>4.26</v>
      </c>
      <c r="D547">
        <v>3.96</v>
      </c>
      <c r="E547">
        <v>4.22</v>
      </c>
      <c r="F547">
        <v>4.1900000000000004</v>
      </c>
      <c r="G547">
        <v>4</v>
      </c>
      <c r="H547">
        <v>4.37</v>
      </c>
      <c r="I547">
        <v>4.12</v>
      </c>
      <c r="J547">
        <v>3.97</v>
      </c>
      <c r="L547">
        <v>3.95</v>
      </c>
      <c r="M547">
        <f t="shared" si="16"/>
        <v>4.1259999999999994</v>
      </c>
      <c r="N547">
        <f t="shared" si="17"/>
        <v>4.1025</v>
      </c>
    </row>
    <row r="548" spans="1:14" ht="14.25" customHeight="1" x14ac:dyDescent="0.3">
      <c r="A548" t="s">
        <v>1123</v>
      </c>
      <c r="B548" t="s">
        <v>1124</v>
      </c>
      <c r="C548">
        <v>3.7</v>
      </c>
      <c r="D548">
        <v>3.95</v>
      </c>
      <c r="E548">
        <v>4.0599999999999996</v>
      </c>
      <c r="F548">
        <v>4.3099999999999996</v>
      </c>
      <c r="G548">
        <v>4.09</v>
      </c>
      <c r="H548">
        <v>3.88</v>
      </c>
      <c r="I548">
        <v>3.75</v>
      </c>
      <c r="K548">
        <v>3.89</v>
      </c>
      <c r="L548">
        <v>4.4800000000000004</v>
      </c>
      <c r="M548">
        <f t="shared" si="16"/>
        <v>4.0220000000000002</v>
      </c>
      <c r="N548">
        <f t="shared" si="17"/>
        <v>4</v>
      </c>
    </row>
    <row r="549" spans="1:14" ht="14.25" customHeight="1" x14ac:dyDescent="0.3">
      <c r="A549" t="s">
        <v>1125</v>
      </c>
      <c r="B549" t="s">
        <v>1126</v>
      </c>
      <c r="C549">
        <v>4.3099999999999996</v>
      </c>
      <c r="D549">
        <v>3.65</v>
      </c>
      <c r="E549">
        <v>4.51</v>
      </c>
      <c r="F549">
        <v>3.87</v>
      </c>
      <c r="G549">
        <v>4.1100000000000003</v>
      </c>
      <c r="I549">
        <v>3.79</v>
      </c>
      <c r="J549">
        <v>3.96</v>
      </c>
      <c r="K549">
        <v>4.34</v>
      </c>
      <c r="L549">
        <v>3.97</v>
      </c>
      <c r="M549">
        <f t="shared" si="16"/>
        <v>4.09</v>
      </c>
      <c r="N549">
        <f t="shared" si="17"/>
        <v>4.0149999999999997</v>
      </c>
    </row>
    <row r="550" spans="1:14" ht="14.25" customHeight="1" x14ac:dyDescent="0.3">
      <c r="A550" t="s">
        <v>1127</v>
      </c>
      <c r="B550" t="s">
        <v>1128</v>
      </c>
      <c r="C550">
        <v>4.47</v>
      </c>
      <c r="D550">
        <v>3.58</v>
      </c>
      <c r="E550">
        <v>3.51</v>
      </c>
      <c r="F550">
        <v>4.5</v>
      </c>
      <c r="G550">
        <v>3.36</v>
      </c>
      <c r="H550">
        <v>4.5999999999999996</v>
      </c>
      <c r="I550">
        <v>4.05</v>
      </c>
      <c r="J550">
        <v>4.1900000000000004</v>
      </c>
      <c r="K550">
        <v>4.1500000000000004</v>
      </c>
      <c r="L550">
        <v>3.84</v>
      </c>
      <c r="M550">
        <f t="shared" si="16"/>
        <v>3.8840000000000003</v>
      </c>
      <c r="N550">
        <f t="shared" si="17"/>
        <v>4.1660000000000004</v>
      </c>
    </row>
    <row r="551" spans="1:14" ht="14.25" customHeight="1" x14ac:dyDescent="0.3">
      <c r="A551" t="s">
        <v>1129</v>
      </c>
      <c r="B551" t="s">
        <v>1130</v>
      </c>
      <c r="C551">
        <v>4.4400000000000004</v>
      </c>
      <c r="E551">
        <v>4.45</v>
      </c>
      <c r="F551">
        <v>3.67</v>
      </c>
      <c r="G551">
        <v>3.98</v>
      </c>
      <c r="H551">
        <v>4.0999999999999996</v>
      </c>
      <c r="I551">
        <v>4.45</v>
      </c>
      <c r="J551">
        <v>3.61</v>
      </c>
      <c r="L551">
        <v>3.92</v>
      </c>
      <c r="M551">
        <f t="shared" si="16"/>
        <v>4.1349999999999998</v>
      </c>
      <c r="N551">
        <f t="shared" si="17"/>
        <v>4.0199999999999996</v>
      </c>
    </row>
    <row r="552" spans="1:14" ht="14.25" customHeight="1" x14ac:dyDescent="0.3">
      <c r="A552" t="s">
        <v>1131</v>
      </c>
      <c r="B552" t="s">
        <v>1132</v>
      </c>
      <c r="C552">
        <v>3.92</v>
      </c>
      <c r="D552">
        <v>3.41</v>
      </c>
      <c r="E552">
        <v>4.3</v>
      </c>
      <c r="F552">
        <v>3.51</v>
      </c>
      <c r="G552">
        <v>3.93</v>
      </c>
      <c r="H552">
        <v>3.69</v>
      </c>
      <c r="I552">
        <v>3.79</v>
      </c>
      <c r="J552">
        <v>4.4000000000000004</v>
      </c>
      <c r="K552">
        <v>4.25</v>
      </c>
      <c r="L552" t="s">
        <v>1133</v>
      </c>
      <c r="M552">
        <f t="shared" si="16"/>
        <v>3.8140000000000001</v>
      </c>
      <c r="N552">
        <f t="shared" si="17"/>
        <v>4.0325000000000006</v>
      </c>
    </row>
    <row r="553" spans="1:14" ht="14.25" customHeight="1" x14ac:dyDescent="0.3">
      <c r="A553" t="s">
        <v>1134</v>
      </c>
      <c r="B553" t="s">
        <v>1135</v>
      </c>
      <c r="C553">
        <v>4.08</v>
      </c>
      <c r="D553">
        <v>3.59</v>
      </c>
      <c r="E553">
        <v>4.1900000000000004</v>
      </c>
      <c r="F553">
        <v>4.37</v>
      </c>
      <c r="G553">
        <v>4.03</v>
      </c>
      <c r="H553">
        <v>4.03</v>
      </c>
      <c r="I553">
        <v>4.13</v>
      </c>
      <c r="J553">
        <v>4.3099999999999996</v>
      </c>
      <c r="K553">
        <v>3.91</v>
      </c>
      <c r="L553">
        <v>3.98</v>
      </c>
      <c r="M553">
        <f t="shared" si="16"/>
        <v>4.0520000000000005</v>
      </c>
      <c r="N553">
        <f t="shared" si="17"/>
        <v>4.0720000000000001</v>
      </c>
    </row>
    <row r="554" spans="1:14" ht="14.25" customHeight="1" x14ac:dyDescent="0.3">
      <c r="A554" t="s">
        <v>1136</v>
      </c>
      <c r="B554" t="s">
        <v>1137</v>
      </c>
      <c r="C554">
        <v>3.93</v>
      </c>
      <c r="D554">
        <v>3.52</v>
      </c>
      <c r="E554">
        <v>3.95</v>
      </c>
      <c r="F554">
        <v>3.91</v>
      </c>
      <c r="G554">
        <v>3.78</v>
      </c>
      <c r="H554">
        <v>3.87</v>
      </c>
      <c r="I554">
        <v>4.38</v>
      </c>
      <c r="J554">
        <v>3.92</v>
      </c>
      <c r="K554">
        <v>4.17</v>
      </c>
      <c r="L554">
        <v>3.93</v>
      </c>
      <c r="M554">
        <f t="shared" si="16"/>
        <v>3.8180000000000001</v>
      </c>
      <c r="N554">
        <f t="shared" si="17"/>
        <v>4.0540000000000003</v>
      </c>
    </row>
    <row r="555" spans="1:14" ht="14.25" customHeight="1" x14ac:dyDescent="0.3">
      <c r="A555" t="s">
        <v>1138</v>
      </c>
      <c r="B555" t="s">
        <v>1139</v>
      </c>
      <c r="C555">
        <v>4.12</v>
      </c>
      <c r="D555">
        <v>3.85</v>
      </c>
      <c r="E555">
        <v>3.88</v>
      </c>
      <c r="F555">
        <v>4.1500000000000004</v>
      </c>
      <c r="G555">
        <v>4.5999999999999996</v>
      </c>
      <c r="H555">
        <v>3.51</v>
      </c>
      <c r="I555">
        <v>4.22</v>
      </c>
      <c r="J555">
        <v>3.9</v>
      </c>
      <c r="K555">
        <v>4.74</v>
      </c>
      <c r="L555">
        <v>3.82</v>
      </c>
      <c r="M555">
        <f t="shared" si="16"/>
        <v>4.12</v>
      </c>
      <c r="N555">
        <f t="shared" si="17"/>
        <v>4.0379999999999994</v>
      </c>
    </row>
    <row r="556" spans="1:14" ht="14.25" customHeight="1" x14ac:dyDescent="0.3">
      <c r="A556" t="s">
        <v>1140</v>
      </c>
      <c r="B556" t="s">
        <v>1141</v>
      </c>
      <c r="C556">
        <v>4.7699999999999996</v>
      </c>
      <c r="D556">
        <v>3.57</v>
      </c>
      <c r="E556">
        <v>4.21</v>
      </c>
      <c r="F556">
        <v>4.5199999999999996</v>
      </c>
      <c r="G556">
        <v>4.21</v>
      </c>
      <c r="H556">
        <v>4.33</v>
      </c>
      <c r="I556">
        <v>3.83</v>
      </c>
      <c r="J556">
        <v>4.16</v>
      </c>
      <c r="K556">
        <v>4.3099999999999996</v>
      </c>
      <c r="L556">
        <v>4.21</v>
      </c>
      <c r="M556">
        <f t="shared" si="16"/>
        <v>4.2560000000000002</v>
      </c>
      <c r="N556">
        <f t="shared" si="17"/>
        <v>4.1680000000000001</v>
      </c>
    </row>
    <row r="557" spans="1:14" ht="14.25" customHeight="1" x14ac:dyDescent="0.3">
      <c r="A557" t="s">
        <v>1142</v>
      </c>
      <c r="B557" t="s">
        <v>1143</v>
      </c>
      <c r="C557">
        <v>4.4400000000000004</v>
      </c>
      <c r="D557">
        <v>4.08</v>
      </c>
      <c r="E557">
        <v>4.16</v>
      </c>
      <c r="F557">
        <v>3.32</v>
      </c>
      <c r="G557">
        <v>4.22</v>
      </c>
      <c r="H557">
        <v>3.72</v>
      </c>
      <c r="I557">
        <v>4.08</v>
      </c>
      <c r="J557">
        <v>4.26</v>
      </c>
      <c r="K557">
        <v>4.5999999999999996</v>
      </c>
      <c r="L557">
        <v>3.86</v>
      </c>
      <c r="M557">
        <f t="shared" si="16"/>
        <v>4.0439999999999996</v>
      </c>
      <c r="N557">
        <f t="shared" si="17"/>
        <v>4.1040000000000001</v>
      </c>
    </row>
    <row r="558" spans="1:14" ht="14.25" customHeight="1" x14ac:dyDescent="0.3">
      <c r="A558" t="s">
        <v>1144</v>
      </c>
      <c r="B558" t="s">
        <v>1145</v>
      </c>
      <c r="C558">
        <v>4.04</v>
      </c>
      <c r="D558">
        <v>3.74</v>
      </c>
      <c r="E558">
        <v>3.85</v>
      </c>
      <c r="F558">
        <v>4.1399999999999997</v>
      </c>
      <c r="G558">
        <v>4.18</v>
      </c>
      <c r="H558">
        <v>4.63</v>
      </c>
      <c r="I558">
        <v>4.0199999999999996</v>
      </c>
      <c r="J558">
        <v>3.84</v>
      </c>
      <c r="K558">
        <v>4.29</v>
      </c>
      <c r="L558">
        <v>4.5599999999999996</v>
      </c>
      <c r="M558">
        <f t="shared" si="16"/>
        <v>3.9899999999999998</v>
      </c>
      <c r="N558">
        <f t="shared" si="17"/>
        <v>4.2679999999999989</v>
      </c>
    </row>
    <row r="559" spans="1:14" ht="14.25" customHeight="1" x14ac:dyDescent="0.3">
      <c r="A559" t="s">
        <v>1146</v>
      </c>
      <c r="B559" t="s">
        <v>1147</v>
      </c>
      <c r="C559">
        <v>4.28</v>
      </c>
      <c r="D559">
        <v>4.01</v>
      </c>
      <c r="E559">
        <v>3.82</v>
      </c>
      <c r="F559">
        <v>4.12</v>
      </c>
      <c r="G559">
        <v>3.65</v>
      </c>
      <c r="H559">
        <v>3.82</v>
      </c>
      <c r="J559">
        <v>4.2300000000000004</v>
      </c>
      <c r="K559">
        <v>4.6500000000000004</v>
      </c>
      <c r="L559">
        <v>3.42</v>
      </c>
      <c r="M559">
        <f t="shared" si="16"/>
        <v>3.976</v>
      </c>
      <c r="N559">
        <f t="shared" si="17"/>
        <v>4.03</v>
      </c>
    </row>
    <row r="560" spans="1:14" ht="14.25" customHeight="1" x14ac:dyDescent="0.3">
      <c r="A560" t="s">
        <v>1148</v>
      </c>
      <c r="B560" t="s">
        <v>1149</v>
      </c>
      <c r="C560">
        <v>3.94</v>
      </c>
      <c r="D560">
        <v>3.56</v>
      </c>
      <c r="E560">
        <v>4.03</v>
      </c>
      <c r="F560">
        <v>3.8</v>
      </c>
      <c r="G560">
        <v>4.1399999999999997</v>
      </c>
      <c r="H560">
        <v>4.1100000000000003</v>
      </c>
      <c r="I560">
        <v>3.93</v>
      </c>
      <c r="J560">
        <v>4.25</v>
      </c>
      <c r="K560">
        <v>4.96</v>
      </c>
      <c r="L560">
        <v>3.46</v>
      </c>
      <c r="M560">
        <f t="shared" si="16"/>
        <v>3.8940000000000006</v>
      </c>
      <c r="N560">
        <f t="shared" si="17"/>
        <v>4.1420000000000003</v>
      </c>
    </row>
    <row r="561" spans="1:14" ht="14.25" customHeight="1" x14ac:dyDescent="0.3">
      <c r="A561" t="s">
        <v>1150</v>
      </c>
      <c r="B561" t="s">
        <v>1151</v>
      </c>
      <c r="C561">
        <v>4.43</v>
      </c>
      <c r="D561">
        <v>4.0599999999999996</v>
      </c>
      <c r="E561">
        <v>3.4</v>
      </c>
      <c r="F561">
        <v>4.6500000000000004</v>
      </c>
      <c r="G561">
        <v>3.97</v>
      </c>
      <c r="H561">
        <v>3.9</v>
      </c>
      <c r="J561">
        <v>3.99</v>
      </c>
      <c r="K561">
        <v>4.13</v>
      </c>
      <c r="L561">
        <v>4.2300000000000004</v>
      </c>
      <c r="M561">
        <f t="shared" si="16"/>
        <v>4.1019999999999994</v>
      </c>
      <c r="N561">
        <f t="shared" si="17"/>
        <v>4.0625</v>
      </c>
    </row>
    <row r="562" spans="1:14" ht="14.25" customHeight="1" x14ac:dyDescent="0.3">
      <c r="A562" t="s">
        <v>1152</v>
      </c>
      <c r="B562" t="s">
        <v>1153</v>
      </c>
      <c r="C562">
        <v>4.17</v>
      </c>
      <c r="E562">
        <v>3.89</v>
      </c>
      <c r="F562">
        <v>4.41</v>
      </c>
      <c r="G562">
        <v>4.1500000000000004</v>
      </c>
      <c r="H562">
        <v>4.17</v>
      </c>
      <c r="I562">
        <v>4.21</v>
      </c>
      <c r="J562">
        <v>4.0999999999999996</v>
      </c>
      <c r="K562">
        <v>4.47</v>
      </c>
      <c r="L562">
        <v>3.61</v>
      </c>
      <c r="M562">
        <f t="shared" si="16"/>
        <v>4.1550000000000002</v>
      </c>
      <c r="N562">
        <f t="shared" si="17"/>
        <v>4.1120000000000001</v>
      </c>
    </row>
    <row r="563" spans="1:14" ht="14.25" customHeight="1" x14ac:dyDescent="0.3">
      <c r="A563" t="s">
        <v>1154</v>
      </c>
      <c r="B563" t="s">
        <v>1155</v>
      </c>
      <c r="C563">
        <v>3.92</v>
      </c>
      <c r="D563">
        <v>4.6900000000000004</v>
      </c>
      <c r="F563">
        <v>3.7</v>
      </c>
      <c r="G563">
        <v>4.03</v>
      </c>
      <c r="H563">
        <v>4.33</v>
      </c>
      <c r="I563">
        <v>4.2699999999999996</v>
      </c>
      <c r="J563">
        <v>3.88</v>
      </c>
      <c r="K563">
        <v>4.59</v>
      </c>
      <c r="L563">
        <v>4.03</v>
      </c>
      <c r="M563">
        <f t="shared" si="16"/>
        <v>4.085</v>
      </c>
      <c r="N563">
        <f t="shared" si="17"/>
        <v>4.2200000000000006</v>
      </c>
    </row>
    <row r="564" spans="1:14" ht="14.25" customHeight="1" x14ac:dyDescent="0.3">
      <c r="A564" t="s">
        <v>1156</v>
      </c>
      <c r="B564" t="s">
        <v>1157</v>
      </c>
      <c r="C564">
        <v>4.22</v>
      </c>
      <c r="D564">
        <v>4.1100000000000003</v>
      </c>
      <c r="E564">
        <v>4.0599999999999996</v>
      </c>
      <c r="F564">
        <v>4.1399999999999997</v>
      </c>
      <c r="H564">
        <v>4.55</v>
      </c>
      <c r="I564">
        <v>3.09</v>
      </c>
      <c r="J564">
        <v>4.46</v>
      </c>
      <c r="K564">
        <v>4.13</v>
      </c>
      <c r="L564">
        <v>4.01</v>
      </c>
      <c r="M564">
        <f t="shared" si="16"/>
        <v>4.1325000000000003</v>
      </c>
      <c r="N564">
        <f t="shared" si="17"/>
        <v>4.048</v>
      </c>
    </row>
    <row r="565" spans="1:14" ht="14.25" customHeight="1" x14ac:dyDescent="0.3">
      <c r="A565" t="s">
        <v>1158</v>
      </c>
      <c r="B565" t="s">
        <v>1159</v>
      </c>
      <c r="C565">
        <v>3.9</v>
      </c>
      <c r="D565">
        <v>4.09</v>
      </c>
      <c r="E565">
        <v>4.0199999999999996</v>
      </c>
      <c r="F565">
        <v>3.87</v>
      </c>
      <c r="G565">
        <v>3.92</v>
      </c>
      <c r="H565">
        <v>4.2300000000000004</v>
      </c>
      <c r="I565">
        <v>3.92</v>
      </c>
      <c r="J565">
        <v>4.6399999999999997</v>
      </c>
      <c r="K565">
        <v>4.05</v>
      </c>
      <c r="L565">
        <v>3.45</v>
      </c>
      <c r="M565">
        <f t="shared" si="16"/>
        <v>3.9599999999999995</v>
      </c>
      <c r="N565">
        <f t="shared" si="17"/>
        <v>4.0579999999999998</v>
      </c>
    </row>
    <row r="566" spans="1:14" ht="14.25" customHeight="1" x14ac:dyDescent="0.3">
      <c r="A566" t="s">
        <v>1160</v>
      </c>
      <c r="B566" t="s">
        <v>1161</v>
      </c>
      <c r="C566">
        <v>3.31</v>
      </c>
      <c r="D566">
        <v>3.62</v>
      </c>
      <c r="E566">
        <v>3.64</v>
      </c>
      <c r="G566">
        <v>3.94</v>
      </c>
      <c r="H566">
        <v>4.1100000000000003</v>
      </c>
      <c r="J566">
        <v>3.57</v>
      </c>
      <c r="K566">
        <v>4.1100000000000003</v>
      </c>
      <c r="L566">
        <v>4</v>
      </c>
      <c r="M566">
        <f t="shared" si="16"/>
        <v>3.6274999999999999</v>
      </c>
      <c r="N566">
        <f t="shared" si="17"/>
        <v>3.9474999999999998</v>
      </c>
    </row>
    <row r="567" spans="1:14" ht="14.25" customHeight="1" x14ac:dyDescent="0.3">
      <c r="A567" t="s">
        <v>1162</v>
      </c>
      <c r="B567" t="s">
        <v>1163</v>
      </c>
      <c r="C567">
        <v>3.53</v>
      </c>
      <c r="D567">
        <v>4.58</v>
      </c>
      <c r="E567">
        <v>4.2699999999999996</v>
      </c>
      <c r="F567">
        <v>4.22</v>
      </c>
      <c r="G567">
        <v>4.4000000000000004</v>
      </c>
      <c r="H567">
        <v>4.1100000000000003</v>
      </c>
      <c r="I567">
        <v>3.95</v>
      </c>
      <c r="J567">
        <v>3.7</v>
      </c>
      <c r="K567">
        <v>3.87</v>
      </c>
      <c r="L567">
        <v>3.87</v>
      </c>
      <c r="M567">
        <f t="shared" si="16"/>
        <v>4.2</v>
      </c>
      <c r="N567">
        <f t="shared" si="17"/>
        <v>3.9000000000000008</v>
      </c>
    </row>
    <row r="568" spans="1:14" ht="14.25" customHeight="1" x14ac:dyDescent="0.3">
      <c r="A568" t="s">
        <v>1164</v>
      </c>
      <c r="B568" t="s">
        <v>1165</v>
      </c>
      <c r="C568">
        <v>4.51</v>
      </c>
      <c r="D568">
        <v>3.96</v>
      </c>
      <c r="E568">
        <v>4.32</v>
      </c>
      <c r="F568">
        <v>3.96</v>
      </c>
      <c r="G568">
        <v>3.99</v>
      </c>
      <c r="H568">
        <v>3.53</v>
      </c>
      <c r="I568">
        <v>4.45</v>
      </c>
      <c r="J568">
        <v>3.94</v>
      </c>
      <c r="K568">
        <v>4.07</v>
      </c>
      <c r="L568">
        <v>4.1500000000000004</v>
      </c>
      <c r="M568">
        <f t="shared" si="16"/>
        <v>4.1480000000000006</v>
      </c>
      <c r="N568">
        <f t="shared" si="17"/>
        <v>4.0280000000000005</v>
      </c>
    </row>
    <row r="569" spans="1:14" ht="14.25" customHeight="1" x14ac:dyDescent="0.3">
      <c r="A569" t="s">
        <v>1166</v>
      </c>
      <c r="B569" t="s">
        <v>1167</v>
      </c>
      <c r="C569">
        <v>4.21</v>
      </c>
      <c r="D569">
        <v>3.55</v>
      </c>
      <c r="E569">
        <v>3.63</v>
      </c>
      <c r="F569">
        <v>3.92</v>
      </c>
      <c r="G569">
        <v>4.26</v>
      </c>
      <c r="H569">
        <v>4.18</v>
      </c>
      <c r="I569">
        <v>4.08</v>
      </c>
      <c r="K569">
        <v>4</v>
      </c>
      <c r="L569">
        <v>4.09</v>
      </c>
      <c r="M569">
        <f t="shared" si="16"/>
        <v>3.9140000000000001</v>
      </c>
      <c r="N569">
        <f t="shared" si="17"/>
        <v>4.0875000000000004</v>
      </c>
    </row>
    <row r="570" spans="1:14" ht="14.25" customHeight="1" x14ac:dyDescent="0.3">
      <c r="A570" t="s">
        <v>1168</v>
      </c>
      <c r="B570" t="s">
        <v>1169</v>
      </c>
      <c r="C570">
        <v>3.93</v>
      </c>
      <c r="D570">
        <v>4.57</v>
      </c>
      <c r="E570">
        <v>3.96</v>
      </c>
      <c r="F570">
        <v>3.92</v>
      </c>
      <c r="G570">
        <v>3.71</v>
      </c>
      <c r="H570">
        <v>4.07</v>
      </c>
      <c r="I570">
        <v>4.1500000000000004</v>
      </c>
      <c r="J570">
        <v>3.79</v>
      </c>
      <c r="K570">
        <v>3.98</v>
      </c>
      <c r="L570">
        <v>3.89</v>
      </c>
      <c r="M570">
        <f t="shared" si="16"/>
        <v>4.0180000000000007</v>
      </c>
      <c r="N570">
        <f t="shared" si="17"/>
        <v>3.9760000000000004</v>
      </c>
    </row>
    <row r="571" spans="1:14" ht="14.25" customHeight="1" x14ac:dyDescent="0.3">
      <c r="A571" t="s">
        <v>1170</v>
      </c>
      <c r="B571" t="s">
        <v>1171</v>
      </c>
      <c r="D571">
        <v>4.0199999999999996</v>
      </c>
      <c r="E571">
        <v>4.32</v>
      </c>
      <c r="F571">
        <v>3.81</v>
      </c>
      <c r="G571">
        <v>3.74</v>
      </c>
      <c r="H571">
        <v>3.92</v>
      </c>
      <c r="I571">
        <v>4.07</v>
      </c>
      <c r="J571">
        <v>3.47</v>
      </c>
      <c r="K571">
        <v>3.79</v>
      </c>
      <c r="L571">
        <v>3.83</v>
      </c>
      <c r="M571">
        <f t="shared" si="16"/>
        <v>3.9725000000000001</v>
      </c>
      <c r="N571">
        <f t="shared" si="17"/>
        <v>3.8159999999999998</v>
      </c>
    </row>
    <row r="572" spans="1:14" ht="14.25" customHeight="1" x14ac:dyDescent="0.3">
      <c r="A572" t="s">
        <v>1172</v>
      </c>
      <c r="B572" t="s">
        <v>1173</v>
      </c>
      <c r="C572">
        <v>4.33</v>
      </c>
      <c r="D572">
        <v>4.12</v>
      </c>
      <c r="E572">
        <v>3.83</v>
      </c>
      <c r="F572">
        <v>4.0999999999999996</v>
      </c>
      <c r="G572">
        <v>3.98</v>
      </c>
      <c r="H572">
        <v>3.88</v>
      </c>
      <c r="I572">
        <v>3.6</v>
      </c>
      <c r="J572">
        <v>4.0599999999999996</v>
      </c>
      <c r="K572">
        <v>3.79</v>
      </c>
      <c r="L572">
        <v>4.01</v>
      </c>
      <c r="M572">
        <f t="shared" si="16"/>
        <v>4.0720000000000001</v>
      </c>
      <c r="N572">
        <f t="shared" si="17"/>
        <v>3.8679999999999994</v>
      </c>
    </row>
    <row r="573" spans="1:14" ht="14.25" customHeight="1" x14ac:dyDescent="0.3">
      <c r="A573" t="s">
        <v>1174</v>
      </c>
      <c r="B573" t="s">
        <v>1175</v>
      </c>
      <c r="C573">
        <v>4.3499999999999996</v>
      </c>
      <c r="D573">
        <v>3.85</v>
      </c>
      <c r="E573">
        <v>4.1500000000000004</v>
      </c>
      <c r="F573">
        <v>4.18</v>
      </c>
      <c r="G573">
        <v>4.55</v>
      </c>
      <c r="H573">
        <v>3.7</v>
      </c>
      <c r="I573">
        <v>3.78</v>
      </c>
      <c r="J573">
        <v>4.01</v>
      </c>
      <c r="K573">
        <v>4.17</v>
      </c>
      <c r="L573">
        <v>4.09</v>
      </c>
      <c r="M573">
        <f t="shared" si="16"/>
        <v>4.2160000000000002</v>
      </c>
      <c r="N573">
        <f t="shared" si="17"/>
        <v>3.95</v>
      </c>
    </row>
    <row r="574" spans="1:14" ht="14.25" customHeight="1" x14ac:dyDescent="0.3">
      <c r="A574" t="s">
        <v>1176</v>
      </c>
      <c r="B574" t="s">
        <v>1177</v>
      </c>
      <c r="C574">
        <v>4.3099999999999996</v>
      </c>
      <c r="D574">
        <v>4.26</v>
      </c>
      <c r="E574">
        <v>4.4400000000000004</v>
      </c>
      <c r="F574">
        <v>4.3099999999999996</v>
      </c>
      <c r="G574">
        <v>3.83</v>
      </c>
      <c r="H574">
        <v>3.95</v>
      </c>
      <c r="I574">
        <v>4.05</v>
      </c>
      <c r="J574">
        <v>4.18</v>
      </c>
      <c r="K574">
        <v>3.89</v>
      </c>
      <c r="L574">
        <v>4.05</v>
      </c>
      <c r="M574">
        <f t="shared" si="16"/>
        <v>4.2299999999999995</v>
      </c>
      <c r="N574">
        <f t="shared" si="17"/>
        <v>4.024</v>
      </c>
    </row>
    <row r="575" spans="1:14" ht="14.25" customHeight="1" x14ac:dyDescent="0.3">
      <c r="A575" t="s">
        <v>1178</v>
      </c>
      <c r="B575" t="s">
        <v>1179</v>
      </c>
      <c r="C575">
        <v>4.1900000000000004</v>
      </c>
      <c r="D575">
        <v>3.45</v>
      </c>
      <c r="E575">
        <v>4.37</v>
      </c>
      <c r="F575">
        <v>4.1399999999999997</v>
      </c>
      <c r="G575">
        <v>3.97</v>
      </c>
      <c r="H575">
        <v>3.78</v>
      </c>
      <c r="I575">
        <v>3.96</v>
      </c>
      <c r="J575">
        <v>3.52</v>
      </c>
      <c r="K575">
        <v>3.5</v>
      </c>
      <c r="L575">
        <v>4.2300000000000004</v>
      </c>
      <c r="M575">
        <f t="shared" si="16"/>
        <v>4.024</v>
      </c>
      <c r="N575">
        <f t="shared" si="17"/>
        <v>3.7980000000000005</v>
      </c>
    </row>
    <row r="576" spans="1:14" ht="14.25" customHeight="1" x14ac:dyDescent="0.3">
      <c r="A576" t="s">
        <v>1180</v>
      </c>
      <c r="B576" t="s">
        <v>1181</v>
      </c>
      <c r="C576">
        <v>4.08</v>
      </c>
      <c r="D576">
        <v>4.18</v>
      </c>
      <c r="E576">
        <v>4.3</v>
      </c>
      <c r="F576">
        <v>4.0199999999999996</v>
      </c>
      <c r="G576">
        <v>3.89</v>
      </c>
      <c r="H576">
        <v>3.75</v>
      </c>
      <c r="I576">
        <v>4.37</v>
      </c>
      <c r="J576">
        <v>4.09</v>
      </c>
      <c r="K576">
        <v>4.5199999999999996</v>
      </c>
      <c r="L576">
        <v>4.09</v>
      </c>
      <c r="M576">
        <f t="shared" si="16"/>
        <v>4.0939999999999994</v>
      </c>
      <c r="N576">
        <f t="shared" si="17"/>
        <v>4.1639999999999997</v>
      </c>
    </row>
    <row r="577" spans="1:14" ht="14.25" customHeight="1" x14ac:dyDescent="0.3">
      <c r="A577" t="s">
        <v>1182</v>
      </c>
      <c r="B577" t="s">
        <v>1183</v>
      </c>
      <c r="D577">
        <v>3.44</v>
      </c>
      <c r="E577">
        <v>3.75</v>
      </c>
      <c r="F577">
        <v>3.83</v>
      </c>
      <c r="G577">
        <v>3.41</v>
      </c>
      <c r="H577">
        <v>3.46</v>
      </c>
      <c r="I577">
        <v>3.74</v>
      </c>
      <c r="J577">
        <v>4.42</v>
      </c>
      <c r="K577">
        <v>3.93</v>
      </c>
      <c r="L577">
        <v>3.75</v>
      </c>
      <c r="M577">
        <f t="shared" si="16"/>
        <v>3.6074999999999999</v>
      </c>
      <c r="N577">
        <f t="shared" si="17"/>
        <v>3.8600000000000003</v>
      </c>
    </row>
    <row r="578" spans="1:14" ht="14.25" customHeight="1" x14ac:dyDescent="0.3">
      <c r="A578" t="s">
        <v>1184</v>
      </c>
      <c r="B578" t="s">
        <v>1185</v>
      </c>
      <c r="C578">
        <v>4.09</v>
      </c>
      <c r="D578">
        <v>4.09</v>
      </c>
      <c r="E578">
        <v>4.09</v>
      </c>
      <c r="F578">
        <v>4.09</v>
      </c>
      <c r="G578">
        <v>4.67</v>
      </c>
      <c r="H578">
        <v>3.93</v>
      </c>
      <c r="I578">
        <v>4.17</v>
      </c>
      <c r="J578">
        <v>4.5</v>
      </c>
      <c r="K578">
        <v>3.85</v>
      </c>
      <c r="L578">
        <v>3.77</v>
      </c>
      <c r="M578">
        <f t="shared" ref="M578:M641" si="18">AVERAGE(C578:G578)</f>
        <v>4.2060000000000004</v>
      </c>
      <c r="N578">
        <f t="shared" ref="N578:N641" si="19">AVERAGE(H578:L578)</f>
        <v>4.0439999999999996</v>
      </c>
    </row>
    <row r="579" spans="1:14" ht="14.25" customHeight="1" x14ac:dyDescent="0.3">
      <c r="A579" t="s">
        <v>1186</v>
      </c>
      <c r="B579" t="s">
        <v>1187</v>
      </c>
      <c r="D579">
        <v>4.33</v>
      </c>
      <c r="E579">
        <v>4.25</v>
      </c>
      <c r="F579">
        <v>4.32</v>
      </c>
      <c r="G579">
        <v>4.5599999999999996</v>
      </c>
      <c r="H579">
        <v>4.51</v>
      </c>
      <c r="I579">
        <v>4.03</v>
      </c>
      <c r="J579">
        <v>3.7</v>
      </c>
      <c r="K579">
        <v>3.99</v>
      </c>
      <c r="L579">
        <v>4.0599999999999996</v>
      </c>
      <c r="M579">
        <f t="shared" si="18"/>
        <v>4.3650000000000002</v>
      </c>
      <c r="N579">
        <f t="shared" si="19"/>
        <v>4.0579999999999989</v>
      </c>
    </row>
    <row r="580" spans="1:14" ht="14.25" customHeight="1" x14ac:dyDescent="0.3">
      <c r="A580" t="s">
        <v>1188</v>
      </c>
      <c r="B580" t="s">
        <v>1189</v>
      </c>
      <c r="C580">
        <v>4.18</v>
      </c>
      <c r="D580">
        <v>4.45</v>
      </c>
      <c r="E580">
        <v>4.0999999999999996</v>
      </c>
      <c r="F580">
        <v>3.96</v>
      </c>
      <c r="G580">
        <v>4.5</v>
      </c>
      <c r="H580">
        <v>4.07</v>
      </c>
      <c r="I580">
        <v>3.84</v>
      </c>
      <c r="J580">
        <v>3.18</v>
      </c>
      <c r="K580">
        <v>4.3499999999999996</v>
      </c>
      <c r="L580">
        <v>3.62</v>
      </c>
      <c r="M580">
        <f t="shared" si="18"/>
        <v>4.2379999999999995</v>
      </c>
      <c r="N580">
        <f t="shared" si="19"/>
        <v>3.8119999999999998</v>
      </c>
    </row>
    <row r="581" spans="1:14" ht="14.25" customHeight="1" x14ac:dyDescent="0.3">
      <c r="A581" t="s">
        <v>1190</v>
      </c>
      <c r="B581" t="s">
        <v>1191</v>
      </c>
      <c r="C581">
        <v>4.3600000000000003</v>
      </c>
      <c r="D581">
        <v>4.12</v>
      </c>
      <c r="E581">
        <v>3.54</v>
      </c>
      <c r="F581">
        <v>4.01</v>
      </c>
      <c r="G581">
        <v>4.6900000000000004</v>
      </c>
      <c r="H581">
        <v>3.78</v>
      </c>
      <c r="I581">
        <v>4.21</v>
      </c>
      <c r="J581">
        <v>3.88</v>
      </c>
      <c r="K581">
        <v>4.1100000000000003</v>
      </c>
      <c r="L581">
        <v>4.07</v>
      </c>
      <c r="M581">
        <f t="shared" si="18"/>
        <v>4.1440000000000001</v>
      </c>
      <c r="N581">
        <f t="shared" si="19"/>
        <v>4.01</v>
      </c>
    </row>
    <row r="582" spans="1:14" ht="14.25" customHeight="1" x14ac:dyDescent="0.3">
      <c r="A582" t="s">
        <v>1192</v>
      </c>
      <c r="B582" t="s">
        <v>1193</v>
      </c>
      <c r="C582">
        <v>3.81</v>
      </c>
      <c r="D582">
        <v>3.97</v>
      </c>
      <c r="F582">
        <v>3.51</v>
      </c>
      <c r="G582">
        <v>4.38</v>
      </c>
      <c r="H582">
        <v>4.3499999999999996</v>
      </c>
      <c r="I582">
        <v>3.84</v>
      </c>
      <c r="J582">
        <v>3.77</v>
      </c>
      <c r="K582">
        <v>3.88</v>
      </c>
      <c r="L582">
        <v>4.12</v>
      </c>
      <c r="M582">
        <f t="shared" si="18"/>
        <v>3.9174999999999995</v>
      </c>
      <c r="N582">
        <f t="shared" si="19"/>
        <v>3.992</v>
      </c>
    </row>
    <row r="583" spans="1:14" ht="14.25" customHeight="1" x14ac:dyDescent="0.3">
      <c r="A583" t="s">
        <v>1194</v>
      </c>
      <c r="B583" t="s">
        <v>1195</v>
      </c>
      <c r="C583">
        <v>3.92</v>
      </c>
      <c r="D583">
        <v>4.24</v>
      </c>
      <c r="E583">
        <v>4.18</v>
      </c>
      <c r="F583">
        <v>4.74</v>
      </c>
      <c r="G583">
        <v>3.82</v>
      </c>
      <c r="H583">
        <v>4.42</v>
      </c>
      <c r="I583">
        <v>4.3099999999999996</v>
      </c>
      <c r="J583">
        <v>3.66</v>
      </c>
      <c r="K583">
        <v>4.2300000000000004</v>
      </c>
      <c r="L583">
        <v>4.25</v>
      </c>
      <c r="M583">
        <f t="shared" si="18"/>
        <v>4.18</v>
      </c>
      <c r="N583">
        <f t="shared" si="19"/>
        <v>4.1740000000000004</v>
      </c>
    </row>
    <row r="584" spans="1:14" ht="14.25" customHeight="1" x14ac:dyDescent="0.3">
      <c r="A584" t="s">
        <v>1196</v>
      </c>
      <c r="B584" t="s">
        <v>1197</v>
      </c>
      <c r="C584">
        <v>4.29</v>
      </c>
      <c r="D584">
        <v>3.64</v>
      </c>
      <c r="E584">
        <v>3.99</v>
      </c>
      <c r="F584">
        <v>3.48</v>
      </c>
      <c r="G584">
        <v>4.24</v>
      </c>
      <c r="H584">
        <v>3.46</v>
      </c>
      <c r="I584">
        <v>3.86</v>
      </c>
      <c r="J584">
        <v>3.87</v>
      </c>
      <c r="K584">
        <v>4.05</v>
      </c>
      <c r="L584">
        <v>3.58</v>
      </c>
      <c r="M584">
        <f t="shared" si="18"/>
        <v>3.9279999999999999</v>
      </c>
      <c r="N584">
        <f t="shared" si="19"/>
        <v>3.7640000000000002</v>
      </c>
    </row>
    <row r="585" spans="1:14" ht="14.25" customHeight="1" x14ac:dyDescent="0.3">
      <c r="A585" t="s">
        <v>1198</v>
      </c>
      <c r="B585" t="s">
        <v>1199</v>
      </c>
      <c r="C585">
        <v>4.1900000000000004</v>
      </c>
      <c r="D585">
        <v>4.46</v>
      </c>
      <c r="E585">
        <v>4.32</v>
      </c>
      <c r="F585">
        <v>4.25</v>
      </c>
      <c r="G585">
        <v>4.32</v>
      </c>
      <c r="H585">
        <v>4.04</v>
      </c>
      <c r="I585">
        <v>4.08</v>
      </c>
      <c r="J585">
        <v>4.1500000000000004</v>
      </c>
      <c r="K585">
        <v>4.71</v>
      </c>
      <c r="L585">
        <v>4.13</v>
      </c>
      <c r="M585">
        <f t="shared" si="18"/>
        <v>4.3079999999999998</v>
      </c>
      <c r="N585">
        <f t="shared" si="19"/>
        <v>4.2219999999999995</v>
      </c>
    </row>
    <row r="586" spans="1:14" ht="14.25" customHeight="1" x14ac:dyDescent="0.3">
      <c r="A586" t="s">
        <v>1200</v>
      </c>
      <c r="B586" t="s">
        <v>1201</v>
      </c>
      <c r="C586">
        <v>4.34</v>
      </c>
      <c r="D586">
        <v>4.6100000000000003</v>
      </c>
      <c r="E586">
        <v>3.47</v>
      </c>
      <c r="G586">
        <v>3.97</v>
      </c>
      <c r="H586">
        <v>4.18</v>
      </c>
      <c r="I586">
        <v>4.1100000000000003</v>
      </c>
      <c r="K586">
        <v>3.04</v>
      </c>
      <c r="L586">
        <v>4.1399999999999997</v>
      </c>
      <c r="M586">
        <f t="shared" si="18"/>
        <v>4.0975000000000001</v>
      </c>
      <c r="N586">
        <f t="shared" si="19"/>
        <v>3.8674999999999997</v>
      </c>
    </row>
    <row r="587" spans="1:14" ht="14.25" customHeight="1" x14ac:dyDescent="0.3">
      <c r="A587" t="s">
        <v>1202</v>
      </c>
      <c r="B587" t="s">
        <v>1203</v>
      </c>
      <c r="C587">
        <v>4.0999999999999996</v>
      </c>
      <c r="D587">
        <v>3.64</v>
      </c>
      <c r="E587">
        <v>4.55</v>
      </c>
      <c r="F587">
        <v>3.67</v>
      </c>
      <c r="G587">
        <v>4.3600000000000003</v>
      </c>
      <c r="H587">
        <v>3.74</v>
      </c>
      <c r="I587">
        <v>4.13</v>
      </c>
      <c r="J587">
        <v>4.1100000000000003</v>
      </c>
      <c r="K587">
        <v>4.59</v>
      </c>
      <c r="L587">
        <v>3.86</v>
      </c>
      <c r="M587">
        <f t="shared" si="18"/>
        <v>4.0640000000000001</v>
      </c>
      <c r="N587">
        <f t="shared" si="19"/>
        <v>4.0860000000000003</v>
      </c>
    </row>
    <row r="588" spans="1:14" ht="14.25" customHeight="1" x14ac:dyDescent="0.3">
      <c r="A588" t="s">
        <v>1204</v>
      </c>
      <c r="B588" t="s">
        <v>1205</v>
      </c>
      <c r="C588">
        <v>4.1399999999999997</v>
      </c>
      <c r="D588">
        <v>3.62</v>
      </c>
      <c r="E588">
        <v>4.1399999999999997</v>
      </c>
      <c r="F588">
        <v>3.93</v>
      </c>
      <c r="G588">
        <v>3.7</v>
      </c>
      <c r="I588">
        <v>4.13</v>
      </c>
      <c r="J588">
        <v>4.1900000000000004</v>
      </c>
      <c r="K588">
        <v>4.13</v>
      </c>
      <c r="L588">
        <v>4.34</v>
      </c>
      <c r="M588">
        <f t="shared" si="18"/>
        <v>3.9059999999999997</v>
      </c>
      <c r="N588">
        <f t="shared" si="19"/>
        <v>4.1974999999999998</v>
      </c>
    </row>
    <row r="589" spans="1:14" ht="14.25" customHeight="1" x14ac:dyDescent="0.3">
      <c r="A589" t="s">
        <v>1206</v>
      </c>
      <c r="B589" t="s">
        <v>1207</v>
      </c>
      <c r="C589">
        <v>4.08</v>
      </c>
      <c r="D589">
        <v>3.68</v>
      </c>
      <c r="E589">
        <v>4.18</v>
      </c>
      <c r="F589">
        <v>3.92</v>
      </c>
      <c r="G589">
        <v>3.66</v>
      </c>
      <c r="H589">
        <v>4.5</v>
      </c>
      <c r="I589">
        <v>4.2</v>
      </c>
      <c r="J589">
        <v>4.2</v>
      </c>
      <c r="K589">
        <v>4.59</v>
      </c>
      <c r="L589">
        <v>3.95</v>
      </c>
      <c r="M589">
        <f t="shared" si="18"/>
        <v>3.9039999999999999</v>
      </c>
      <c r="N589">
        <f t="shared" si="19"/>
        <v>4.2879999999999994</v>
      </c>
    </row>
    <row r="590" spans="1:14" ht="14.25" customHeight="1" x14ac:dyDescent="0.3">
      <c r="A590" t="s">
        <v>1208</v>
      </c>
      <c r="B590" t="s">
        <v>1209</v>
      </c>
      <c r="C590">
        <v>4.2300000000000004</v>
      </c>
      <c r="D590">
        <v>3.74</v>
      </c>
      <c r="E590">
        <v>4.01</v>
      </c>
      <c r="F590">
        <v>4.24</v>
      </c>
      <c r="G590">
        <v>4</v>
      </c>
      <c r="H590">
        <v>4.55</v>
      </c>
      <c r="I590">
        <v>3.66</v>
      </c>
      <c r="J590">
        <v>4.28</v>
      </c>
      <c r="K590">
        <v>4.07</v>
      </c>
      <c r="L590">
        <v>4.59</v>
      </c>
      <c r="M590">
        <f t="shared" si="18"/>
        <v>4.0439999999999996</v>
      </c>
      <c r="N590">
        <f t="shared" si="19"/>
        <v>4.2300000000000004</v>
      </c>
    </row>
    <row r="591" spans="1:14" ht="14.25" customHeight="1" x14ac:dyDescent="0.3">
      <c r="A591" t="s">
        <v>1210</v>
      </c>
      <c r="B591" t="s">
        <v>1211</v>
      </c>
      <c r="C591">
        <v>4.09</v>
      </c>
      <c r="D591">
        <v>3.88</v>
      </c>
      <c r="E591">
        <v>3.4</v>
      </c>
      <c r="F591">
        <v>4.3600000000000003</v>
      </c>
      <c r="G591">
        <v>4.68</v>
      </c>
      <c r="H591">
        <v>3.58</v>
      </c>
      <c r="I591">
        <v>3.57</v>
      </c>
      <c r="J591">
        <v>4</v>
      </c>
      <c r="K591">
        <v>4.37</v>
      </c>
      <c r="L591">
        <v>3.93</v>
      </c>
      <c r="M591">
        <f t="shared" si="18"/>
        <v>4.0819999999999999</v>
      </c>
      <c r="N591">
        <f t="shared" si="19"/>
        <v>3.8899999999999997</v>
      </c>
    </row>
    <row r="592" spans="1:14" ht="14.25" customHeight="1" x14ac:dyDescent="0.3">
      <c r="A592" t="s">
        <v>1212</v>
      </c>
      <c r="B592" t="s">
        <v>1213</v>
      </c>
      <c r="C592">
        <v>4.18</v>
      </c>
      <c r="D592">
        <v>4</v>
      </c>
      <c r="E592">
        <v>3.69</v>
      </c>
      <c r="F592">
        <v>4.88</v>
      </c>
      <c r="G592">
        <v>4.1100000000000003</v>
      </c>
      <c r="H592">
        <v>4.1500000000000004</v>
      </c>
      <c r="I592">
        <v>4.08</v>
      </c>
      <c r="J592">
        <v>3.58</v>
      </c>
      <c r="K592">
        <v>3.61</v>
      </c>
      <c r="M592">
        <f t="shared" si="18"/>
        <v>4.1719999999999997</v>
      </c>
      <c r="N592">
        <f t="shared" si="19"/>
        <v>3.855</v>
      </c>
    </row>
    <row r="593" spans="1:14" ht="14.25" customHeight="1" x14ac:dyDescent="0.3">
      <c r="A593" t="s">
        <v>1214</v>
      </c>
      <c r="B593" t="s">
        <v>1215</v>
      </c>
      <c r="C593">
        <v>4.38</v>
      </c>
      <c r="D593">
        <v>3.99</v>
      </c>
      <c r="E593" t="s">
        <v>1216</v>
      </c>
      <c r="F593">
        <v>3.72</v>
      </c>
      <c r="G593">
        <v>4.41</v>
      </c>
      <c r="H593">
        <v>3.68</v>
      </c>
      <c r="I593">
        <v>3.94</v>
      </c>
      <c r="J593">
        <v>4.32</v>
      </c>
      <c r="K593">
        <v>4.37</v>
      </c>
      <c r="L593">
        <v>3.44</v>
      </c>
      <c r="M593">
        <f t="shared" si="18"/>
        <v>4.125</v>
      </c>
      <c r="N593">
        <f t="shared" si="19"/>
        <v>3.9500000000000006</v>
      </c>
    </row>
    <row r="594" spans="1:14" ht="14.25" customHeight="1" x14ac:dyDescent="0.3">
      <c r="A594" t="s">
        <v>1217</v>
      </c>
      <c r="B594" t="s">
        <v>1218</v>
      </c>
      <c r="C594">
        <v>3.94</v>
      </c>
      <c r="D594">
        <v>3.72</v>
      </c>
      <c r="E594">
        <v>4.16</v>
      </c>
      <c r="F594">
        <v>4.4400000000000004</v>
      </c>
      <c r="G594">
        <v>4.16</v>
      </c>
      <c r="H594">
        <v>3.6</v>
      </c>
      <c r="I594">
        <v>3.83</v>
      </c>
      <c r="J594">
        <v>3.42</v>
      </c>
      <c r="K594">
        <v>4.1100000000000003</v>
      </c>
      <c r="L594">
        <v>3.73</v>
      </c>
      <c r="M594">
        <f t="shared" si="18"/>
        <v>4.0840000000000005</v>
      </c>
      <c r="N594">
        <f t="shared" si="19"/>
        <v>3.7380000000000004</v>
      </c>
    </row>
    <row r="595" spans="1:14" ht="14.25" customHeight="1" x14ac:dyDescent="0.3">
      <c r="A595" t="s">
        <v>1219</v>
      </c>
      <c r="B595" t="s">
        <v>1220</v>
      </c>
      <c r="C595">
        <v>4.3899999999999997</v>
      </c>
      <c r="D595">
        <v>4.25</v>
      </c>
      <c r="E595">
        <v>3.66</v>
      </c>
      <c r="F595">
        <v>4.37</v>
      </c>
      <c r="G595">
        <v>4.33</v>
      </c>
      <c r="H595">
        <v>3.78</v>
      </c>
      <c r="I595">
        <v>3.84</v>
      </c>
      <c r="K595">
        <v>3.77</v>
      </c>
      <c r="L595">
        <v>4.03</v>
      </c>
      <c r="M595">
        <f t="shared" si="18"/>
        <v>4.2</v>
      </c>
      <c r="N595">
        <f t="shared" si="19"/>
        <v>3.8549999999999995</v>
      </c>
    </row>
    <row r="596" spans="1:14" ht="14.25" customHeight="1" x14ac:dyDescent="0.3">
      <c r="A596" t="s">
        <v>1221</v>
      </c>
      <c r="B596" t="s">
        <v>1222</v>
      </c>
      <c r="C596">
        <v>4.72</v>
      </c>
      <c r="D596">
        <v>4.1500000000000004</v>
      </c>
      <c r="E596">
        <v>3.81</v>
      </c>
      <c r="F596">
        <v>3.99</v>
      </c>
      <c r="G596">
        <v>4.18</v>
      </c>
      <c r="H596">
        <v>3.81</v>
      </c>
      <c r="I596">
        <v>3.71</v>
      </c>
      <c r="J596">
        <v>4.2300000000000004</v>
      </c>
      <c r="K596">
        <v>3.98</v>
      </c>
      <c r="L596">
        <v>3.44</v>
      </c>
      <c r="M596">
        <f t="shared" si="18"/>
        <v>4.17</v>
      </c>
      <c r="N596">
        <f t="shared" si="19"/>
        <v>3.8340000000000005</v>
      </c>
    </row>
    <row r="597" spans="1:14" ht="14.25" customHeight="1" x14ac:dyDescent="0.3">
      <c r="A597" t="s">
        <v>1223</v>
      </c>
      <c r="B597" t="s">
        <v>1224</v>
      </c>
      <c r="C597">
        <v>3.99</v>
      </c>
      <c r="D597">
        <v>4.13</v>
      </c>
      <c r="E597">
        <v>3.95</v>
      </c>
      <c r="F597">
        <v>3.92</v>
      </c>
      <c r="G597">
        <v>3.89</v>
      </c>
      <c r="H597">
        <v>4.55</v>
      </c>
      <c r="I597">
        <v>3.18</v>
      </c>
      <c r="J597">
        <v>4.3099999999999996</v>
      </c>
      <c r="K597">
        <v>4.38</v>
      </c>
      <c r="L597">
        <v>3.15</v>
      </c>
      <c r="M597">
        <f t="shared" si="18"/>
        <v>3.976</v>
      </c>
      <c r="N597">
        <f t="shared" si="19"/>
        <v>3.9139999999999993</v>
      </c>
    </row>
    <row r="598" spans="1:14" ht="14.25" customHeight="1" x14ac:dyDescent="0.3">
      <c r="A598" t="s">
        <v>1225</v>
      </c>
      <c r="B598" t="s">
        <v>1226</v>
      </c>
      <c r="D598">
        <v>3.86</v>
      </c>
      <c r="E598">
        <v>3.91</v>
      </c>
      <c r="F598">
        <v>4.5</v>
      </c>
      <c r="G598">
        <v>4.22</v>
      </c>
      <c r="H598">
        <v>3.67</v>
      </c>
      <c r="I598">
        <v>4.25</v>
      </c>
      <c r="J598">
        <v>4.29</v>
      </c>
      <c r="K598">
        <v>4.04</v>
      </c>
      <c r="L598">
        <v>3.9</v>
      </c>
      <c r="M598">
        <f t="shared" si="18"/>
        <v>4.1224999999999996</v>
      </c>
      <c r="N598">
        <f t="shared" si="19"/>
        <v>4.0299999999999994</v>
      </c>
    </row>
    <row r="599" spans="1:14" ht="14.25" customHeight="1" x14ac:dyDescent="0.3">
      <c r="A599" t="s">
        <v>1227</v>
      </c>
      <c r="B599" t="s">
        <v>1228</v>
      </c>
      <c r="C599">
        <v>4.18</v>
      </c>
      <c r="D599">
        <v>3.78</v>
      </c>
      <c r="E599">
        <v>4.46</v>
      </c>
      <c r="F599">
        <v>4.34</v>
      </c>
      <c r="G599">
        <v>4.1100000000000003</v>
      </c>
      <c r="H599">
        <v>3.93</v>
      </c>
      <c r="I599">
        <v>4.67</v>
      </c>
      <c r="J599">
        <v>4.3099999999999996</v>
      </c>
      <c r="K599">
        <v>3.71</v>
      </c>
      <c r="L599">
        <v>4.0999999999999996</v>
      </c>
      <c r="M599">
        <f t="shared" si="18"/>
        <v>4.1739999999999995</v>
      </c>
      <c r="N599">
        <f t="shared" si="19"/>
        <v>4.1440000000000001</v>
      </c>
    </row>
    <row r="600" spans="1:14" ht="14.25" customHeight="1" x14ac:dyDescent="0.3">
      <c r="A600" t="s">
        <v>1229</v>
      </c>
      <c r="B600" t="s">
        <v>1230</v>
      </c>
      <c r="C600">
        <v>3.71</v>
      </c>
      <c r="D600">
        <v>4.28</v>
      </c>
      <c r="E600">
        <v>4.17</v>
      </c>
      <c r="F600">
        <v>3.41</v>
      </c>
      <c r="G600">
        <v>3.66</v>
      </c>
      <c r="H600">
        <v>3.82</v>
      </c>
      <c r="I600">
        <v>4.54</v>
      </c>
      <c r="J600">
        <v>4.04</v>
      </c>
      <c r="K600">
        <v>4.54</v>
      </c>
      <c r="L600">
        <v>3.88</v>
      </c>
      <c r="M600">
        <f t="shared" si="18"/>
        <v>3.8460000000000001</v>
      </c>
      <c r="N600">
        <f t="shared" si="19"/>
        <v>4.1639999999999997</v>
      </c>
    </row>
    <row r="601" spans="1:14" ht="14.25" customHeight="1" x14ac:dyDescent="0.3">
      <c r="A601" t="s">
        <v>1231</v>
      </c>
      <c r="B601" t="s">
        <v>1232</v>
      </c>
      <c r="C601">
        <v>4.1500000000000004</v>
      </c>
      <c r="D601">
        <v>4.18</v>
      </c>
      <c r="E601">
        <v>4.01</v>
      </c>
      <c r="F601">
        <v>3.89</v>
      </c>
      <c r="G601">
        <v>3.87</v>
      </c>
      <c r="H601">
        <v>3.44</v>
      </c>
      <c r="I601">
        <v>4.21</v>
      </c>
      <c r="J601">
        <v>4.2</v>
      </c>
      <c r="K601">
        <v>3.53</v>
      </c>
      <c r="L601">
        <v>4.1399999999999997</v>
      </c>
      <c r="M601">
        <f t="shared" si="18"/>
        <v>4.0200000000000005</v>
      </c>
      <c r="N601">
        <f t="shared" si="19"/>
        <v>3.9039999999999999</v>
      </c>
    </row>
    <row r="602" spans="1:14" ht="14.25" customHeight="1" x14ac:dyDescent="0.3">
      <c r="A602" t="s">
        <v>1233</v>
      </c>
      <c r="B602" t="s">
        <v>1234</v>
      </c>
      <c r="C602">
        <v>4.1900000000000004</v>
      </c>
      <c r="D602">
        <v>3.97</v>
      </c>
      <c r="E602">
        <v>4.1399999999999997</v>
      </c>
      <c r="F602">
        <v>3.93</v>
      </c>
      <c r="G602">
        <v>3.87</v>
      </c>
      <c r="H602">
        <v>4.24</v>
      </c>
      <c r="I602">
        <v>3.89</v>
      </c>
      <c r="J602">
        <v>4.03</v>
      </c>
      <c r="K602">
        <v>3.95</v>
      </c>
      <c r="L602">
        <v>4.34</v>
      </c>
      <c r="M602">
        <f t="shared" si="18"/>
        <v>4.0200000000000005</v>
      </c>
      <c r="N602">
        <f t="shared" si="19"/>
        <v>4.09</v>
      </c>
    </row>
    <row r="603" spans="1:14" ht="14.25" customHeight="1" x14ac:dyDescent="0.3">
      <c r="A603" t="s">
        <v>1235</v>
      </c>
      <c r="B603" t="s">
        <v>1236</v>
      </c>
      <c r="C603">
        <v>4.22</v>
      </c>
      <c r="D603">
        <v>4.08</v>
      </c>
      <c r="E603">
        <v>4.12</v>
      </c>
      <c r="F603">
        <v>3.72</v>
      </c>
      <c r="G603">
        <v>4.3</v>
      </c>
      <c r="H603">
        <v>3.94</v>
      </c>
      <c r="I603">
        <v>4.01</v>
      </c>
      <c r="J603">
        <v>4.25</v>
      </c>
      <c r="K603">
        <v>4.05</v>
      </c>
      <c r="L603">
        <v>4.03</v>
      </c>
      <c r="M603">
        <f t="shared" si="18"/>
        <v>4.0880000000000001</v>
      </c>
      <c r="N603">
        <f t="shared" si="19"/>
        <v>4.056</v>
      </c>
    </row>
    <row r="604" spans="1:14" ht="14.25" customHeight="1" x14ac:dyDescent="0.3">
      <c r="A604" t="s">
        <v>1237</v>
      </c>
      <c r="B604" t="s">
        <v>1238</v>
      </c>
      <c r="C604">
        <v>4.1399999999999997</v>
      </c>
      <c r="D604">
        <v>4.09</v>
      </c>
      <c r="E604">
        <v>3.78</v>
      </c>
      <c r="F604">
        <v>4.08</v>
      </c>
      <c r="G604">
        <v>3.77</v>
      </c>
      <c r="H604">
        <v>4.1399999999999997</v>
      </c>
      <c r="I604">
        <v>3.61</v>
      </c>
      <c r="J604">
        <v>4.47</v>
      </c>
      <c r="K604">
        <v>4.1399999999999997</v>
      </c>
      <c r="L604">
        <v>3.9</v>
      </c>
      <c r="M604">
        <f t="shared" si="18"/>
        <v>3.972</v>
      </c>
      <c r="N604">
        <f t="shared" si="19"/>
        <v>4.0519999999999996</v>
      </c>
    </row>
    <row r="605" spans="1:14" ht="14.25" customHeight="1" x14ac:dyDescent="0.3">
      <c r="A605" t="s">
        <v>1239</v>
      </c>
      <c r="B605" t="s">
        <v>1240</v>
      </c>
      <c r="C605">
        <v>3.7</v>
      </c>
      <c r="D605">
        <v>3.64</v>
      </c>
      <c r="E605">
        <v>3.96</v>
      </c>
      <c r="F605">
        <v>3.89</v>
      </c>
      <c r="G605">
        <v>4.03</v>
      </c>
      <c r="H605">
        <v>3.91</v>
      </c>
      <c r="I605">
        <v>3.73</v>
      </c>
      <c r="J605">
        <v>3.73</v>
      </c>
      <c r="K605">
        <v>3.53</v>
      </c>
      <c r="L605">
        <v>4.5</v>
      </c>
      <c r="M605">
        <f t="shared" si="18"/>
        <v>3.8440000000000003</v>
      </c>
      <c r="N605">
        <f t="shared" si="19"/>
        <v>3.88</v>
      </c>
    </row>
    <row r="606" spans="1:14" ht="14.25" customHeight="1" x14ac:dyDescent="0.3">
      <c r="A606" t="s">
        <v>1241</v>
      </c>
      <c r="B606" t="s">
        <v>1242</v>
      </c>
      <c r="C606">
        <v>4.51</v>
      </c>
      <c r="D606">
        <v>4.1900000000000004</v>
      </c>
      <c r="E606">
        <v>3.81</v>
      </c>
      <c r="F606">
        <v>4.1399999999999997</v>
      </c>
      <c r="G606">
        <v>4.21</v>
      </c>
      <c r="H606">
        <v>4.1500000000000004</v>
      </c>
      <c r="I606">
        <v>4.5</v>
      </c>
      <c r="K606">
        <v>4.09</v>
      </c>
      <c r="L606">
        <v>3.78</v>
      </c>
      <c r="M606">
        <f t="shared" si="18"/>
        <v>4.1719999999999997</v>
      </c>
      <c r="N606">
        <f t="shared" si="19"/>
        <v>4.13</v>
      </c>
    </row>
    <row r="607" spans="1:14" ht="14.25" customHeight="1" x14ac:dyDescent="0.3">
      <c r="A607" t="s">
        <v>1243</v>
      </c>
      <c r="B607" t="s">
        <v>1244</v>
      </c>
      <c r="C607">
        <v>4.21</v>
      </c>
      <c r="D607">
        <v>4.47</v>
      </c>
      <c r="E607">
        <v>3.96</v>
      </c>
      <c r="F607">
        <v>4</v>
      </c>
      <c r="G607">
        <v>3.86</v>
      </c>
      <c r="H607">
        <v>3.96</v>
      </c>
      <c r="I607">
        <v>3.38</v>
      </c>
      <c r="J607">
        <v>4.1500000000000004</v>
      </c>
      <c r="K607">
        <v>4.5999999999999996</v>
      </c>
      <c r="L607">
        <v>4.5599999999999996</v>
      </c>
      <c r="M607">
        <f t="shared" si="18"/>
        <v>4.0999999999999996</v>
      </c>
      <c r="N607">
        <f t="shared" si="19"/>
        <v>4.13</v>
      </c>
    </row>
    <row r="608" spans="1:14" ht="14.25" customHeight="1" x14ac:dyDescent="0.3">
      <c r="A608" t="s">
        <v>1245</v>
      </c>
      <c r="B608" t="s">
        <v>1246</v>
      </c>
      <c r="C608">
        <v>4.0199999999999996</v>
      </c>
      <c r="D608">
        <v>4.26</v>
      </c>
      <c r="E608">
        <v>4.34</v>
      </c>
      <c r="F608">
        <v>3.51</v>
      </c>
      <c r="G608">
        <v>3.93</v>
      </c>
      <c r="H608" t="s">
        <v>1247</v>
      </c>
      <c r="I608">
        <v>3.77</v>
      </c>
      <c r="J608">
        <v>3.99</v>
      </c>
      <c r="K608">
        <v>3.73</v>
      </c>
      <c r="L608">
        <v>3.85</v>
      </c>
      <c r="M608">
        <f t="shared" si="18"/>
        <v>4.0119999999999996</v>
      </c>
      <c r="N608">
        <f t="shared" si="19"/>
        <v>3.835</v>
      </c>
    </row>
    <row r="609" spans="1:14" ht="14.25" customHeight="1" x14ac:dyDescent="0.3">
      <c r="A609" t="s">
        <v>1248</v>
      </c>
      <c r="B609" t="s">
        <v>1249</v>
      </c>
      <c r="C609">
        <v>3.74</v>
      </c>
      <c r="D609">
        <v>4.18</v>
      </c>
      <c r="E609">
        <v>4.2300000000000004</v>
      </c>
      <c r="F609">
        <v>3.83</v>
      </c>
      <c r="G609">
        <v>4.04</v>
      </c>
      <c r="H609">
        <v>4.21</v>
      </c>
      <c r="I609">
        <v>4.21</v>
      </c>
      <c r="J609">
        <v>4.16</v>
      </c>
      <c r="K609">
        <v>4.2</v>
      </c>
      <c r="L609">
        <v>4.24</v>
      </c>
      <c r="M609">
        <f t="shared" si="18"/>
        <v>4.0039999999999996</v>
      </c>
      <c r="N609">
        <f t="shared" si="19"/>
        <v>4.2040000000000006</v>
      </c>
    </row>
    <row r="610" spans="1:14" ht="14.25" customHeight="1" x14ac:dyDescent="0.3">
      <c r="A610" t="s">
        <v>1250</v>
      </c>
      <c r="B610" t="s">
        <v>1251</v>
      </c>
      <c r="C610">
        <v>3.94</v>
      </c>
      <c r="D610">
        <v>4.3600000000000003</v>
      </c>
      <c r="E610">
        <v>4.26</v>
      </c>
      <c r="F610">
        <v>4.4400000000000004</v>
      </c>
      <c r="G610">
        <v>4.0199999999999996</v>
      </c>
      <c r="H610">
        <v>4.12</v>
      </c>
      <c r="I610">
        <v>4.3499999999999996</v>
      </c>
      <c r="K610">
        <v>3.91</v>
      </c>
      <c r="L610">
        <v>4.3499999999999996</v>
      </c>
      <c r="M610">
        <f t="shared" si="18"/>
        <v>4.2039999999999997</v>
      </c>
      <c r="N610">
        <f t="shared" si="19"/>
        <v>4.1824999999999992</v>
      </c>
    </row>
    <row r="611" spans="1:14" ht="14.25" customHeight="1" x14ac:dyDescent="0.3">
      <c r="A611" t="s">
        <v>1252</v>
      </c>
      <c r="B611" t="s">
        <v>1253</v>
      </c>
      <c r="C611">
        <v>3.62</v>
      </c>
      <c r="D611">
        <v>4.47</v>
      </c>
      <c r="E611">
        <v>4.21</v>
      </c>
      <c r="F611">
        <v>4.2</v>
      </c>
      <c r="G611">
        <v>4.0599999999999996</v>
      </c>
      <c r="H611">
        <v>3.63</v>
      </c>
      <c r="I611">
        <v>3.52</v>
      </c>
      <c r="J611">
        <v>4.07</v>
      </c>
      <c r="K611">
        <v>3.93</v>
      </c>
      <c r="L611">
        <v>4.1500000000000004</v>
      </c>
      <c r="M611">
        <f t="shared" si="18"/>
        <v>4.1120000000000001</v>
      </c>
      <c r="N611">
        <f t="shared" si="19"/>
        <v>3.8600000000000003</v>
      </c>
    </row>
    <row r="612" spans="1:14" ht="14.25" customHeight="1" x14ac:dyDescent="0.3">
      <c r="A612" t="s">
        <v>1254</v>
      </c>
      <c r="B612" t="s">
        <v>1255</v>
      </c>
      <c r="C612">
        <v>3.73</v>
      </c>
      <c r="D612">
        <v>4.12</v>
      </c>
      <c r="E612">
        <v>3.72</v>
      </c>
      <c r="F612">
        <v>4.08</v>
      </c>
      <c r="G612">
        <v>4.12</v>
      </c>
      <c r="H612">
        <v>4.71</v>
      </c>
      <c r="I612">
        <v>3.95</v>
      </c>
      <c r="J612">
        <v>4.87</v>
      </c>
      <c r="K612">
        <v>3.94</v>
      </c>
      <c r="L612">
        <v>3.84</v>
      </c>
      <c r="M612">
        <f t="shared" si="18"/>
        <v>3.9539999999999997</v>
      </c>
      <c r="N612">
        <f t="shared" si="19"/>
        <v>4.2620000000000005</v>
      </c>
    </row>
    <row r="613" spans="1:14" ht="14.25" customHeight="1" x14ac:dyDescent="0.3">
      <c r="A613" t="s">
        <v>1256</v>
      </c>
      <c r="B613" t="s">
        <v>1257</v>
      </c>
      <c r="C613">
        <v>3.94</v>
      </c>
      <c r="D613">
        <v>4.3600000000000003</v>
      </c>
      <c r="E613">
        <v>4.4400000000000004</v>
      </c>
      <c r="F613">
        <v>4.28</v>
      </c>
      <c r="G613">
        <v>4.29</v>
      </c>
      <c r="H613">
        <v>4.8499999999999996</v>
      </c>
      <c r="I613">
        <v>3.4</v>
      </c>
      <c r="J613">
        <v>4.71</v>
      </c>
      <c r="K613">
        <v>4.13</v>
      </c>
      <c r="L613">
        <v>3.66</v>
      </c>
      <c r="M613">
        <f t="shared" si="18"/>
        <v>4.2620000000000005</v>
      </c>
      <c r="N613">
        <f t="shared" si="19"/>
        <v>4.1500000000000004</v>
      </c>
    </row>
    <row r="614" spans="1:14" ht="14.25" customHeight="1" x14ac:dyDescent="0.3">
      <c r="A614" t="s">
        <v>1258</v>
      </c>
      <c r="B614" t="s">
        <v>1259</v>
      </c>
      <c r="C614">
        <v>4.62</v>
      </c>
      <c r="D614">
        <v>4.2</v>
      </c>
      <c r="E614">
        <v>4.4800000000000004</v>
      </c>
      <c r="F614">
        <v>3.94</v>
      </c>
      <c r="G614">
        <v>3.94</v>
      </c>
      <c r="H614">
        <v>3.89</v>
      </c>
      <c r="I614">
        <v>4.72</v>
      </c>
      <c r="J614">
        <v>4.32</v>
      </c>
      <c r="K614">
        <v>4.01</v>
      </c>
      <c r="L614">
        <v>4.29</v>
      </c>
      <c r="M614">
        <f t="shared" si="18"/>
        <v>4.2360000000000007</v>
      </c>
      <c r="N614">
        <f t="shared" si="19"/>
        <v>4.2459999999999996</v>
      </c>
    </row>
    <row r="615" spans="1:14" ht="14.25" customHeight="1" x14ac:dyDescent="0.3">
      <c r="A615" t="s">
        <v>1260</v>
      </c>
      <c r="B615" t="s">
        <v>1261</v>
      </c>
      <c r="C615">
        <v>4.17</v>
      </c>
      <c r="D615">
        <v>3.86</v>
      </c>
      <c r="E615">
        <v>4.1900000000000004</v>
      </c>
      <c r="F615">
        <v>3.83</v>
      </c>
      <c r="G615">
        <v>4.26</v>
      </c>
      <c r="H615">
        <v>4.3899999999999997</v>
      </c>
      <c r="I615">
        <v>4.18</v>
      </c>
      <c r="J615">
        <v>4.1100000000000003</v>
      </c>
      <c r="K615">
        <v>3.86</v>
      </c>
      <c r="L615">
        <v>3.48</v>
      </c>
      <c r="M615">
        <f t="shared" si="18"/>
        <v>4.0619999999999994</v>
      </c>
      <c r="N615">
        <f t="shared" si="19"/>
        <v>4.0039999999999996</v>
      </c>
    </row>
    <row r="616" spans="1:14" ht="14.25" customHeight="1" x14ac:dyDescent="0.3">
      <c r="A616" t="s">
        <v>1262</v>
      </c>
      <c r="B616" t="s">
        <v>1263</v>
      </c>
      <c r="C616">
        <v>3.43</v>
      </c>
      <c r="D616">
        <v>3.54</v>
      </c>
      <c r="E616">
        <v>3.85</v>
      </c>
      <c r="F616">
        <v>4.49</v>
      </c>
      <c r="G616">
        <v>3.91</v>
      </c>
      <c r="H616">
        <v>4.26</v>
      </c>
      <c r="I616">
        <v>4.0599999999999996</v>
      </c>
      <c r="J616">
        <v>3.7</v>
      </c>
      <c r="K616">
        <v>4.07</v>
      </c>
      <c r="L616">
        <v>4.96</v>
      </c>
      <c r="M616">
        <f t="shared" si="18"/>
        <v>3.8439999999999999</v>
      </c>
      <c r="N616">
        <f t="shared" si="19"/>
        <v>4.21</v>
      </c>
    </row>
    <row r="617" spans="1:14" ht="14.25" customHeight="1" x14ac:dyDescent="0.3">
      <c r="A617" t="s">
        <v>1264</v>
      </c>
      <c r="B617" t="s">
        <v>1265</v>
      </c>
      <c r="D617">
        <v>4.16</v>
      </c>
      <c r="E617">
        <v>4.54</v>
      </c>
      <c r="F617">
        <v>4.0999999999999996</v>
      </c>
      <c r="G617">
        <v>4.04</v>
      </c>
      <c r="H617">
        <v>4.03</v>
      </c>
      <c r="I617">
        <v>3.37</v>
      </c>
      <c r="J617">
        <v>4.1500000000000004</v>
      </c>
      <c r="K617">
        <v>3.9</v>
      </c>
      <c r="L617">
        <v>3.76</v>
      </c>
      <c r="M617">
        <f t="shared" si="18"/>
        <v>4.21</v>
      </c>
      <c r="N617">
        <f t="shared" si="19"/>
        <v>3.8420000000000001</v>
      </c>
    </row>
    <row r="618" spans="1:14" ht="14.25" customHeight="1" x14ac:dyDescent="0.3">
      <c r="A618" t="s">
        <v>1266</v>
      </c>
      <c r="B618" t="s">
        <v>1267</v>
      </c>
      <c r="C618">
        <v>3.5</v>
      </c>
      <c r="D618">
        <v>3.92</v>
      </c>
      <c r="E618">
        <v>3.97</v>
      </c>
      <c r="F618">
        <v>3.95</v>
      </c>
      <c r="G618">
        <v>4.6399999999999997</v>
      </c>
      <c r="I618">
        <v>3.82</v>
      </c>
      <c r="J618">
        <v>3.63</v>
      </c>
      <c r="K618">
        <v>3.7</v>
      </c>
      <c r="L618">
        <v>4.5199999999999996</v>
      </c>
      <c r="M618">
        <f t="shared" si="18"/>
        <v>3.996</v>
      </c>
      <c r="N618">
        <f t="shared" si="19"/>
        <v>3.9174999999999995</v>
      </c>
    </row>
    <row r="619" spans="1:14" ht="14.25" customHeight="1" x14ac:dyDescent="0.3">
      <c r="A619" t="s">
        <v>1268</v>
      </c>
      <c r="B619" t="s">
        <v>1269</v>
      </c>
      <c r="C619">
        <v>3.59</v>
      </c>
      <c r="D619">
        <v>4.45</v>
      </c>
      <c r="E619">
        <v>4.4000000000000004</v>
      </c>
      <c r="F619">
        <v>3.2</v>
      </c>
      <c r="G619">
        <v>4.2699999999999996</v>
      </c>
      <c r="H619">
        <v>4.2699999999999996</v>
      </c>
      <c r="I619">
        <v>4.07</v>
      </c>
      <c r="J619">
        <v>4.09</v>
      </c>
      <c r="K619">
        <v>4.03</v>
      </c>
      <c r="L619">
        <v>3.51</v>
      </c>
      <c r="M619">
        <f t="shared" si="18"/>
        <v>3.9820000000000002</v>
      </c>
      <c r="N619">
        <f t="shared" si="19"/>
        <v>3.9939999999999998</v>
      </c>
    </row>
    <row r="620" spans="1:14" ht="14.25" customHeight="1" x14ac:dyDescent="0.3">
      <c r="A620" t="s">
        <v>1270</v>
      </c>
      <c r="B620" t="s">
        <v>1271</v>
      </c>
      <c r="C620">
        <v>4.42</v>
      </c>
      <c r="D620">
        <v>4.29</v>
      </c>
      <c r="E620">
        <v>3.88</v>
      </c>
      <c r="F620">
        <v>4.53</v>
      </c>
      <c r="G620">
        <v>4.09</v>
      </c>
      <c r="H620">
        <v>4.42</v>
      </c>
      <c r="I620">
        <v>3.88</v>
      </c>
      <c r="J620">
        <v>4.25</v>
      </c>
      <c r="K620">
        <v>4.46</v>
      </c>
      <c r="L620">
        <v>3.77</v>
      </c>
      <c r="M620">
        <f t="shared" si="18"/>
        <v>4.242</v>
      </c>
      <c r="N620">
        <f t="shared" si="19"/>
        <v>4.1560000000000006</v>
      </c>
    </row>
    <row r="621" spans="1:14" ht="14.25" customHeight="1" x14ac:dyDescent="0.3">
      <c r="A621" t="s">
        <v>1272</v>
      </c>
      <c r="B621" t="s">
        <v>1273</v>
      </c>
      <c r="C621">
        <v>4.25</v>
      </c>
      <c r="D621">
        <v>4.6100000000000003</v>
      </c>
      <c r="E621">
        <v>3.54</v>
      </c>
      <c r="F621">
        <v>4.4400000000000004</v>
      </c>
      <c r="G621">
        <v>3.71</v>
      </c>
      <c r="H621">
        <v>3.89</v>
      </c>
      <c r="I621">
        <v>3.6</v>
      </c>
      <c r="J621">
        <v>3.9</v>
      </c>
      <c r="K621">
        <v>3.61</v>
      </c>
      <c r="L621">
        <v>3.86</v>
      </c>
      <c r="M621">
        <f t="shared" si="18"/>
        <v>4.1100000000000003</v>
      </c>
      <c r="N621">
        <f t="shared" si="19"/>
        <v>3.7719999999999998</v>
      </c>
    </row>
    <row r="622" spans="1:14" ht="14.25" customHeight="1" x14ac:dyDescent="0.3">
      <c r="A622" t="s">
        <v>1274</v>
      </c>
      <c r="B622" t="s">
        <v>1275</v>
      </c>
      <c r="C622">
        <v>4.2</v>
      </c>
      <c r="D622">
        <v>4.12</v>
      </c>
      <c r="E622">
        <v>4.28</v>
      </c>
      <c r="F622">
        <v>4.1500000000000004</v>
      </c>
      <c r="G622">
        <v>3.84</v>
      </c>
      <c r="H622">
        <v>3.95</v>
      </c>
      <c r="I622">
        <v>3.5</v>
      </c>
      <c r="J622">
        <v>3.97</v>
      </c>
      <c r="L622">
        <v>4.5</v>
      </c>
      <c r="M622">
        <f t="shared" si="18"/>
        <v>4.1180000000000003</v>
      </c>
      <c r="N622">
        <f t="shared" si="19"/>
        <v>3.98</v>
      </c>
    </row>
    <row r="623" spans="1:14" ht="14.25" customHeight="1" x14ac:dyDescent="0.3">
      <c r="A623" t="s">
        <v>1276</v>
      </c>
      <c r="B623" t="s">
        <v>1277</v>
      </c>
      <c r="C623">
        <v>3.77</v>
      </c>
      <c r="D623">
        <v>3.45</v>
      </c>
      <c r="E623">
        <v>4.3899999999999997</v>
      </c>
      <c r="F623">
        <v>4.05</v>
      </c>
      <c r="G623">
        <v>3.83</v>
      </c>
      <c r="H623">
        <v>3.64</v>
      </c>
      <c r="I623">
        <v>4.22</v>
      </c>
      <c r="J623">
        <v>3.83</v>
      </c>
      <c r="K623">
        <v>4.2300000000000004</v>
      </c>
      <c r="L623">
        <v>3.78</v>
      </c>
      <c r="M623">
        <f t="shared" si="18"/>
        <v>3.8980000000000006</v>
      </c>
      <c r="N623">
        <f t="shared" si="19"/>
        <v>3.94</v>
      </c>
    </row>
    <row r="624" spans="1:14" ht="14.25" customHeight="1" x14ac:dyDescent="0.3">
      <c r="A624" t="s">
        <v>1278</v>
      </c>
      <c r="B624" t="s">
        <v>1279</v>
      </c>
      <c r="C624">
        <v>3.75</v>
      </c>
      <c r="D624">
        <v>4.1100000000000003</v>
      </c>
      <c r="E624">
        <v>4.09</v>
      </c>
      <c r="F624">
        <v>3.39</v>
      </c>
      <c r="G624">
        <v>4.09</v>
      </c>
      <c r="H624">
        <v>4.3</v>
      </c>
      <c r="I624">
        <v>3.74</v>
      </c>
      <c r="J624">
        <v>4.22</v>
      </c>
      <c r="K624">
        <v>4.26</v>
      </c>
      <c r="L624">
        <v>4.0599999999999996</v>
      </c>
      <c r="M624">
        <f t="shared" si="18"/>
        <v>3.8860000000000001</v>
      </c>
      <c r="N624">
        <f t="shared" si="19"/>
        <v>4.1159999999999988</v>
      </c>
    </row>
    <row r="625" spans="1:14" ht="14.25" customHeight="1" x14ac:dyDescent="0.3">
      <c r="A625" t="s">
        <v>1280</v>
      </c>
      <c r="B625" t="s">
        <v>1281</v>
      </c>
      <c r="D625">
        <v>4.04</v>
      </c>
      <c r="E625">
        <v>3.75</v>
      </c>
      <c r="F625">
        <v>3.3</v>
      </c>
      <c r="G625">
        <v>4.2300000000000004</v>
      </c>
      <c r="H625">
        <v>3.94</v>
      </c>
      <c r="I625">
        <v>3.99</v>
      </c>
      <c r="J625">
        <v>4.1500000000000004</v>
      </c>
      <c r="K625">
        <v>4</v>
      </c>
      <c r="L625">
        <v>4</v>
      </c>
      <c r="M625">
        <f t="shared" si="18"/>
        <v>3.83</v>
      </c>
      <c r="N625">
        <f t="shared" si="19"/>
        <v>4.016</v>
      </c>
    </row>
    <row r="626" spans="1:14" ht="14.25" customHeight="1" x14ac:dyDescent="0.3">
      <c r="A626" t="s">
        <v>1282</v>
      </c>
      <c r="B626" t="s">
        <v>1283</v>
      </c>
      <c r="C626">
        <v>3.67</v>
      </c>
      <c r="D626">
        <v>3.8</v>
      </c>
      <c r="E626">
        <v>3.93</v>
      </c>
      <c r="F626">
        <v>4.26</v>
      </c>
      <c r="G626">
        <v>4.2300000000000004</v>
      </c>
      <c r="H626">
        <v>4.2</v>
      </c>
      <c r="I626">
        <v>3.99</v>
      </c>
      <c r="J626">
        <v>4.1399999999999997</v>
      </c>
      <c r="K626">
        <v>3.76</v>
      </c>
      <c r="M626">
        <f t="shared" si="18"/>
        <v>3.9780000000000002</v>
      </c>
      <c r="N626">
        <f t="shared" si="19"/>
        <v>4.0225000000000009</v>
      </c>
    </row>
    <row r="627" spans="1:14" ht="14.25" customHeight="1" x14ac:dyDescent="0.3">
      <c r="A627" t="s">
        <v>1284</v>
      </c>
      <c r="B627" t="s">
        <v>1285</v>
      </c>
      <c r="C627">
        <v>4.09</v>
      </c>
      <c r="E627">
        <v>3.93</v>
      </c>
      <c r="F627">
        <v>3.99</v>
      </c>
      <c r="G627">
        <v>4.13</v>
      </c>
      <c r="H627">
        <v>4.08</v>
      </c>
      <c r="I627">
        <v>3.81</v>
      </c>
      <c r="J627">
        <v>4.62</v>
      </c>
      <c r="K627">
        <v>4.2</v>
      </c>
      <c r="L627">
        <v>4.12</v>
      </c>
      <c r="M627">
        <f t="shared" si="18"/>
        <v>4.0350000000000001</v>
      </c>
      <c r="N627">
        <f t="shared" si="19"/>
        <v>4.1660000000000004</v>
      </c>
    </row>
    <row r="628" spans="1:14" ht="14.25" customHeight="1" x14ac:dyDescent="0.3">
      <c r="A628" t="s">
        <v>1286</v>
      </c>
      <c r="B628" t="s">
        <v>1287</v>
      </c>
      <c r="C628">
        <v>3.91</v>
      </c>
      <c r="D628">
        <v>4.4800000000000004</v>
      </c>
      <c r="E628">
        <v>4.49</v>
      </c>
      <c r="F628">
        <v>4.24</v>
      </c>
      <c r="G628">
        <v>3.8</v>
      </c>
      <c r="H628">
        <v>3.95</v>
      </c>
      <c r="I628">
        <v>3.94</v>
      </c>
      <c r="J628">
        <v>4.1500000000000004</v>
      </c>
      <c r="K628">
        <v>4.05</v>
      </c>
      <c r="M628">
        <f t="shared" si="18"/>
        <v>4.1840000000000002</v>
      </c>
      <c r="N628">
        <f t="shared" si="19"/>
        <v>4.0225</v>
      </c>
    </row>
    <row r="629" spans="1:14" ht="14.25" customHeight="1" x14ac:dyDescent="0.3">
      <c r="A629" t="s">
        <v>1288</v>
      </c>
      <c r="B629" t="s">
        <v>1289</v>
      </c>
      <c r="C629">
        <v>3.72</v>
      </c>
      <c r="D629">
        <v>4.13</v>
      </c>
      <c r="E629">
        <v>3.94</v>
      </c>
      <c r="G629">
        <v>3.77</v>
      </c>
      <c r="H629">
        <v>3.66</v>
      </c>
      <c r="I629">
        <v>4.43</v>
      </c>
      <c r="J629">
        <v>4.1100000000000003</v>
      </c>
      <c r="L629">
        <v>3.97</v>
      </c>
      <c r="M629">
        <f t="shared" si="18"/>
        <v>3.8899999999999997</v>
      </c>
      <c r="N629">
        <f t="shared" si="19"/>
        <v>4.0424999999999995</v>
      </c>
    </row>
    <row r="630" spans="1:14" ht="14.25" customHeight="1" x14ac:dyDescent="0.3">
      <c r="A630" t="s">
        <v>1290</v>
      </c>
      <c r="B630" t="s">
        <v>1291</v>
      </c>
      <c r="D630">
        <v>3.71</v>
      </c>
      <c r="E630">
        <v>4.1900000000000004</v>
      </c>
      <c r="F630">
        <v>3.96</v>
      </c>
      <c r="G630">
        <v>3.75</v>
      </c>
      <c r="H630">
        <v>4.03</v>
      </c>
      <c r="J630">
        <v>4.0999999999999996</v>
      </c>
      <c r="K630">
        <v>4.12</v>
      </c>
      <c r="L630">
        <v>4.21</v>
      </c>
      <c r="M630">
        <f t="shared" si="18"/>
        <v>3.9024999999999999</v>
      </c>
      <c r="N630">
        <f t="shared" si="19"/>
        <v>4.1150000000000002</v>
      </c>
    </row>
    <row r="631" spans="1:14" ht="14.25" customHeight="1" x14ac:dyDescent="0.3">
      <c r="A631" t="s">
        <v>1292</v>
      </c>
      <c r="B631" t="s">
        <v>1293</v>
      </c>
      <c r="C631">
        <v>4.34</v>
      </c>
      <c r="D631">
        <v>4.3499999999999996</v>
      </c>
      <c r="E631">
        <v>3.59</v>
      </c>
      <c r="F631">
        <v>4.01</v>
      </c>
      <c r="G631">
        <v>3.78</v>
      </c>
      <c r="H631">
        <v>4.38</v>
      </c>
      <c r="I631">
        <v>3.88</v>
      </c>
      <c r="J631">
        <v>4</v>
      </c>
      <c r="K631">
        <v>3.62</v>
      </c>
      <c r="L631">
        <v>4.13</v>
      </c>
      <c r="M631">
        <f t="shared" si="18"/>
        <v>4.0140000000000002</v>
      </c>
      <c r="N631">
        <f t="shared" si="19"/>
        <v>4.0019999999999998</v>
      </c>
    </row>
    <row r="632" spans="1:14" ht="14.25" customHeight="1" x14ac:dyDescent="0.3">
      <c r="A632" t="s">
        <v>1294</v>
      </c>
      <c r="B632" t="s">
        <v>1295</v>
      </c>
      <c r="C632">
        <v>4.43</v>
      </c>
      <c r="D632">
        <v>3.98</v>
      </c>
      <c r="E632">
        <v>3.95</v>
      </c>
      <c r="F632">
        <v>3.9</v>
      </c>
      <c r="G632">
        <v>4.0999999999999996</v>
      </c>
      <c r="H632">
        <v>4.6399999999999997</v>
      </c>
      <c r="I632">
        <v>3.95</v>
      </c>
      <c r="J632">
        <v>4.01</v>
      </c>
      <c r="K632">
        <v>3.56</v>
      </c>
      <c r="L632">
        <v>4.78</v>
      </c>
      <c r="M632">
        <f t="shared" si="18"/>
        <v>4.0720000000000001</v>
      </c>
      <c r="N632">
        <f t="shared" si="19"/>
        <v>4.1880000000000006</v>
      </c>
    </row>
    <row r="633" spans="1:14" ht="14.25" customHeight="1" x14ac:dyDescent="0.3">
      <c r="A633" t="s">
        <v>1296</v>
      </c>
      <c r="B633" t="s">
        <v>1297</v>
      </c>
      <c r="C633">
        <v>3.79</v>
      </c>
      <c r="D633">
        <v>4.45</v>
      </c>
      <c r="E633">
        <v>3.74</v>
      </c>
      <c r="F633">
        <v>3.2</v>
      </c>
      <c r="G633">
        <v>3.82</v>
      </c>
      <c r="H633">
        <v>3.88</v>
      </c>
      <c r="I633">
        <v>3.33</v>
      </c>
      <c r="J633">
        <v>3.66</v>
      </c>
      <c r="K633">
        <v>3.8</v>
      </c>
      <c r="L633">
        <v>3.83</v>
      </c>
      <c r="M633">
        <f t="shared" si="18"/>
        <v>3.8</v>
      </c>
      <c r="N633">
        <f t="shared" si="19"/>
        <v>3.7</v>
      </c>
    </row>
    <row r="634" spans="1:14" ht="14.25" customHeight="1" x14ac:dyDescent="0.3">
      <c r="A634" t="s">
        <v>1298</v>
      </c>
      <c r="B634" t="s">
        <v>1299</v>
      </c>
      <c r="C634">
        <v>3.51</v>
      </c>
      <c r="D634">
        <v>4.21</v>
      </c>
      <c r="E634">
        <v>4.2699999999999996</v>
      </c>
      <c r="F634">
        <v>4.1100000000000003</v>
      </c>
      <c r="G634">
        <v>4.28</v>
      </c>
      <c r="H634">
        <v>4.0599999999999996</v>
      </c>
      <c r="I634">
        <v>4.1100000000000003</v>
      </c>
      <c r="J634">
        <v>4.49</v>
      </c>
      <c r="K634">
        <v>4.09</v>
      </c>
      <c r="L634">
        <v>4.57</v>
      </c>
      <c r="M634">
        <f t="shared" si="18"/>
        <v>4.0759999999999996</v>
      </c>
      <c r="N634">
        <f t="shared" si="19"/>
        <v>4.2640000000000002</v>
      </c>
    </row>
    <row r="635" spans="1:14" ht="14.25" customHeight="1" x14ac:dyDescent="0.3">
      <c r="A635" t="s">
        <v>1300</v>
      </c>
      <c r="B635" t="s">
        <v>1301</v>
      </c>
      <c r="C635">
        <v>4.1100000000000003</v>
      </c>
      <c r="D635">
        <v>4.25</v>
      </c>
      <c r="E635">
        <v>4.3499999999999996</v>
      </c>
      <c r="G635">
        <v>4.12</v>
      </c>
      <c r="H635">
        <v>4.09</v>
      </c>
      <c r="I635">
        <v>4.25</v>
      </c>
      <c r="J635">
        <v>4.2300000000000004</v>
      </c>
      <c r="K635">
        <v>4.2</v>
      </c>
      <c r="L635">
        <v>4.45</v>
      </c>
      <c r="M635">
        <f t="shared" si="18"/>
        <v>4.2074999999999996</v>
      </c>
      <c r="N635">
        <f t="shared" si="19"/>
        <v>4.2439999999999998</v>
      </c>
    </row>
    <row r="636" spans="1:14" ht="14.25" customHeight="1" x14ac:dyDescent="0.3">
      <c r="A636" t="s">
        <v>1302</v>
      </c>
      <c r="B636" t="s">
        <v>1303</v>
      </c>
      <c r="C636">
        <v>4.26</v>
      </c>
      <c r="D636">
        <v>4.0199999999999996</v>
      </c>
      <c r="E636">
        <v>4</v>
      </c>
      <c r="F636">
        <v>4.2699999999999996</v>
      </c>
      <c r="G636">
        <v>4.04</v>
      </c>
      <c r="H636">
        <v>4.25</v>
      </c>
      <c r="I636">
        <v>4.1900000000000004</v>
      </c>
      <c r="J636">
        <v>3.85</v>
      </c>
      <c r="K636">
        <v>4.12</v>
      </c>
      <c r="L636">
        <v>4.24</v>
      </c>
      <c r="M636">
        <f t="shared" si="18"/>
        <v>4.1179999999999994</v>
      </c>
      <c r="N636">
        <f t="shared" si="19"/>
        <v>4.13</v>
      </c>
    </row>
    <row r="637" spans="1:14" ht="14.25" customHeight="1" x14ac:dyDescent="0.3">
      <c r="A637" t="s">
        <v>1304</v>
      </c>
      <c r="B637" t="s">
        <v>1305</v>
      </c>
      <c r="C637">
        <v>4.53</v>
      </c>
      <c r="D637">
        <v>4.1100000000000003</v>
      </c>
      <c r="E637">
        <v>3.64</v>
      </c>
      <c r="F637">
        <v>4.4400000000000004</v>
      </c>
      <c r="G637">
        <v>4.63</v>
      </c>
      <c r="H637">
        <v>4.53</v>
      </c>
      <c r="I637">
        <v>3.97</v>
      </c>
      <c r="J637">
        <v>4.2699999999999996</v>
      </c>
      <c r="K637">
        <v>4.22</v>
      </c>
      <c r="L637">
        <v>3.61</v>
      </c>
      <c r="M637">
        <f t="shared" si="18"/>
        <v>4.2700000000000005</v>
      </c>
      <c r="N637">
        <f t="shared" si="19"/>
        <v>4.1199999999999992</v>
      </c>
    </row>
    <row r="638" spans="1:14" ht="14.25" customHeight="1" x14ac:dyDescent="0.3">
      <c r="A638" t="s">
        <v>1306</v>
      </c>
      <c r="B638" t="s">
        <v>1307</v>
      </c>
      <c r="C638">
        <v>4.13</v>
      </c>
      <c r="D638">
        <v>3.97</v>
      </c>
      <c r="F638">
        <v>4.62</v>
      </c>
      <c r="G638">
        <v>4.1100000000000003</v>
      </c>
      <c r="H638">
        <v>3.85</v>
      </c>
      <c r="I638">
        <v>3.83</v>
      </c>
      <c r="J638">
        <v>4.26</v>
      </c>
      <c r="K638">
        <v>3.34</v>
      </c>
      <c r="L638">
        <v>3.54</v>
      </c>
      <c r="M638">
        <f t="shared" si="18"/>
        <v>4.2074999999999996</v>
      </c>
      <c r="N638">
        <f t="shared" si="19"/>
        <v>3.7640000000000002</v>
      </c>
    </row>
    <row r="639" spans="1:14" ht="14.25" customHeight="1" x14ac:dyDescent="0.3">
      <c r="A639" t="s">
        <v>1308</v>
      </c>
      <c r="B639" t="s">
        <v>1309</v>
      </c>
      <c r="C639">
        <v>4.08</v>
      </c>
      <c r="D639">
        <v>3.63</v>
      </c>
      <c r="E639">
        <v>4.21</v>
      </c>
      <c r="F639">
        <v>3.84</v>
      </c>
      <c r="G639">
        <v>4.1900000000000004</v>
      </c>
      <c r="H639">
        <v>4.24</v>
      </c>
      <c r="I639">
        <v>3.87</v>
      </c>
      <c r="J639">
        <v>3.86</v>
      </c>
      <c r="K639">
        <v>4.32</v>
      </c>
      <c r="L639">
        <v>4.32</v>
      </c>
      <c r="M639">
        <f t="shared" si="18"/>
        <v>3.9899999999999998</v>
      </c>
      <c r="N639">
        <f t="shared" si="19"/>
        <v>4.1219999999999999</v>
      </c>
    </row>
    <row r="640" spans="1:14" ht="14.25" customHeight="1" x14ac:dyDescent="0.3">
      <c r="A640" t="s">
        <v>1310</v>
      </c>
      <c r="B640" t="s">
        <v>1311</v>
      </c>
      <c r="C640">
        <v>4.08</v>
      </c>
      <c r="D640">
        <v>4.18</v>
      </c>
      <c r="E640">
        <v>3.59</v>
      </c>
      <c r="F640">
        <v>4.1399999999999997</v>
      </c>
      <c r="G640">
        <v>4.4000000000000004</v>
      </c>
      <c r="H640">
        <v>4.2</v>
      </c>
      <c r="I640">
        <v>4.05</v>
      </c>
      <c r="J640">
        <v>3.59</v>
      </c>
      <c r="K640">
        <v>3.67</v>
      </c>
      <c r="L640">
        <v>4.03</v>
      </c>
      <c r="M640">
        <f t="shared" si="18"/>
        <v>4.0780000000000003</v>
      </c>
      <c r="N640">
        <f t="shared" si="19"/>
        <v>3.9079999999999999</v>
      </c>
    </row>
    <row r="641" spans="1:14" ht="14.25" customHeight="1" x14ac:dyDescent="0.3">
      <c r="A641" t="s">
        <v>1312</v>
      </c>
      <c r="B641" t="s">
        <v>1313</v>
      </c>
      <c r="C641">
        <v>3.69</v>
      </c>
      <c r="D641">
        <v>3.99</v>
      </c>
      <c r="E641">
        <v>4.4000000000000004</v>
      </c>
      <c r="F641">
        <v>3.95</v>
      </c>
      <c r="G641">
        <v>3.65</v>
      </c>
      <c r="H641">
        <v>3.83</v>
      </c>
      <c r="I641">
        <v>4.17</v>
      </c>
      <c r="J641">
        <v>3.6</v>
      </c>
      <c r="K641">
        <v>4.2300000000000004</v>
      </c>
      <c r="L641">
        <v>4.7</v>
      </c>
      <c r="M641">
        <f t="shared" si="18"/>
        <v>3.9359999999999999</v>
      </c>
      <c r="N641">
        <f t="shared" si="19"/>
        <v>4.1059999999999999</v>
      </c>
    </row>
    <row r="642" spans="1:14" ht="14.25" customHeight="1" x14ac:dyDescent="0.3">
      <c r="A642" t="s">
        <v>1314</v>
      </c>
      <c r="B642" t="s">
        <v>1315</v>
      </c>
      <c r="C642">
        <v>3.83</v>
      </c>
      <c r="D642">
        <v>4.22</v>
      </c>
      <c r="E642">
        <v>4.37</v>
      </c>
      <c r="F642">
        <v>3.78</v>
      </c>
      <c r="G642">
        <v>4.33</v>
      </c>
      <c r="H642">
        <v>3.93</v>
      </c>
      <c r="I642">
        <v>3.89</v>
      </c>
      <c r="J642">
        <v>4</v>
      </c>
      <c r="K642">
        <v>4.3499999999999996</v>
      </c>
      <c r="L642">
        <v>4.22</v>
      </c>
      <c r="M642">
        <f t="shared" ref="M642:M705" si="20">AVERAGE(C642:G642)</f>
        <v>4.1059999999999999</v>
      </c>
      <c r="N642">
        <f t="shared" ref="N642:N705" si="21">AVERAGE(H642:L642)</f>
        <v>4.0780000000000003</v>
      </c>
    </row>
    <row r="643" spans="1:14" ht="14.25" customHeight="1" x14ac:dyDescent="0.3">
      <c r="A643" t="s">
        <v>1316</v>
      </c>
      <c r="B643" t="s">
        <v>1317</v>
      </c>
      <c r="C643">
        <v>3.74</v>
      </c>
      <c r="D643">
        <v>3.87</v>
      </c>
      <c r="E643">
        <v>3.81</v>
      </c>
      <c r="F643">
        <v>3.82</v>
      </c>
      <c r="G643">
        <v>3.73</v>
      </c>
      <c r="H643">
        <v>4.12</v>
      </c>
      <c r="I643">
        <v>4.1399999999999997</v>
      </c>
      <c r="J643">
        <v>3.79</v>
      </c>
      <c r="K643">
        <v>3.9</v>
      </c>
      <c r="L643">
        <v>4.1900000000000004</v>
      </c>
      <c r="M643">
        <f t="shared" si="20"/>
        <v>3.7939999999999996</v>
      </c>
      <c r="N643">
        <f t="shared" si="21"/>
        <v>4.0280000000000005</v>
      </c>
    </row>
    <row r="644" spans="1:14" ht="14.25" customHeight="1" x14ac:dyDescent="0.3">
      <c r="A644" t="s">
        <v>1318</v>
      </c>
      <c r="B644" t="s">
        <v>1319</v>
      </c>
      <c r="C644">
        <v>3.87</v>
      </c>
      <c r="D644">
        <v>3.81</v>
      </c>
      <c r="E644">
        <v>4.58</v>
      </c>
      <c r="F644">
        <v>4.3499999999999996</v>
      </c>
      <c r="G644">
        <v>3.59</v>
      </c>
      <c r="H644">
        <v>4.01</v>
      </c>
      <c r="I644">
        <v>4.21</v>
      </c>
      <c r="J644">
        <v>3.34</v>
      </c>
      <c r="K644">
        <v>4.1500000000000004</v>
      </c>
      <c r="L644">
        <v>4.12</v>
      </c>
      <c r="M644">
        <f t="shared" si="20"/>
        <v>4.04</v>
      </c>
      <c r="N644">
        <f t="shared" si="21"/>
        <v>3.9659999999999997</v>
      </c>
    </row>
    <row r="645" spans="1:14" ht="14.25" customHeight="1" x14ac:dyDescent="0.3">
      <c r="A645" t="s">
        <v>1320</v>
      </c>
      <c r="B645" t="s">
        <v>1321</v>
      </c>
      <c r="C645">
        <v>4.12</v>
      </c>
      <c r="D645">
        <v>4.25</v>
      </c>
      <c r="E645">
        <v>3.92</v>
      </c>
      <c r="F645">
        <v>4.29</v>
      </c>
      <c r="H645" t="s">
        <v>1322</v>
      </c>
      <c r="I645">
        <v>3.97</v>
      </c>
      <c r="J645">
        <v>4.54</v>
      </c>
      <c r="K645">
        <v>5.2</v>
      </c>
      <c r="L645">
        <v>4.04</v>
      </c>
      <c r="M645">
        <f t="shared" si="20"/>
        <v>4.1450000000000005</v>
      </c>
      <c r="N645">
        <f t="shared" si="21"/>
        <v>4.4375</v>
      </c>
    </row>
    <row r="646" spans="1:14" ht="14.25" customHeight="1" x14ac:dyDescent="0.3">
      <c r="A646" t="s">
        <v>1323</v>
      </c>
      <c r="B646" t="s">
        <v>1324</v>
      </c>
      <c r="C646">
        <v>4.32</v>
      </c>
      <c r="D646">
        <v>4.0599999999999996</v>
      </c>
      <c r="E646">
        <v>4.3</v>
      </c>
      <c r="F646">
        <v>3.55</v>
      </c>
      <c r="G646">
        <v>3.78</v>
      </c>
      <c r="H646">
        <v>4.24</v>
      </c>
      <c r="I646">
        <v>3.64</v>
      </c>
      <c r="J646">
        <v>3.83</v>
      </c>
      <c r="K646">
        <v>3.67</v>
      </c>
      <c r="L646">
        <v>4.12</v>
      </c>
      <c r="M646">
        <f t="shared" si="20"/>
        <v>4.0020000000000007</v>
      </c>
      <c r="N646">
        <f t="shared" si="21"/>
        <v>3.9</v>
      </c>
    </row>
    <row r="647" spans="1:14" ht="14.25" customHeight="1" x14ac:dyDescent="0.3">
      <c r="A647" t="s">
        <v>1325</v>
      </c>
      <c r="B647" t="s">
        <v>1326</v>
      </c>
      <c r="C647">
        <v>4.12</v>
      </c>
      <c r="D647">
        <v>4.5599999999999996</v>
      </c>
      <c r="E647">
        <v>4.1100000000000003</v>
      </c>
      <c r="F647">
        <v>4.28</v>
      </c>
      <c r="G647">
        <v>3.7</v>
      </c>
      <c r="H647">
        <v>3.84</v>
      </c>
      <c r="I647">
        <v>3.47</v>
      </c>
      <c r="J647">
        <v>4.16</v>
      </c>
      <c r="K647">
        <v>3.98</v>
      </c>
      <c r="M647">
        <f t="shared" si="20"/>
        <v>4.1539999999999999</v>
      </c>
      <c r="N647">
        <f t="shared" si="21"/>
        <v>3.8625000000000003</v>
      </c>
    </row>
    <row r="648" spans="1:14" ht="14.25" customHeight="1" x14ac:dyDescent="0.3">
      <c r="A648" t="s">
        <v>1327</v>
      </c>
      <c r="B648" t="s">
        <v>1328</v>
      </c>
      <c r="C648">
        <v>4.1100000000000003</v>
      </c>
      <c r="D648">
        <v>3.56</v>
      </c>
      <c r="E648">
        <v>4.1399999999999997</v>
      </c>
      <c r="F648">
        <v>4.3899999999999997</v>
      </c>
      <c r="G648">
        <v>3.76</v>
      </c>
      <c r="H648">
        <v>3.94</v>
      </c>
      <c r="I648">
        <v>3.9</v>
      </c>
      <c r="J648">
        <v>3.97</v>
      </c>
      <c r="K648">
        <v>4.09</v>
      </c>
      <c r="L648">
        <v>4.03</v>
      </c>
      <c r="M648">
        <f t="shared" si="20"/>
        <v>3.992</v>
      </c>
      <c r="N648">
        <f t="shared" si="21"/>
        <v>3.9859999999999998</v>
      </c>
    </row>
    <row r="649" spans="1:14" ht="14.25" customHeight="1" x14ac:dyDescent="0.3">
      <c r="A649" t="s">
        <v>1329</v>
      </c>
      <c r="B649" t="s">
        <v>1330</v>
      </c>
      <c r="C649">
        <v>4.0999999999999996</v>
      </c>
      <c r="D649">
        <v>4.38</v>
      </c>
      <c r="E649">
        <v>4.0599999999999996</v>
      </c>
      <c r="F649">
        <v>3.51</v>
      </c>
      <c r="G649">
        <v>3.95</v>
      </c>
      <c r="H649">
        <v>3.8</v>
      </c>
      <c r="I649">
        <v>3.7</v>
      </c>
      <c r="J649">
        <v>3.83</v>
      </c>
      <c r="K649">
        <v>4.22</v>
      </c>
      <c r="L649">
        <v>4.09</v>
      </c>
      <c r="M649">
        <f t="shared" si="20"/>
        <v>3.9999999999999991</v>
      </c>
      <c r="N649">
        <f t="shared" si="21"/>
        <v>3.9279999999999999</v>
      </c>
    </row>
    <row r="650" spans="1:14" ht="14.25" customHeight="1" x14ac:dyDescent="0.3">
      <c r="A650" t="s">
        <v>1331</v>
      </c>
      <c r="B650" t="s">
        <v>1332</v>
      </c>
      <c r="C650">
        <v>4.26</v>
      </c>
      <c r="D650">
        <v>4.0199999999999996</v>
      </c>
      <c r="E650">
        <v>3.74</v>
      </c>
      <c r="F650">
        <v>4.3</v>
      </c>
      <c r="G650">
        <v>4.1100000000000003</v>
      </c>
      <c r="H650">
        <v>4.1900000000000004</v>
      </c>
      <c r="I650">
        <v>3.73</v>
      </c>
      <c r="J650">
        <v>3.9</v>
      </c>
      <c r="K650">
        <v>4.16</v>
      </c>
      <c r="L650">
        <v>3.96</v>
      </c>
      <c r="M650">
        <f t="shared" si="20"/>
        <v>4.0860000000000003</v>
      </c>
      <c r="N650">
        <f t="shared" si="21"/>
        <v>3.9880000000000004</v>
      </c>
    </row>
    <row r="651" spans="1:14" ht="14.25" customHeight="1" x14ac:dyDescent="0.3">
      <c r="A651" t="s">
        <v>1333</v>
      </c>
      <c r="B651" t="s">
        <v>1334</v>
      </c>
      <c r="C651">
        <v>4.53</v>
      </c>
      <c r="E651">
        <v>3.84</v>
      </c>
      <c r="F651">
        <v>4.0599999999999996</v>
      </c>
      <c r="G651">
        <v>4.79</v>
      </c>
      <c r="H651">
        <v>4.4000000000000004</v>
      </c>
      <c r="J651">
        <v>4.28</v>
      </c>
      <c r="K651">
        <v>3.98</v>
      </c>
      <c r="L651">
        <v>3.95</v>
      </c>
      <c r="M651">
        <f t="shared" si="20"/>
        <v>4.3049999999999997</v>
      </c>
      <c r="N651">
        <f t="shared" si="21"/>
        <v>4.1524999999999999</v>
      </c>
    </row>
    <row r="652" spans="1:14" ht="14.25" customHeight="1" x14ac:dyDescent="0.3">
      <c r="A652" t="s">
        <v>1335</v>
      </c>
      <c r="B652" t="s">
        <v>1336</v>
      </c>
      <c r="C652">
        <v>3.85</v>
      </c>
      <c r="D652">
        <v>4.03</v>
      </c>
      <c r="E652">
        <v>4.26</v>
      </c>
      <c r="F652">
        <v>3.8</v>
      </c>
      <c r="G652">
        <v>4.1399999999999997</v>
      </c>
      <c r="H652">
        <v>4.18</v>
      </c>
      <c r="I652">
        <v>3.69</v>
      </c>
      <c r="J652">
        <v>3.97</v>
      </c>
      <c r="K652">
        <v>4.7699999999999996</v>
      </c>
      <c r="L652">
        <v>4.38</v>
      </c>
      <c r="M652">
        <f t="shared" si="20"/>
        <v>4.016</v>
      </c>
      <c r="N652">
        <f t="shared" si="21"/>
        <v>4.1979999999999995</v>
      </c>
    </row>
    <row r="653" spans="1:14" ht="14.25" customHeight="1" x14ac:dyDescent="0.3">
      <c r="A653" t="s">
        <v>1337</v>
      </c>
      <c r="B653" t="s">
        <v>1338</v>
      </c>
      <c r="C653">
        <v>4.24</v>
      </c>
      <c r="D653">
        <v>3.85</v>
      </c>
      <c r="E653">
        <v>4.25</v>
      </c>
      <c r="F653">
        <v>3.62</v>
      </c>
      <c r="G653">
        <v>4.28</v>
      </c>
      <c r="H653">
        <v>4.4000000000000004</v>
      </c>
      <c r="I653">
        <v>3.97</v>
      </c>
      <c r="J653">
        <v>4.25</v>
      </c>
      <c r="K653">
        <v>3.98</v>
      </c>
      <c r="L653">
        <v>3.7</v>
      </c>
      <c r="M653">
        <f t="shared" si="20"/>
        <v>4.048</v>
      </c>
      <c r="N653">
        <f t="shared" si="21"/>
        <v>4.0600000000000005</v>
      </c>
    </row>
    <row r="654" spans="1:14" ht="14.25" customHeight="1" x14ac:dyDescent="0.3">
      <c r="A654" t="s">
        <v>1339</v>
      </c>
      <c r="B654" t="s">
        <v>1340</v>
      </c>
      <c r="C654">
        <v>4.4000000000000004</v>
      </c>
      <c r="D654">
        <v>4.03</v>
      </c>
      <c r="E654">
        <v>4.25</v>
      </c>
      <c r="F654">
        <v>3.66</v>
      </c>
      <c r="G654">
        <v>4.0599999999999996</v>
      </c>
      <c r="H654">
        <v>4.34</v>
      </c>
      <c r="I654">
        <v>3.71</v>
      </c>
      <c r="J654">
        <v>3.89</v>
      </c>
      <c r="K654">
        <v>3.96</v>
      </c>
      <c r="L654">
        <v>4.07</v>
      </c>
      <c r="M654">
        <f t="shared" si="20"/>
        <v>4.08</v>
      </c>
      <c r="N654">
        <f t="shared" si="21"/>
        <v>3.9940000000000007</v>
      </c>
    </row>
    <row r="655" spans="1:14" ht="14.25" customHeight="1" x14ac:dyDescent="0.3">
      <c r="A655" t="s">
        <v>1341</v>
      </c>
      <c r="B655" t="s">
        <v>1342</v>
      </c>
      <c r="C655">
        <v>3.62</v>
      </c>
      <c r="D655">
        <v>3.48</v>
      </c>
      <c r="E655">
        <v>3.7</v>
      </c>
      <c r="F655">
        <v>4.5599999999999996</v>
      </c>
      <c r="G655">
        <v>4.13</v>
      </c>
      <c r="H655">
        <v>3.74</v>
      </c>
      <c r="I655">
        <v>4.33</v>
      </c>
      <c r="J655">
        <v>3.49</v>
      </c>
      <c r="K655">
        <v>3.88</v>
      </c>
      <c r="L655">
        <v>4.1500000000000004</v>
      </c>
      <c r="M655">
        <f t="shared" si="20"/>
        <v>3.8979999999999997</v>
      </c>
      <c r="N655">
        <f t="shared" si="21"/>
        <v>3.9180000000000006</v>
      </c>
    </row>
    <row r="656" spans="1:14" ht="14.25" customHeight="1" x14ac:dyDescent="0.3">
      <c r="A656" t="s">
        <v>1343</v>
      </c>
      <c r="B656" t="s">
        <v>1344</v>
      </c>
      <c r="C656">
        <v>3.37</v>
      </c>
      <c r="D656">
        <v>4.2300000000000004</v>
      </c>
      <c r="E656">
        <v>4.22</v>
      </c>
      <c r="F656">
        <v>4.43</v>
      </c>
      <c r="G656">
        <v>3.44</v>
      </c>
      <c r="H656">
        <v>4.53</v>
      </c>
      <c r="I656">
        <v>4.09</v>
      </c>
      <c r="J656">
        <v>4.7</v>
      </c>
      <c r="K656">
        <v>3.98</v>
      </c>
      <c r="L656">
        <v>4.5</v>
      </c>
      <c r="M656">
        <f t="shared" si="20"/>
        <v>3.9380000000000002</v>
      </c>
      <c r="N656">
        <f t="shared" si="21"/>
        <v>4.3600000000000003</v>
      </c>
    </row>
    <row r="657" spans="1:14" ht="14.25" customHeight="1" x14ac:dyDescent="0.3">
      <c r="A657" t="s">
        <v>1345</v>
      </c>
      <c r="B657" t="s">
        <v>1346</v>
      </c>
      <c r="C657">
        <v>3.89</v>
      </c>
      <c r="D657">
        <v>3.56</v>
      </c>
      <c r="E657">
        <v>4.13</v>
      </c>
      <c r="F657">
        <v>4.42</v>
      </c>
      <c r="G657">
        <v>4.46</v>
      </c>
      <c r="H657">
        <v>4.03</v>
      </c>
      <c r="I657">
        <v>4.18</v>
      </c>
      <c r="J657">
        <v>4.05</v>
      </c>
      <c r="K657">
        <v>4.4800000000000004</v>
      </c>
      <c r="L657">
        <v>4.3899999999999997</v>
      </c>
      <c r="M657">
        <f t="shared" si="20"/>
        <v>4.0920000000000005</v>
      </c>
      <c r="N657">
        <f t="shared" si="21"/>
        <v>4.2260000000000009</v>
      </c>
    </row>
    <row r="658" spans="1:14" ht="14.25" customHeight="1" x14ac:dyDescent="0.3">
      <c r="A658" t="s">
        <v>1347</v>
      </c>
      <c r="B658" t="s">
        <v>1348</v>
      </c>
      <c r="C658">
        <v>3.82</v>
      </c>
      <c r="D658">
        <v>4.12</v>
      </c>
      <c r="E658">
        <v>3.69</v>
      </c>
      <c r="F658">
        <v>4.04</v>
      </c>
      <c r="G658">
        <v>4.49</v>
      </c>
      <c r="H658">
        <v>4.2699999999999996</v>
      </c>
      <c r="I658">
        <v>4.05</v>
      </c>
      <c r="J658">
        <v>3.74</v>
      </c>
      <c r="K658">
        <v>4.03</v>
      </c>
      <c r="L658">
        <v>3.42</v>
      </c>
      <c r="M658">
        <f t="shared" si="20"/>
        <v>4.0319999999999991</v>
      </c>
      <c r="N658">
        <f t="shared" si="21"/>
        <v>3.9019999999999997</v>
      </c>
    </row>
    <row r="659" spans="1:14" ht="14.25" customHeight="1" x14ac:dyDescent="0.3">
      <c r="A659" t="s">
        <v>1349</v>
      </c>
      <c r="B659" t="s">
        <v>1350</v>
      </c>
      <c r="C659">
        <v>4.21</v>
      </c>
      <c r="D659">
        <v>4.0599999999999996</v>
      </c>
      <c r="E659">
        <v>4.3</v>
      </c>
      <c r="F659">
        <v>3.91</v>
      </c>
      <c r="G659">
        <v>4.05</v>
      </c>
      <c r="H659">
        <v>3.68</v>
      </c>
      <c r="I659">
        <v>4.42</v>
      </c>
      <c r="J659">
        <v>4.22</v>
      </c>
      <c r="K659">
        <v>4.09</v>
      </c>
      <c r="L659">
        <v>4.83</v>
      </c>
      <c r="M659">
        <f t="shared" si="20"/>
        <v>4.1059999999999999</v>
      </c>
      <c r="N659">
        <f t="shared" si="21"/>
        <v>4.2480000000000002</v>
      </c>
    </row>
    <row r="660" spans="1:14" ht="14.25" customHeight="1" x14ac:dyDescent="0.3">
      <c r="A660" t="s">
        <v>1351</v>
      </c>
      <c r="B660" t="s">
        <v>1352</v>
      </c>
      <c r="C660">
        <v>4.3099999999999996</v>
      </c>
      <c r="D660">
        <v>3.49</v>
      </c>
      <c r="E660">
        <v>4.08</v>
      </c>
      <c r="F660">
        <v>4.0999999999999996</v>
      </c>
      <c r="G660">
        <v>4.2699999999999996</v>
      </c>
      <c r="H660">
        <v>4.21</v>
      </c>
      <c r="I660">
        <v>3.74</v>
      </c>
      <c r="J660">
        <v>3.98</v>
      </c>
      <c r="K660">
        <v>4.53</v>
      </c>
      <c r="L660">
        <v>4.3</v>
      </c>
      <c r="M660">
        <f t="shared" si="20"/>
        <v>4.05</v>
      </c>
      <c r="N660">
        <f t="shared" si="21"/>
        <v>4.1520000000000001</v>
      </c>
    </row>
    <row r="661" spans="1:14" ht="14.25" customHeight="1" x14ac:dyDescent="0.3">
      <c r="A661" t="s">
        <v>1353</v>
      </c>
      <c r="B661" t="s">
        <v>1354</v>
      </c>
      <c r="C661">
        <v>3.86</v>
      </c>
      <c r="D661">
        <v>4.12</v>
      </c>
      <c r="E661">
        <v>3.9</v>
      </c>
      <c r="F661">
        <v>3.39</v>
      </c>
      <c r="G661">
        <v>3.71</v>
      </c>
      <c r="H661">
        <v>3.98</v>
      </c>
      <c r="I661">
        <v>4.4800000000000004</v>
      </c>
      <c r="J661">
        <v>4.18</v>
      </c>
      <c r="K661">
        <v>3.58</v>
      </c>
      <c r="L661">
        <v>3.98</v>
      </c>
      <c r="M661">
        <f t="shared" si="20"/>
        <v>3.7960000000000003</v>
      </c>
      <c r="N661">
        <f t="shared" si="21"/>
        <v>4.04</v>
      </c>
    </row>
    <row r="662" spans="1:14" ht="14.25" customHeight="1" x14ac:dyDescent="0.3">
      <c r="A662" t="s">
        <v>1355</v>
      </c>
      <c r="B662" t="s">
        <v>1356</v>
      </c>
      <c r="C662">
        <v>3.92</v>
      </c>
      <c r="D662">
        <v>3.73</v>
      </c>
      <c r="E662">
        <v>3.97</v>
      </c>
      <c r="F662">
        <v>3.99</v>
      </c>
      <c r="G662">
        <v>3.9</v>
      </c>
      <c r="H662">
        <v>4.2</v>
      </c>
      <c r="I662">
        <v>4.05</v>
      </c>
      <c r="J662">
        <v>4.75</v>
      </c>
      <c r="K662">
        <v>4.07</v>
      </c>
      <c r="L662">
        <v>4.0999999999999996</v>
      </c>
      <c r="M662">
        <f t="shared" si="20"/>
        <v>3.9020000000000001</v>
      </c>
      <c r="N662">
        <f t="shared" si="21"/>
        <v>4.234</v>
      </c>
    </row>
    <row r="663" spans="1:14" ht="14.25" customHeight="1" x14ac:dyDescent="0.3">
      <c r="A663" t="s">
        <v>1357</v>
      </c>
      <c r="B663" t="s">
        <v>1358</v>
      </c>
      <c r="C663">
        <v>3.94</v>
      </c>
      <c r="D663">
        <v>4.2300000000000004</v>
      </c>
      <c r="E663">
        <v>3.94</v>
      </c>
      <c r="F663">
        <v>3.85</v>
      </c>
      <c r="G663">
        <v>4.47</v>
      </c>
      <c r="H663">
        <v>3.66</v>
      </c>
      <c r="I663">
        <v>4.1399999999999997</v>
      </c>
      <c r="J663">
        <v>3.88</v>
      </c>
      <c r="K663">
        <v>4.22</v>
      </c>
      <c r="L663">
        <v>4.34</v>
      </c>
      <c r="M663">
        <f t="shared" si="20"/>
        <v>4.0860000000000003</v>
      </c>
      <c r="N663">
        <f t="shared" si="21"/>
        <v>4.048</v>
      </c>
    </row>
    <row r="664" spans="1:14" ht="14.25" customHeight="1" x14ac:dyDescent="0.3">
      <c r="A664" t="s">
        <v>1359</v>
      </c>
      <c r="B664" t="s">
        <v>1360</v>
      </c>
      <c r="C664">
        <v>3.85</v>
      </c>
      <c r="D664">
        <v>4.45</v>
      </c>
      <c r="E664">
        <v>3.52</v>
      </c>
      <c r="F664">
        <v>3.52</v>
      </c>
      <c r="G664">
        <v>3.78</v>
      </c>
      <c r="H664">
        <v>4.26</v>
      </c>
      <c r="I664">
        <v>4.07</v>
      </c>
      <c r="J664">
        <v>4.2</v>
      </c>
      <c r="K664">
        <v>4.03</v>
      </c>
      <c r="M664">
        <f t="shared" si="20"/>
        <v>3.8240000000000003</v>
      </c>
      <c r="N664">
        <f t="shared" si="21"/>
        <v>4.1400000000000006</v>
      </c>
    </row>
    <row r="665" spans="1:14" ht="14.25" customHeight="1" x14ac:dyDescent="0.3">
      <c r="A665" t="s">
        <v>1361</v>
      </c>
      <c r="B665" t="s">
        <v>1362</v>
      </c>
      <c r="C665">
        <v>3.78</v>
      </c>
      <c r="D665">
        <v>4.28</v>
      </c>
      <c r="E665">
        <v>4.59</v>
      </c>
      <c r="F665">
        <v>4.29</v>
      </c>
      <c r="G665">
        <v>3.87</v>
      </c>
      <c r="H665">
        <v>3.8</v>
      </c>
      <c r="I665">
        <v>4.25</v>
      </c>
      <c r="J665">
        <v>4.1399999999999997</v>
      </c>
      <c r="K665">
        <v>3.91</v>
      </c>
      <c r="L665">
        <v>4.46</v>
      </c>
      <c r="M665">
        <f t="shared" si="20"/>
        <v>4.1620000000000008</v>
      </c>
      <c r="N665">
        <f t="shared" si="21"/>
        <v>4.1120000000000001</v>
      </c>
    </row>
    <row r="666" spans="1:14" ht="14.25" customHeight="1" x14ac:dyDescent="0.3">
      <c r="A666" t="s">
        <v>1363</v>
      </c>
      <c r="B666" t="s">
        <v>1364</v>
      </c>
      <c r="C666">
        <v>4.24</v>
      </c>
      <c r="D666">
        <v>3.35</v>
      </c>
      <c r="E666">
        <v>3.83</v>
      </c>
      <c r="F666">
        <v>3.95</v>
      </c>
      <c r="G666">
        <v>4.28</v>
      </c>
      <c r="H666">
        <v>4.21</v>
      </c>
      <c r="I666">
        <v>3.83</v>
      </c>
      <c r="J666">
        <v>3.82</v>
      </c>
      <c r="K666">
        <v>4.54</v>
      </c>
      <c r="L666">
        <v>3.8</v>
      </c>
      <c r="M666">
        <f t="shared" si="20"/>
        <v>3.9300000000000006</v>
      </c>
      <c r="N666">
        <f t="shared" si="21"/>
        <v>4.04</v>
      </c>
    </row>
    <row r="667" spans="1:14" ht="14.25" customHeight="1" x14ac:dyDescent="0.3">
      <c r="A667" t="s">
        <v>1365</v>
      </c>
      <c r="B667" t="s">
        <v>1366</v>
      </c>
      <c r="C667">
        <v>4.3</v>
      </c>
      <c r="D667">
        <v>4.53</v>
      </c>
      <c r="E667">
        <v>3.71</v>
      </c>
      <c r="F667">
        <v>3.23</v>
      </c>
      <c r="G667">
        <v>3.99</v>
      </c>
      <c r="H667">
        <v>3.95</v>
      </c>
      <c r="I667">
        <v>4.75</v>
      </c>
      <c r="J667">
        <v>4.13</v>
      </c>
      <c r="K667">
        <v>3.69</v>
      </c>
      <c r="L667">
        <v>4.17</v>
      </c>
      <c r="M667">
        <f t="shared" si="20"/>
        <v>3.9519999999999995</v>
      </c>
      <c r="N667">
        <f t="shared" si="21"/>
        <v>4.1379999999999999</v>
      </c>
    </row>
    <row r="668" spans="1:14" ht="14.25" customHeight="1" x14ac:dyDescent="0.3">
      <c r="A668" t="s">
        <v>1367</v>
      </c>
      <c r="B668" t="s">
        <v>1368</v>
      </c>
      <c r="C668">
        <v>3.24</v>
      </c>
      <c r="D668">
        <v>3.55</v>
      </c>
      <c r="E668">
        <v>4.0999999999999996</v>
      </c>
      <c r="F668">
        <v>4.49</v>
      </c>
      <c r="G668">
        <v>4.2699999999999996</v>
      </c>
      <c r="H668">
        <v>3.88</v>
      </c>
      <c r="I668">
        <v>4.01</v>
      </c>
      <c r="J668">
        <v>3.51</v>
      </c>
      <c r="K668">
        <v>3.97</v>
      </c>
      <c r="L668">
        <v>3.97</v>
      </c>
      <c r="M668">
        <f t="shared" si="20"/>
        <v>3.9299999999999997</v>
      </c>
      <c r="N668">
        <f t="shared" si="21"/>
        <v>3.8679999999999999</v>
      </c>
    </row>
    <row r="669" spans="1:14" ht="14.25" customHeight="1" x14ac:dyDescent="0.3">
      <c r="A669" t="s">
        <v>1369</v>
      </c>
      <c r="B669" t="s">
        <v>1370</v>
      </c>
      <c r="C669">
        <v>4</v>
      </c>
      <c r="D669">
        <v>4.2300000000000004</v>
      </c>
      <c r="E669">
        <v>4.08</v>
      </c>
      <c r="F669">
        <v>4.1399999999999997</v>
      </c>
      <c r="G669">
        <v>4.43</v>
      </c>
      <c r="H669">
        <v>3.85</v>
      </c>
      <c r="I669">
        <v>4.54</v>
      </c>
      <c r="J669">
        <v>3.87</v>
      </c>
      <c r="K669">
        <v>3.93</v>
      </c>
      <c r="L669">
        <v>4.28</v>
      </c>
      <c r="M669">
        <f t="shared" si="20"/>
        <v>4.1760000000000002</v>
      </c>
      <c r="N669">
        <f t="shared" si="21"/>
        <v>4.0940000000000003</v>
      </c>
    </row>
    <row r="670" spans="1:14" ht="14.25" customHeight="1" x14ac:dyDescent="0.3">
      <c r="A670" t="s">
        <v>1371</v>
      </c>
      <c r="B670" t="s">
        <v>1372</v>
      </c>
      <c r="C670">
        <v>4.1399999999999997</v>
      </c>
      <c r="D670">
        <v>3.73</v>
      </c>
      <c r="E670">
        <v>4.25</v>
      </c>
      <c r="F670">
        <v>3.56</v>
      </c>
      <c r="G670">
        <v>4.12</v>
      </c>
      <c r="H670">
        <v>4.57</v>
      </c>
      <c r="I670">
        <v>3.93</v>
      </c>
      <c r="J670">
        <v>4.2300000000000004</v>
      </c>
      <c r="K670">
        <v>4.72</v>
      </c>
      <c r="L670">
        <v>4.29</v>
      </c>
      <c r="M670">
        <f t="shared" si="20"/>
        <v>3.96</v>
      </c>
      <c r="N670">
        <f t="shared" si="21"/>
        <v>4.3479999999999999</v>
      </c>
    </row>
    <row r="671" spans="1:14" ht="14.25" customHeight="1" x14ac:dyDescent="0.3">
      <c r="A671" t="s">
        <v>1373</v>
      </c>
      <c r="B671" t="s">
        <v>1374</v>
      </c>
      <c r="C671">
        <v>3.81</v>
      </c>
      <c r="D671">
        <v>3.85</v>
      </c>
      <c r="E671">
        <v>3.9</v>
      </c>
      <c r="F671">
        <v>4.3600000000000003</v>
      </c>
      <c r="G671">
        <v>4.7</v>
      </c>
      <c r="H671">
        <v>4.07</v>
      </c>
      <c r="I671">
        <v>4.24</v>
      </c>
      <c r="J671">
        <v>4.1399999999999997</v>
      </c>
      <c r="K671">
        <v>3.93</v>
      </c>
      <c r="L671">
        <v>3.92</v>
      </c>
      <c r="M671">
        <f t="shared" si="20"/>
        <v>4.1240000000000006</v>
      </c>
      <c r="N671">
        <f t="shared" si="21"/>
        <v>4.0599999999999996</v>
      </c>
    </row>
    <row r="672" spans="1:14" ht="14.25" customHeight="1" x14ac:dyDescent="0.3">
      <c r="A672" t="s">
        <v>1375</v>
      </c>
      <c r="B672" t="s">
        <v>1376</v>
      </c>
      <c r="D672">
        <v>4.28</v>
      </c>
      <c r="E672">
        <v>4.41</v>
      </c>
      <c r="F672">
        <v>3.4</v>
      </c>
      <c r="G672">
        <v>4.0599999999999996</v>
      </c>
      <c r="H672">
        <v>4.18</v>
      </c>
      <c r="I672">
        <v>4.01</v>
      </c>
      <c r="J672">
        <v>3.78</v>
      </c>
      <c r="K672">
        <v>4.01</v>
      </c>
      <c r="L672">
        <v>3.81</v>
      </c>
      <c r="M672">
        <f t="shared" si="20"/>
        <v>4.0375000000000005</v>
      </c>
      <c r="N672">
        <f t="shared" si="21"/>
        <v>3.9579999999999997</v>
      </c>
    </row>
    <row r="673" spans="1:14" ht="14.25" customHeight="1" x14ac:dyDescent="0.3">
      <c r="A673" t="s">
        <v>1377</v>
      </c>
      <c r="B673" t="s">
        <v>1378</v>
      </c>
      <c r="C673">
        <v>3.91</v>
      </c>
      <c r="D673">
        <v>4.45</v>
      </c>
      <c r="E673">
        <v>4.26</v>
      </c>
      <c r="F673">
        <v>4.01</v>
      </c>
      <c r="G673">
        <v>4.29</v>
      </c>
      <c r="H673">
        <v>3.77</v>
      </c>
      <c r="I673">
        <v>4.34</v>
      </c>
      <c r="J673">
        <v>3.96</v>
      </c>
      <c r="K673">
        <v>3.79</v>
      </c>
      <c r="L673">
        <v>4.3</v>
      </c>
      <c r="M673">
        <f t="shared" si="20"/>
        <v>4.1839999999999993</v>
      </c>
      <c r="N673">
        <f t="shared" si="21"/>
        <v>4.032</v>
      </c>
    </row>
    <row r="674" spans="1:14" ht="14.25" customHeight="1" x14ac:dyDescent="0.3">
      <c r="A674" t="s">
        <v>1379</v>
      </c>
      <c r="B674" t="s">
        <v>1380</v>
      </c>
      <c r="C674">
        <v>3.79</v>
      </c>
      <c r="D674">
        <v>3.83</v>
      </c>
      <c r="E674">
        <v>4.49</v>
      </c>
      <c r="F674">
        <v>4.71</v>
      </c>
      <c r="G674">
        <v>3.51</v>
      </c>
      <c r="H674">
        <v>4.1100000000000003</v>
      </c>
      <c r="I674">
        <v>3.93</v>
      </c>
      <c r="K674">
        <v>4.28</v>
      </c>
      <c r="L674">
        <v>3.9</v>
      </c>
      <c r="M674">
        <f t="shared" si="20"/>
        <v>4.0659999999999998</v>
      </c>
      <c r="N674">
        <f t="shared" si="21"/>
        <v>4.0549999999999997</v>
      </c>
    </row>
    <row r="675" spans="1:14" ht="14.25" customHeight="1" x14ac:dyDescent="0.3">
      <c r="A675" t="s">
        <v>1381</v>
      </c>
      <c r="B675" t="s">
        <v>1382</v>
      </c>
      <c r="C675">
        <v>3.86</v>
      </c>
      <c r="D675">
        <v>3.99</v>
      </c>
      <c r="E675">
        <v>3.85</v>
      </c>
      <c r="F675">
        <v>4.24</v>
      </c>
      <c r="G675">
        <v>3.96</v>
      </c>
      <c r="H675">
        <v>4.45</v>
      </c>
      <c r="I675">
        <v>3.76</v>
      </c>
      <c r="J675">
        <v>4.08</v>
      </c>
      <c r="K675">
        <v>4</v>
      </c>
      <c r="L675">
        <v>3.84</v>
      </c>
      <c r="M675">
        <f t="shared" si="20"/>
        <v>3.9799999999999995</v>
      </c>
      <c r="N675">
        <f t="shared" si="21"/>
        <v>4.0259999999999998</v>
      </c>
    </row>
    <row r="676" spans="1:14" ht="14.25" customHeight="1" x14ac:dyDescent="0.3">
      <c r="A676" t="s">
        <v>1383</v>
      </c>
      <c r="B676" t="s">
        <v>1384</v>
      </c>
      <c r="C676">
        <v>4.43</v>
      </c>
      <c r="D676">
        <v>4.08</v>
      </c>
      <c r="E676">
        <v>3.99</v>
      </c>
      <c r="F676">
        <v>3.68</v>
      </c>
      <c r="G676">
        <v>4.7300000000000004</v>
      </c>
      <c r="H676">
        <v>3.71</v>
      </c>
      <c r="I676">
        <v>4.3499999999999996</v>
      </c>
      <c r="J676">
        <v>3.99</v>
      </c>
      <c r="K676">
        <v>3.59</v>
      </c>
      <c r="L676">
        <v>4.08</v>
      </c>
      <c r="M676">
        <f t="shared" si="20"/>
        <v>4.1820000000000004</v>
      </c>
      <c r="N676">
        <f t="shared" si="21"/>
        <v>3.944</v>
      </c>
    </row>
    <row r="677" spans="1:14" ht="14.25" customHeight="1" x14ac:dyDescent="0.3">
      <c r="A677" t="s">
        <v>1385</v>
      </c>
      <c r="B677" t="s">
        <v>1386</v>
      </c>
      <c r="C677">
        <v>3.97</v>
      </c>
      <c r="D677">
        <v>4.0999999999999996</v>
      </c>
      <c r="E677">
        <v>4.33</v>
      </c>
      <c r="F677">
        <v>3.9</v>
      </c>
      <c r="G677">
        <v>3.86</v>
      </c>
      <c r="H677">
        <v>3.97</v>
      </c>
      <c r="I677">
        <v>3.82</v>
      </c>
      <c r="J677">
        <v>4.1500000000000004</v>
      </c>
      <c r="K677">
        <v>4.49</v>
      </c>
      <c r="L677">
        <v>3.78</v>
      </c>
      <c r="M677">
        <f t="shared" si="20"/>
        <v>4.032</v>
      </c>
      <c r="N677">
        <f t="shared" si="21"/>
        <v>4.0419999999999998</v>
      </c>
    </row>
    <row r="678" spans="1:14" ht="14.25" customHeight="1" x14ac:dyDescent="0.3">
      <c r="A678" t="s">
        <v>1387</v>
      </c>
      <c r="B678" t="s">
        <v>1388</v>
      </c>
      <c r="C678">
        <v>3.85</v>
      </c>
      <c r="D678">
        <v>3.82</v>
      </c>
      <c r="E678">
        <v>4.3499999999999996</v>
      </c>
      <c r="F678">
        <v>4.16</v>
      </c>
      <c r="G678">
        <v>3.84</v>
      </c>
      <c r="H678">
        <v>4.16</v>
      </c>
      <c r="I678">
        <v>3.34</v>
      </c>
      <c r="J678">
        <v>4.1500000000000004</v>
      </c>
      <c r="K678">
        <v>3.73</v>
      </c>
      <c r="L678">
        <v>4.43</v>
      </c>
      <c r="M678">
        <f t="shared" si="20"/>
        <v>4.0039999999999996</v>
      </c>
      <c r="N678">
        <f t="shared" si="21"/>
        <v>3.9620000000000006</v>
      </c>
    </row>
    <row r="679" spans="1:14" ht="14.25" customHeight="1" x14ac:dyDescent="0.3">
      <c r="A679" t="s">
        <v>1389</v>
      </c>
      <c r="B679" t="s">
        <v>1390</v>
      </c>
      <c r="C679">
        <v>4.0199999999999996</v>
      </c>
      <c r="D679">
        <v>4.4000000000000004</v>
      </c>
      <c r="E679">
        <v>3.95</v>
      </c>
      <c r="F679">
        <v>3.83</v>
      </c>
      <c r="G679">
        <v>3.42</v>
      </c>
      <c r="H679">
        <v>3.58</v>
      </c>
      <c r="I679">
        <v>4.08</v>
      </c>
      <c r="J679">
        <v>4.01</v>
      </c>
      <c r="K679">
        <v>4.1100000000000003</v>
      </c>
      <c r="L679">
        <v>3.59</v>
      </c>
      <c r="M679">
        <f t="shared" si="20"/>
        <v>3.9240000000000008</v>
      </c>
      <c r="N679">
        <f t="shared" si="21"/>
        <v>3.8740000000000001</v>
      </c>
    </row>
    <row r="680" spans="1:14" ht="14.25" customHeight="1" x14ac:dyDescent="0.3">
      <c r="A680" t="s">
        <v>1391</v>
      </c>
      <c r="B680" t="s">
        <v>1392</v>
      </c>
      <c r="C680">
        <v>3.81</v>
      </c>
      <c r="D680">
        <v>3.22</v>
      </c>
      <c r="E680">
        <v>4.66</v>
      </c>
      <c r="F680">
        <v>4.3899999999999997</v>
      </c>
      <c r="G680">
        <v>4.1900000000000004</v>
      </c>
      <c r="H680">
        <v>3.91</v>
      </c>
      <c r="I680">
        <v>3.61</v>
      </c>
      <c r="J680">
        <v>4.2699999999999996</v>
      </c>
      <c r="K680">
        <v>3.65</v>
      </c>
      <c r="M680">
        <f t="shared" si="20"/>
        <v>4.0540000000000003</v>
      </c>
      <c r="N680">
        <f t="shared" si="21"/>
        <v>3.86</v>
      </c>
    </row>
    <row r="681" spans="1:14" ht="14.25" customHeight="1" x14ac:dyDescent="0.3">
      <c r="A681" t="s">
        <v>1393</v>
      </c>
      <c r="B681" t="s">
        <v>1394</v>
      </c>
      <c r="C681">
        <v>4</v>
      </c>
      <c r="D681">
        <v>3.52</v>
      </c>
      <c r="E681">
        <v>4.62</v>
      </c>
      <c r="F681">
        <v>3.75</v>
      </c>
      <c r="G681">
        <v>4.37</v>
      </c>
      <c r="H681">
        <v>4.3099999999999996</v>
      </c>
      <c r="I681">
        <v>4.22</v>
      </c>
      <c r="J681">
        <v>3.49</v>
      </c>
      <c r="K681">
        <v>4.0199999999999996</v>
      </c>
      <c r="L681">
        <v>4.2699999999999996</v>
      </c>
      <c r="M681">
        <f t="shared" si="20"/>
        <v>4.0520000000000005</v>
      </c>
      <c r="N681">
        <f t="shared" si="21"/>
        <v>4.0619999999999994</v>
      </c>
    </row>
    <row r="682" spans="1:14" ht="14.25" customHeight="1" x14ac:dyDescent="0.3">
      <c r="A682" t="s">
        <v>1395</v>
      </c>
      <c r="B682" t="s">
        <v>1396</v>
      </c>
      <c r="C682">
        <v>4.24</v>
      </c>
      <c r="D682">
        <v>4.0599999999999996</v>
      </c>
      <c r="E682">
        <v>3.91</v>
      </c>
      <c r="F682">
        <v>4.0599999999999996</v>
      </c>
      <c r="G682">
        <v>4.0999999999999996</v>
      </c>
      <c r="H682">
        <v>3.72</v>
      </c>
      <c r="I682">
        <v>3.82</v>
      </c>
      <c r="J682">
        <v>4.18</v>
      </c>
      <c r="K682">
        <v>3.87</v>
      </c>
      <c r="L682">
        <v>4.13</v>
      </c>
      <c r="M682">
        <f t="shared" si="20"/>
        <v>4.0739999999999998</v>
      </c>
      <c r="N682">
        <f t="shared" si="21"/>
        <v>3.944</v>
      </c>
    </row>
    <row r="683" spans="1:14" ht="14.25" customHeight="1" x14ac:dyDescent="0.3">
      <c r="A683" t="s">
        <v>1397</v>
      </c>
      <c r="B683" t="s">
        <v>1398</v>
      </c>
      <c r="C683">
        <v>4.12</v>
      </c>
      <c r="D683">
        <v>4.24</v>
      </c>
      <c r="E683">
        <v>4.38</v>
      </c>
      <c r="F683">
        <v>3.94</v>
      </c>
      <c r="G683">
        <v>4.13</v>
      </c>
      <c r="H683">
        <v>3.86</v>
      </c>
      <c r="I683">
        <v>4.24</v>
      </c>
      <c r="J683">
        <v>4.12</v>
      </c>
      <c r="K683">
        <v>4.0599999999999996</v>
      </c>
      <c r="L683">
        <v>3.8</v>
      </c>
      <c r="M683">
        <f t="shared" si="20"/>
        <v>4.1619999999999999</v>
      </c>
      <c r="N683">
        <f t="shared" si="21"/>
        <v>4.016</v>
      </c>
    </row>
    <row r="684" spans="1:14" ht="14.25" customHeight="1" x14ac:dyDescent="0.3">
      <c r="A684" t="s">
        <v>1399</v>
      </c>
      <c r="B684" t="s">
        <v>1400</v>
      </c>
      <c r="C684">
        <v>3.74</v>
      </c>
      <c r="D684">
        <v>3.73</v>
      </c>
      <c r="E684">
        <v>4.18</v>
      </c>
      <c r="F684">
        <v>3.91</v>
      </c>
      <c r="G684">
        <v>3.97</v>
      </c>
      <c r="H684">
        <v>4.3499999999999996</v>
      </c>
      <c r="I684">
        <v>4</v>
      </c>
      <c r="J684">
        <v>4.34</v>
      </c>
      <c r="K684">
        <v>3.74</v>
      </c>
      <c r="L684">
        <v>3.86</v>
      </c>
      <c r="M684">
        <f t="shared" si="20"/>
        <v>3.9060000000000001</v>
      </c>
      <c r="N684">
        <f t="shared" si="21"/>
        <v>4.0579999999999998</v>
      </c>
    </row>
    <row r="685" spans="1:14" ht="14.25" customHeight="1" x14ac:dyDescent="0.3">
      <c r="A685" t="s">
        <v>1401</v>
      </c>
      <c r="B685" t="s">
        <v>1402</v>
      </c>
      <c r="C685">
        <v>4.55</v>
      </c>
      <c r="D685">
        <v>4.25</v>
      </c>
      <c r="E685">
        <v>4.47</v>
      </c>
      <c r="F685">
        <v>4.07</v>
      </c>
      <c r="G685">
        <v>4.1900000000000004</v>
      </c>
      <c r="H685">
        <v>4.04</v>
      </c>
      <c r="I685">
        <v>4.01</v>
      </c>
      <c r="J685">
        <v>4.04</v>
      </c>
      <c r="K685">
        <v>3.3</v>
      </c>
      <c r="L685">
        <v>3.48</v>
      </c>
      <c r="M685">
        <f t="shared" si="20"/>
        <v>4.306</v>
      </c>
      <c r="N685">
        <f t="shared" si="21"/>
        <v>3.774</v>
      </c>
    </row>
    <row r="686" spans="1:14" ht="14.25" customHeight="1" x14ac:dyDescent="0.3">
      <c r="A686" t="s">
        <v>1403</v>
      </c>
      <c r="B686" t="s">
        <v>1404</v>
      </c>
      <c r="C686">
        <v>3.76</v>
      </c>
      <c r="D686">
        <v>4.0999999999999996</v>
      </c>
      <c r="E686">
        <v>3.77</v>
      </c>
      <c r="F686">
        <v>4.18</v>
      </c>
      <c r="G686">
        <v>5.01</v>
      </c>
      <c r="H686">
        <v>3.26</v>
      </c>
      <c r="I686">
        <v>4.3600000000000003</v>
      </c>
      <c r="J686">
        <v>3.35</v>
      </c>
      <c r="K686">
        <v>3.89</v>
      </c>
      <c r="L686">
        <v>3.78</v>
      </c>
      <c r="M686">
        <f t="shared" si="20"/>
        <v>4.1639999999999997</v>
      </c>
      <c r="N686">
        <f t="shared" si="21"/>
        <v>3.7280000000000002</v>
      </c>
    </row>
    <row r="687" spans="1:14" ht="14.25" customHeight="1" x14ac:dyDescent="0.3">
      <c r="A687" t="s">
        <v>1405</v>
      </c>
      <c r="B687" t="s">
        <v>1406</v>
      </c>
      <c r="C687">
        <v>4.45</v>
      </c>
      <c r="D687">
        <v>3.64</v>
      </c>
      <c r="E687">
        <v>4.7</v>
      </c>
      <c r="F687">
        <v>4.0599999999999996</v>
      </c>
      <c r="G687">
        <v>3.55</v>
      </c>
      <c r="H687">
        <v>4.4000000000000004</v>
      </c>
      <c r="I687">
        <v>4.12</v>
      </c>
      <c r="J687">
        <v>4.0199999999999996</v>
      </c>
      <c r="K687">
        <v>4.33</v>
      </c>
      <c r="L687">
        <v>4.32</v>
      </c>
      <c r="M687">
        <f t="shared" si="20"/>
        <v>4.08</v>
      </c>
      <c r="N687">
        <f t="shared" si="21"/>
        <v>4.2379999999999995</v>
      </c>
    </row>
    <row r="688" spans="1:14" ht="14.25" customHeight="1" x14ac:dyDescent="0.3">
      <c r="A688" t="s">
        <v>1407</v>
      </c>
      <c r="B688" t="s">
        <v>1408</v>
      </c>
      <c r="C688">
        <v>3.58</v>
      </c>
      <c r="D688">
        <v>4.1900000000000004</v>
      </c>
      <c r="E688">
        <v>4.3099999999999996</v>
      </c>
      <c r="F688">
        <v>3.77</v>
      </c>
      <c r="G688">
        <v>4.04</v>
      </c>
      <c r="H688">
        <v>4.03</v>
      </c>
      <c r="I688">
        <v>3.56</v>
      </c>
      <c r="J688">
        <v>3.47</v>
      </c>
      <c r="K688">
        <v>3.85</v>
      </c>
      <c r="L688">
        <v>4.46</v>
      </c>
      <c r="M688">
        <f t="shared" si="20"/>
        <v>3.9780000000000002</v>
      </c>
      <c r="N688">
        <f t="shared" si="21"/>
        <v>3.8740000000000001</v>
      </c>
    </row>
    <row r="689" spans="1:14" ht="14.25" customHeight="1" x14ac:dyDescent="0.3">
      <c r="A689" t="s">
        <v>1409</v>
      </c>
      <c r="B689" t="s">
        <v>1410</v>
      </c>
      <c r="C689">
        <v>3.95</v>
      </c>
      <c r="D689">
        <v>3.84</v>
      </c>
      <c r="E689">
        <v>3.53</v>
      </c>
      <c r="F689">
        <v>4.0999999999999996</v>
      </c>
      <c r="G689">
        <v>4.13</v>
      </c>
      <c r="H689">
        <v>3.77</v>
      </c>
      <c r="I689">
        <v>4.76</v>
      </c>
      <c r="J689">
        <v>3.77</v>
      </c>
      <c r="K689">
        <v>3.59</v>
      </c>
      <c r="L689">
        <v>4.12</v>
      </c>
      <c r="M689">
        <f t="shared" si="20"/>
        <v>3.91</v>
      </c>
      <c r="N689">
        <f t="shared" si="21"/>
        <v>4.0019999999999998</v>
      </c>
    </row>
    <row r="690" spans="1:14" ht="14.25" customHeight="1" x14ac:dyDescent="0.3">
      <c r="A690" t="s">
        <v>1411</v>
      </c>
      <c r="B690" t="s">
        <v>1412</v>
      </c>
      <c r="C690">
        <v>3.99</v>
      </c>
      <c r="D690">
        <v>4.25</v>
      </c>
      <c r="E690">
        <v>4.29</v>
      </c>
      <c r="F690">
        <v>4.3499999999999996</v>
      </c>
      <c r="G690">
        <v>3.48</v>
      </c>
      <c r="H690">
        <v>3.77</v>
      </c>
      <c r="I690">
        <v>3.88</v>
      </c>
      <c r="J690">
        <v>4.05</v>
      </c>
      <c r="K690">
        <v>4.13</v>
      </c>
      <c r="L690">
        <v>3.79</v>
      </c>
      <c r="M690">
        <f t="shared" si="20"/>
        <v>4.072000000000001</v>
      </c>
      <c r="N690">
        <f t="shared" si="21"/>
        <v>3.9239999999999995</v>
      </c>
    </row>
    <row r="691" spans="1:14" ht="14.25" customHeight="1" x14ac:dyDescent="0.3">
      <c r="A691" t="s">
        <v>1413</v>
      </c>
      <c r="B691" t="s">
        <v>1414</v>
      </c>
      <c r="C691">
        <v>4.22</v>
      </c>
      <c r="D691">
        <v>4.3499999999999996</v>
      </c>
      <c r="E691">
        <v>4.4000000000000004</v>
      </c>
      <c r="F691">
        <v>4.3600000000000003</v>
      </c>
      <c r="G691">
        <v>4.0599999999999996</v>
      </c>
      <c r="H691">
        <v>4.2699999999999996</v>
      </c>
      <c r="I691">
        <v>4.0599999999999996</v>
      </c>
      <c r="J691">
        <v>3.58</v>
      </c>
      <c r="K691">
        <v>4.34</v>
      </c>
      <c r="L691">
        <v>4.2300000000000004</v>
      </c>
      <c r="M691">
        <f t="shared" si="20"/>
        <v>4.2780000000000005</v>
      </c>
      <c r="N691">
        <f t="shared" si="21"/>
        <v>4.0960000000000001</v>
      </c>
    </row>
    <row r="692" spans="1:14" ht="14.25" customHeight="1" x14ac:dyDescent="0.3">
      <c r="A692" t="s">
        <v>1415</v>
      </c>
      <c r="B692" t="s">
        <v>1416</v>
      </c>
      <c r="C692">
        <v>4.3099999999999996</v>
      </c>
      <c r="D692">
        <v>3.93</v>
      </c>
      <c r="E692">
        <v>3.86</v>
      </c>
      <c r="F692">
        <v>4.22</v>
      </c>
      <c r="G692">
        <v>3.96</v>
      </c>
      <c r="H692">
        <v>3.58</v>
      </c>
      <c r="I692">
        <v>4.5</v>
      </c>
      <c r="J692">
        <v>3.91</v>
      </c>
      <c r="K692">
        <v>3.68</v>
      </c>
      <c r="L692">
        <v>3.43</v>
      </c>
      <c r="M692">
        <f t="shared" si="20"/>
        <v>4.056</v>
      </c>
      <c r="N692">
        <f t="shared" si="21"/>
        <v>3.8200000000000003</v>
      </c>
    </row>
    <row r="693" spans="1:14" ht="14.25" customHeight="1" x14ac:dyDescent="0.3">
      <c r="A693" t="s">
        <v>1417</v>
      </c>
      <c r="B693" t="s">
        <v>1418</v>
      </c>
      <c r="C693">
        <v>4.13</v>
      </c>
      <c r="D693">
        <v>3.77</v>
      </c>
      <c r="E693">
        <v>4.12</v>
      </c>
      <c r="F693">
        <v>4.46</v>
      </c>
      <c r="G693">
        <v>4.1500000000000004</v>
      </c>
      <c r="H693">
        <v>4</v>
      </c>
      <c r="I693">
        <v>3.66</v>
      </c>
      <c r="J693">
        <v>4.6399999999999997</v>
      </c>
      <c r="K693">
        <v>4.03</v>
      </c>
      <c r="L693">
        <v>3.54</v>
      </c>
      <c r="M693">
        <f t="shared" si="20"/>
        <v>4.1260000000000003</v>
      </c>
      <c r="N693">
        <f t="shared" si="21"/>
        <v>3.9740000000000002</v>
      </c>
    </row>
    <row r="694" spans="1:14" ht="14.25" customHeight="1" x14ac:dyDescent="0.3">
      <c r="A694" t="s">
        <v>1419</v>
      </c>
      <c r="B694" t="s">
        <v>1420</v>
      </c>
      <c r="C694">
        <v>4.13</v>
      </c>
      <c r="D694">
        <v>3.84</v>
      </c>
      <c r="E694">
        <v>4.1500000000000004</v>
      </c>
      <c r="F694">
        <v>4.1399999999999997</v>
      </c>
      <c r="G694">
        <v>4.5</v>
      </c>
      <c r="H694">
        <v>4.33</v>
      </c>
      <c r="I694">
        <v>4.54</v>
      </c>
      <c r="J694">
        <v>3.85</v>
      </c>
      <c r="K694">
        <v>4.28</v>
      </c>
      <c r="L694">
        <v>4.25</v>
      </c>
      <c r="M694">
        <f t="shared" si="20"/>
        <v>4.1520000000000001</v>
      </c>
      <c r="N694">
        <f t="shared" si="21"/>
        <v>4.25</v>
      </c>
    </row>
    <row r="695" spans="1:14" ht="14.25" customHeight="1" x14ac:dyDescent="0.3">
      <c r="A695" t="s">
        <v>1421</v>
      </c>
      <c r="B695" t="s">
        <v>1422</v>
      </c>
      <c r="C695">
        <v>4.03</v>
      </c>
      <c r="D695">
        <v>4.04</v>
      </c>
      <c r="E695">
        <v>4.42</v>
      </c>
      <c r="F695">
        <v>4.2</v>
      </c>
      <c r="G695">
        <v>4.5599999999999996</v>
      </c>
      <c r="H695">
        <v>3.32</v>
      </c>
      <c r="I695">
        <v>3.92</v>
      </c>
      <c r="J695">
        <v>4.33</v>
      </c>
      <c r="K695">
        <v>3.8</v>
      </c>
      <c r="L695">
        <v>3.53</v>
      </c>
      <c r="M695">
        <f t="shared" si="20"/>
        <v>4.25</v>
      </c>
      <c r="N695">
        <f t="shared" si="21"/>
        <v>3.7800000000000002</v>
      </c>
    </row>
    <row r="696" spans="1:14" ht="14.25" customHeight="1" x14ac:dyDescent="0.3">
      <c r="A696" t="s">
        <v>1423</v>
      </c>
      <c r="B696" t="s">
        <v>1424</v>
      </c>
      <c r="C696">
        <v>4.67</v>
      </c>
      <c r="D696">
        <v>4.09</v>
      </c>
      <c r="E696">
        <v>3.81</v>
      </c>
      <c r="F696">
        <v>4.59</v>
      </c>
      <c r="G696">
        <v>3.98</v>
      </c>
      <c r="H696">
        <v>4.2699999999999996</v>
      </c>
      <c r="I696">
        <v>3.97</v>
      </c>
      <c r="J696">
        <v>3.89</v>
      </c>
      <c r="K696">
        <v>3.94</v>
      </c>
      <c r="L696">
        <v>4.57</v>
      </c>
      <c r="M696">
        <f t="shared" si="20"/>
        <v>4.2279999999999998</v>
      </c>
      <c r="N696">
        <f t="shared" si="21"/>
        <v>4.1280000000000001</v>
      </c>
    </row>
    <row r="697" spans="1:14" ht="14.25" customHeight="1" x14ac:dyDescent="0.3">
      <c r="A697" t="s">
        <v>1425</v>
      </c>
      <c r="B697" t="s">
        <v>1426</v>
      </c>
      <c r="C697">
        <v>3.7</v>
      </c>
      <c r="D697">
        <v>4.96</v>
      </c>
      <c r="E697">
        <v>4.83</v>
      </c>
      <c r="F697">
        <v>4.8099999999999996</v>
      </c>
      <c r="G697">
        <v>3.95</v>
      </c>
      <c r="H697">
        <v>3.7</v>
      </c>
      <c r="I697">
        <v>4.2300000000000004</v>
      </c>
      <c r="J697">
        <v>3.72</v>
      </c>
      <c r="K697">
        <v>3.96</v>
      </c>
      <c r="L697">
        <v>3.75</v>
      </c>
      <c r="M697">
        <f t="shared" si="20"/>
        <v>4.45</v>
      </c>
      <c r="N697">
        <f t="shared" si="21"/>
        <v>3.8719999999999999</v>
      </c>
    </row>
    <row r="698" spans="1:14" ht="14.25" customHeight="1" x14ac:dyDescent="0.3">
      <c r="A698" t="s">
        <v>1427</v>
      </c>
      <c r="B698" t="s">
        <v>1428</v>
      </c>
      <c r="C698">
        <v>4.1500000000000004</v>
      </c>
      <c r="D698">
        <v>3.86</v>
      </c>
      <c r="E698">
        <v>3.99</v>
      </c>
      <c r="F698">
        <v>3.47</v>
      </c>
      <c r="G698">
        <v>4.0199999999999996</v>
      </c>
      <c r="H698">
        <v>3.95</v>
      </c>
      <c r="I698">
        <v>4.18</v>
      </c>
      <c r="J698">
        <v>3.9</v>
      </c>
      <c r="K698">
        <v>3.73</v>
      </c>
      <c r="L698">
        <v>4.08</v>
      </c>
      <c r="M698">
        <f t="shared" si="20"/>
        <v>3.8980000000000006</v>
      </c>
      <c r="N698">
        <f t="shared" si="21"/>
        <v>3.968</v>
      </c>
    </row>
    <row r="699" spans="1:14" ht="14.25" customHeight="1" x14ac:dyDescent="0.3">
      <c r="A699" t="s">
        <v>1429</v>
      </c>
      <c r="B699" t="s">
        <v>1430</v>
      </c>
      <c r="C699">
        <v>3.77</v>
      </c>
      <c r="D699">
        <v>3.96</v>
      </c>
      <c r="E699">
        <v>3.62</v>
      </c>
      <c r="F699">
        <v>3.17</v>
      </c>
      <c r="G699">
        <v>4.07</v>
      </c>
      <c r="H699">
        <v>3.73</v>
      </c>
      <c r="I699">
        <v>3.79</v>
      </c>
      <c r="K699">
        <v>3.98</v>
      </c>
      <c r="L699">
        <v>3.85</v>
      </c>
      <c r="M699">
        <f t="shared" si="20"/>
        <v>3.7180000000000009</v>
      </c>
      <c r="N699">
        <f t="shared" si="21"/>
        <v>3.8374999999999999</v>
      </c>
    </row>
    <row r="700" spans="1:14" ht="14.25" customHeight="1" x14ac:dyDescent="0.3">
      <c r="A700" t="s">
        <v>1431</v>
      </c>
      <c r="B700" t="s">
        <v>1432</v>
      </c>
      <c r="C700">
        <v>4.28</v>
      </c>
      <c r="D700">
        <v>4.21</v>
      </c>
      <c r="E700">
        <v>4.21</v>
      </c>
      <c r="F700">
        <v>3.43</v>
      </c>
      <c r="G700">
        <v>4.75</v>
      </c>
      <c r="H700">
        <v>4.3</v>
      </c>
      <c r="I700">
        <v>3.89</v>
      </c>
      <c r="J700">
        <v>4.49</v>
      </c>
      <c r="K700">
        <v>3.74</v>
      </c>
      <c r="L700">
        <v>3.89</v>
      </c>
      <c r="M700">
        <f t="shared" si="20"/>
        <v>4.1760000000000002</v>
      </c>
      <c r="N700">
        <f t="shared" si="21"/>
        <v>4.0620000000000003</v>
      </c>
    </row>
    <row r="701" spans="1:14" ht="14.25" customHeight="1" x14ac:dyDescent="0.3">
      <c r="A701" t="s">
        <v>1433</v>
      </c>
      <c r="B701" t="s">
        <v>1434</v>
      </c>
      <c r="C701">
        <v>4.2300000000000004</v>
      </c>
      <c r="D701">
        <v>3.92</v>
      </c>
      <c r="E701">
        <v>4.12</v>
      </c>
      <c r="F701">
        <v>3.85</v>
      </c>
      <c r="G701">
        <v>3.87</v>
      </c>
      <c r="H701">
        <v>3.8</v>
      </c>
      <c r="I701">
        <v>4.1399999999999997</v>
      </c>
      <c r="J701">
        <v>3.93</v>
      </c>
      <c r="K701">
        <v>4.1900000000000004</v>
      </c>
      <c r="L701">
        <v>3.43</v>
      </c>
      <c r="M701">
        <f t="shared" si="20"/>
        <v>3.9980000000000002</v>
      </c>
      <c r="N701">
        <f t="shared" si="21"/>
        <v>3.8979999999999997</v>
      </c>
    </row>
    <row r="702" spans="1:14" ht="14.25" customHeight="1" x14ac:dyDescent="0.3">
      <c r="A702" t="s">
        <v>1435</v>
      </c>
      <c r="B702" t="s">
        <v>1436</v>
      </c>
      <c r="C702">
        <v>3.97</v>
      </c>
      <c r="D702">
        <v>3.87</v>
      </c>
      <c r="E702">
        <v>4.33</v>
      </c>
      <c r="F702">
        <v>4.1500000000000004</v>
      </c>
      <c r="G702">
        <v>3.29</v>
      </c>
      <c r="H702">
        <v>4.18</v>
      </c>
      <c r="I702">
        <v>4.34</v>
      </c>
      <c r="J702">
        <v>4.3099999999999996</v>
      </c>
      <c r="K702">
        <v>3.87</v>
      </c>
      <c r="L702">
        <v>4.34</v>
      </c>
      <c r="M702">
        <f t="shared" si="20"/>
        <v>3.9219999999999997</v>
      </c>
      <c r="N702">
        <f t="shared" si="21"/>
        <v>4.2080000000000002</v>
      </c>
    </row>
    <row r="703" spans="1:14" ht="14.25" customHeight="1" x14ac:dyDescent="0.3">
      <c r="A703" t="s">
        <v>1437</v>
      </c>
      <c r="B703" t="s">
        <v>1438</v>
      </c>
      <c r="C703">
        <v>4.0599999999999996</v>
      </c>
      <c r="D703">
        <v>4.21</v>
      </c>
      <c r="E703">
        <v>3.83</v>
      </c>
      <c r="F703">
        <v>4.21</v>
      </c>
      <c r="G703">
        <v>3.89</v>
      </c>
      <c r="H703">
        <v>3.94</v>
      </c>
      <c r="I703">
        <v>4.03</v>
      </c>
      <c r="J703">
        <v>3.5</v>
      </c>
      <c r="K703">
        <v>4.53</v>
      </c>
      <c r="L703">
        <v>4.0199999999999996</v>
      </c>
      <c r="M703">
        <f t="shared" si="20"/>
        <v>4.04</v>
      </c>
      <c r="N703">
        <f t="shared" si="21"/>
        <v>4.0039999999999996</v>
      </c>
    </row>
    <row r="704" spans="1:14" ht="14.25" customHeight="1" x14ac:dyDescent="0.3">
      <c r="A704" t="s">
        <v>1439</v>
      </c>
      <c r="B704" t="s">
        <v>1440</v>
      </c>
      <c r="C704">
        <v>4.3600000000000003</v>
      </c>
      <c r="D704">
        <v>3.7</v>
      </c>
      <c r="E704">
        <v>3.98</v>
      </c>
      <c r="F704">
        <v>4.51</v>
      </c>
      <c r="G704">
        <v>3.94</v>
      </c>
      <c r="H704">
        <v>4.17</v>
      </c>
      <c r="I704">
        <v>4.37</v>
      </c>
      <c r="J704">
        <v>4.2300000000000004</v>
      </c>
      <c r="K704">
        <v>3.86</v>
      </c>
      <c r="L704">
        <v>3.72</v>
      </c>
      <c r="M704">
        <f t="shared" si="20"/>
        <v>4.0980000000000008</v>
      </c>
      <c r="N704">
        <f t="shared" si="21"/>
        <v>4.0699999999999994</v>
      </c>
    </row>
    <row r="705" spans="1:14" ht="14.25" customHeight="1" x14ac:dyDescent="0.3">
      <c r="A705" t="s">
        <v>1441</v>
      </c>
      <c r="B705" t="s">
        <v>1442</v>
      </c>
      <c r="C705">
        <v>3.97</v>
      </c>
      <c r="D705">
        <v>4.57</v>
      </c>
      <c r="E705">
        <v>4.1100000000000003</v>
      </c>
      <c r="F705">
        <v>3.86</v>
      </c>
      <c r="G705">
        <v>3.59</v>
      </c>
      <c r="H705">
        <v>4.0999999999999996</v>
      </c>
      <c r="I705">
        <v>3.67</v>
      </c>
      <c r="J705">
        <v>4.22</v>
      </c>
      <c r="K705">
        <v>4.1399999999999997</v>
      </c>
      <c r="L705">
        <v>4.12</v>
      </c>
      <c r="M705">
        <f t="shared" si="20"/>
        <v>4.0200000000000005</v>
      </c>
      <c r="N705">
        <f t="shared" si="21"/>
        <v>4.05</v>
      </c>
    </row>
    <row r="706" spans="1:14" ht="14.25" customHeight="1" x14ac:dyDescent="0.3">
      <c r="A706" t="s">
        <v>1443</v>
      </c>
      <c r="B706" t="s">
        <v>1444</v>
      </c>
      <c r="C706">
        <v>3.64</v>
      </c>
      <c r="D706">
        <v>4.33</v>
      </c>
      <c r="E706">
        <v>3.59</v>
      </c>
      <c r="F706">
        <v>4.42</v>
      </c>
      <c r="G706">
        <v>4.13</v>
      </c>
      <c r="H706">
        <v>3.67</v>
      </c>
      <c r="I706">
        <v>4.6100000000000003</v>
      </c>
      <c r="J706">
        <v>4.29</v>
      </c>
      <c r="K706">
        <v>3.48</v>
      </c>
      <c r="L706">
        <v>3.91</v>
      </c>
      <c r="M706">
        <f t="shared" ref="M706:M769" si="22">AVERAGE(C706:G706)</f>
        <v>4.0220000000000002</v>
      </c>
      <c r="N706">
        <f t="shared" ref="N706:N769" si="23">AVERAGE(H706:L706)</f>
        <v>3.992</v>
      </c>
    </row>
    <row r="707" spans="1:14" ht="14.25" customHeight="1" x14ac:dyDescent="0.3">
      <c r="A707" t="s">
        <v>1445</v>
      </c>
      <c r="B707" t="s">
        <v>1446</v>
      </c>
      <c r="C707">
        <v>4.72</v>
      </c>
      <c r="D707">
        <v>3.9</v>
      </c>
      <c r="E707">
        <v>4.2300000000000004</v>
      </c>
      <c r="F707">
        <v>4.4400000000000004</v>
      </c>
      <c r="G707">
        <v>4.22</v>
      </c>
      <c r="H707">
        <v>4.42</v>
      </c>
      <c r="I707">
        <v>4.0999999999999996</v>
      </c>
      <c r="J707">
        <v>3.89</v>
      </c>
      <c r="K707">
        <v>4.2</v>
      </c>
      <c r="L707">
        <v>4.21</v>
      </c>
      <c r="M707">
        <f t="shared" si="22"/>
        <v>4.3019999999999996</v>
      </c>
      <c r="N707">
        <f t="shared" si="23"/>
        <v>4.1639999999999997</v>
      </c>
    </row>
    <row r="708" spans="1:14" ht="14.25" customHeight="1" x14ac:dyDescent="0.3">
      <c r="A708" t="s">
        <v>1447</v>
      </c>
      <c r="B708" t="s">
        <v>1448</v>
      </c>
      <c r="C708">
        <v>3.47</v>
      </c>
      <c r="D708">
        <v>3.81</v>
      </c>
      <c r="E708">
        <v>4.92</v>
      </c>
      <c r="F708">
        <v>4.25</v>
      </c>
      <c r="G708">
        <v>3.75</v>
      </c>
      <c r="H708">
        <v>4.04</v>
      </c>
      <c r="I708">
        <v>3.73</v>
      </c>
      <c r="J708">
        <v>3.96</v>
      </c>
      <c r="L708">
        <v>4.05</v>
      </c>
      <c r="M708">
        <f t="shared" si="22"/>
        <v>4.04</v>
      </c>
      <c r="N708">
        <f t="shared" si="23"/>
        <v>3.9450000000000003</v>
      </c>
    </row>
    <row r="709" spans="1:14" ht="14.25" customHeight="1" x14ac:dyDescent="0.3">
      <c r="A709" t="s">
        <v>1449</v>
      </c>
      <c r="B709" t="s">
        <v>1450</v>
      </c>
      <c r="C709">
        <v>4.42</v>
      </c>
      <c r="D709">
        <v>3.92</v>
      </c>
      <c r="E709">
        <v>4.1500000000000004</v>
      </c>
      <c r="F709">
        <v>3.59</v>
      </c>
      <c r="G709">
        <v>3.66</v>
      </c>
      <c r="H709">
        <v>4.1900000000000004</v>
      </c>
      <c r="I709">
        <v>3.92</v>
      </c>
      <c r="J709">
        <v>3.68</v>
      </c>
      <c r="L709">
        <v>4.0199999999999996</v>
      </c>
      <c r="M709">
        <f t="shared" si="22"/>
        <v>3.9479999999999995</v>
      </c>
      <c r="N709">
        <f t="shared" si="23"/>
        <v>3.9524999999999997</v>
      </c>
    </row>
    <row r="710" spans="1:14" ht="14.25" customHeight="1" x14ac:dyDescent="0.3">
      <c r="A710" t="s">
        <v>1451</v>
      </c>
      <c r="B710" t="s">
        <v>1452</v>
      </c>
      <c r="C710">
        <v>4.09</v>
      </c>
      <c r="D710">
        <v>4.1900000000000004</v>
      </c>
      <c r="E710">
        <v>4.1500000000000004</v>
      </c>
      <c r="F710">
        <v>3.84</v>
      </c>
      <c r="G710">
        <v>4.1500000000000004</v>
      </c>
      <c r="H710">
        <v>4.3</v>
      </c>
      <c r="I710">
        <v>4.45</v>
      </c>
      <c r="J710">
        <v>3.35</v>
      </c>
      <c r="K710">
        <v>3.87</v>
      </c>
      <c r="L710">
        <v>3.92</v>
      </c>
      <c r="M710">
        <f t="shared" si="22"/>
        <v>4.0840000000000005</v>
      </c>
      <c r="N710">
        <f t="shared" si="23"/>
        <v>3.9780000000000002</v>
      </c>
    </row>
    <row r="711" spans="1:14" ht="14.25" customHeight="1" x14ac:dyDescent="0.3">
      <c r="A711" t="s">
        <v>1453</v>
      </c>
      <c r="B711" t="s">
        <v>1454</v>
      </c>
      <c r="C711">
        <v>4.3600000000000003</v>
      </c>
      <c r="D711">
        <v>4.37</v>
      </c>
      <c r="E711">
        <v>4.2699999999999996</v>
      </c>
      <c r="F711">
        <v>4.16</v>
      </c>
      <c r="G711">
        <v>3.54</v>
      </c>
      <c r="H711">
        <v>4.5199999999999996</v>
      </c>
      <c r="I711">
        <v>3.94</v>
      </c>
      <c r="J711">
        <v>4.13</v>
      </c>
      <c r="K711">
        <v>4.04</v>
      </c>
      <c r="L711">
        <v>4.3899999999999997</v>
      </c>
      <c r="M711">
        <f t="shared" si="22"/>
        <v>4.1399999999999997</v>
      </c>
      <c r="N711">
        <f t="shared" si="23"/>
        <v>4.2039999999999997</v>
      </c>
    </row>
    <row r="712" spans="1:14" ht="14.25" customHeight="1" x14ac:dyDescent="0.3">
      <c r="A712" t="s">
        <v>1455</v>
      </c>
      <c r="B712" t="s">
        <v>1456</v>
      </c>
      <c r="C712">
        <v>4.18</v>
      </c>
      <c r="D712">
        <v>4.4800000000000004</v>
      </c>
      <c r="E712">
        <v>3.99</v>
      </c>
      <c r="F712">
        <v>4.5</v>
      </c>
      <c r="G712">
        <v>3.74</v>
      </c>
      <c r="H712">
        <v>3.65</v>
      </c>
      <c r="I712">
        <v>3.62</v>
      </c>
      <c r="J712">
        <v>3.87</v>
      </c>
      <c r="K712">
        <v>3.86</v>
      </c>
      <c r="L712">
        <v>4.04</v>
      </c>
      <c r="M712">
        <f t="shared" si="22"/>
        <v>4.1779999999999999</v>
      </c>
      <c r="N712">
        <f t="shared" si="23"/>
        <v>3.8079999999999998</v>
      </c>
    </row>
    <row r="713" spans="1:14" ht="14.25" customHeight="1" x14ac:dyDescent="0.3">
      <c r="A713" t="s">
        <v>1457</v>
      </c>
      <c r="B713" t="s">
        <v>1458</v>
      </c>
      <c r="C713">
        <v>4.3899999999999997</v>
      </c>
      <c r="D713">
        <v>4.03</v>
      </c>
      <c r="E713">
        <v>4.4800000000000004</v>
      </c>
      <c r="F713">
        <v>4.12</v>
      </c>
      <c r="G713">
        <v>4.2</v>
      </c>
      <c r="H713">
        <v>4.13</v>
      </c>
      <c r="I713">
        <v>4.3600000000000003</v>
      </c>
      <c r="J713">
        <v>4.3099999999999996</v>
      </c>
      <c r="K713">
        <v>4.47</v>
      </c>
      <c r="L713">
        <v>4.2300000000000004</v>
      </c>
      <c r="M713">
        <f t="shared" si="22"/>
        <v>4.2439999999999998</v>
      </c>
      <c r="N713">
        <f t="shared" si="23"/>
        <v>4.3</v>
      </c>
    </row>
    <row r="714" spans="1:14" ht="14.25" customHeight="1" x14ac:dyDescent="0.3">
      <c r="A714" t="s">
        <v>1459</v>
      </c>
      <c r="B714" t="s">
        <v>1460</v>
      </c>
      <c r="C714">
        <v>4.08</v>
      </c>
      <c r="D714">
        <v>3.87</v>
      </c>
      <c r="E714">
        <v>4.13</v>
      </c>
      <c r="F714">
        <v>3.81</v>
      </c>
      <c r="H714">
        <v>4.57</v>
      </c>
      <c r="I714">
        <v>4.1900000000000004</v>
      </c>
      <c r="J714">
        <v>4.83</v>
      </c>
      <c r="K714">
        <v>4.08</v>
      </c>
      <c r="L714">
        <v>3.89</v>
      </c>
      <c r="M714">
        <f t="shared" si="22"/>
        <v>3.9725000000000001</v>
      </c>
      <c r="N714">
        <f t="shared" si="23"/>
        <v>4.3120000000000003</v>
      </c>
    </row>
    <row r="715" spans="1:14" ht="14.25" customHeight="1" x14ac:dyDescent="0.3">
      <c r="A715" t="s">
        <v>1461</v>
      </c>
      <c r="B715" t="s">
        <v>1462</v>
      </c>
      <c r="C715">
        <v>3.56</v>
      </c>
      <c r="D715">
        <v>3.74</v>
      </c>
      <c r="E715">
        <v>4.29</v>
      </c>
      <c r="F715">
        <v>4.22</v>
      </c>
      <c r="G715">
        <v>3.82</v>
      </c>
      <c r="H715">
        <v>3.94</v>
      </c>
      <c r="I715">
        <v>4.03</v>
      </c>
      <c r="J715">
        <v>4.1900000000000004</v>
      </c>
      <c r="K715">
        <v>4.32</v>
      </c>
      <c r="L715">
        <v>4.13</v>
      </c>
      <c r="M715">
        <f t="shared" si="22"/>
        <v>3.9259999999999997</v>
      </c>
      <c r="N715">
        <f t="shared" si="23"/>
        <v>4.1219999999999999</v>
      </c>
    </row>
    <row r="716" spans="1:14" ht="14.25" customHeight="1" x14ac:dyDescent="0.3">
      <c r="A716" t="s">
        <v>1463</v>
      </c>
      <c r="B716" t="s">
        <v>1464</v>
      </c>
      <c r="C716">
        <v>3.75</v>
      </c>
      <c r="D716">
        <v>4.4800000000000004</v>
      </c>
      <c r="E716">
        <v>4.4400000000000004</v>
      </c>
      <c r="F716">
        <v>3.97</v>
      </c>
      <c r="G716">
        <v>3.53</v>
      </c>
      <c r="H716">
        <v>3.7</v>
      </c>
      <c r="I716">
        <v>3.88</v>
      </c>
      <c r="J716">
        <v>4.07</v>
      </c>
      <c r="K716">
        <v>4.43</v>
      </c>
      <c r="L716">
        <v>4.07</v>
      </c>
      <c r="M716">
        <f t="shared" si="22"/>
        <v>4.0340000000000007</v>
      </c>
      <c r="N716">
        <f t="shared" si="23"/>
        <v>4.0299999999999994</v>
      </c>
    </row>
    <row r="717" spans="1:14" ht="14.25" customHeight="1" x14ac:dyDescent="0.3">
      <c r="A717" t="s">
        <v>1465</v>
      </c>
      <c r="B717" t="s">
        <v>1466</v>
      </c>
      <c r="C717">
        <v>4.3099999999999996</v>
      </c>
      <c r="D717">
        <v>4.37</v>
      </c>
      <c r="E717">
        <v>3.97</v>
      </c>
      <c r="G717">
        <v>3.85</v>
      </c>
      <c r="H717">
        <v>3.81</v>
      </c>
      <c r="I717">
        <v>4.13</v>
      </c>
      <c r="J717">
        <v>3.58</v>
      </c>
      <c r="L717">
        <v>4.22</v>
      </c>
      <c r="M717">
        <f t="shared" si="22"/>
        <v>4.125</v>
      </c>
      <c r="N717">
        <f t="shared" si="23"/>
        <v>3.9349999999999996</v>
      </c>
    </row>
    <row r="718" spans="1:14" ht="14.25" customHeight="1" x14ac:dyDescent="0.3">
      <c r="A718" t="s">
        <v>1467</v>
      </c>
      <c r="B718" t="s">
        <v>1468</v>
      </c>
      <c r="C718">
        <v>4.16</v>
      </c>
      <c r="D718">
        <v>3.69</v>
      </c>
      <c r="E718">
        <v>4</v>
      </c>
      <c r="F718">
        <v>4.38</v>
      </c>
      <c r="G718">
        <v>4.67</v>
      </c>
      <c r="H718">
        <v>3.81</v>
      </c>
      <c r="I718">
        <v>4.16</v>
      </c>
      <c r="J718">
        <v>3.8</v>
      </c>
      <c r="K718">
        <v>4.54</v>
      </c>
      <c r="L718">
        <v>3.45</v>
      </c>
      <c r="M718">
        <f t="shared" si="22"/>
        <v>4.18</v>
      </c>
      <c r="N718">
        <f t="shared" si="23"/>
        <v>3.9519999999999995</v>
      </c>
    </row>
    <row r="719" spans="1:14" ht="14.25" customHeight="1" x14ac:dyDescent="0.3">
      <c r="A719" t="s">
        <v>1469</v>
      </c>
      <c r="B719" t="s">
        <v>1470</v>
      </c>
      <c r="C719">
        <v>4.3099999999999996</v>
      </c>
      <c r="D719">
        <v>3.67</v>
      </c>
      <c r="E719">
        <v>4.26</v>
      </c>
      <c r="F719">
        <v>4.16</v>
      </c>
      <c r="G719">
        <v>4.4000000000000004</v>
      </c>
      <c r="I719">
        <v>4.28</v>
      </c>
      <c r="J719">
        <v>4.18</v>
      </c>
      <c r="K719">
        <v>4.58</v>
      </c>
      <c r="L719">
        <v>3.8</v>
      </c>
      <c r="M719">
        <f t="shared" si="22"/>
        <v>4.1599999999999993</v>
      </c>
      <c r="N719">
        <f t="shared" si="23"/>
        <v>4.21</v>
      </c>
    </row>
    <row r="720" spans="1:14" ht="14.25" customHeight="1" x14ac:dyDescent="0.3">
      <c r="A720" t="s">
        <v>1471</v>
      </c>
      <c r="B720" t="s">
        <v>1472</v>
      </c>
      <c r="C720">
        <v>3.72</v>
      </c>
      <c r="D720">
        <v>3.38</v>
      </c>
      <c r="E720">
        <v>4.3</v>
      </c>
      <c r="F720">
        <v>4.33</v>
      </c>
      <c r="G720">
        <v>3.86</v>
      </c>
      <c r="H720">
        <v>3.61</v>
      </c>
      <c r="I720">
        <v>3.89</v>
      </c>
      <c r="J720">
        <v>4.0199999999999996</v>
      </c>
      <c r="K720">
        <v>4.26</v>
      </c>
      <c r="L720">
        <v>4.07</v>
      </c>
      <c r="M720">
        <f t="shared" si="22"/>
        <v>3.9180000000000001</v>
      </c>
      <c r="N720">
        <f t="shared" si="23"/>
        <v>3.97</v>
      </c>
    </row>
    <row r="721" spans="1:14" ht="14.25" customHeight="1" x14ac:dyDescent="0.3">
      <c r="A721" t="s">
        <v>1473</v>
      </c>
      <c r="B721" t="s">
        <v>1474</v>
      </c>
      <c r="C721">
        <v>3.89</v>
      </c>
      <c r="D721">
        <v>3.54</v>
      </c>
      <c r="E721">
        <v>4.07</v>
      </c>
      <c r="F721">
        <v>4.57</v>
      </c>
      <c r="G721">
        <v>4.62</v>
      </c>
      <c r="H721">
        <v>3.87</v>
      </c>
      <c r="I721">
        <v>4.34</v>
      </c>
      <c r="J721">
        <v>3.78</v>
      </c>
      <c r="K721">
        <v>3.71</v>
      </c>
      <c r="L721">
        <v>3.77</v>
      </c>
      <c r="M721">
        <f t="shared" si="22"/>
        <v>4.1379999999999999</v>
      </c>
      <c r="N721">
        <f t="shared" si="23"/>
        <v>3.8939999999999997</v>
      </c>
    </row>
    <row r="722" spans="1:14" ht="14.25" customHeight="1" x14ac:dyDescent="0.3">
      <c r="A722" t="s">
        <v>1475</v>
      </c>
      <c r="B722" t="s">
        <v>1476</v>
      </c>
      <c r="C722">
        <v>4.21</v>
      </c>
      <c r="D722">
        <v>3.94</v>
      </c>
      <c r="E722">
        <v>3.94</v>
      </c>
      <c r="F722">
        <v>4.18</v>
      </c>
      <c r="G722">
        <v>3.99</v>
      </c>
      <c r="H722">
        <v>4.13</v>
      </c>
      <c r="I722">
        <v>3.85</v>
      </c>
      <c r="J722">
        <v>4.0599999999999996</v>
      </c>
      <c r="K722">
        <v>4.34</v>
      </c>
      <c r="L722">
        <v>4</v>
      </c>
      <c r="M722">
        <f t="shared" si="22"/>
        <v>4.0519999999999996</v>
      </c>
      <c r="N722">
        <f t="shared" si="23"/>
        <v>4.0759999999999996</v>
      </c>
    </row>
    <row r="723" spans="1:14" ht="14.25" customHeight="1" x14ac:dyDescent="0.3">
      <c r="A723" t="s">
        <v>1477</v>
      </c>
      <c r="B723" t="s">
        <v>1478</v>
      </c>
      <c r="C723">
        <v>4.42</v>
      </c>
      <c r="D723">
        <v>3.54</v>
      </c>
      <c r="E723">
        <v>3.96</v>
      </c>
      <c r="F723">
        <v>4.41</v>
      </c>
      <c r="G723">
        <v>4.05</v>
      </c>
      <c r="H723">
        <v>4.07</v>
      </c>
      <c r="I723">
        <v>3.83</v>
      </c>
      <c r="J723">
        <v>3.82</v>
      </c>
      <c r="K723">
        <v>4.7</v>
      </c>
      <c r="L723">
        <v>3.71</v>
      </c>
      <c r="M723">
        <f t="shared" si="22"/>
        <v>4.0759999999999996</v>
      </c>
      <c r="N723">
        <f t="shared" si="23"/>
        <v>4.0260000000000007</v>
      </c>
    </row>
    <row r="724" spans="1:14" ht="14.25" customHeight="1" x14ac:dyDescent="0.3">
      <c r="A724" t="s">
        <v>1479</v>
      </c>
      <c r="B724" t="s">
        <v>1480</v>
      </c>
      <c r="C724">
        <v>4.67</v>
      </c>
      <c r="D724">
        <v>3.78</v>
      </c>
      <c r="E724">
        <v>4.1100000000000003</v>
      </c>
      <c r="F724">
        <v>3.96</v>
      </c>
      <c r="G724">
        <v>4.41</v>
      </c>
      <c r="H724">
        <v>4.0599999999999996</v>
      </c>
      <c r="I724">
        <v>4</v>
      </c>
      <c r="J724">
        <v>4.2</v>
      </c>
      <c r="K724">
        <v>3.75</v>
      </c>
      <c r="L724">
        <v>4.47</v>
      </c>
      <c r="M724">
        <f t="shared" si="22"/>
        <v>4.1859999999999999</v>
      </c>
      <c r="N724">
        <f t="shared" si="23"/>
        <v>4.0959999999999992</v>
      </c>
    </row>
    <row r="725" spans="1:14" ht="14.25" customHeight="1" x14ac:dyDescent="0.3">
      <c r="A725" t="s">
        <v>1481</v>
      </c>
      <c r="B725" t="s">
        <v>1482</v>
      </c>
      <c r="C725">
        <v>4.3899999999999997</v>
      </c>
      <c r="D725">
        <v>4.07</v>
      </c>
      <c r="E725">
        <v>4.18</v>
      </c>
      <c r="F725">
        <v>4.42</v>
      </c>
      <c r="G725">
        <v>4.3099999999999996</v>
      </c>
      <c r="H725">
        <v>3.85</v>
      </c>
      <c r="I725">
        <v>4.08</v>
      </c>
      <c r="J725">
        <v>4.03</v>
      </c>
      <c r="K725">
        <v>4.08</v>
      </c>
      <c r="L725">
        <v>3.81</v>
      </c>
      <c r="M725">
        <f t="shared" si="22"/>
        <v>4.274</v>
      </c>
      <c r="N725">
        <f t="shared" si="23"/>
        <v>3.9699999999999998</v>
      </c>
    </row>
    <row r="726" spans="1:14" ht="14.25" customHeight="1" x14ac:dyDescent="0.3">
      <c r="A726" t="s">
        <v>1483</v>
      </c>
      <c r="B726" t="s">
        <v>1484</v>
      </c>
      <c r="C726">
        <v>3.84</v>
      </c>
      <c r="D726">
        <v>4.2699999999999996</v>
      </c>
      <c r="E726">
        <v>4.3600000000000003</v>
      </c>
      <c r="F726">
        <v>3.8</v>
      </c>
      <c r="G726">
        <v>3.93</v>
      </c>
      <c r="H726">
        <v>5.01</v>
      </c>
      <c r="I726">
        <v>3.86</v>
      </c>
      <c r="J726">
        <v>3.76</v>
      </c>
      <c r="K726">
        <v>4.3899999999999997</v>
      </c>
      <c r="L726">
        <v>4.46</v>
      </c>
      <c r="M726">
        <f t="shared" si="22"/>
        <v>4.04</v>
      </c>
      <c r="N726">
        <f t="shared" si="23"/>
        <v>4.2960000000000003</v>
      </c>
    </row>
    <row r="727" spans="1:14" ht="14.25" customHeight="1" x14ac:dyDescent="0.3">
      <c r="A727" t="s">
        <v>1485</v>
      </c>
      <c r="B727" t="s">
        <v>1486</v>
      </c>
      <c r="C727">
        <v>4.42</v>
      </c>
      <c r="D727">
        <v>3.71</v>
      </c>
      <c r="E727">
        <v>4.25</v>
      </c>
      <c r="F727">
        <v>4.22</v>
      </c>
      <c r="G727">
        <v>4.2699999999999996</v>
      </c>
      <c r="H727">
        <v>4.3</v>
      </c>
      <c r="I727">
        <v>4.01</v>
      </c>
      <c r="J727">
        <v>4.12</v>
      </c>
      <c r="K727">
        <v>3.66</v>
      </c>
      <c r="L727">
        <v>3.38</v>
      </c>
      <c r="M727">
        <f t="shared" si="22"/>
        <v>4.1739999999999995</v>
      </c>
      <c r="N727">
        <f t="shared" si="23"/>
        <v>3.8939999999999997</v>
      </c>
    </row>
    <row r="728" spans="1:14" ht="14.25" customHeight="1" x14ac:dyDescent="0.3">
      <c r="A728" t="s">
        <v>1487</v>
      </c>
      <c r="B728" t="s">
        <v>1488</v>
      </c>
      <c r="C728">
        <v>3.69</v>
      </c>
      <c r="D728">
        <v>4.24</v>
      </c>
      <c r="E728">
        <v>4.21</v>
      </c>
      <c r="G728">
        <v>3.8</v>
      </c>
      <c r="H728">
        <v>4.53</v>
      </c>
      <c r="I728">
        <v>4.33</v>
      </c>
      <c r="J728">
        <v>3.79</v>
      </c>
      <c r="K728">
        <v>4.5999999999999996</v>
      </c>
      <c r="L728">
        <v>3.77</v>
      </c>
      <c r="M728">
        <f t="shared" si="22"/>
        <v>3.9850000000000003</v>
      </c>
      <c r="N728">
        <f t="shared" si="23"/>
        <v>4.2039999999999997</v>
      </c>
    </row>
    <row r="729" spans="1:14" ht="14.25" customHeight="1" x14ac:dyDescent="0.3">
      <c r="A729" t="s">
        <v>1489</v>
      </c>
      <c r="B729" t="s">
        <v>1490</v>
      </c>
      <c r="C729">
        <v>4.17</v>
      </c>
      <c r="D729">
        <v>4.1500000000000004</v>
      </c>
      <c r="E729">
        <v>4.2300000000000004</v>
      </c>
      <c r="F729">
        <v>4.07</v>
      </c>
      <c r="G729">
        <v>3.5</v>
      </c>
      <c r="H729">
        <v>4.05</v>
      </c>
      <c r="I729">
        <v>4.09</v>
      </c>
      <c r="J729">
        <v>4.53</v>
      </c>
      <c r="K729">
        <v>3.57</v>
      </c>
      <c r="L729">
        <v>4.78</v>
      </c>
      <c r="M729">
        <f t="shared" si="22"/>
        <v>4.024</v>
      </c>
      <c r="N729">
        <f t="shared" si="23"/>
        <v>4.2040000000000006</v>
      </c>
    </row>
    <row r="730" spans="1:14" ht="14.25" customHeight="1" x14ac:dyDescent="0.3">
      <c r="A730" t="s">
        <v>1491</v>
      </c>
      <c r="B730" t="s">
        <v>1492</v>
      </c>
      <c r="C730">
        <v>3.79</v>
      </c>
      <c r="D730">
        <v>4.08</v>
      </c>
      <c r="E730">
        <v>4.34</v>
      </c>
      <c r="F730">
        <v>4.22</v>
      </c>
      <c r="G730">
        <v>3.67</v>
      </c>
      <c r="H730">
        <v>3.7</v>
      </c>
      <c r="I730">
        <v>4.1500000000000004</v>
      </c>
      <c r="J730">
        <v>4.29</v>
      </c>
      <c r="K730">
        <v>4.24</v>
      </c>
      <c r="L730">
        <v>4.22</v>
      </c>
      <c r="M730">
        <f t="shared" si="22"/>
        <v>4.0200000000000005</v>
      </c>
      <c r="N730">
        <f t="shared" si="23"/>
        <v>4.12</v>
      </c>
    </row>
    <row r="731" spans="1:14" ht="14.25" customHeight="1" x14ac:dyDescent="0.3">
      <c r="A731" t="s">
        <v>1493</v>
      </c>
      <c r="B731" t="s">
        <v>1494</v>
      </c>
      <c r="C731">
        <v>4.21</v>
      </c>
      <c r="D731">
        <v>4.5199999999999996</v>
      </c>
      <c r="E731">
        <v>4.2300000000000004</v>
      </c>
      <c r="F731">
        <v>3.59</v>
      </c>
      <c r="G731">
        <v>3.85</v>
      </c>
      <c r="H731">
        <v>4.05</v>
      </c>
      <c r="I731">
        <v>4.4800000000000004</v>
      </c>
      <c r="J731">
        <v>4.03</v>
      </c>
      <c r="K731">
        <v>3.9</v>
      </c>
      <c r="L731">
        <v>3.88</v>
      </c>
      <c r="M731">
        <f t="shared" si="22"/>
        <v>4.08</v>
      </c>
      <c r="N731">
        <f t="shared" si="23"/>
        <v>4.0679999999999996</v>
      </c>
    </row>
    <row r="732" spans="1:14" ht="14.25" customHeight="1" x14ac:dyDescent="0.3">
      <c r="A732" t="s">
        <v>1495</v>
      </c>
      <c r="B732" t="s">
        <v>1496</v>
      </c>
      <c r="C732">
        <v>5</v>
      </c>
      <c r="D732">
        <v>4.28</v>
      </c>
      <c r="E732">
        <v>4.3499999999999996</v>
      </c>
      <c r="F732">
        <v>3.9</v>
      </c>
      <c r="G732">
        <v>3.95</v>
      </c>
      <c r="H732">
        <v>3.96</v>
      </c>
      <c r="I732">
        <v>4.3600000000000003</v>
      </c>
      <c r="J732">
        <v>4.1500000000000004</v>
      </c>
      <c r="K732">
        <v>3.89</v>
      </c>
      <c r="L732">
        <v>4.4800000000000004</v>
      </c>
      <c r="M732">
        <f t="shared" si="22"/>
        <v>4.2960000000000003</v>
      </c>
      <c r="N732">
        <f t="shared" si="23"/>
        <v>4.1680000000000001</v>
      </c>
    </row>
    <row r="733" spans="1:14" ht="14.25" customHeight="1" x14ac:dyDescent="0.3">
      <c r="A733" t="s">
        <v>1497</v>
      </c>
      <c r="B733" t="s">
        <v>1498</v>
      </c>
      <c r="C733">
        <v>3.86</v>
      </c>
      <c r="D733" t="s">
        <v>1499</v>
      </c>
      <c r="E733">
        <v>3.59</v>
      </c>
      <c r="F733">
        <v>4.0199999999999996</v>
      </c>
      <c r="G733">
        <v>3.97</v>
      </c>
      <c r="H733">
        <v>4.29</v>
      </c>
      <c r="I733">
        <v>3.99</v>
      </c>
      <c r="J733">
        <v>4.34</v>
      </c>
      <c r="K733">
        <v>3.81</v>
      </c>
      <c r="L733">
        <v>4.1900000000000004</v>
      </c>
      <c r="M733">
        <f t="shared" si="22"/>
        <v>3.86</v>
      </c>
      <c r="N733">
        <f t="shared" si="23"/>
        <v>4.1240000000000006</v>
      </c>
    </row>
    <row r="734" spans="1:14" ht="14.25" customHeight="1" x14ac:dyDescent="0.3">
      <c r="A734" t="s">
        <v>1500</v>
      </c>
      <c r="B734" t="s">
        <v>1501</v>
      </c>
      <c r="C734">
        <v>4.1500000000000004</v>
      </c>
      <c r="D734">
        <v>4.08</v>
      </c>
      <c r="E734">
        <v>4.04</v>
      </c>
      <c r="F734">
        <v>3.83</v>
      </c>
      <c r="G734">
        <v>3.36</v>
      </c>
      <c r="H734" t="s">
        <v>1502</v>
      </c>
      <c r="I734">
        <v>4.21</v>
      </c>
      <c r="J734">
        <v>4.17</v>
      </c>
      <c r="K734">
        <v>4.34</v>
      </c>
      <c r="L734">
        <v>3.95</v>
      </c>
      <c r="M734">
        <f t="shared" si="22"/>
        <v>3.8920000000000003</v>
      </c>
      <c r="N734">
        <f t="shared" si="23"/>
        <v>4.1674999999999995</v>
      </c>
    </row>
    <row r="735" spans="1:14" ht="14.25" customHeight="1" x14ac:dyDescent="0.3">
      <c r="A735" t="s">
        <v>1503</v>
      </c>
      <c r="B735" t="s">
        <v>1504</v>
      </c>
      <c r="C735">
        <v>4.09</v>
      </c>
      <c r="D735">
        <v>4.08</v>
      </c>
      <c r="E735">
        <v>3.45</v>
      </c>
      <c r="F735">
        <v>3.85</v>
      </c>
      <c r="G735">
        <v>3.79</v>
      </c>
      <c r="H735">
        <v>4.51</v>
      </c>
      <c r="I735">
        <v>3.69</v>
      </c>
      <c r="J735">
        <v>4.4800000000000004</v>
      </c>
      <c r="K735">
        <v>3.75</v>
      </c>
      <c r="L735">
        <v>3.99</v>
      </c>
      <c r="M735">
        <f t="shared" si="22"/>
        <v>3.8520000000000003</v>
      </c>
      <c r="N735">
        <f t="shared" si="23"/>
        <v>4.0840000000000005</v>
      </c>
    </row>
    <row r="736" spans="1:14" ht="14.25" customHeight="1" x14ac:dyDescent="0.3">
      <c r="A736" t="s">
        <v>1505</v>
      </c>
      <c r="B736" t="s">
        <v>1506</v>
      </c>
      <c r="C736">
        <v>3.93</v>
      </c>
      <c r="D736">
        <v>3.98</v>
      </c>
      <c r="E736">
        <v>4.4000000000000004</v>
      </c>
      <c r="F736">
        <v>4.33</v>
      </c>
      <c r="G736">
        <v>3.98</v>
      </c>
      <c r="H736">
        <v>3.99</v>
      </c>
      <c r="I736">
        <v>4.7</v>
      </c>
      <c r="J736">
        <v>3.92</v>
      </c>
      <c r="K736">
        <v>4.1399999999999997</v>
      </c>
      <c r="L736">
        <v>3.86</v>
      </c>
      <c r="M736">
        <f t="shared" si="22"/>
        <v>4.1240000000000006</v>
      </c>
      <c r="N736">
        <f t="shared" si="23"/>
        <v>4.1219999999999999</v>
      </c>
    </row>
    <row r="737" spans="1:14" ht="14.25" customHeight="1" x14ac:dyDescent="0.3">
      <c r="A737" t="s">
        <v>1507</v>
      </c>
      <c r="B737" t="s">
        <v>1508</v>
      </c>
      <c r="C737">
        <v>4.41</v>
      </c>
      <c r="D737">
        <v>4.2300000000000004</v>
      </c>
      <c r="E737">
        <v>3.77</v>
      </c>
      <c r="F737">
        <v>4.4800000000000004</v>
      </c>
      <c r="G737">
        <v>4.26</v>
      </c>
      <c r="H737">
        <v>4.04</v>
      </c>
      <c r="I737">
        <v>4.03</v>
      </c>
      <c r="J737">
        <v>3.96</v>
      </c>
      <c r="K737">
        <v>4.1900000000000004</v>
      </c>
      <c r="L737">
        <v>4.43</v>
      </c>
      <c r="M737">
        <f t="shared" si="22"/>
        <v>4.2299999999999995</v>
      </c>
      <c r="N737">
        <f t="shared" si="23"/>
        <v>4.1300000000000008</v>
      </c>
    </row>
    <row r="738" spans="1:14" ht="14.25" customHeight="1" x14ac:dyDescent="0.3">
      <c r="A738" t="s">
        <v>1509</v>
      </c>
      <c r="B738" t="s">
        <v>1510</v>
      </c>
      <c r="C738">
        <v>4.33</v>
      </c>
      <c r="D738">
        <v>3.84</v>
      </c>
      <c r="E738">
        <v>3.91</v>
      </c>
      <c r="F738">
        <v>3.36</v>
      </c>
      <c r="G738">
        <v>4.3499999999999996</v>
      </c>
      <c r="H738">
        <v>4.1900000000000004</v>
      </c>
      <c r="I738">
        <v>4.3899999999999997</v>
      </c>
      <c r="J738">
        <v>3.89</v>
      </c>
      <c r="K738">
        <v>4.4800000000000004</v>
      </c>
      <c r="L738">
        <v>4.1100000000000003</v>
      </c>
      <c r="M738">
        <f t="shared" si="22"/>
        <v>3.9579999999999997</v>
      </c>
      <c r="N738">
        <f t="shared" si="23"/>
        <v>4.2120000000000006</v>
      </c>
    </row>
    <row r="739" spans="1:14" ht="14.25" customHeight="1" x14ac:dyDescent="0.3">
      <c r="A739" t="s">
        <v>1511</v>
      </c>
      <c r="B739" t="s">
        <v>1512</v>
      </c>
      <c r="C739">
        <v>4.45</v>
      </c>
      <c r="D739">
        <v>4.17</v>
      </c>
      <c r="E739">
        <v>4.1900000000000004</v>
      </c>
      <c r="F739">
        <v>3.58</v>
      </c>
      <c r="G739">
        <v>4.03</v>
      </c>
      <c r="H739">
        <v>3.73</v>
      </c>
      <c r="I739">
        <v>3.79</v>
      </c>
      <c r="J739">
        <v>3.46</v>
      </c>
      <c r="K739">
        <v>4.24</v>
      </c>
      <c r="L739">
        <v>4.0199999999999996</v>
      </c>
      <c r="M739">
        <f t="shared" si="22"/>
        <v>4.0840000000000005</v>
      </c>
      <c r="N739">
        <f t="shared" si="23"/>
        <v>3.8480000000000003</v>
      </c>
    </row>
    <row r="740" spans="1:14" ht="14.25" customHeight="1" x14ac:dyDescent="0.3">
      <c r="A740" t="s">
        <v>1513</v>
      </c>
      <c r="B740" t="s">
        <v>1514</v>
      </c>
      <c r="C740">
        <v>3.76</v>
      </c>
      <c r="D740">
        <v>3.93</v>
      </c>
      <c r="E740">
        <v>3.88</v>
      </c>
      <c r="F740">
        <v>3.91</v>
      </c>
      <c r="G740">
        <v>4.47</v>
      </c>
      <c r="H740">
        <v>4.0599999999999996</v>
      </c>
      <c r="I740">
        <v>4.01</v>
      </c>
      <c r="J740">
        <v>4.03</v>
      </c>
      <c r="K740">
        <v>4.4000000000000004</v>
      </c>
      <c r="L740">
        <v>3.88</v>
      </c>
      <c r="M740">
        <f t="shared" si="22"/>
        <v>3.9899999999999998</v>
      </c>
      <c r="N740">
        <f t="shared" si="23"/>
        <v>4.0759999999999996</v>
      </c>
    </row>
    <row r="741" spans="1:14" ht="14.25" customHeight="1" x14ac:dyDescent="0.3">
      <c r="A741" t="s">
        <v>1515</v>
      </c>
      <c r="B741" t="s">
        <v>1516</v>
      </c>
      <c r="C741">
        <v>4.0199999999999996</v>
      </c>
      <c r="D741">
        <v>4.68</v>
      </c>
      <c r="E741">
        <v>3.98</v>
      </c>
      <c r="F741">
        <v>4.29</v>
      </c>
      <c r="G741">
        <v>4.22</v>
      </c>
      <c r="I741">
        <v>3.79</v>
      </c>
      <c r="J741">
        <v>3.99</v>
      </c>
      <c r="K741">
        <v>3.56</v>
      </c>
      <c r="L741">
        <v>3.46</v>
      </c>
      <c r="M741">
        <f t="shared" si="22"/>
        <v>4.2379999999999995</v>
      </c>
      <c r="N741">
        <f t="shared" si="23"/>
        <v>3.7</v>
      </c>
    </row>
    <row r="742" spans="1:14" ht="14.25" customHeight="1" x14ac:dyDescent="0.3">
      <c r="A742" t="s">
        <v>1517</v>
      </c>
      <c r="B742" t="s">
        <v>1518</v>
      </c>
      <c r="C742">
        <v>3.98</v>
      </c>
      <c r="D742">
        <v>4.6100000000000003</v>
      </c>
      <c r="E742">
        <v>3.9</v>
      </c>
      <c r="F742">
        <v>3.86</v>
      </c>
      <c r="G742">
        <v>4.2300000000000004</v>
      </c>
      <c r="H742">
        <v>3.7</v>
      </c>
      <c r="I742">
        <v>4.3499999999999996</v>
      </c>
      <c r="J742">
        <v>4.05</v>
      </c>
      <c r="K742">
        <v>3.81</v>
      </c>
      <c r="L742">
        <v>3.86</v>
      </c>
      <c r="M742">
        <f t="shared" si="22"/>
        <v>4.1160000000000005</v>
      </c>
      <c r="N742">
        <f t="shared" si="23"/>
        <v>3.9540000000000006</v>
      </c>
    </row>
    <row r="743" spans="1:14" ht="14.25" customHeight="1" x14ac:dyDescent="0.3">
      <c r="A743" t="s">
        <v>1519</v>
      </c>
      <c r="B743" t="s">
        <v>1520</v>
      </c>
      <c r="C743">
        <v>3.99</v>
      </c>
      <c r="D743">
        <v>3.73</v>
      </c>
      <c r="E743">
        <v>3.83</v>
      </c>
      <c r="F743">
        <v>3.87</v>
      </c>
      <c r="G743">
        <v>4.5999999999999996</v>
      </c>
      <c r="H743">
        <v>4.26</v>
      </c>
      <c r="I743">
        <v>4.1500000000000004</v>
      </c>
      <c r="J743">
        <v>3.85</v>
      </c>
      <c r="K743">
        <v>4.24</v>
      </c>
      <c r="L743">
        <v>4.01</v>
      </c>
      <c r="M743">
        <f t="shared" si="22"/>
        <v>4.0040000000000004</v>
      </c>
      <c r="N743">
        <f t="shared" si="23"/>
        <v>4.1019999999999994</v>
      </c>
    </row>
    <row r="744" spans="1:14" ht="14.25" customHeight="1" x14ac:dyDescent="0.3">
      <c r="A744" t="s">
        <v>1521</v>
      </c>
      <c r="B744" t="s">
        <v>1522</v>
      </c>
      <c r="C744">
        <v>3.7</v>
      </c>
      <c r="F744">
        <v>3.89</v>
      </c>
      <c r="G744">
        <v>3.97</v>
      </c>
      <c r="H744">
        <v>3.57</v>
      </c>
      <c r="I744">
        <v>4.28</v>
      </c>
      <c r="J744">
        <v>3.97</v>
      </c>
      <c r="K744">
        <v>3.74</v>
      </c>
      <c r="L744">
        <v>3.74</v>
      </c>
      <c r="M744">
        <f t="shared" si="22"/>
        <v>3.8533333333333335</v>
      </c>
      <c r="N744">
        <f t="shared" si="23"/>
        <v>3.8600000000000003</v>
      </c>
    </row>
    <row r="745" spans="1:14" ht="14.25" customHeight="1" x14ac:dyDescent="0.3">
      <c r="A745" t="s">
        <v>1523</v>
      </c>
      <c r="B745" t="s">
        <v>1524</v>
      </c>
      <c r="C745">
        <v>4.0999999999999996</v>
      </c>
      <c r="D745">
        <v>4.3</v>
      </c>
      <c r="E745">
        <v>3.54</v>
      </c>
      <c r="F745">
        <v>3.76</v>
      </c>
      <c r="G745">
        <v>4.05</v>
      </c>
      <c r="H745">
        <v>3.86</v>
      </c>
      <c r="I745">
        <v>4.1100000000000003</v>
      </c>
      <c r="J745">
        <v>4.5599999999999996</v>
      </c>
      <c r="K745">
        <v>3.58</v>
      </c>
      <c r="L745">
        <v>4.5599999999999996</v>
      </c>
      <c r="M745">
        <f t="shared" si="22"/>
        <v>3.9499999999999993</v>
      </c>
      <c r="N745">
        <f t="shared" si="23"/>
        <v>4.1339999999999995</v>
      </c>
    </row>
    <row r="746" spans="1:14" ht="14.25" customHeight="1" x14ac:dyDescent="0.3">
      <c r="A746" t="s">
        <v>1525</v>
      </c>
      <c r="B746" t="s">
        <v>1526</v>
      </c>
      <c r="C746">
        <v>4.1399999999999997</v>
      </c>
      <c r="D746">
        <v>4.24</v>
      </c>
      <c r="E746">
        <v>4.18</v>
      </c>
      <c r="F746">
        <v>3.89</v>
      </c>
      <c r="G746">
        <v>3.53</v>
      </c>
      <c r="H746">
        <v>4.08</v>
      </c>
      <c r="I746">
        <v>4.01</v>
      </c>
      <c r="J746">
        <v>4</v>
      </c>
      <c r="K746">
        <v>4.1500000000000004</v>
      </c>
      <c r="L746">
        <v>4.22</v>
      </c>
      <c r="M746">
        <f t="shared" si="22"/>
        <v>3.996</v>
      </c>
      <c r="N746">
        <f t="shared" si="23"/>
        <v>4.0920000000000005</v>
      </c>
    </row>
    <row r="747" spans="1:14" ht="14.25" customHeight="1" x14ac:dyDescent="0.3">
      <c r="A747" t="s">
        <v>1527</v>
      </c>
      <c r="B747" t="s">
        <v>1528</v>
      </c>
      <c r="C747">
        <v>4.16</v>
      </c>
      <c r="D747">
        <v>4.0999999999999996</v>
      </c>
      <c r="E747">
        <v>4.07</v>
      </c>
      <c r="F747">
        <v>4.75</v>
      </c>
      <c r="G747">
        <v>4.1900000000000004</v>
      </c>
      <c r="H747">
        <v>4.0199999999999996</v>
      </c>
      <c r="I747">
        <v>3.54</v>
      </c>
      <c r="J747">
        <v>3.96</v>
      </c>
      <c r="K747">
        <v>4.21</v>
      </c>
      <c r="L747">
        <v>3.64</v>
      </c>
      <c r="M747">
        <f t="shared" si="22"/>
        <v>4.2539999999999996</v>
      </c>
      <c r="N747">
        <f t="shared" si="23"/>
        <v>3.8740000000000001</v>
      </c>
    </row>
    <row r="748" spans="1:14" ht="14.25" customHeight="1" x14ac:dyDescent="0.3">
      <c r="A748" t="s">
        <v>1529</v>
      </c>
      <c r="B748" t="s">
        <v>1530</v>
      </c>
      <c r="C748">
        <v>4.6399999999999997</v>
      </c>
      <c r="D748">
        <v>4.13</v>
      </c>
      <c r="E748">
        <v>4.09</v>
      </c>
      <c r="F748">
        <v>3.59</v>
      </c>
      <c r="G748">
        <v>4.28</v>
      </c>
      <c r="H748">
        <v>4.12</v>
      </c>
      <c r="I748">
        <v>4.2</v>
      </c>
      <c r="K748">
        <v>4.01</v>
      </c>
      <c r="L748">
        <v>4.01</v>
      </c>
      <c r="M748">
        <f t="shared" si="22"/>
        <v>4.1459999999999999</v>
      </c>
      <c r="N748">
        <f t="shared" si="23"/>
        <v>4.085</v>
      </c>
    </row>
    <row r="749" spans="1:14" ht="14.25" customHeight="1" x14ac:dyDescent="0.3">
      <c r="A749" t="s">
        <v>1531</v>
      </c>
      <c r="B749" t="s">
        <v>1532</v>
      </c>
      <c r="C749">
        <v>3.48</v>
      </c>
      <c r="D749">
        <v>3.89</v>
      </c>
      <c r="E749">
        <v>4.13</v>
      </c>
      <c r="F749">
        <v>3.94</v>
      </c>
      <c r="G749">
        <v>4.4000000000000004</v>
      </c>
      <c r="H749">
        <v>4.46</v>
      </c>
      <c r="I749">
        <v>4.51</v>
      </c>
      <c r="J749">
        <v>3.68</v>
      </c>
      <c r="K749">
        <v>3.92</v>
      </c>
      <c r="L749">
        <v>4.3899999999999997</v>
      </c>
      <c r="M749">
        <f t="shared" si="22"/>
        <v>3.968</v>
      </c>
      <c r="N749">
        <f t="shared" si="23"/>
        <v>4.1920000000000002</v>
      </c>
    </row>
    <row r="750" spans="1:14" ht="14.25" customHeight="1" x14ac:dyDescent="0.3">
      <c r="A750" t="s">
        <v>1533</v>
      </c>
      <c r="B750" t="s">
        <v>1534</v>
      </c>
      <c r="D750">
        <v>3.98</v>
      </c>
      <c r="E750">
        <v>3.99</v>
      </c>
      <c r="F750">
        <v>4.03</v>
      </c>
      <c r="G750">
        <v>4.4400000000000004</v>
      </c>
      <c r="H750">
        <v>4.16</v>
      </c>
      <c r="I750">
        <v>4.58</v>
      </c>
      <c r="J750">
        <v>4.45</v>
      </c>
      <c r="K750">
        <v>4.04</v>
      </c>
      <c r="L750">
        <v>4.0599999999999996</v>
      </c>
      <c r="M750">
        <f t="shared" si="22"/>
        <v>4.1100000000000003</v>
      </c>
      <c r="N750">
        <f t="shared" si="23"/>
        <v>4.258</v>
      </c>
    </row>
    <row r="751" spans="1:14" ht="14.25" customHeight="1" x14ac:dyDescent="0.3">
      <c r="A751" t="s">
        <v>1535</v>
      </c>
      <c r="B751" t="s">
        <v>1536</v>
      </c>
      <c r="C751">
        <v>4.0999999999999996</v>
      </c>
      <c r="D751">
        <v>4.3600000000000003</v>
      </c>
      <c r="E751">
        <v>3.89</v>
      </c>
      <c r="F751">
        <v>4.26</v>
      </c>
      <c r="G751">
        <v>4.4800000000000004</v>
      </c>
      <c r="H751">
        <v>3.82</v>
      </c>
      <c r="I751">
        <v>3.85</v>
      </c>
      <c r="J751">
        <v>3.58</v>
      </c>
      <c r="K751">
        <v>4.3499999999999996</v>
      </c>
      <c r="L751">
        <v>3.83</v>
      </c>
      <c r="M751">
        <f t="shared" si="22"/>
        <v>4.218</v>
      </c>
      <c r="N751">
        <f t="shared" si="23"/>
        <v>3.8860000000000001</v>
      </c>
    </row>
    <row r="752" spans="1:14" ht="14.25" customHeight="1" x14ac:dyDescent="0.3">
      <c r="A752" t="s">
        <v>1537</v>
      </c>
      <c r="B752" t="s">
        <v>1538</v>
      </c>
      <c r="C752">
        <v>4.6900000000000004</v>
      </c>
      <c r="D752">
        <v>4.53</v>
      </c>
      <c r="E752">
        <v>3.77</v>
      </c>
      <c r="F752">
        <v>4.4000000000000004</v>
      </c>
      <c r="G752">
        <v>4.58</v>
      </c>
      <c r="H752">
        <v>4.54</v>
      </c>
      <c r="I752">
        <v>4.6500000000000004</v>
      </c>
      <c r="J752">
        <v>3.72</v>
      </c>
      <c r="L752">
        <v>3.93</v>
      </c>
      <c r="M752">
        <f t="shared" si="22"/>
        <v>4.3940000000000001</v>
      </c>
      <c r="N752">
        <f t="shared" si="23"/>
        <v>4.2100000000000009</v>
      </c>
    </row>
    <row r="753" spans="1:14" ht="14.25" customHeight="1" x14ac:dyDescent="0.3">
      <c r="A753" t="s">
        <v>1539</v>
      </c>
      <c r="B753" t="s">
        <v>1540</v>
      </c>
      <c r="C753">
        <v>3.66</v>
      </c>
      <c r="D753">
        <v>3.77</v>
      </c>
      <c r="E753">
        <v>4.33</v>
      </c>
      <c r="F753">
        <v>4.43</v>
      </c>
      <c r="G753">
        <v>3.86</v>
      </c>
      <c r="H753">
        <v>4.6100000000000003</v>
      </c>
      <c r="I753">
        <v>3.96</v>
      </c>
      <c r="J753">
        <v>4.17</v>
      </c>
      <c r="K753">
        <v>4.46</v>
      </c>
      <c r="L753">
        <v>3.81</v>
      </c>
      <c r="M753">
        <f t="shared" si="22"/>
        <v>4.01</v>
      </c>
      <c r="N753">
        <f t="shared" si="23"/>
        <v>4.202</v>
      </c>
    </row>
    <row r="754" spans="1:14" ht="14.25" customHeight="1" x14ac:dyDescent="0.3">
      <c r="A754" t="s">
        <v>1541</v>
      </c>
      <c r="B754" t="s">
        <v>1542</v>
      </c>
      <c r="C754">
        <v>4.2</v>
      </c>
      <c r="D754">
        <v>3.43</v>
      </c>
      <c r="E754">
        <v>4.5999999999999996</v>
      </c>
      <c r="F754">
        <v>3.97</v>
      </c>
      <c r="G754">
        <v>4.16</v>
      </c>
      <c r="H754">
        <v>4.1900000000000004</v>
      </c>
      <c r="I754">
        <v>3.51</v>
      </c>
      <c r="J754">
        <v>4.24</v>
      </c>
      <c r="K754">
        <v>4.63</v>
      </c>
      <c r="L754">
        <v>3.96</v>
      </c>
      <c r="M754">
        <f t="shared" si="22"/>
        <v>4.0720000000000001</v>
      </c>
      <c r="N754">
        <f t="shared" si="23"/>
        <v>4.1059999999999999</v>
      </c>
    </row>
    <row r="755" spans="1:14" ht="14.25" customHeight="1" x14ac:dyDescent="0.3">
      <c r="A755" t="s">
        <v>1543</v>
      </c>
      <c r="B755" t="s">
        <v>1544</v>
      </c>
      <c r="C755">
        <v>4.3</v>
      </c>
      <c r="D755">
        <v>3.99</v>
      </c>
      <c r="E755">
        <v>4.92</v>
      </c>
      <c r="F755">
        <v>4.6100000000000003</v>
      </c>
      <c r="G755">
        <v>4.18</v>
      </c>
      <c r="H755">
        <v>4.34</v>
      </c>
      <c r="I755">
        <v>3.91</v>
      </c>
      <c r="J755">
        <v>4.3499999999999996</v>
      </c>
      <c r="K755">
        <v>3.93</v>
      </c>
      <c r="L755">
        <v>3.74</v>
      </c>
      <c r="M755">
        <f t="shared" si="22"/>
        <v>4.4000000000000004</v>
      </c>
      <c r="N755">
        <f t="shared" si="23"/>
        <v>4.0540000000000003</v>
      </c>
    </row>
    <row r="756" spans="1:14" ht="14.25" customHeight="1" x14ac:dyDescent="0.3">
      <c r="A756" t="s">
        <v>1545</v>
      </c>
      <c r="B756" t="s">
        <v>1546</v>
      </c>
      <c r="C756" t="s">
        <v>1547</v>
      </c>
      <c r="D756">
        <v>3.61</v>
      </c>
      <c r="E756">
        <v>4.0599999999999996</v>
      </c>
      <c r="F756">
        <v>4.38</v>
      </c>
      <c r="G756">
        <v>3.65</v>
      </c>
      <c r="H756">
        <v>4.0599999999999996</v>
      </c>
      <c r="I756">
        <v>3.47</v>
      </c>
      <c r="J756">
        <v>3.93</v>
      </c>
      <c r="K756">
        <v>3.73</v>
      </c>
      <c r="L756">
        <v>4.33</v>
      </c>
      <c r="M756">
        <f t="shared" si="22"/>
        <v>3.9250000000000003</v>
      </c>
      <c r="N756">
        <f t="shared" si="23"/>
        <v>3.9039999999999999</v>
      </c>
    </row>
    <row r="757" spans="1:14" ht="14.25" customHeight="1" x14ac:dyDescent="0.3">
      <c r="A757" t="s">
        <v>1548</v>
      </c>
      <c r="B757" t="s">
        <v>1549</v>
      </c>
      <c r="C757">
        <v>3.62</v>
      </c>
      <c r="D757">
        <v>3.82</v>
      </c>
      <c r="E757">
        <v>4.04</v>
      </c>
      <c r="F757">
        <v>3.55</v>
      </c>
      <c r="G757">
        <v>4.05</v>
      </c>
      <c r="H757">
        <v>4.07</v>
      </c>
      <c r="I757">
        <v>4.1100000000000003</v>
      </c>
      <c r="J757">
        <v>4.05</v>
      </c>
      <c r="K757">
        <v>3.3</v>
      </c>
      <c r="L757">
        <v>3.76</v>
      </c>
      <c r="M757">
        <f t="shared" si="22"/>
        <v>3.8160000000000003</v>
      </c>
      <c r="N757">
        <f t="shared" si="23"/>
        <v>3.8579999999999997</v>
      </c>
    </row>
    <row r="758" spans="1:14" ht="14.25" customHeight="1" x14ac:dyDescent="0.3">
      <c r="A758" t="s">
        <v>1550</v>
      </c>
      <c r="B758" t="s">
        <v>1551</v>
      </c>
      <c r="C758">
        <v>4.3099999999999996</v>
      </c>
      <c r="D758">
        <v>3.89</v>
      </c>
      <c r="E758">
        <v>4.37</v>
      </c>
      <c r="F758">
        <v>3.6</v>
      </c>
      <c r="G758">
        <v>4.28</v>
      </c>
      <c r="H758">
        <v>4.32</v>
      </c>
      <c r="I758">
        <v>4.26</v>
      </c>
      <c r="J758">
        <v>3.7</v>
      </c>
      <c r="K758">
        <v>4.3499999999999996</v>
      </c>
      <c r="L758">
        <v>3.91</v>
      </c>
      <c r="M758">
        <f t="shared" si="22"/>
        <v>4.0900000000000007</v>
      </c>
      <c r="N758">
        <f t="shared" si="23"/>
        <v>4.1080000000000005</v>
      </c>
    </row>
    <row r="759" spans="1:14" ht="14.25" customHeight="1" x14ac:dyDescent="0.3">
      <c r="A759" t="s">
        <v>1552</v>
      </c>
      <c r="B759" t="s">
        <v>1553</v>
      </c>
      <c r="C759">
        <v>4.21</v>
      </c>
      <c r="D759">
        <v>4.1100000000000003</v>
      </c>
      <c r="E759">
        <v>4.54</v>
      </c>
      <c r="G759">
        <v>4</v>
      </c>
      <c r="H759">
        <v>4.0999999999999996</v>
      </c>
      <c r="I759">
        <v>4.3499999999999996</v>
      </c>
      <c r="J759">
        <v>3.98</v>
      </c>
      <c r="K759">
        <v>3.91</v>
      </c>
      <c r="L759">
        <v>3.6</v>
      </c>
      <c r="M759">
        <f t="shared" si="22"/>
        <v>4.2149999999999999</v>
      </c>
      <c r="N759">
        <f t="shared" si="23"/>
        <v>3.9880000000000004</v>
      </c>
    </row>
    <row r="760" spans="1:14" ht="14.25" customHeight="1" x14ac:dyDescent="0.3">
      <c r="A760" t="s">
        <v>1554</v>
      </c>
      <c r="B760" t="s">
        <v>1555</v>
      </c>
      <c r="C760">
        <v>4.3899999999999997</v>
      </c>
      <c r="D760">
        <v>3.5</v>
      </c>
      <c r="E760">
        <v>4.3499999999999996</v>
      </c>
      <c r="F760">
        <v>4.1100000000000003</v>
      </c>
      <c r="H760">
        <v>4.1100000000000003</v>
      </c>
      <c r="I760">
        <v>3.52</v>
      </c>
      <c r="J760">
        <v>3.8</v>
      </c>
      <c r="K760">
        <v>4.17</v>
      </c>
      <c r="L760">
        <v>4.21</v>
      </c>
      <c r="M760">
        <f t="shared" si="22"/>
        <v>4.0874999999999995</v>
      </c>
      <c r="N760">
        <f t="shared" si="23"/>
        <v>3.9619999999999997</v>
      </c>
    </row>
    <row r="761" spans="1:14" ht="14.25" customHeight="1" x14ac:dyDescent="0.3">
      <c r="A761" t="s">
        <v>1556</v>
      </c>
      <c r="B761" t="s">
        <v>1557</v>
      </c>
      <c r="C761">
        <v>3.96</v>
      </c>
      <c r="D761">
        <v>3.79</v>
      </c>
      <c r="E761">
        <v>3.8</v>
      </c>
      <c r="F761">
        <v>4.2</v>
      </c>
      <c r="G761">
        <v>4.1500000000000004</v>
      </c>
      <c r="H761">
        <v>3.57</v>
      </c>
      <c r="I761">
        <v>4.01</v>
      </c>
      <c r="J761">
        <v>4.2300000000000004</v>
      </c>
      <c r="K761">
        <v>4.1100000000000003</v>
      </c>
      <c r="L761">
        <v>3.99</v>
      </c>
      <c r="M761">
        <f t="shared" si="22"/>
        <v>3.9799999999999995</v>
      </c>
      <c r="N761">
        <f t="shared" si="23"/>
        <v>3.9820000000000007</v>
      </c>
    </row>
    <row r="762" spans="1:14" ht="14.25" customHeight="1" x14ac:dyDescent="0.3">
      <c r="A762" t="s">
        <v>1558</v>
      </c>
      <c r="B762" t="s">
        <v>1559</v>
      </c>
      <c r="C762">
        <v>4.22</v>
      </c>
      <c r="D762">
        <v>4.32</v>
      </c>
      <c r="E762">
        <v>3.36</v>
      </c>
      <c r="F762">
        <v>4.41</v>
      </c>
      <c r="G762">
        <v>3.57</v>
      </c>
      <c r="H762">
        <v>4.1900000000000004</v>
      </c>
      <c r="I762">
        <v>4.03</v>
      </c>
      <c r="J762">
        <v>4.47</v>
      </c>
      <c r="K762">
        <v>3.97</v>
      </c>
      <c r="L762">
        <v>4.2699999999999996</v>
      </c>
      <c r="M762">
        <f t="shared" si="22"/>
        <v>3.976</v>
      </c>
      <c r="N762">
        <f t="shared" si="23"/>
        <v>4.1859999999999999</v>
      </c>
    </row>
    <row r="763" spans="1:14" ht="14.25" customHeight="1" x14ac:dyDescent="0.3">
      <c r="A763" t="s">
        <v>1560</v>
      </c>
      <c r="B763" t="s">
        <v>1561</v>
      </c>
      <c r="C763">
        <v>4.43</v>
      </c>
      <c r="E763">
        <v>4.21</v>
      </c>
      <c r="F763">
        <v>4.03</v>
      </c>
      <c r="G763">
        <v>4.16</v>
      </c>
      <c r="H763">
        <v>4.4800000000000004</v>
      </c>
      <c r="I763">
        <v>4.09</v>
      </c>
      <c r="J763">
        <v>4.25</v>
      </c>
      <c r="K763">
        <v>4.04</v>
      </c>
      <c r="L763">
        <v>3.64</v>
      </c>
      <c r="M763">
        <f t="shared" si="22"/>
        <v>4.2075000000000005</v>
      </c>
      <c r="N763">
        <f t="shared" si="23"/>
        <v>4.0999999999999996</v>
      </c>
    </row>
    <row r="764" spans="1:14" ht="14.25" customHeight="1" x14ac:dyDescent="0.3">
      <c r="A764" t="s">
        <v>1562</v>
      </c>
      <c r="B764" t="s">
        <v>1563</v>
      </c>
      <c r="C764">
        <v>3.59</v>
      </c>
      <c r="D764">
        <v>4.12</v>
      </c>
      <c r="E764">
        <v>3.79</v>
      </c>
      <c r="F764">
        <v>4.2300000000000004</v>
      </c>
      <c r="G764">
        <v>4.34</v>
      </c>
      <c r="H764">
        <v>4.1500000000000004</v>
      </c>
      <c r="I764">
        <v>3.82</v>
      </c>
      <c r="J764">
        <v>4.17</v>
      </c>
      <c r="K764">
        <v>4.29</v>
      </c>
      <c r="L764">
        <v>4.24</v>
      </c>
      <c r="M764">
        <f t="shared" si="22"/>
        <v>4.0140000000000002</v>
      </c>
      <c r="N764">
        <f t="shared" si="23"/>
        <v>4.1340000000000003</v>
      </c>
    </row>
    <row r="765" spans="1:14" ht="14.25" customHeight="1" x14ac:dyDescent="0.3">
      <c r="A765" t="s">
        <v>1564</v>
      </c>
      <c r="B765" t="s">
        <v>1565</v>
      </c>
      <c r="C765">
        <v>4.0599999999999996</v>
      </c>
      <c r="D765">
        <v>4.24</v>
      </c>
      <c r="E765">
        <v>4.22</v>
      </c>
      <c r="F765">
        <v>4.1900000000000004</v>
      </c>
      <c r="G765">
        <v>4.75</v>
      </c>
      <c r="H765">
        <v>4.0999999999999996</v>
      </c>
      <c r="I765">
        <v>4.13</v>
      </c>
      <c r="J765">
        <v>4.25</v>
      </c>
      <c r="K765">
        <v>4.26</v>
      </c>
      <c r="L765">
        <v>3.95</v>
      </c>
      <c r="M765">
        <f t="shared" si="22"/>
        <v>4.2919999999999998</v>
      </c>
      <c r="N765">
        <f t="shared" si="23"/>
        <v>4.1379999999999999</v>
      </c>
    </row>
    <row r="766" spans="1:14" ht="14.25" customHeight="1" x14ac:dyDescent="0.3">
      <c r="A766" t="s">
        <v>1566</v>
      </c>
      <c r="B766" t="s">
        <v>1567</v>
      </c>
      <c r="C766">
        <v>3.53</v>
      </c>
      <c r="D766">
        <v>3.83</v>
      </c>
      <c r="E766">
        <v>4.32</v>
      </c>
      <c r="F766">
        <v>4.13</v>
      </c>
      <c r="G766">
        <v>4.09</v>
      </c>
      <c r="H766">
        <v>4.04</v>
      </c>
      <c r="I766">
        <v>3.89</v>
      </c>
      <c r="J766">
        <v>4.25</v>
      </c>
      <c r="K766">
        <v>3.88</v>
      </c>
      <c r="L766">
        <v>4.18</v>
      </c>
      <c r="M766">
        <f t="shared" si="22"/>
        <v>3.9799999999999995</v>
      </c>
      <c r="N766">
        <f t="shared" si="23"/>
        <v>4.048</v>
      </c>
    </row>
    <row r="767" spans="1:14" ht="14.25" customHeight="1" x14ac:dyDescent="0.3">
      <c r="A767" t="s">
        <v>1568</v>
      </c>
      <c r="B767" t="s">
        <v>1569</v>
      </c>
      <c r="C767">
        <v>4.54</v>
      </c>
      <c r="D767">
        <v>3.97</v>
      </c>
      <c r="E767">
        <v>4.32</v>
      </c>
      <c r="F767">
        <v>4.24</v>
      </c>
      <c r="G767">
        <v>4.04</v>
      </c>
      <c r="H767">
        <v>3.9</v>
      </c>
      <c r="I767">
        <v>4.1100000000000003</v>
      </c>
      <c r="J767">
        <v>3.88</v>
      </c>
      <c r="K767">
        <v>3.78</v>
      </c>
      <c r="L767">
        <v>3.89</v>
      </c>
      <c r="M767">
        <f t="shared" si="22"/>
        <v>4.2219999999999995</v>
      </c>
      <c r="N767">
        <f t="shared" si="23"/>
        <v>3.9119999999999999</v>
      </c>
    </row>
    <row r="768" spans="1:14" ht="14.25" customHeight="1" x14ac:dyDescent="0.3">
      <c r="A768" t="s">
        <v>1570</v>
      </c>
      <c r="B768" t="s">
        <v>1571</v>
      </c>
      <c r="C768">
        <v>4</v>
      </c>
      <c r="D768">
        <v>4.2300000000000004</v>
      </c>
      <c r="E768">
        <v>3.4</v>
      </c>
      <c r="F768">
        <v>4.2</v>
      </c>
      <c r="G768">
        <v>4.47</v>
      </c>
      <c r="H768">
        <v>4.33</v>
      </c>
      <c r="I768">
        <v>4.4800000000000004</v>
      </c>
      <c r="J768">
        <v>3.66</v>
      </c>
      <c r="K768">
        <v>3.74</v>
      </c>
      <c r="L768">
        <v>3.6</v>
      </c>
      <c r="M768">
        <f t="shared" si="22"/>
        <v>4.0600000000000005</v>
      </c>
      <c r="N768">
        <f t="shared" si="23"/>
        <v>3.9620000000000006</v>
      </c>
    </row>
    <row r="769" spans="1:14" ht="14.25" customHeight="1" x14ac:dyDescent="0.3">
      <c r="A769" t="s">
        <v>1572</v>
      </c>
      <c r="B769" t="s">
        <v>1573</v>
      </c>
      <c r="C769">
        <v>3.54</v>
      </c>
      <c r="D769">
        <v>4</v>
      </c>
      <c r="E769">
        <v>3.62</v>
      </c>
      <c r="F769">
        <v>3.45</v>
      </c>
      <c r="G769">
        <v>3.74</v>
      </c>
      <c r="H769">
        <v>4.5199999999999996</v>
      </c>
      <c r="I769">
        <v>3.89</v>
      </c>
      <c r="J769">
        <v>4.3099999999999996</v>
      </c>
      <c r="K769">
        <v>4.26</v>
      </c>
      <c r="L769">
        <v>3.78</v>
      </c>
      <c r="M769">
        <f t="shared" si="22"/>
        <v>3.6700000000000004</v>
      </c>
      <c r="N769">
        <f t="shared" si="23"/>
        <v>4.1519999999999992</v>
      </c>
    </row>
    <row r="770" spans="1:14" ht="14.25" customHeight="1" x14ac:dyDescent="0.3">
      <c r="A770" t="s">
        <v>1574</v>
      </c>
      <c r="B770" t="s">
        <v>1575</v>
      </c>
      <c r="C770">
        <v>4.16</v>
      </c>
      <c r="D770">
        <v>4.47</v>
      </c>
      <c r="E770">
        <v>4.21</v>
      </c>
      <c r="F770">
        <v>4.13</v>
      </c>
      <c r="G770">
        <v>3.79</v>
      </c>
      <c r="H770">
        <v>3.78</v>
      </c>
      <c r="I770">
        <v>4.1100000000000003</v>
      </c>
      <c r="J770">
        <v>3.88</v>
      </c>
      <c r="K770">
        <v>4.33</v>
      </c>
      <c r="L770">
        <v>3.76</v>
      </c>
      <c r="M770">
        <f t="shared" ref="M770:M833" si="24">AVERAGE(C770:G770)</f>
        <v>4.1519999999999992</v>
      </c>
      <c r="N770">
        <f t="shared" ref="N770:N833" si="25">AVERAGE(H770:L770)</f>
        <v>3.972</v>
      </c>
    </row>
    <row r="771" spans="1:14" ht="14.25" customHeight="1" x14ac:dyDescent="0.3">
      <c r="A771" t="s">
        <v>1576</v>
      </c>
      <c r="B771" t="s">
        <v>1577</v>
      </c>
      <c r="C771">
        <v>4.28</v>
      </c>
      <c r="D771">
        <v>4.2</v>
      </c>
      <c r="E771">
        <v>4.22</v>
      </c>
      <c r="F771">
        <v>3.97</v>
      </c>
      <c r="G771">
        <v>3.99</v>
      </c>
      <c r="H771">
        <v>4.3499999999999996</v>
      </c>
      <c r="I771">
        <v>4.22</v>
      </c>
      <c r="J771">
        <v>4.16</v>
      </c>
      <c r="K771">
        <v>4.08</v>
      </c>
      <c r="L771">
        <v>3.81</v>
      </c>
      <c r="M771">
        <f t="shared" si="24"/>
        <v>4.1319999999999997</v>
      </c>
      <c r="N771">
        <f t="shared" si="25"/>
        <v>4.1240000000000006</v>
      </c>
    </row>
    <row r="772" spans="1:14" ht="14.25" customHeight="1" x14ac:dyDescent="0.3">
      <c r="A772" t="s">
        <v>1578</v>
      </c>
      <c r="B772" t="s">
        <v>1579</v>
      </c>
      <c r="C772">
        <v>4.08</v>
      </c>
      <c r="D772">
        <v>3.71</v>
      </c>
      <c r="E772">
        <v>4.72</v>
      </c>
      <c r="F772">
        <v>3.7</v>
      </c>
      <c r="G772">
        <v>4.41</v>
      </c>
      <c r="H772">
        <v>3.98</v>
      </c>
      <c r="I772">
        <v>3.88</v>
      </c>
      <c r="J772">
        <v>4.25</v>
      </c>
      <c r="K772">
        <v>3.68</v>
      </c>
      <c r="L772">
        <v>4.29</v>
      </c>
      <c r="M772">
        <f t="shared" si="24"/>
        <v>4.1240000000000006</v>
      </c>
      <c r="N772">
        <f t="shared" si="25"/>
        <v>4.016</v>
      </c>
    </row>
    <row r="773" spans="1:14" ht="14.25" customHeight="1" x14ac:dyDescent="0.3">
      <c r="A773" t="s">
        <v>1580</v>
      </c>
      <c r="B773" t="s">
        <v>1581</v>
      </c>
      <c r="C773">
        <v>3.64</v>
      </c>
      <c r="D773">
        <v>4.51</v>
      </c>
      <c r="E773">
        <v>4.3499999999999996</v>
      </c>
      <c r="F773">
        <v>3.96</v>
      </c>
      <c r="G773">
        <v>3.89</v>
      </c>
      <c r="H773">
        <v>3.7</v>
      </c>
      <c r="I773">
        <v>4</v>
      </c>
      <c r="J773">
        <v>4.7</v>
      </c>
      <c r="K773">
        <v>3.87</v>
      </c>
      <c r="L773">
        <v>3.64</v>
      </c>
      <c r="M773">
        <f t="shared" si="24"/>
        <v>4.07</v>
      </c>
      <c r="N773">
        <f t="shared" si="25"/>
        <v>3.9820000000000002</v>
      </c>
    </row>
    <row r="774" spans="1:14" ht="14.25" customHeight="1" x14ac:dyDescent="0.3">
      <c r="A774" t="s">
        <v>1582</v>
      </c>
      <c r="B774" t="s">
        <v>1583</v>
      </c>
      <c r="C774">
        <v>3.92</v>
      </c>
      <c r="D774">
        <v>3.66</v>
      </c>
      <c r="E774">
        <v>4.1399999999999997</v>
      </c>
      <c r="F774">
        <v>4.17</v>
      </c>
      <c r="G774">
        <v>3.75</v>
      </c>
      <c r="H774">
        <v>4.34</v>
      </c>
      <c r="I774">
        <v>4.1900000000000004</v>
      </c>
      <c r="J774">
        <v>3.87</v>
      </c>
      <c r="K774">
        <v>4.38</v>
      </c>
      <c r="L774">
        <v>3.71</v>
      </c>
      <c r="M774">
        <f t="shared" si="24"/>
        <v>3.9279999999999999</v>
      </c>
      <c r="N774">
        <f t="shared" si="25"/>
        <v>4.0980000000000008</v>
      </c>
    </row>
    <row r="775" spans="1:14" ht="14.25" customHeight="1" x14ac:dyDescent="0.3">
      <c r="A775" t="s">
        <v>1584</v>
      </c>
      <c r="B775" t="s">
        <v>1585</v>
      </c>
      <c r="C775">
        <v>3.66</v>
      </c>
      <c r="D775">
        <v>4.13</v>
      </c>
      <c r="E775">
        <v>4.1100000000000003</v>
      </c>
      <c r="F775">
        <v>3.91</v>
      </c>
      <c r="G775">
        <v>4.12</v>
      </c>
      <c r="H775">
        <v>4.1900000000000004</v>
      </c>
      <c r="I775">
        <v>4.3600000000000003</v>
      </c>
      <c r="J775">
        <v>3.97</v>
      </c>
      <c r="K775">
        <v>3.75</v>
      </c>
      <c r="L775">
        <v>4.18</v>
      </c>
      <c r="M775">
        <f t="shared" si="24"/>
        <v>3.9859999999999998</v>
      </c>
      <c r="N775">
        <f t="shared" si="25"/>
        <v>4.0900000000000007</v>
      </c>
    </row>
    <row r="776" spans="1:14" ht="14.25" customHeight="1" x14ac:dyDescent="0.3">
      <c r="A776" t="s">
        <v>1586</v>
      </c>
      <c r="B776" t="s">
        <v>1587</v>
      </c>
      <c r="C776">
        <v>3.81</v>
      </c>
      <c r="D776">
        <v>4.41</v>
      </c>
      <c r="E776">
        <v>4.17</v>
      </c>
      <c r="F776">
        <v>4.5599999999999996</v>
      </c>
      <c r="G776">
        <v>4.32</v>
      </c>
      <c r="H776">
        <v>4.28</v>
      </c>
      <c r="I776">
        <v>3.3</v>
      </c>
      <c r="J776">
        <v>3.83</v>
      </c>
      <c r="K776">
        <v>4.1900000000000004</v>
      </c>
      <c r="L776">
        <v>4.2300000000000004</v>
      </c>
      <c r="M776">
        <f t="shared" si="24"/>
        <v>4.2539999999999996</v>
      </c>
      <c r="N776">
        <f t="shared" si="25"/>
        <v>3.9660000000000002</v>
      </c>
    </row>
    <row r="777" spans="1:14" ht="14.25" customHeight="1" x14ac:dyDescent="0.3">
      <c r="A777" t="s">
        <v>1588</v>
      </c>
      <c r="B777" t="s">
        <v>1589</v>
      </c>
      <c r="C777">
        <v>4.59</v>
      </c>
      <c r="D777">
        <v>4.2699999999999996</v>
      </c>
      <c r="E777">
        <v>4.2699999999999996</v>
      </c>
      <c r="F777">
        <v>3.19</v>
      </c>
      <c r="G777">
        <v>4.0999999999999996</v>
      </c>
      <c r="H777">
        <v>4.26</v>
      </c>
      <c r="I777">
        <v>4.58</v>
      </c>
      <c r="J777">
        <v>4.13</v>
      </c>
      <c r="K777">
        <v>3.83</v>
      </c>
      <c r="L777">
        <v>4.16</v>
      </c>
      <c r="M777">
        <f t="shared" si="24"/>
        <v>4.0840000000000005</v>
      </c>
      <c r="N777">
        <f t="shared" si="25"/>
        <v>4.1919999999999993</v>
      </c>
    </row>
    <row r="778" spans="1:14" ht="14.25" customHeight="1" x14ac:dyDescent="0.3">
      <c r="A778" t="s">
        <v>1590</v>
      </c>
      <c r="B778" t="s">
        <v>1591</v>
      </c>
      <c r="C778">
        <v>4.21</v>
      </c>
      <c r="D778">
        <v>4.25</v>
      </c>
      <c r="E778">
        <v>4.62</v>
      </c>
      <c r="F778">
        <v>4.37</v>
      </c>
      <c r="G778">
        <v>3.73</v>
      </c>
      <c r="H778">
        <v>4.1500000000000004</v>
      </c>
      <c r="I778">
        <v>4.2</v>
      </c>
      <c r="J778">
        <v>4.71</v>
      </c>
      <c r="L778">
        <v>4.1500000000000004</v>
      </c>
      <c r="M778">
        <f t="shared" si="24"/>
        <v>4.2360000000000007</v>
      </c>
      <c r="N778">
        <f t="shared" si="25"/>
        <v>4.3025000000000002</v>
      </c>
    </row>
    <row r="779" spans="1:14" ht="14.25" customHeight="1" x14ac:dyDescent="0.3">
      <c r="A779" t="s">
        <v>1592</v>
      </c>
      <c r="B779" t="s">
        <v>1593</v>
      </c>
      <c r="C779">
        <v>4.3099999999999996</v>
      </c>
      <c r="D779">
        <v>3.99</v>
      </c>
      <c r="E779">
        <v>4.29</v>
      </c>
      <c r="F779">
        <v>4.7699999999999996</v>
      </c>
      <c r="G779">
        <v>3.66</v>
      </c>
      <c r="H779">
        <v>4.0999999999999996</v>
      </c>
      <c r="I779">
        <v>4.2300000000000004</v>
      </c>
      <c r="J779">
        <v>3.24</v>
      </c>
      <c r="K779">
        <v>3.4</v>
      </c>
      <c r="L779">
        <v>4.32</v>
      </c>
      <c r="M779">
        <f t="shared" si="24"/>
        <v>4.2039999999999997</v>
      </c>
      <c r="N779">
        <f t="shared" si="25"/>
        <v>3.8579999999999997</v>
      </c>
    </row>
    <row r="780" spans="1:14" ht="14.25" customHeight="1" x14ac:dyDescent="0.3">
      <c r="A780" t="s">
        <v>1594</v>
      </c>
      <c r="B780" t="s">
        <v>1595</v>
      </c>
      <c r="C780">
        <v>4.2300000000000004</v>
      </c>
      <c r="E780">
        <v>4.22</v>
      </c>
      <c r="F780">
        <v>3.92</v>
      </c>
      <c r="G780">
        <v>3.98</v>
      </c>
      <c r="H780">
        <v>3.64</v>
      </c>
      <c r="I780">
        <v>4.34</v>
      </c>
      <c r="J780">
        <v>4.42</v>
      </c>
      <c r="K780">
        <v>4.28</v>
      </c>
      <c r="L780">
        <v>3.58</v>
      </c>
      <c r="M780">
        <f t="shared" si="24"/>
        <v>4.0874999999999995</v>
      </c>
      <c r="N780">
        <f t="shared" si="25"/>
        <v>4.0519999999999996</v>
      </c>
    </row>
    <row r="781" spans="1:14" ht="14.25" customHeight="1" x14ac:dyDescent="0.3">
      <c r="A781" t="s">
        <v>1596</v>
      </c>
      <c r="B781" t="s">
        <v>1597</v>
      </c>
      <c r="C781">
        <v>4.26</v>
      </c>
      <c r="D781">
        <v>4.34</v>
      </c>
      <c r="E781">
        <v>4.43</v>
      </c>
      <c r="F781">
        <v>4.5599999999999996</v>
      </c>
      <c r="G781">
        <v>4.6900000000000004</v>
      </c>
      <c r="H781">
        <v>4.5999999999999996</v>
      </c>
      <c r="I781">
        <v>3.73</v>
      </c>
      <c r="J781">
        <v>4.2699999999999996</v>
      </c>
      <c r="K781">
        <v>4.4000000000000004</v>
      </c>
      <c r="L781">
        <v>4.0599999999999996</v>
      </c>
      <c r="M781">
        <f t="shared" si="24"/>
        <v>4.4560000000000004</v>
      </c>
      <c r="N781">
        <f t="shared" si="25"/>
        <v>4.2119999999999997</v>
      </c>
    </row>
    <row r="782" spans="1:14" ht="14.25" customHeight="1" x14ac:dyDescent="0.3">
      <c r="A782" t="s">
        <v>1598</v>
      </c>
      <c r="B782" t="s">
        <v>1599</v>
      </c>
      <c r="C782" t="s">
        <v>1600</v>
      </c>
      <c r="D782">
        <v>3.73</v>
      </c>
      <c r="E782">
        <v>4.57</v>
      </c>
      <c r="F782">
        <v>4.17</v>
      </c>
      <c r="G782">
        <v>4.24</v>
      </c>
      <c r="H782">
        <v>4.51</v>
      </c>
      <c r="I782">
        <v>4.12</v>
      </c>
      <c r="J782">
        <v>3.62</v>
      </c>
      <c r="K782">
        <v>4.0999999999999996</v>
      </c>
      <c r="L782">
        <v>4.26</v>
      </c>
      <c r="M782">
        <f t="shared" si="24"/>
        <v>4.1775000000000002</v>
      </c>
      <c r="N782">
        <f t="shared" si="25"/>
        <v>4.1219999999999999</v>
      </c>
    </row>
    <row r="783" spans="1:14" ht="14.25" customHeight="1" x14ac:dyDescent="0.3">
      <c r="A783" t="s">
        <v>1601</v>
      </c>
      <c r="B783" t="s">
        <v>1602</v>
      </c>
      <c r="C783">
        <v>3.84</v>
      </c>
      <c r="D783">
        <v>4.2699999999999996</v>
      </c>
      <c r="E783">
        <v>3.96</v>
      </c>
      <c r="F783">
        <v>4.3099999999999996</v>
      </c>
      <c r="G783">
        <v>4.12</v>
      </c>
      <c r="H783">
        <v>3.9</v>
      </c>
      <c r="I783">
        <v>2.86</v>
      </c>
      <c r="J783">
        <v>4.0599999999999996</v>
      </c>
      <c r="K783">
        <v>3.79</v>
      </c>
      <c r="L783">
        <v>4.2</v>
      </c>
      <c r="M783">
        <f t="shared" si="24"/>
        <v>4.0999999999999996</v>
      </c>
      <c r="N783">
        <f t="shared" si="25"/>
        <v>3.7619999999999996</v>
      </c>
    </row>
    <row r="784" spans="1:14" ht="14.25" customHeight="1" x14ac:dyDescent="0.3">
      <c r="A784" t="s">
        <v>1603</v>
      </c>
      <c r="B784" t="s">
        <v>1604</v>
      </c>
      <c r="C784">
        <v>3.51</v>
      </c>
      <c r="D784">
        <v>3.97</v>
      </c>
      <c r="E784">
        <v>4.2</v>
      </c>
      <c r="F784">
        <v>4.18</v>
      </c>
      <c r="G784">
        <v>3.87</v>
      </c>
      <c r="H784">
        <v>4.1399999999999997</v>
      </c>
      <c r="I784">
        <v>3.72</v>
      </c>
      <c r="J784">
        <v>3.83</v>
      </c>
      <c r="M784">
        <f t="shared" si="24"/>
        <v>3.9460000000000002</v>
      </c>
      <c r="N784">
        <f t="shared" si="25"/>
        <v>3.8966666666666665</v>
      </c>
    </row>
    <row r="785" spans="1:14" ht="14.25" customHeight="1" x14ac:dyDescent="0.3">
      <c r="A785" t="s">
        <v>1605</v>
      </c>
      <c r="B785" t="s">
        <v>1606</v>
      </c>
      <c r="C785">
        <v>3.83</v>
      </c>
      <c r="D785">
        <v>3.33</v>
      </c>
      <c r="E785">
        <v>4.17</v>
      </c>
      <c r="F785">
        <v>3.97</v>
      </c>
      <c r="G785">
        <v>4.57</v>
      </c>
      <c r="H785">
        <v>4.37</v>
      </c>
      <c r="I785">
        <v>4.0999999999999996</v>
      </c>
      <c r="J785">
        <v>4.08</v>
      </c>
      <c r="K785">
        <v>4.1900000000000004</v>
      </c>
      <c r="L785">
        <v>3.99</v>
      </c>
      <c r="M785">
        <f t="shared" si="24"/>
        <v>3.9740000000000002</v>
      </c>
      <c r="N785">
        <f t="shared" si="25"/>
        <v>4.145999999999999</v>
      </c>
    </row>
    <row r="786" spans="1:14" ht="14.25" customHeight="1" x14ac:dyDescent="0.3">
      <c r="A786" t="s">
        <v>1607</v>
      </c>
      <c r="B786" t="s">
        <v>1608</v>
      </c>
      <c r="C786">
        <v>4.33</v>
      </c>
      <c r="D786">
        <v>4.25</v>
      </c>
      <c r="E786">
        <v>3.98</v>
      </c>
      <c r="F786">
        <v>4.01</v>
      </c>
      <c r="G786">
        <v>3.97</v>
      </c>
      <c r="H786">
        <v>4.37</v>
      </c>
      <c r="I786">
        <v>4.1100000000000003</v>
      </c>
      <c r="J786">
        <v>4.4000000000000004</v>
      </c>
      <c r="K786">
        <v>3.9</v>
      </c>
      <c r="L786">
        <v>4.1900000000000004</v>
      </c>
      <c r="M786">
        <f t="shared" si="24"/>
        <v>4.1079999999999997</v>
      </c>
      <c r="N786">
        <f t="shared" si="25"/>
        <v>4.1940000000000008</v>
      </c>
    </row>
    <row r="787" spans="1:14" ht="14.25" customHeight="1" x14ac:dyDescent="0.3">
      <c r="A787" t="s">
        <v>1609</v>
      </c>
      <c r="B787" t="s">
        <v>1610</v>
      </c>
      <c r="C787">
        <v>3.71</v>
      </c>
      <c r="D787">
        <v>4.51</v>
      </c>
      <c r="E787">
        <v>3.37</v>
      </c>
      <c r="F787">
        <v>4.21</v>
      </c>
      <c r="G787">
        <v>3.71</v>
      </c>
      <c r="H787">
        <v>3.61</v>
      </c>
      <c r="I787">
        <v>3.45</v>
      </c>
      <c r="J787">
        <v>4.51</v>
      </c>
      <c r="K787">
        <v>4.13</v>
      </c>
      <c r="L787">
        <v>3.68</v>
      </c>
      <c r="M787">
        <f t="shared" si="24"/>
        <v>3.9020000000000001</v>
      </c>
      <c r="N787">
        <f t="shared" si="25"/>
        <v>3.8759999999999999</v>
      </c>
    </row>
    <row r="788" spans="1:14" ht="14.25" customHeight="1" x14ac:dyDescent="0.3">
      <c r="A788" t="s">
        <v>1611</v>
      </c>
      <c r="B788" t="s">
        <v>1612</v>
      </c>
      <c r="C788">
        <v>3.81</v>
      </c>
      <c r="D788">
        <v>4.7</v>
      </c>
      <c r="E788">
        <v>4.45</v>
      </c>
      <c r="F788">
        <v>3.79</v>
      </c>
      <c r="G788">
        <v>4.75</v>
      </c>
      <c r="H788">
        <v>4.07</v>
      </c>
      <c r="I788">
        <v>4.12</v>
      </c>
      <c r="J788">
        <v>4.07</v>
      </c>
      <c r="K788">
        <v>4.2</v>
      </c>
      <c r="L788">
        <v>3.46</v>
      </c>
      <c r="M788">
        <f t="shared" si="24"/>
        <v>4.3</v>
      </c>
      <c r="N788">
        <f t="shared" si="25"/>
        <v>3.9840000000000004</v>
      </c>
    </row>
    <row r="789" spans="1:14" ht="14.25" customHeight="1" x14ac:dyDescent="0.3">
      <c r="A789" t="s">
        <v>1613</v>
      </c>
      <c r="B789" t="s">
        <v>1614</v>
      </c>
      <c r="C789">
        <v>3.64</v>
      </c>
      <c r="D789">
        <v>4.75</v>
      </c>
      <c r="E789">
        <v>4.29</v>
      </c>
      <c r="F789">
        <v>4.04</v>
      </c>
      <c r="G789">
        <v>4.26</v>
      </c>
      <c r="H789">
        <v>4.0199999999999996</v>
      </c>
      <c r="I789">
        <v>3.68</v>
      </c>
      <c r="J789">
        <v>3.58</v>
      </c>
      <c r="K789">
        <v>4.18</v>
      </c>
      <c r="L789" t="s">
        <v>211</v>
      </c>
      <c r="M789">
        <f t="shared" si="24"/>
        <v>4.1959999999999997</v>
      </c>
      <c r="N789">
        <f t="shared" si="25"/>
        <v>3.8649999999999998</v>
      </c>
    </row>
    <row r="790" spans="1:14" ht="14.25" customHeight="1" x14ac:dyDescent="0.3">
      <c r="A790" t="s">
        <v>1615</v>
      </c>
      <c r="B790" t="s">
        <v>1616</v>
      </c>
      <c r="C790">
        <v>4.25</v>
      </c>
      <c r="D790">
        <v>4.0199999999999996</v>
      </c>
      <c r="E790">
        <v>4.37</v>
      </c>
      <c r="F790">
        <v>3.83</v>
      </c>
      <c r="G790">
        <v>3.91</v>
      </c>
      <c r="H790">
        <v>4.1100000000000003</v>
      </c>
      <c r="I790">
        <v>4.17</v>
      </c>
      <c r="J790">
        <v>3.69</v>
      </c>
      <c r="K790">
        <v>3.67</v>
      </c>
      <c r="L790">
        <v>3.64</v>
      </c>
      <c r="M790">
        <f t="shared" si="24"/>
        <v>4.0759999999999996</v>
      </c>
      <c r="N790">
        <f t="shared" si="25"/>
        <v>3.8560000000000003</v>
      </c>
    </row>
    <row r="791" spans="1:14" ht="14.25" customHeight="1" x14ac:dyDescent="0.3">
      <c r="A791" t="s">
        <v>1617</v>
      </c>
      <c r="B791" t="s">
        <v>1618</v>
      </c>
      <c r="C791">
        <v>4.25</v>
      </c>
      <c r="D791">
        <v>3.98</v>
      </c>
      <c r="E791">
        <v>4.34</v>
      </c>
      <c r="F791">
        <v>4.24</v>
      </c>
      <c r="G791">
        <v>3.75</v>
      </c>
      <c r="H791">
        <v>3.74</v>
      </c>
      <c r="I791">
        <v>4.54</v>
      </c>
      <c r="J791">
        <v>4.1399999999999997</v>
      </c>
      <c r="K791">
        <v>4.16</v>
      </c>
      <c r="L791">
        <v>3.99</v>
      </c>
      <c r="M791">
        <f t="shared" si="24"/>
        <v>4.1120000000000001</v>
      </c>
      <c r="N791">
        <f t="shared" si="25"/>
        <v>4.1139999999999999</v>
      </c>
    </row>
    <row r="792" spans="1:14" ht="14.25" customHeight="1" x14ac:dyDescent="0.3">
      <c r="A792" t="s">
        <v>1619</v>
      </c>
      <c r="B792" t="s">
        <v>1620</v>
      </c>
      <c r="C792">
        <v>4.04</v>
      </c>
      <c r="D792">
        <v>3.88</v>
      </c>
      <c r="E792">
        <v>3.62</v>
      </c>
      <c r="F792">
        <v>4.18</v>
      </c>
      <c r="G792">
        <v>3.9</v>
      </c>
      <c r="H792">
        <v>4.2300000000000004</v>
      </c>
      <c r="I792">
        <v>4.2699999999999996</v>
      </c>
      <c r="J792">
        <v>3.89</v>
      </c>
      <c r="K792">
        <v>3.82</v>
      </c>
      <c r="L792">
        <v>4</v>
      </c>
      <c r="M792">
        <f t="shared" si="24"/>
        <v>3.9239999999999995</v>
      </c>
      <c r="N792">
        <f t="shared" si="25"/>
        <v>4.0419999999999998</v>
      </c>
    </row>
    <row r="793" spans="1:14" ht="14.25" customHeight="1" x14ac:dyDescent="0.3">
      <c r="A793" t="s">
        <v>1621</v>
      </c>
      <c r="B793" t="s">
        <v>1622</v>
      </c>
      <c r="C793">
        <v>3.91</v>
      </c>
      <c r="D793">
        <v>3.83</v>
      </c>
      <c r="E793">
        <v>4.46</v>
      </c>
      <c r="F793">
        <v>3.87</v>
      </c>
      <c r="G793">
        <v>3.78</v>
      </c>
      <c r="H793">
        <v>3.73</v>
      </c>
      <c r="I793">
        <v>4.33</v>
      </c>
      <c r="J793">
        <v>4.26</v>
      </c>
      <c r="K793">
        <v>3.92</v>
      </c>
      <c r="L793">
        <v>3.96</v>
      </c>
      <c r="M793">
        <f t="shared" si="24"/>
        <v>3.97</v>
      </c>
      <c r="N793">
        <f t="shared" si="25"/>
        <v>4.0400000000000009</v>
      </c>
    </row>
    <row r="794" spans="1:14" ht="14.25" customHeight="1" x14ac:dyDescent="0.3">
      <c r="A794" t="s">
        <v>1623</v>
      </c>
      <c r="B794" t="s">
        <v>1624</v>
      </c>
      <c r="C794">
        <v>4.16</v>
      </c>
      <c r="D794">
        <v>3.96</v>
      </c>
      <c r="E794">
        <v>3.75</v>
      </c>
      <c r="F794">
        <v>4.0599999999999996</v>
      </c>
      <c r="G794">
        <v>4.22</v>
      </c>
      <c r="H794">
        <v>3.78</v>
      </c>
      <c r="I794">
        <v>3.98</v>
      </c>
      <c r="J794">
        <v>4.05</v>
      </c>
      <c r="K794">
        <v>4.7699999999999996</v>
      </c>
      <c r="L794">
        <v>4.41</v>
      </c>
      <c r="M794">
        <f t="shared" si="24"/>
        <v>4.0299999999999994</v>
      </c>
      <c r="N794">
        <f t="shared" si="25"/>
        <v>4.1979999999999995</v>
      </c>
    </row>
    <row r="795" spans="1:14" ht="14.25" customHeight="1" x14ac:dyDescent="0.3">
      <c r="A795" t="s">
        <v>1625</v>
      </c>
      <c r="B795" t="s">
        <v>1626</v>
      </c>
      <c r="C795">
        <v>3.93</v>
      </c>
      <c r="D795">
        <v>3.76</v>
      </c>
      <c r="E795">
        <v>3.78</v>
      </c>
      <c r="F795">
        <v>4.6900000000000004</v>
      </c>
      <c r="G795">
        <v>4.12</v>
      </c>
      <c r="H795">
        <v>3.86</v>
      </c>
      <c r="I795">
        <v>4.25</v>
      </c>
      <c r="J795">
        <v>4.0599999999999996</v>
      </c>
      <c r="K795">
        <v>3.65</v>
      </c>
      <c r="L795">
        <v>3.87</v>
      </c>
      <c r="M795">
        <f t="shared" si="24"/>
        <v>4.056</v>
      </c>
      <c r="N795">
        <f t="shared" si="25"/>
        <v>3.9379999999999997</v>
      </c>
    </row>
    <row r="796" spans="1:14" ht="14.25" customHeight="1" x14ac:dyDescent="0.3">
      <c r="A796" t="s">
        <v>1627</v>
      </c>
      <c r="B796" t="s">
        <v>1628</v>
      </c>
      <c r="C796">
        <v>5.0599999999999996</v>
      </c>
      <c r="D796">
        <v>3.9</v>
      </c>
      <c r="F796">
        <v>4.09</v>
      </c>
      <c r="G796">
        <v>3.87</v>
      </c>
      <c r="H796">
        <v>4</v>
      </c>
      <c r="I796">
        <v>4.01</v>
      </c>
      <c r="J796">
        <v>3.32</v>
      </c>
      <c r="K796">
        <v>4.08</v>
      </c>
      <c r="L796">
        <v>4.12</v>
      </c>
      <c r="M796">
        <f t="shared" si="24"/>
        <v>4.2299999999999995</v>
      </c>
      <c r="N796">
        <f t="shared" si="25"/>
        <v>3.9060000000000001</v>
      </c>
    </row>
    <row r="797" spans="1:14" ht="14.25" customHeight="1" x14ac:dyDescent="0.3">
      <c r="A797" t="s">
        <v>1629</v>
      </c>
      <c r="B797" t="s">
        <v>1630</v>
      </c>
      <c r="C797">
        <v>3.87</v>
      </c>
      <c r="D797">
        <v>4.04</v>
      </c>
      <c r="F797">
        <v>3.93</v>
      </c>
      <c r="G797">
        <v>4.1100000000000003</v>
      </c>
      <c r="H797">
        <v>4.33</v>
      </c>
      <c r="I797">
        <v>4.1500000000000004</v>
      </c>
      <c r="J797">
        <v>4.5599999999999996</v>
      </c>
      <c r="K797">
        <v>4.28</v>
      </c>
      <c r="L797">
        <v>3.96</v>
      </c>
      <c r="M797">
        <f t="shared" si="24"/>
        <v>3.9874999999999998</v>
      </c>
      <c r="N797">
        <f t="shared" si="25"/>
        <v>4.2560000000000002</v>
      </c>
    </row>
    <row r="798" spans="1:14" ht="14.25" customHeight="1" x14ac:dyDescent="0.3">
      <c r="A798" t="s">
        <v>1631</v>
      </c>
      <c r="B798" t="s">
        <v>1632</v>
      </c>
      <c r="C798">
        <v>4.33</v>
      </c>
      <c r="D798">
        <v>3.96</v>
      </c>
      <c r="E798">
        <v>3.8</v>
      </c>
      <c r="F798">
        <v>3.97</v>
      </c>
      <c r="G798">
        <v>4.04</v>
      </c>
      <c r="H798">
        <v>3.68</v>
      </c>
      <c r="I798">
        <v>3.73</v>
      </c>
      <c r="J798">
        <v>4.0199999999999996</v>
      </c>
      <c r="K798">
        <v>4.12</v>
      </c>
      <c r="L798">
        <v>4.2300000000000004</v>
      </c>
      <c r="M798">
        <f t="shared" si="24"/>
        <v>4.0199999999999996</v>
      </c>
      <c r="N798">
        <f t="shared" si="25"/>
        <v>3.9560000000000004</v>
      </c>
    </row>
    <row r="799" spans="1:14" ht="14.25" customHeight="1" x14ac:dyDescent="0.3">
      <c r="A799" t="s">
        <v>1633</v>
      </c>
      <c r="B799" t="s">
        <v>1634</v>
      </c>
      <c r="C799">
        <v>4.5</v>
      </c>
      <c r="D799">
        <v>4.3899999999999997</v>
      </c>
      <c r="E799">
        <v>3.89</v>
      </c>
      <c r="F799">
        <v>3.95</v>
      </c>
      <c r="G799">
        <v>4.1900000000000004</v>
      </c>
      <c r="H799">
        <v>4.54</v>
      </c>
      <c r="I799">
        <v>3.73</v>
      </c>
      <c r="J799">
        <v>4.1900000000000004</v>
      </c>
      <c r="L799">
        <v>3.91</v>
      </c>
      <c r="M799">
        <f t="shared" si="24"/>
        <v>4.1840000000000002</v>
      </c>
      <c r="N799">
        <f t="shared" si="25"/>
        <v>4.0925000000000002</v>
      </c>
    </row>
    <row r="800" spans="1:14" ht="14.25" customHeight="1" x14ac:dyDescent="0.3">
      <c r="A800" t="s">
        <v>1635</v>
      </c>
      <c r="B800" t="s">
        <v>1636</v>
      </c>
      <c r="C800">
        <v>3.79</v>
      </c>
      <c r="D800">
        <v>3.84</v>
      </c>
      <c r="E800">
        <v>3.77</v>
      </c>
      <c r="F800">
        <v>3.92</v>
      </c>
      <c r="G800">
        <v>3.97</v>
      </c>
      <c r="H800">
        <v>3.96</v>
      </c>
      <c r="I800">
        <v>4.09</v>
      </c>
      <c r="J800">
        <v>4.12</v>
      </c>
      <c r="K800">
        <v>3.63</v>
      </c>
      <c r="L800">
        <v>4.0199999999999996</v>
      </c>
      <c r="M800">
        <f t="shared" si="24"/>
        <v>3.8579999999999997</v>
      </c>
      <c r="N800">
        <f t="shared" si="25"/>
        <v>3.964</v>
      </c>
    </row>
    <row r="801" spans="1:14" ht="14.25" customHeight="1" x14ac:dyDescent="0.3">
      <c r="A801" t="s">
        <v>1637</v>
      </c>
      <c r="B801" t="s">
        <v>1638</v>
      </c>
      <c r="C801">
        <v>4</v>
      </c>
      <c r="D801">
        <v>4.1100000000000003</v>
      </c>
      <c r="E801">
        <v>4.17</v>
      </c>
      <c r="F801">
        <v>4.3099999999999996</v>
      </c>
      <c r="G801">
        <v>4.13</v>
      </c>
      <c r="H801">
        <v>3.76</v>
      </c>
      <c r="I801">
        <v>4.47</v>
      </c>
      <c r="J801">
        <v>4.26</v>
      </c>
      <c r="K801">
        <v>3.66</v>
      </c>
      <c r="L801">
        <v>4.45</v>
      </c>
      <c r="M801">
        <f t="shared" si="24"/>
        <v>4.1440000000000001</v>
      </c>
      <c r="N801">
        <f t="shared" si="25"/>
        <v>4.1199999999999992</v>
      </c>
    </row>
    <row r="802" spans="1:14" ht="14.25" customHeight="1" x14ac:dyDescent="0.3">
      <c r="A802" t="s">
        <v>1639</v>
      </c>
      <c r="B802" t="s">
        <v>1640</v>
      </c>
      <c r="C802">
        <v>4.03</v>
      </c>
      <c r="D802">
        <v>4.09</v>
      </c>
      <c r="E802">
        <v>3.88</v>
      </c>
      <c r="F802">
        <v>4.37</v>
      </c>
      <c r="G802">
        <v>4.24</v>
      </c>
      <c r="H802">
        <v>3.39</v>
      </c>
      <c r="I802">
        <v>3.76</v>
      </c>
      <c r="J802">
        <v>3.93</v>
      </c>
      <c r="K802">
        <v>3.74</v>
      </c>
      <c r="L802">
        <v>3.82</v>
      </c>
      <c r="M802">
        <f t="shared" si="24"/>
        <v>4.1219999999999999</v>
      </c>
      <c r="N802">
        <f t="shared" si="25"/>
        <v>3.7280000000000002</v>
      </c>
    </row>
    <row r="803" spans="1:14" ht="14.25" customHeight="1" x14ac:dyDescent="0.3">
      <c r="A803" t="s">
        <v>1641</v>
      </c>
      <c r="B803" t="s">
        <v>1642</v>
      </c>
      <c r="C803">
        <v>3.89</v>
      </c>
      <c r="D803">
        <v>3.29</v>
      </c>
      <c r="E803">
        <v>4.22</v>
      </c>
      <c r="G803">
        <v>3.64</v>
      </c>
      <c r="H803">
        <v>3.84</v>
      </c>
      <c r="I803">
        <v>3.91</v>
      </c>
      <c r="J803">
        <v>3.74</v>
      </c>
      <c r="K803">
        <v>4.13</v>
      </c>
      <c r="L803">
        <v>3.85</v>
      </c>
      <c r="M803">
        <f t="shared" si="24"/>
        <v>3.76</v>
      </c>
      <c r="N803">
        <f t="shared" si="25"/>
        <v>3.8940000000000006</v>
      </c>
    </row>
    <row r="804" spans="1:14" ht="14.25" customHeight="1" x14ac:dyDescent="0.3">
      <c r="A804" t="s">
        <v>1643</v>
      </c>
      <c r="B804" t="s">
        <v>1644</v>
      </c>
      <c r="C804">
        <v>3.08</v>
      </c>
      <c r="E804">
        <v>3.91</v>
      </c>
      <c r="F804">
        <v>4.13</v>
      </c>
      <c r="G804">
        <v>4.1900000000000004</v>
      </c>
      <c r="H804">
        <v>4.3</v>
      </c>
      <c r="I804">
        <v>3.74</v>
      </c>
      <c r="J804">
        <v>4.33</v>
      </c>
      <c r="K804">
        <v>3.95</v>
      </c>
      <c r="L804">
        <v>4.5</v>
      </c>
      <c r="M804">
        <f t="shared" si="24"/>
        <v>3.8275000000000006</v>
      </c>
      <c r="N804">
        <f t="shared" si="25"/>
        <v>4.1639999999999997</v>
      </c>
    </row>
    <row r="805" spans="1:14" ht="14.25" customHeight="1" x14ac:dyDescent="0.3">
      <c r="A805" t="s">
        <v>1645</v>
      </c>
      <c r="B805" t="s">
        <v>1646</v>
      </c>
      <c r="C805">
        <v>4.2699999999999996</v>
      </c>
      <c r="D805">
        <v>3.91</v>
      </c>
      <c r="E805">
        <v>4.2300000000000004</v>
      </c>
      <c r="F805">
        <v>3.78</v>
      </c>
      <c r="G805">
        <v>4.62</v>
      </c>
      <c r="H805">
        <v>3.61</v>
      </c>
      <c r="I805">
        <v>4.5</v>
      </c>
      <c r="J805">
        <v>4.16</v>
      </c>
      <c r="K805">
        <v>4.18</v>
      </c>
      <c r="L805">
        <v>4.1100000000000003</v>
      </c>
      <c r="M805">
        <f t="shared" si="24"/>
        <v>4.1620000000000008</v>
      </c>
      <c r="N805">
        <f t="shared" si="25"/>
        <v>4.1120000000000001</v>
      </c>
    </row>
    <row r="806" spans="1:14" ht="14.25" customHeight="1" x14ac:dyDescent="0.3">
      <c r="A806" t="s">
        <v>1647</v>
      </c>
      <c r="B806" t="s">
        <v>1648</v>
      </c>
      <c r="C806">
        <v>3.97</v>
      </c>
      <c r="D806">
        <v>4.58</v>
      </c>
      <c r="E806">
        <v>3.72</v>
      </c>
      <c r="F806">
        <v>4.29</v>
      </c>
      <c r="G806">
        <v>3.88</v>
      </c>
      <c r="H806">
        <v>4.46</v>
      </c>
      <c r="I806">
        <v>3.66</v>
      </c>
      <c r="J806">
        <v>4.3600000000000003</v>
      </c>
      <c r="K806">
        <v>3.45</v>
      </c>
      <c r="L806">
        <v>4.2300000000000004</v>
      </c>
      <c r="M806">
        <f t="shared" si="24"/>
        <v>4.0880000000000001</v>
      </c>
      <c r="N806">
        <f t="shared" si="25"/>
        <v>4.032</v>
      </c>
    </row>
    <row r="807" spans="1:14" ht="14.25" customHeight="1" x14ac:dyDescent="0.3">
      <c r="A807" t="s">
        <v>1649</v>
      </c>
      <c r="B807" t="s">
        <v>1650</v>
      </c>
      <c r="C807">
        <v>4.1900000000000004</v>
      </c>
      <c r="D807">
        <v>3.99</v>
      </c>
      <c r="E807">
        <v>4.1500000000000004</v>
      </c>
      <c r="F807">
        <v>4.6399999999999997</v>
      </c>
      <c r="G807">
        <v>4.7</v>
      </c>
      <c r="H807">
        <v>4.83</v>
      </c>
      <c r="I807">
        <v>4.38</v>
      </c>
      <c r="J807">
        <v>3.66</v>
      </c>
      <c r="K807">
        <v>4.07</v>
      </c>
      <c r="L807">
        <v>4.1900000000000004</v>
      </c>
      <c r="M807">
        <f t="shared" si="24"/>
        <v>4.3339999999999996</v>
      </c>
      <c r="N807">
        <f t="shared" si="25"/>
        <v>4.2260000000000009</v>
      </c>
    </row>
    <row r="808" spans="1:14" ht="14.25" customHeight="1" x14ac:dyDescent="0.3">
      <c r="A808" t="s">
        <v>1651</v>
      </c>
      <c r="B808" t="s">
        <v>1652</v>
      </c>
      <c r="C808">
        <v>4.79</v>
      </c>
      <c r="D808">
        <v>4</v>
      </c>
      <c r="E808">
        <v>4.22</v>
      </c>
      <c r="F808">
        <v>3.87</v>
      </c>
      <c r="G808">
        <v>4.08</v>
      </c>
      <c r="H808">
        <v>3.9</v>
      </c>
      <c r="I808">
        <v>4.17</v>
      </c>
      <c r="J808">
        <v>4.01</v>
      </c>
      <c r="K808" t="s">
        <v>1653</v>
      </c>
      <c r="L808">
        <v>4.4400000000000004</v>
      </c>
      <c r="M808">
        <f t="shared" si="24"/>
        <v>4.1920000000000002</v>
      </c>
      <c r="N808">
        <f t="shared" si="25"/>
        <v>4.13</v>
      </c>
    </row>
    <row r="809" spans="1:14" ht="14.25" customHeight="1" x14ac:dyDescent="0.3">
      <c r="A809" t="s">
        <v>1654</v>
      </c>
      <c r="B809" t="s">
        <v>1655</v>
      </c>
      <c r="C809">
        <v>3.82</v>
      </c>
      <c r="D809">
        <v>3.36</v>
      </c>
      <c r="E809">
        <v>3.91</v>
      </c>
      <c r="F809">
        <v>3.97</v>
      </c>
      <c r="G809">
        <v>3.97</v>
      </c>
      <c r="H809">
        <v>4.21</v>
      </c>
      <c r="I809" t="s">
        <v>1656</v>
      </c>
      <c r="J809">
        <v>3.74</v>
      </c>
      <c r="K809">
        <v>4.41</v>
      </c>
      <c r="L809">
        <v>3.77</v>
      </c>
      <c r="M809">
        <f t="shared" si="24"/>
        <v>3.806</v>
      </c>
      <c r="N809">
        <f t="shared" si="25"/>
        <v>4.0324999999999998</v>
      </c>
    </row>
    <row r="810" spans="1:14" ht="14.25" customHeight="1" x14ac:dyDescent="0.3">
      <c r="A810" t="s">
        <v>1657</v>
      </c>
      <c r="B810" t="s">
        <v>1658</v>
      </c>
      <c r="C810">
        <v>3.64</v>
      </c>
      <c r="D810">
        <v>3.98</v>
      </c>
      <c r="E810">
        <v>3.59</v>
      </c>
      <c r="F810">
        <v>3.31</v>
      </c>
      <c r="G810">
        <v>3.82</v>
      </c>
      <c r="H810">
        <v>4.5199999999999996</v>
      </c>
      <c r="I810">
        <v>4.09</v>
      </c>
      <c r="J810">
        <v>4.3</v>
      </c>
      <c r="K810">
        <v>4.01</v>
      </c>
      <c r="L810">
        <v>4.18</v>
      </c>
      <c r="M810">
        <f t="shared" si="24"/>
        <v>3.6680000000000001</v>
      </c>
      <c r="N810">
        <f t="shared" si="25"/>
        <v>4.2200000000000006</v>
      </c>
    </row>
    <row r="811" spans="1:14" ht="14.25" customHeight="1" x14ac:dyDescent="0.3">
      <c r="A811" t="s">
        <v>1659</v>
      </c>
      <c r="B811" t="s">
        <v>1660</v>
      </c>
      <c r="C811">
        <v>3.77</v>
      </c>
      <c r="D811">
        <v>3.61</v>
      </c>
      <c r="E811">
        <v>4.09</v>
      </c>
      <c r="F811">
        <v>4.17</v>
      </c>
      <c r="G811">
        <v>4.16</v>
      </c>
      <c r="H811">
        <v>4.03</v>
      </c>
      <c r="I811">
        <v>4.2699999999999996</v>
      </c>
      <c r="J811">
        <v>4.07</v>
      </c>
      <c r="K811">
        <v>4.1399999999999997</v>
      </c>
      <c r="L811">
        <v>3.86</v>
      </c>
      <c r="M811">
        <f t="shared" si="24"/>
        <v>3.9599999999999995</v>
      </c>
      <c r="N811">
        <f t="shared" si="25"/>
        <v>4.0739999999999998</v>
      </c>
    </row>
    <row r="812" spans="1:14" ht="14.25" customHeight="1" x14ac:dyDescent="0.3">
      <c r="A812" t="s">
        <v>1661</v>
      </c>
      <c r="B812" t="s">
        <v>1662</v>
      </c>
      <c r="C812">
        <v>4.16</v>
      </c>
      <c r="D812">
        <v>4.46</v>
      </c>
      <c r="E812">
        <v>3.43</v>
      </c>
      <c r="F812">
        <v>3.94</v>
      </c>
      <c r="G812">
        <v>4.07</v>
      </c>
      <c r="H812">
        <v>3.77</v>
      </c>
      <c r="I812">
        <v>3.87</v>
      </c>
      <c r="J812">
        <v>4.0999999999999996</v>
      </c>
      <c r="K812">
        <v>3.34</v>
      </c>
      <c r="L812">
        <v>4.03</v>
      </c>
      <c r="M812">
        <f t="shared" si="24"/>
        <v>4.0120000000000005</v>
      </c>
      <c r="N812">
        <f t="shared" si="25"/>
        <v>3.8220000000000001</v>
      </c>
    </row>
    <row r="813" spans="1:14" ht="14.25" customHeight="1" x14ac:dyDescent="0.3">
      <c r="A813" t="s">
        <v>1663</v>
      </c>
      <c r="B813" t="s">
        <v>1664</v>
      </c>
      <c r="C813">
        <v>3.79</v>
      </c>
      <c r="D813">
        <v>4.28</v>
      </c>
      <c r="E813">
        <v>3.89</v>
      </c>
      <c r="F813">
        <v>3.9</v>
      </c>
      <c r="G813">
        <v>3.95</v>
      </c>
      <c r="H813">
        <v>4.12</v>
      </c>
      <c r="I813">
        <v>3.62</v>
      </c>
      <c r="J813">
        <v>4.28</v>
      </c>
      <c r="K813">
        <v>4.45</v>
      </c>
      <c r="L813">
        <v>3.92</v>
      </c>
      <c r="M813">
        <f t="shared" si="24"/>
        <v>3.9620000000000006</v>
      </c>
      <c r="N813">
        <f t="shared" si="25"/>
        <v>4.0780000000000003</v>
      </c>
    </row>
    <row r="814" spans="1:14" ht="14.25" customHeight="1" x14ac:dyDescent="0.3">
      <c r="A814" t="s">
        <v>1665</v>
      </c>
      <c r="B814" t="s">
        <v>1666</v>
      </c>
      <c r="C814">
        <v>3.9</v>
      </c>
      <c r="D814">
        <v>4.09</v>
      </c>
      <c r="E814">
        <v>4.0999999999999996</v>
      </c>
      <c r="F814">
        <v>4.09</v>
      </c>
      <c r="G814">
        <v>3.81</v>
      </c>
      <c r="H814">
        <v>4.1100000000000003</v>
      </c>
      <c r="I814">
        <v>3.66</v>
      </c>
      <c r="J814">
        <v>4.1100000000000003</v>
      </c>
      <c r="K814">
        <v>3.95</v>
      </c>
      <c r="L814">
        <v>4.18</v>
      </c>
      <c r="M814">
        <f t="shared" si="24"/>
        <v>3.9979999999999998</v>
      </c>
      <c r="N814">
        <f t="shared" si="25"/>
        <v>4.0020000000000007</v>
      </c>
    </row>
    <row r="815" spans="1:14" ht="14.25" customHeight="1" x14ac:dyDescent="0.3">
      <c r="A815" t="s">
        <v>1667</v>
      </c>
      <c r="B815" t="s">
        <v>1668</v>
      </c>
      <c r="C815">
        <v>3.92</v>
      </c>
      <c r="D815">
        <v>4.2300000000000004</v>
      </c>
      <c r="E815">
        <v>3.78</v>
      </c>
      <c r="F815">
        <v>4.25</v>
      </c>
      <c r="G815">
        <v>3.88</v>
      </c>
      <c r="H815">
        <v>4.3499999999999996</v>
      </c>
      <c r="I815">
        <v>3.98</v>
      </c>
      <c r="J815">
        <v>4.12</v>
      </c>
      <c r="K815">
        <v>3.51</v>
      </c>
      <c r="L815">
        <v>4.54</v>
      </c>
      <c r="M815">
        <f t="shared" si="24"/>
        <v>4.0119999999999996</v>
      </c>
      <c r="N815">
        <f t="shared" si="25"/>
        <v>4.0999999999999996</v>
      </c>
    </row>
    <row r="816" spans="1:14" ht="14.25" customHeight="1" x14ac:dyDescent="0.3">
      <c r="A816" t="s">
        <v>1669</v>
      </c>
      <c r="B816" t="s">
        <v>1670</v>
      </c>
      <c r="C816">
        <v>4.12</v>
      </c>
      <c r="D816">
        <v>4.24</v>
      </c>
      <c r="E816">
        <v>3.98</v>
      </c>
      <c r="F816">
        <v>4.4800000000000004</v>
      </c>
      <c r="G816">
        <v>3.9</v>
      </c>
      <c r="H816">
        <v>4.03</v>
      </c>
      <c r="I816">
        <v>4.28</v>
      </c>
      <c r="J816">
        <v>4.12</v>
      </c>
      <c r="K816">
        <v>4.17</v>
      </c>
      <c r="L816">
        <v>4.1500000000000004</v>
      </c>
      <c r="M816">
        <f t="shared" si="24"/>
        <v>4.1440000000000001</v>
      </c>
      <c r="N816">
        <f t="shared" si="25"/>
        <v>4.1500000000000004</v>
      </c>
    </row>
    <row r="817" spans="1:14" ht="14.25" customHeight="1" x14ac:dyDescent="0.3">
      <c r="A817" t="s">
        <v>1671</v>
      </c>
      <c r="B817" t="s">
        <v>1672</v>
      </c>
      <c r="C817">
        <v>4.08</v>
      </c>
      <c r="D817">
        <v>4.4400000000000004</v>
      </c>
      <c r="E817">
        <v>3.94</v>
      </c>
      <c r="F817">
        <v>4.7</v>
      </c>
      <c r="G817">
        <v>3.95</v>
      </c>
      <c r="H817">
        <v>3.74</v>
      </c>
      <c r="I817">
        <v>3.87</v>
      </c>
      <c r="J817">
        <v>4.1900000000000004</v>
      </c>
      <c r="K817">
        <v>4.2699999999999996</v>
      </c>
      <c r="L817">
        <v>3.61</v>
      </c>
      <c r="M817">
        <f t="shared" si="24"/>
        <v>4.2219999999999995</v>
      </c>
      <c r="N817">
        <f t="shared" si="25"/>
        <v>3.9359999999999999</v>
      </c>
    </row>
    <row r="818" spans="1:14" ht="14.25" customHeight="1" x14ac:dyDescent="0.3">
      <c r="A818" t="s">
        <v>1673</v>
      </c>
      <c r="B818" t="s">
        <v>1674</v>
      </c>
      <c r="C818">
        <v>4.1500000000000004</v>
      </c>
      <c r="D818">
        <v>4.24</v>
      </c>
      <c r="E818">
        <v>3.72</v>
      </c>
      <c r="F818">
        <v>3.67</v>
      </c>
      <c r="G818">
        <v>4.04</v>
      </c>
      <c r="H818">
        <v>4.07</v>
      </c>
      <c r="I818">
        <v>4.33</v>
      </c>
      <c r="J818">
        <v>4.6900000000000004</v>
      </c>
      <c r="K818">
        <v>3.67</v>
      </c>
      <c r="L818">
        <v>3.69</v>
      </c>
      <c r="M818">
        <f t="shared" si="24"/>
        <v>3.964</v>
      </c>
      <c r="N818">
        <f t="shared" si="25"/>
        <v>4.09</v>
      </c>
    </row>
    <row r="819" spans="1:14" ht="14.25" customHeight="1" x14ac:dyDescent="0.3">
      <c r="A819" t="s">
        <v>1675</v>
      </c>
      <c r="B819" t="s">
        <v>1676</v>
      </c>
      <c r="C819">
        <v>4</v>
      </c>
      <c r="D819">
        <v>4.16</v>
      </c>
      <c r="E819">
        <v>4.3099999999999996</v>
      </c>
      <c r="F819">
        <v>4.68</v>
      </c>
      <c r="G819">
        <v>4.08</v>
      </c>
      <c r="H819">
        <v>4.09</v>
      </c>
      <c r="I819">
        <v>3.77</v>
      </c>
      <c r="J819">
        <v>4.0999999999999996</v>
      </c>
      <c r="K819">
        <v>4.16</v>
      </c>
      <c r="L819">
        <v>4.2699999999999996</v>
      </c>
      <c r="M819">
        <f t="shared" si="24"/>
        <v>4.2459999999999996</v>
      </c>
      <c r="N819">
        <f t="shared" si="25"/>
        <v>4.0779999999999994</v>
      </c>
    </row>
    <row r="820" spans="1:14" ht="14.25" customHeight="1" x14ac:dyDescent="0.3">
      <c r="A820" t="s">
        <v>1677</v>
      </c>
      <c r="B820" t="s">
        <v>1678</v>
      </c>
      <c r="C820">
        <v>3.78</v>
      </c>
      <c r="E820">
        <v>3.35</v>
      </c>
      <c r="F820">
        <v>3.58</v>
      </c>
      <c r="G820">
        <v>3.73</v>
      </c>
      <c r="H820">
        <v>3.87</v>
      </c>
      <c r="I820">
        <v>4.05</v>
      </c>
      <c r="J820">
        <v>4.2</v>
      </c>
      <c r="K820">
        <v>4.22</v>
      </c>
      <c r="L820">
        <v>3.67</v>
      </c>
      <c r="M820">
        <f t="shared" si="24"/>
        <v>3.6100000000000003</v>
      </c>
      <c r="N820">
        <f t="shared" si="25"/>
        <v>4.0019999999999998</v>
      </c>
    </row>
    <row r="821" spans="1:14" ht="14.25" customHeight="1" x14ac:dyDescent="0.3">
      <c r="A821" t="s">
        <v>1679</v>
      </c>
      <c r="B821" t="s">
        <v>1680</v>
      </c>
      <c r="C821">
        <v>3.86</v>
      </c>
      <c r="D821">
        <v>4.0199999999999996</v>
      </c>
      <c r="E821">
        <v>4.1399999999999997</v>
      </c>
      <c r="F821">
        <v>4.16</v>
      </c>
      <c r="G821">
        <v>3.87</v>
      </c>
      <c r="H821">
        <v>4.54</v>
      </c>
      <c r="I821">
        <v>3.55</v>
      </c>
      <c r="J821">
        <v>4.2</v>
      </c>
      <c r="K821">
        <v>4.3</v>
      </c>
      <c r="L821">
        <v>4.03</v>
      </c>
      <c r="M821">
        <f t="shared" si="24"/>
        <v>4.01</v>
      </c>
      <c r="N821">
        <f t="shared" si="25"/>
        <v>4.1240000000000006</v>
      </c>
    </row>
    <row r="822" spans="1:14" ht="14.25" customHeight="1" x14ac:dyDescent="0.3">
      <c r="A822" t="s">
        <v>1681</v>
      </c>
      <c r="B822" t="s">
        <v>1682</v>
      </c>
      <c r="C822">
        <v>4.0199999999999996</v>
      </c>
      <c r="D822">
        <v>4.09</v>
      </c>
      <c r="E822">
        <v>3.75</v>
      </c>
      <c r="F822">
        <v>4.45</v>
      </c>
      <c r="H822">
        <v>3.7</v>
      </c>
      <c r="I822">
        <v>4.4800000000000004</v>
      </c>
      <c r="J822">
        <v>3.51</v>
      </c>
      <c r="K822">
        <v>3.92</v>
      </c>
      <c r="L822">
        <v>3.96</v>
      </c>
      <c r="M822">
        <f t="shared" si="24"/>
        <v>4.0774999999999997</v>
      </c>
      <c r="N822">
        <f t="shared" si="25"/>
        <v>3.9140000000000001</v>
      </c>
    </row>
    <row r="823" spans="1:14" ht="14.25" customHeight="1" x14ac:dyDescent="0.3">
      <c r="A823" t="s">
        <v>1683</v>
      </c>
      <c r="B823" t="s">
        <v>1684</v>
      </c>
      <c r="C823">
        <v>4.25</v>
      </c>
      <c r="D823">
        <v>4.3099999999999996</v>
      </c>
      <c r="E823">
        <v>4.24</v>
      </c>
      <c r="F823">
        <v>5.0599999999999996</v>
      </c>
      <c r="G823">
        <v>4</v>
      </c>
      <c r="H823">
        <v>4.1100000000000003</v>
      </c>
      <c r="I823">
        <v>3.61</v>
      </c>
      <c r="J823">
        <v>3.82</v>
      </c>
      <c r="K823">
        <v>3.85</v>
      </c>
      <c r="L823">
        <v>4.1399999999999997</v>
      </c>
      <c r="M823">
        <f t="shared" si="24"/>
        <v>4.3719999999999999</v>
      </c>
      <c r="N823">
        <f t="shared" si="25"/>
        <v>3.9060000000000001</v>
      </c>
    </row>
    <row r="824" spans="1:14" ht="14.25" customHeight="1" x14ac:dyDescent="0.3">
      <c r="A824" t="s">
        <v>1685</v>
      </c>
      <c r="B824" t="s">
        <v>1686</v>
      </c>
      <c r="D824">
        <v>3.9</v>
      </c>
      <c r="E824">
        <v>4.25</v>
      </c>
      <c r="F824">
        <v>4.21</v>
      </c>
      <c r="G824">
        <v>3.77</v>
      </c>
      <c r="H824">
        <v>3.76</v>
      </c>
      <c r="I824">
        <v>4.8600000000000003</v>
      </c>
      <c r="J824">
        <v>3.56</v>
      </c>
      <c r="K824">
        <v>4.1900000000000004</v>
      </c>
      <c r="L824">
        <v>3.91</v>
      </c>
      <c r="M824">
        <f t="shared" si="24"/>
        <v>4.0324999999999998</v>
      </c>
      <c r="N824">
        <f t="shared" si="25"/>
        <v>4.056</v>
      </c>
    </row>
    <row r="825" spans="1:14" ht="14.25" customHeight="1" x14ac:dyDescent="0.3">
      <c r="A825" t="s">
        <v>1687</v>
      </c>
      <c r="B825" t="s">
        <v>1688</v>
      </c>
      <c r="C825">
        <v>3.79</v>
      </c>
      <c r="D825">
        <v>4.26</v>
      </c>
      <c r="E825">
        <v>4.33</v>
      </c>
      <c r="F825">
        <v>4.04</v>
      </c>
      <c r="G825">
        <v>4.42</v>
      </c>
      <c r="H825">
        <v>4.1500000000000004</v>
      </c>
      <c r="I825">
        <v>3.81</v>
      </c>
      <c r="J825">
        <v>4.42</v>
      </c>
      <c r="K825">
        <v>3.73</v>
      </c>
      <c r="L825">
        <v>4.1900000000000004</v>
      </c>
      <c r="M825">
        <f t="shared" si="24"/>
        <v>4.168000000000001</v>
      </c>
      <c r="N825">
        <f t="shared" si="25"/>
        <v>4.0600000000000005</v>
      </c>
    </row>
    <row r="826" spans="1:14" ht="14.25" customHeight="1" x14ac:dyDescent="0.3">
      <c r="A826" t="s">
        <v>1689</v>
      </c>
      <c r="B826" t="s">
        <v>1690</v>
      </c>
      <c r="C826">
        <v>4.08</v>
      </c>
      <c r="D826">
        <v>4.08</v>
      </c>
      <c r="E826">
        <v>4.21</v>
      </c>
      <c r="F826">
        <v>3.97</v>
      </c>
      <c r="G826">
        <v>3.89</v>
      </c>
      <c r="H826">
        <v>3.7</v>
      </c>
      <c r="I826">
        <v>3.95</v>
      </c>
      <c r="J826">
        <v>4.45</v>
      </c>
      <c r="K826">
        <v>4.24</v>
      </c>
      <c r="L826">
        <v>4.37</v>
      </c>
      <c r="M826">
        <f t="shared" si="24"/>
        <v>4.0460000000000003</v>
      </c>
      <c r="N826">
        <f t="shared" si="25"/>
        <v>4.1420000000000012</v>
      </c>
    </row>
    <row r="827" spans="1:14" ht="14.25" customHeight="1" x14ac:dyDescent="0.3">
      <c r="A827" t="s">
        <v>1691</v>
      </c>
      <c r="B827" t="s">
        <v>1692</v>
      </c>
      <c r="C827">
        <v>4.1399999999999997</v>
      </c>
      <c r="D827">
        <v>4.0599999999999996</v>
      </c>
      <c r="G827">
        <v>4.3099999999999996</v>
      </c>
      <c r="H827">
        <v>4.1399999999999997</v>
      </c>
      <c r="I827">
        <v>3.62</v>
      </c>
      <c r="J827">
        <v>4.25</v>
      </c>
      <c r="K827">
        <v>4.29</v>
      </c>
      <c r="L827">
        <v>4.05</v>
      </c>
      <c r="M827">
        <f t="shared" si="24"/>
        <v>4.169999999999999</v>
      </c>
      <c r="N827">
        <f t="shared" si="25"/>
        <v>4.07</v>
      </c>
    </row>
    <row r="828" spans="1:14" ht="14.25" customHeight="1" x14ac:dyDescent="0.3">
      <c r="A828" t="s">
        <v>1693</v>
      </c>
      <c r="B828" t="s">
        <v>1694</v>
      </c>
      <c r="C828">
        <v>4.13</v>
      </c>
      <c r="D828">
        <v>3.68</v>
      </c>
      <c r="E828">
        <v>4.45</v>
      </c>
      <c r="F828">
        <v>3.94</v>
      </c>
      <c r="G828">
        <v>4.53</v>
      </c>
      <c r="H828">
        <v>3.9</v>
      </c>
      <c r="I828">
        <v>4.37</v>
      </c>
      <c r="J828">
        <v>4.46</v>
      </c>
      <c r="K828">
        <v>3.4</v>
      </c>
      <c r="L828">
        <v>4.3499999999999996</v>
      </c>
      <c r="M828">
        <f t="shared" si="24"/>
        <v>4.1460000000000008</v>
      </c>
      <c r="N828">
        <f t="shared" si="25"/>
        <v>4.0959999999999992</v>
      </c>
    </row>
    <row r="829" spans="1:14" ht="14.25" customHeight="1" x14ac:dyDescent="0.3">
      <c r="A829" t="s">
        <v>1695</v>
      </c>
      <c r="B829" t="s">
        <v>1696</v>
      </c>
      <c r="C829">
        <v>4.78</v>
      </c>
      <c r="D829">
        <v>4.2</v>
      </c>
      <c r="E829">
        <v>4.05</v>
      </c>
      <c r="F829">
        <v>4.53</v>
      </c>
      <c r="G829">
        <v>3.81</v>
      </c>
      <c r="H829">
        <v>4.26</v>
      </c>
      <c r="I829">
        <v>4.6100000000000003</v>
      </c>
      <c r="J829">
        <v>3.67</v>
      </c>
      <c r="K829">
        <v>4.43</v>
      </c>
      <c r="L829">
        <v>3.84</v>
      </c>
      <c r="M829">
        <f t="shared" si="24"/>
        <v>4.274</v>
      </c>
      <c r="N829">
        <f t="shared" si="25"/>
        <v>4.1619999999999999</v>
      </c>
    </row>
    <row r="830" spans="1:14" ht="14.25" customHeight="1" x14ac:dyDescent="0.3">
      <c r="A830" t="s">
        <v>1697</v>
      </c>
      <c r="B830" t="s">
        <v>1698</v>
      </c>
      <c r="C830">
        <v>3.93</v>
      </c>
      <c r="D830">
        <v>3.8</v>
      </c>
      <c r="E830">
        <v>3.62</v>
      </c>
      <c r="F830">
        <v>3.82</v>
      </c>
      <c r="G830">
        <v>4.0999999999999996</v>
      </c>
      <c r="H830">
        <v>4.21</v>
      </c>
      <c r="I830">
        <v>3.79</v>
      </c>
      <c r="J830">
        <v>3.96</v>
      </c>
      <c r="K830">
        <v>4.41</v>
      </c>
      <c r="L830">
        <v>4.26</v>
      </c>
      <c r="M830">
        <f t="shared" si="24"/>
        <v>3.8540000000000005</v>
      </c>
      <c r="N830">
        <f t="shared" si="25"/>
        <v>4.1260000000000003</v>
      </c>
    </row>
    <row r="831" spans="1:14" ht="14.25" customHeight="1" x14ac:dyDescent="0.3">
      <c r="A831" t="s">
        <v>1699</v>
      </c>
      <c r="B831" t="s">
        <v>1700</v>
      </c>
      <c r="C831">
        <v>4.28</v>
      </c>
      <c r="D831">
        <v>4.5599999999999996</v>
      </c>
      <c r="E831">
        <v>4.12</v>
      </c>
      <c r="F831">
        <v>3.93</v>
      </c>
      <c r="G831">
        <v>3.56</v>
      </c>
      <c r="H831">
        <v>3.97</v>
      </c>
      <c r="I831">
        <v>3.56</v>
      </c>
      <c r="J831">
        <v>4.04</v>
      </c>
      <c r="K831">
        <v>3.86</v>
      </c>
      <c r="L831">
        <v>4.28</v>
      </c>
      <c r="M831">
        <f t="shared" si="24"/>
        <v>4.09</v>
      </c>
      <c r="N831">
        <f t="shared" si="25"/>
        <v>3.9420000000000002</v>
      </c>
    </row>
    <row r="832" spans="1:14" ht="14.25" customHeight="1" x14ac:dyDescent="0.3">
      <c r="A832" t="s">
        <v>1701</v>
      </c>
      <c r="B832" t="s">
        <v>1702</v>
      </c>
      <c r="C832">
        <v>4.4000000000000004</v>
      </c>
      <c r="D832">
        <v>3.96</v>
      </c>
      <c r="E832">
        <v>4.1100000000000003</v>
      </c>
      <c r="F832">
        <v>4.01</v>
      </c>
      <c r="G832">
        <v>4.0599999999999996</v>
      </c>
      <c r="H832">
        <v>3.91</v>
      </c>
      <c r="I832">
        <v>4.49</v>
      </c>
      <c r="J832">
        <v>4.59</v>
      </c>
      <c r="K832">
        <v>4.1500000000000004</v>
      </c>
      <c r="L832">
        <v>3.64</v>
      </c>
      <c r="M832">
        <f t="shared" si="24"/>
        <v>4.1079999999999988</v>
      </c>
      <c r="N832">
        <f t="shared" si="25"/>
        <v>4.1560000000000006</v>
      </c>
    </row>
    <row r="833" spans="1:14" ht="14.25" customHeight="1" x14ac:dyDescent="0.3">
      <c r="A833" t="s">
        <v>1703</v>
      </c>
      <c r="B833" t="s">
        <v>1704</v>
      </c>
      <c r="C833">
        <v>3.55</v>
      </c>
      <c r="D833">
        <v>3.58</v>
      </c>
      <c r="E833">
        <v>4.13</v>
      </c>
      <c r="F833">
        <v>3.98</v>
      </c>
      <c r="G833">
        <v>4.1399999999999997</v>
      </c>
      <c r="H833">
        <v>3.91</v>
      </c>
      <c r="I833">
        <v>3.88</v>
      </c>
      <c r="J833">
        <v>3.74</v>
      </c>
      <c r="K833">
        <v>4.08</v>
      </c>
      <c r="L833">
        <v>3.66</v>
      </c>
      <c r="M833">
        <f t="shared" si="24"/>
        <v>3.8759999999999999</v>
      </c>
      <c r="N833">
        <f t="shared" si="25"/>
        <v>3.8540000000000005</v>
      </c>
    </row>
    <row r="834" spans="1:14" ht="14.25" customHeight="1" x14ac:dyDescent="0.3">
      <c r="A834" t="s">
        <v>1705</v>
      </c>
      <c r="B834" t="s">
        <v>1706</v>
      </c>
      <c r="C834">
        <v>4.62</v>
      </c>
      <c r="D834">
        <v>4.25</v>
      </c>
      <c r="E834">
        <v>3.88</v>
      </c>
      <c r="F834">
        <v>3.82</v>
      </c>
      <c r="G834">
        <v>4.2699999999999996</v>
      </c>
      <c r="H834">
        <v>4.2</v>
      </c>
      <c r="I834">
        <v>3.76</v>
      </c>
      <c r="J834">
        <v>4.08</v>
      </c>
      <c r="K834">
        <v>4.54</v>
      </c>
      <c r="L834">
        <v>4.25</v>
      </c>
      <c r="M834">
        <f t="shared" ref="M834:M897" si="26">AVERAGE(C834:G834)</f>
        <v>4.1680000000000001</v>
      </c>
      <c r="N834">
        <f t="shared" ref="N834:N897" si="27">AVERAGE(H834:L834)</f>
        <v>4.1659999999999995</v>
      </c>
    </row>
    <row r="835" spans="1:14" ht="14.25" customHeight="1" x14ac:dyDescent="0.3">
      <c r="A835" t="s">
        <v>1707</v>
      </c>
      <c r="B835" t="s">
        <v>1708</v>
      </c>
      <c r="C835">
        <v>3.93</v>
      </c>
      <c r="D835">
        <v>3.68</v>
      </c>
      <c r="E835">
        <v>3.28</v>
      </c>
      <c r="F835">
        <v>3.73</v>
      </c>
      <c r="G835">
        <v>4.49</v>
      </c>
      <c r="H835">
        <v>4.5599999999999996</v>
      </c>
      <c r="I835">
        <v>3.93</v>
      </c>
      <c r="J835">
        <v>3.91</v>
      </c>
      <c r="K835">
        <v>3.7</v>
      </c>
      <c r="L835">
        <v>3.68</v>
      </c>
      <c r="M835">
        <f t="shared" si="26"/>
        <v>3.8220000000000001</v>
      </c>
      <c r="N835">
        <f t="shared" si="27"/>
        <v>3.9560000000000004</v>
      </c>
    </row>
    <row r="836" spans="1:14" ht="14.25" customHeight="1" x14ac:dyDescent="0.3">
      <c r="A836" t="s">
        <v>1709</v>
      </c>
      <c r="B836" t="s">
        <v>1710</v>
      </c>
      <c r="C836">
        <v>3.9</v>
      </c>
      <c r="D836">
        <v>3.9</v>
      </c>
      <c r="E836">
        <v>4.22</v>
      </c>
      <c r="F836" t="s">
        <v>1711</v>
      </c>
      <c r="G836">
        <v>4.33</v>
      </c>
      <c r="H836">
        <v>3.78</v>
      </c>
      <c r="I836">
        <v>4.05</v>
      </c>
      <c r="J836">
        <v>4.2</v>
      </c>
      <c r="L836">
        <v>4.1100000000000003</v>
      </c>
      <c r="M836">
        <f t="shared" si="26"/>
        <v>4.0875000000000004</v>
      </c>
      <c r="N836">
        <f t="shared" si="27"/>
        <v>4.0350000000000001</v>
      </c>
    </row>
    <row r="837" spans="1:14" ht="14.25" customHeight="1" x14ac:dyDescent="0.3">
      <c r="A837" t="s">
        <v>1712</v>
      </c>
      <c r="B837" t="s">
        <v>1713</v>
      </c>
      <c r="C837">
        <v>4.29</v>
      </c>
      <c r="D837">
        <v>3.93</v>
      </c>
      <c r="F837">
        <v>4.07</v>
      </c>
      <c r="G837">
        <v>4.1100000000000003</v>
      </c>
      <c r="H837">
        <v>4.67</v>
      </c>
      <c r="I837">
        <v>4.0199999999999996</v>
      </c>
      <c r="J837">
        <v>4.49</v>
      </c>
      <c r="K837">
        <v>3.62</v>
      </c>
      <c r="L837">
        <v>4.22</v>
      </c>
      <c r="M837">
        <f t="shared" si="26"/>
        <v>4.1000000000000005</v>
      </c>
      <c r="N837">
        <f t="shared" si="27"/>
        <v>4.2039999999999997</v>
      </c>
    </row>
    <row r="838" spans="1:14" ht="14.25" customHeight="1" x14ac:dyDescent="0.3">
      <c r="A838" t="s">
        <v>1714</v>
      </c>
      <c r="B838" t="s">
        <v>1715</v>
      </c>
      <c r="C838">
        <v>4.09</v>
      </c>
      <c r="D838">
        <v>4.0999999999999996</v>
      </c>
      <c r="E838">
        <v>4.38</v>
      </c>
      <c r="F838">
        <v>4.46</v>
      </c>
      <c r="G838">
        <v>4.07</v>
      </c>
      <c r="H838">
        <v>4.43</v>
      </c>
      <c r="I838">
        <v>3.98</v>
      </c>
      <c r="J838">
        <v>3.85</v>
      </c>
      <c r="K838">
        <v>3.79</v>
      </c>
      <c r="L838">
        <v>4.08</v>
      </c>
      <c r="M838">
        <f t="shared" si="26"/>
        <v>4.2200000000000006</v>
      </c>
      <c r="N838">
        <f t="shared" si="27"/>
        <v>4.0260000000000007</v>
      </c>
    </row>
    <row r="839" spans="1:14" ht="14.25" customHeight="1" x14ac:dyDescent="0.3">
      <c r="A839" t="s">
        <v>1716</v>
      </c>
      <c r="B839" t="s">
        <v>1717</v>
      </c>
      <c r="C839">
        <v>3.88</v>
      </c>
      <c r="D839">
        <v>4.24</v>
      </c>
      <c r="E839">
        <v>3.62</v>
      </c>
      <c r="F839">
        <v>4.43</v>
      </c>
      <c r="G839">
        <v>3.48</v>
      </c>
      <c r="H839">
        <v>4.18</v>
      </c>
      <c r="J839">
        <v>4.26</v>
      </c>
      <c r="K839">
        <v>4.28</v>
      </c>
      <c r="L839">
        <v>4.2699999999999996</v>
      </c>
      <c r="M839">
        <f t="shared" si="26"/>
        <v>3.9300000000000006</v>
      </c>
      <c r="N839">
        <f t="shared" si="27"/>
        <v>4.2474999999999996</v>
      </c>
    </row>
    <row r="840" spans="1:14" ht="14.25" customHeight="1" x14ac:dyDescent="0.3">
      <c r="A840" t="s">
        <v>1718</v>
      </c>
      <c r="B840" t="s">
        <v>1719</v>
      </c>
      <c r="C840">
        <v>4.5</v>
      </c>
      <c r="D840">
        <v>4.1500000000000004</v>
      </c>
      <c r="E840">
        <v>3.86</v>
      </c>
      <c r="F840">
        <v>3.76</v>
      </c>
      <c r="G840">
        <v>4.3</v>
      </c>
      <c r="H840">
        <v>3.89</v>
      </c>
      <c r="J840">
        <v>4.5599999999999996</v>
      </c>
      <c r="K840">
        <v>4.01</v>
      </c>
      <c r="L840">
        <v>4.0599999999999996</v>
      </c>
      <c r="M840">
        <f t="shared" si="26"/>
        <v>4.1139999999999999</v>
      </c>
      <c r="N840">
        <f t="shared" si="27"/>
        <v>4.13</v>
      </c>
    </row>
    <row r="841" spans="1:14" ht="14.25" customHeight="1" x14ac:dyDescent="0.3">
      <c r="A841" t="s">
        <v>1720</v>
      </c>
      <c r="B841" t="s">
        <v>1721</v>
      </c>
      <c r="C841">
        <v>3.41</v>
      </c>
      <c r="D841">
        <v>4.05</v>
      </c>
      <c r="E841">
        <v>4.22</v>
      </c>
      <c r="F841">
        <v>4.72</v>
      </c>
      <c r="G841">
        <v>3.67</v>
      </c>
      <c r="H841">
        <v>3.99</v>
      </c>
      <c r="J841">
        <v>4.21</v>
      </c>
      <c r="K841">
        <v>3.82</v>
      </c>
      <c r="L841">
        <v>3.71</v>
      </c>
      <c r="M841">
        <f t="shared" si="26"/>
        <v>4.0140000000000002</v>
      </c>
      <c r="N841">
        <f t="shared" si="27"/>
        <v>3.9325000000000001</v>
      </c>
    </row>
    <row r="842" spans="1:14" ht="14.25" customHeight="1" x14ac:dyDescent="0.3">
      <c r="A842" t="s">
        <v>1722</v>
      </c>
      <c r="B842" t="s">
        <v>1723</v>
      </c>
      <c r="C842">
        <v>3.95</v>
      </c>
      <c r="D842">
        <v>4.58</v>
      </c>
      <c r="E842">
        <v>3.95</v>
      </c>
      <c r="F842">
        <v>4.3499999999999996</v>
      </c>
      <c r="G842">
        <v>4.45</v>
      </c>
      <c r="H842">
        <v>3.82</v>
      </c>
      <c r="I842">
        <v>3.79</v>
      </c>
      <c r="J842">
        <v>4.3</v>
      </c>
      <c r="K842">
        <v>3.82</v>
      </c>
      <c r="L842">
        <v>3.7</v>
      </c>
      <c r="M842">
        <f t="shared" si="26"/>
        <v>4.2559999999999993</v>
      </c>
      <c r="N842">
        <f t="shared" si="27"/>
        <v>3.8860000000000001</v>
      </c>
    </row>
    <row r="843" spans="1:14" ht="14.25" customHeight="1" x14ac:dyDescent="0.3">
      <c r="A843" t="s">
        <v>1724</v>
      </c>
      <c r="B843" t="s">
        <v>1725</v>
      </c>
      <c r="C843">
        <v>4.0199999999999996</v>
      </c>
      <c r="D843">
        <v>4.54</v>
      </c>
      <c r="E843">
        <v>3.69</v>
      </c>
      <c r="F843">
        <v>3.83</v>
      </c>
      <c r="G843">
        <v>3.53</v>
      </c>
      <c r="H843">
        <v>3.75</v>
      </c>
      <c r="I843">
        <v>4.12</v>
      </c>
      <c r="J843">
        <v>4.08</v>
      </c>
      <c r="K843">
        <v>4.03</v>
      </c>
      <c r="L843">
        <v>3.82</v>
      </c>
      <c r="M843">
        <f t="shared" si="26"/>
        <v>3.9219999999999997</v>
      </c>
      <c r="N843">
        <f t="shared" si="27"/>
        <v>3.96</v>
      </c>
    </row>
    <row r="844" spans="1:14" ht="14.25" customHeight="1" x14ac:dyDescent="0.3">
      <c r="A844" t="s">
        <v>1726</v>
      </c>
      <c r="B844" t="s">
        <v>1727</v>
      </c>
      <c r="C844">
        <v>4.38</v>
      </c>
      <c r="D844">
        <v>3.9</v>
      </c>
      <c r="E844">
        <v>4.1100000000000003</v>
      </c>
      <c r="F844">
        <v>3.15</v>
      </c>
      <c r="G844">
        <v>4.24</v>
      </c>
      <c r="H844">
        <v>3.57</v>
      </c>
      <c r="I844">
        <v>4.1100000000000003</v>
      </c>
      <c r="J844">
        <v>4.7300000000000004</v>
      </c>
      <c r="K844">
        <v>4.3600000000000003</v>
      </c>
      <c r="L844">
        <v>4.6500000000000004</v>
      </c>
      <c r="M844">
        <f t="shared" si="26"/>
        <v>3.9560000000000004</v>
      </c>
      <c r="N844">
        <f t="shared" si="27"/>
        <v>4.2840000000000007</v>
      </c>
    </row>
    <row r="845" spans="1:14" ht="14.25" customHeight="1" x14ac:dyDescent="0.3">
      <c r="A845" t="s">
        <v>1728</v>
      </c>
      <c r="B845" t="s">
        <v>1729</v>
      </c>
      <c r="C845">
        <v>4.2699999999999996</v>
      </c>
      <c r="D845">
        <v>4.1399999999999997</v>
      </c>
      <c r="E845">
        <v>4.57</v>
      </c>
      <c r="F845">
        <v>4.17</v>
      </c>
      <c r="G845">
        <v>3.76</v>
      </c>
      <c r="H845">
        <v>4.16</v>
      </c>
      <c r="I845">
        <v>4</v>
      </c>
      <c r="J845">
        <v>3.99</v>
      </c>
      <c r="K845">
        <v>4.12</v>
      </c>
      <c r="L845">
        <v>4.1900000000000004</v>
      </c>
      <c r="M845">
        <f t="shared" si="26"/>
        <v>4.1819999999999995</v>
      </c>
      <c r="N845">
        <f t="shared" si="27"/>
        <v>4.0920000000000005</v>
      </c>
    </row>
    <row r="846" spans="1:14" ht="14.25" customHeight="1" x14ac:dyDescent="0.3">
      <c r="A846" t="s">
        <v>1730</v>
      </c>
      <c r="B846" t="s">
        <v>1731</v>
      </c>
      <c r="C846">
        <v>4.3600000000000003</v>
      </c>
      <c r="D846">
        <v>4.3899999999999997</v>
      </c>
      <c r="E846">
        <v>3.85</v>
      </c>
      <c r="F846">
        <v>3.98</v>
      </c>
      <c r="G846">
        <v>3.57</v>
      </c>
      <c r="H846">
        <v>4.08</v>
      </c>
      <c r="I846">
        <v>4.13</v>
      </c>
      <c r="J846">
        <v>4.57</v>
      </c>
      <c r="K846">
        <v>3.69</v>
      </c>
      <c r="L846">
        <v>4.21</v>
      </c>
      <c r="M846">
        <f t="shared" si="26"/>
        <v>4.0299999999999994</v>
      </c>
      <c r="N846">
        <f t="shared" si="27"/>
        <v>4.136000000000001</v>
      </c>
    </row>
    <row r="847" spans="1:14" ht="14.25" customHeight="1" x14ac:dyDescent="0.3">
      <c r="A847" t="s">
        <v>1732</v>
      </c>
      <c r="B847" t="s">
        <v>1733</v>
      </c>
      <c r="C847">
        <v>3.66</v>
      </c>
      <c r="D847">
        <v>3.83</v>
      </c>
      <c r="E847">
        <v>3.94</v>
      </c>
      <c r="G847">
        <v>4.3</v>
      </c>
      <c r="H847">
        <v>3.42</v>
      </c>
      <c r="I847">
        <v>3.84</v>
      </c>
      <c r="J847">
        <v>4.3</v>
      </c>
      <c r="K847">
        <v>3.93</v>
      </c>
      <c r="L847">
        <v>4.01</v>
      </c>
      <c r="M847">
        <f t="shared" si="26"/>
        <v>3.9325000000000001</v>
      </c>
      <c r="N847">
        <f t="shared" si="27"/>
        <v>3.9</v>
      </c>
    </row>
    <row r="848" spans="1:14" ht="14.25" customHeight="1" x14ac:dyDescent="0.3">
      <c r="A848" t="s">
        <v>1734</v>
      </c>
      <c r="B848" t="s">
        <v>1735</v>
      </c>
      <c r="C848">
        <v>3.45</v>
      </c>
      <c r="D848">
        <v>4.0599999999999996</v>
      </c>
      <c r="E848">
        <v>3.72</v>
      </c>
      <c r="F848">
        <v>3.89</v>
      </c>
      <c r="G848">
        <v>3.78</v>
      </c>
      <c r="H848">
        <v>4.41</v>
      </c>
      <c r="I848">
        <v>3.89</v>
      </c>
      <c r="J848">
        <v>3.99</v>
      </c>
      <c r="K848">
        <v>4.3600000000000003</v>
      </c>
      <c r="L848">
        <v>4.1900000000000004</v>
      </c>
      <c r="M848">
        <f t="shared" si="26"/>
        <v>3.7800000000000002</v>
      </c>
      <c r="N848">
        <f t="shared" si="27"/>
        <v>4.168000000000001</v>
      </c>
    </row>
    <row r="849" spans="1:14" ht="14.25" customHeight="1" x14ac:dyDescent="0.3">
      <c r="A849" t="s">
        <v>1736</v>
      </c>
      <c r="B849" t="s">
        <v>1737</v>
      </c>
      <c r="C849">
        <v>3.9</v>
      </c>
      <c r="D849">
        <v>3.98</v>
      </c>
      <c r="E849">
        <v>3.9</v>
      </c>
      <c r="F849">
        <v>4.03</v>
      </c>
      <c r="G849">
        <v>3.95</v>
      </c>
      <c r="H849">
        <v>4.05</v>
      </c>
      <c r="I849">
        <v>3.98</v>
      </c>
      <c r="J849">
        <v>4.03</v>
      </c>
      <c r="K849">
        <v>4.16</v>
      </c>
      <c r="L849">
        <v>3.81</v>
      </c>
      <c r="M849">
        <f t="shared" si="26"/>
        <v>3.9519999999999995</v>
      </c>
      <c r="N849">
        <f t="shared" si="27"/>
        <v>4.0059999999999993</v>
      </c>
    </row>
    <row r="850" spans="1:14" ht="14.25" customHeight="1" x14ac:dyDescent="0.3">
      <c r="A850" t="s">
        <v>1738</v>
      </c>
      <c r="B850" t="s">
        <v>1739</v>
      </c>
      <c r="C850">
        <v>4.0199999999999996</v>
      </c>
      <c r="D850">
        <v>3.94</v>
      </c>
      <c r="E850">
        <v>4.63</v>
      </c>
      <c r="F850">
        <v>3.44</v>
      </c>
      <c r="G850">
        <v>4.42</v>
      </c>
      <c r="H850">
        <v>4.24</v>
      </c>
      <c r="I850">
        <v>4.5</v>
      </c>
      <c r="J850">
        <v>3.46</v>
      </c>
      <c r="K850">
        <v>3.73</v>
      </c>
      <c r="L850">
        <v>4.05</v>
      </c>
      <c r="M850">
        <f t="shared" si="26"/>
        <v>4.0900000000000007</v>
      </c>
      <c r="N850">
        <f t="shared" si="27"/>
        <v>3.996</v>
      </c>
    </row>
    <row r="851" spans="1:14" ht="14.25" customHeight="1" x14ac:dyDescent="0.3">
      <c r="A851" t="s">
        <v>1740</v>
      </c>
      <c r="B851" t="s">
        <v>1741</v>
      </c>
      <c r="C851">
        <v>4</v>
      </c>
      <c r="D851">
        <v>3.9</v>
      </c>
      <c r="E851">
        <v>3.35</v>
      </c>
      <c r="F851">
        <v>4.18</v>
      </c>
      <c r="G851">
        <v>4.04</v>
      </c>
      <c r="H851">
        <v>4.13</v>
      </c>
      <c r="I851">
        <v>3.92</v>
      </c>
      <c r="J851">
        <v>4.26</v>
      </c>
      <c r="K851">
        <v>3.77</v>
      </c>
      <c r="L851">
        <v>4.5199999999999996</v>
      </c>
      <c r="M851">
        <f t="shared" si="26"/>
        <v>3.8939999999999997</v>
      </c>
      <c r="N851">
        <f t="shared" si="27"/>
        <v>4.12</v>
      </c>
    </row>
    <row r="852" spans="1:14" ht="14.25" customHeight="1" x14ac:dyDescent="0.3">
      <c r="A852" t="s">
        <v>1742</v>
      </c>
      <c r="B852" t="s">
        <v>1743</v>
      </c>
      <c r="C852">
        <v>3.55</v>
      </c>
      <c r="D852">
        <v>3.9</v>
      </c>
      <c r="E852">
        <v>4.47</v>
      </c>
      <c r="F852">
        <v>3.83</v>
      </c>
      <c r="G852">
        <v>4.22</v>
      </c>
      <c r="H852">
        <v>3.89</v>
      </c>
      <c r="I852">
        <v>4.75</v>
      </c>
      <c r="J852">
        <v>4.3899999999999997</v>
      </c>
      <c r="K852">
        <v>4.46</v>
      </c>
      <c r="L852">
        <v>3.77</v>
      </c>
      <c r="M852">
        <f t="shared" si="26"/>
        <v>3.9939999999999998</v>
      </c>
      <c r="N852">
        <f t="shared" si="27"/>
        <v>4.2520000000000007</v>
      </c>
    </row>
    <row r="853" spans="1:14" ht="14.25" customHeight="1" x14ac:dyDescent="0.3">
      <c r="A853" t="s">
        <v>1744</v>
      </c>
      <c r="B853" t="s">
        <v>1745</v>
      </c>
      <c r="C853">
        <v>4.83</v>
      </c>
      <c r="D853">
        <v>3.96</v>
      </c>
      <c r="E853">
        <v>3.69</v>
      </c>
      <c r="F853">
        <v>3.8</v>
      </c>
      <c r="G853">
        <v>4.4000000000000004</v>
      </c>
      <c r="H853">
        <v>4.25</v>
      </c>
      <c r="I853">
        <v>4.29</v>
      </c>
      <c r="J853">
        <v>3.97</v>
      </c>
      <c r="K853">
        <v>4.13</v>
      </c>
      <c r="M853">
        <f t="shared" si="26"/>
        <v>4.1360000000000001</v>
      </c>
      <c r="N853">
        <f t="shared" si="27"/>
        <v>4.16</v>
      </c>
    </row>
    <row r="854" spans="1:14" ht="14.25" customHeight="1" x14ac:dyDescent="0.3">
      <c r="A854" t="s">
        <v>1746</v>
      </c>
      <c r="B854" t="s">
        <v>1747</v>
      </c>
      <c r="C854">
        <v>3.5</v>
      </c>
      <c r="D854">
        <v>4.13</v>
      </c>
      <c r="E854">
        <v>4.21</v>
      </c>
      <c r="F854">
        <v>3.89</v>
      </c>
      <c r="G854">
        <v>4.12</v>
      </c>
      <c r="H854">
        <v>4.0199999999999996</v>
      </c>
      <c r="I854">
        <v>4.09</v>
      </c>
      <c r="J854">
        <v>3.84</v>
      </c>
      <c r="K854">
        <v>3.81</v>
      </c>
      <c r="L854">
        <v>3.85</v>
      </c>
      <c r="M854">
        <f t="shared" si="26"/>
        <v>3.97</v>
      </c>
      <c r="N854">
        <f t="shared" si="27"/>
        <v>3.9219999999999997</v>
      </c>
    </row>
    <row r="855" spans="1:14" ht="14.25" customHeight="1" x14ac:dyDescent="0.3">
      <c r="A855" t="s">
        <v>1748</v>
      </c>
      <c r="B855" t="s">
        <v>1749</v>
      </c>
      <c r="C855">
        <v>4.57</v>
      </c>
      <c r="D855">
        <v>4.2300000000000004</v>
      </c>
      <c r="E855">
        <v>3.94</v>
      </c>
      <c r="F855">
        <v>3.73</v>
      </c>
      <c r="G855">
        <v>3.89</v>
      </c>
      <c r="H855">
        <v>4.13</v>
      </c>
      <c r="I855">
        <v>3.42</v>
      </c>
      <c r="J855">
        <v>4.3099999999999996</v>
      </c>
      <c r="K855">
        <v>4.3499999999999996</v>
      </c>
      <c r="L855">
        <v>4.0199999999999996</v>
      </c>
      <c r="M855">
        <f t="shared" si="26"/>
        <v>4.0720000000000001</v>
      </c>
      <c r="N855">
        <f t="shared" si="27"/>
        <v>4.0460000000000003</v>
      </c>
    </row>
    <row r="856" spans="1:14" ht="14.25" customHeight="1" x14ac:dyDescent="0.3">
      <c r="A856" t="s">
        <v>1750</v>
      </c>
      <c r="B856" t="s">
        <v>1751</v>
      </c>
      <c r="C856">
        <v>3.95</v>
      </c>
      <c r="F856">
        <v>4.47</v>
      </c>
      <c r="G856">
        <v>4.13</v>
      </c>
      <c r="H856">
        <v>4.58</v>
      </c>
      <c r="I856">
        <v>4.4800000000000004</v>
      </c>
      <c r="J856">
        <v>3.68</v>
      </c>
      <c r="K856">
        <v>3.16</v>
      </c>
      <c r="L856">
        <v>3.64</v>
      </c>
      <c r="M856">
        <f t="shared" si="26"/>
        <v>4.1833333333333336</v>
      </c>
      <c r="N856">
        <f t="shared" si="27"/>
        <v>3.9079999999999999</v>
      </c>
    </row>
    <row r="857" spans="1:14" ht="14.25" customHeight="1" x14ac:dyDescent="0.3">
      <c r="A857" t="s">
        <v>1752</v>
      </c>
      <c r="B857" t="s">
        <v>1753</v>
      </c>
      <c r="C857">
        <v>4.0999999999999996</v>
      </c>
      <c r="D857">
        <v>3.93</v>
      </c>
      <c r="E857">
        <v>4.1900000000000004</v>
      </c>
      <c r="F857">
        <v>4.1900000000000004</v>
      </c>
      <c r="G857">
        <v>4.34</v>
      </c>
      <c r="H857">
        <v>4.13</v>
      </c>
      <c r="I857">
        <v>3.92</v>
      </c>
      <c r="J857">
        <v>3.85</v>
      </c>
      <c r="K857">
        <v>3.93</v>
      </c>
      <c r="L857">
        <v>4.47</v>
      </c>
      <c r="M857">
        <f t="shared" si="26"/>
        <v>4.1500000000000004</v>
      </c>
      <c r="N857">
        <f t="shared" si="27"/>
        <v>4.0600000000000005</v>
      </c>
    </row>
    <row r="858" spans="1:14" ht="14.25" customHeight="1" x14ac:dyDescent="0.3">
      <c r="A858" t="s">
        <v>1754</v>
      </c>
      <c r="B858" t="s">
        <v>1755</v>
      </c>
      <c r="C858">
        <v>3.98</v>
      </c>
      <c r="D858">
        <v>3.94</v>
      </c>
      <c r="E858">
        <v>4.25</v>
      </c>
      <c r="F858">
        <v>3.97</v>
      </c>
      <c r="G858">
        <v>3.89</v>
      </c>
      <c r="H858">
        <v>3.49</v>
      </c>
      <c r="I858">
        <v>4.5599999999999996</v>
      </c>
      <c r="J858">
        <v>3.67</v>
      </c>
      <c r="K858">
        <v>3.8</v>
      </c>
      <c r="L858">
        <v>4.1399999999999997</v>
      </c>
      <c r="M858">
        <f t="shared" si="26"/>
        <v>4.0060000000000002</v>
      </c>
      <c r="N858">
        <f t="shared" si="27"/>
        <v>3.9319999999999999</v>
      </c>
    </row>
    <row r="859" spans="1:14" ht="14.25" customHeight="1" x14ac:dyDescent="0.3">
      <c r="A859" t="s">
        <v>1756</v>
      </c>
      <c r="B859" t="s">
        <v>1757</v>
      </c>
      <c r="C859">
        <v>4.21</v>
      </c>
      <c r="D859">
        <v>3.87</v>
      </c>
      <c r="E859">
        <v>4.2699999999999996</v>
      </c>
      <c r="F859">
        <v>3.88</v>
      </c>
      <c r="G859">
        <v>3.9</v>
      </c>
      <c r="H859">
        <v>4.01</v>
      </c>
      <c r="I859">
        <v>3.86</v>
      </c>
      <c r="J859">
        <v>4.32</v>
      </c>
      <c r="K859">
        <v>4.4000000000000004</v>
      </c>
      <c r="L859">
        <v>3.94</v>
      </c>
      <c r="M859">
        <f t="shared" si="26"/>
        <v>4.0259999999999998</v>
      </c>
      <c r="N859">
        <f t="shared" si="27"/>
        <v>4.1059999999999999</v>
      </c>
    </row>
    <row r="860" spans="1:14" ht="14.25" customHeight="1" x14ac:dyDescent="0.3">
      <c r="A860" t="s">
        <v>1758</v>
      </c>
      <c r="B860" t="s">
        <v>1759</v>
      </c>
      <c r="C860">
        <v>4.57</v>
      </c>
      <c r="D860">
        <v>3.73</v>
      </c>
      <c r="E860">
        <v>3.78</v>
      </c>
      <c r="F860">
        <v>4.01</v>
      </c>
      <c r="G860">
        <v>3.9</v>
      </c>
      <c r="H860">
        <v>4</v>
      </c>
      <c r="I860">
        <v>3.96</v>
      </c>
      <c r="J860">
        <v>3.49</v>
      </c>
      <c r="K860">
        <v>4.28</v>
      </c>
      <c r="L860">
        <v>4.0999999999999996</v>
      </c>
      <c r="M860">
        <f t="shared" si="26"/>
        <v>3.9979999999999998</v>
      </c>
      <c r="N860">
        <f t="shared" si="27"/>
        <v>3.9659999999999997</v>
      </c>
    </row>
    <row r="861" spans="1:14" ht="14.25" customHeight="1" x14ac:dyDescent="0.3">
      <c r="A861" t="s">
        <v>1760</v>
      </c>
      <c r="B861" t="s">
        <v>1761</v>
      </c>
      <c r="C861">
        <v>4.1100000000000003</v>
      </c>
      <c r="D861">
        <v>4.03</v>
      </c>
      <c r="E861">
        <v>4.18</v>
      </c>
      <c r="F861">
        <v>3.83</v>
      </c>
      <c r="G861">
        <v>3.82</v>
      </c>
      <c r="H861">
        <v>3.91</v>
      </c>
      <c r="I861">
        <v>4.16</v>
      </c>
      <c r="J861">
        <v>4.03</v>
      </c>
      <c r="K861">
        <v>4.24</v>
      </c>
      <c r="L861">
        <v>3.8</v>
      </c>
      <c r="M861">
        <f t="shared" si="26"/>
        <v>3.9939999999999998</v>
      </c>
      <c r="N861">
        <f t="shared" si="27"/>
        <v>4.0280000000000005</v>
      </c>
    </row>
    <row r="862" spans="1:14" ht="14.25" customHeight="1" x14ac:dyDescent="0.3">
      <c r="A862" t="s">
        <v>1762</v>
      </c>
      <c r="B862" t="s">
        <v>1763</v>
      </c>
      <c r="D862">
        <v>4.1100000000000003</v>
      </c>
      <c r="E862">
        <v>4.1100000000000003</v>
      </c>
      <c r="F862">
        <v>4.25</v>
      </c>
      <c r="G862">
        <v>3.95</v>
      </c>
      <c r="H862">
        <v>4.09</v>
      </c>
      <c r="I862">
        <v>3.91</v>
      </c>
      <c r="K862">
        <v>4.01</v>
      </c>
      <c r="L862">
        <v>4.1100000000000003</v>
      </c>
      <c r="M862">
        <f t="shared" si="26"/>
        <v>4.1050000000000004</v>
      </c>
      <c r="N862">
        <f t="shared" si="27"/>
        <v>4.03</v>
      </c>
    </row>
    <row r="863" spans="1:14" ht="14.25" customHeight="1" x14ac:dyDescent="0.3">
      <c r="A863" t="s">
        <v>1764</v>
      </c>
      <c r="B863" t="s">
        <v>1765</v>
      </c>
      <c r="C863">
        <v>4.67</v>
      </c>
      <c r="D863">
        <v>3.72</v>
      </c>
      <c r="E863">
        <v>4.21</v>
      </c>
      <c r="F863">
        <v>3.65</v>
      </c>
      <c r="G863">
        <v>4.0599999999999996</v>
      </c>
      <c r="H863">
        <v>3.76</v>
      </c>
      <c r="I863">
        <v>4.21</v>
      </c>
      <c r="J863">
        <v>3.75</v>
      </c>
      <c r="K863">
        <v>3.59</v>
      </c>
      <c r="L863">
        <v>4.28</v>
      </c>
      <c r="M863">
        <f t="shared" si="26"/>
        <v>4.0619999999999994</v>
      </c>
      <c r="N863">
        <f t="shared" si="27"/>
        <v>3.9180000000000001</v>
      </c>
    </row>
    <row r="864" spans="1:14" ht="14.25" customHeight="1" x14ac:dyDescent="0.3">
      <c r="A864" t="s">
        <v>1766</v>
      </c>
      <c r="B864" t="s">
        <v>1767</v>
      </c>
      <c r="C864">
        <v>3.3</v>
      </c>
      <c r="D864">
        <v>3.79</v>
      </c>
      <c r="E864">
        <v>4.29</v>
      </c>
      <c r="F864">
        <v>3.94</v>
      </c>
      <c r="G864">
        <v>4.45</v>
      </c>
      <c r="H864">
        <v>4.03</v>
      </c>
      <c r="I864">
        <v>3.6</v>
      </c>
      <c r="J864">
        <v>4.28</v>
      </c>
      <c r="K864">
        <v>4.08</v>
      </c>
      <c r="L864">
        <v>3.8</v>
      </c>
      <c r="M864">
        <f t="shared" si="26"/>
        <v>3.9539999999999997</v>
      </c>
      <c r="N864">
        <f t="shared" si="27"/>
        <v>3.9579999999999997</v>
      </c>
    </row>
    <row r="865" spans="1:14" ht="14.25" customHeight="1" x14ac:dyDescent="0.3">
      <c r="A865" t="s">
        <v>1768</v>
      </c>
      <c r="B865" t="s">
        <v>1769</v>
      </c>
      <c r="C865">
        <v>4.03</v>
      </c>
      <c r="D865">
        <v>3.32</v>
      </c>
      <c r="E865">
        <v>4.09</v>
      </c>
      <c r="F865">
        <v>4.09</v>
      </c>
      <c r="G865">
        <v>4.29</v>
      </c>
      <c r="H865">
        <v>3.3</v>
      </c>
      <c r="I865">
        <v>4.26</v>
      </c>
      <c r="J865">
        <v>4.17</v>
      </c>
      <c r="K865">
        <v>3.77</v>
      </c>
      <c r="L865">
        <v>3.97</v>
      </c>
      <c r="M865">
        <f t="shared" si="26"/>
        <v>3.964</v>
      </c>
      <c r="N865">
        <f t="shared" si="27"/>
        <v>3.8939999999999997</v>
      </c>
    </row>
    <row r="866" spans="1:14" ht="14.25" customHeight="1" x14ac:dyDescent="0.3">
      <c r="A866" t="s">
        <v>1770</v>
      </c>
      <c r="B866" t="s">
        <v>1771</v>
      </c>
      <c r="C866">
        <v>3.75</v>
      </c>
      <c r="D866">
        <v>4.41</v>
      </c>
      <c r="E866">
        <v>4.17</v>
      </c>
      <c r="F866">
        <v>3.48</v>
      </c>
      <c r="G866">
        <v>3.92</v>
      </c>
      <c r="H866">
        <v>3.95</v>
      </c>
      <c r="I866">
        <v>3.79</v>
      </c>
      <c r="J866">
        <v>3.93</v>
      </c>
      <c r="K866">
        <v>4.03</v>
      </c>
      <c r="L866">
        <v>4.25</v>
      </c>
      <c r="M866">
        <f t="shared" si="26"/>
        <v>3.9460000000000002</v>
      </c>
      <c r="N866">
        <f t="shared" si="27"/>
        <v>3.9899999999999998</v>
      </c>
    </row>
    <row r="867" spans="1:14" ht="14.25" customHeight="1" x14ac:dyDescent="0.3">
      <c r="A867" t="s">
        <v>1772</v>
      </c>
      <c r="B867" t="s">
        <v>1773</v>
      </c>
      <c r="C867">
        <v>3.72</v>
      </c>
      <c r="D867">
        <v>4.18</v>
      </c>
      <c r="E867">
        <v>4.41</v>
      </c>
      <c r="F867">
        <v>3.97</v>
      </c>
      <c r="G867">
        <v>4.18</v>
      </c>
      <c r="H867">
        <v>3.86</v>
      </c>
      <c r="I867">
        <v>4.76</v>
      </c>
      <c r="J867">
        <v>4.32</v>
      </c>
      <c r="K867">
        <v>3.98</v>
      </c>
      <c r="L867">
        <v>4.4800000000000004</v>
      </c>
      <c r="M867">
        <f t="shared" si="26"/>
        <v>4.0920000000000005</v>
      </c>
      <c r="N867">
        <f t="shared" si="27"/>
        <v>4.2799999999999994</v>
      </c>
    </row>
    <row r="868" spans="1:14" ht="14.25" customHeight="1" x14ac:dyDescent="0.3">
      <c r="A868" t="s">
        <v>1774</v>
      </c>
      <c r="B868" t="s">
        <v>1775</v>
      </c>
      <c r="C868">
        <v>3.82</v>
      </c>
      <c r="D868">
        <v>4.1399999999999997</v>
      </c>
      <c r="E868">
        <v>4.1100000000000003</v>
      </c>
      <c r="F868">
        <v>3.81</v>
      </c>
      <c r="G868">
        <v>3.82</v>
      </c>
      <c r="H868">
        <v>4.0599999999999996</v>
      </c>
      <c r="I868">
        <v>4.3499999999999996</v>
      </c>
      <c r="J868">
        <v>4.63</v>
      </c>
      <c r="K868">
        <v>3.92</v>
      </c>
      <c r="L868">
        <v>3.86</v>
      </c>
      <c r="M868">
        <f t="shared" si="26"/>
        <v>3.94</v>
      </c>
      <c r="N868">
        <f t="shared" si="27"/>
        <v>4.1639999999999997</v>
      </c>
    </row>
    <row r="869" spans="1:14" ht="14.25" customHeight="1" x14ac:dyDescent="0.3">
      <c r="A869" t="s">
        <v>1776</v>
      </c>
      <c r="B869" t="s">
        <v>1777</v>
      </c>
      <c r="C869">
        <v>3.8</v>
      </c>
      <c r="D869">
        <v>3.47</v>
      </c>
      <c r="E869">
        <v>3.97</v>
      </c>
      <c r="F869">
        <v>4</v>
      </c>
      <c r="G869">
        <v>4.03</v>
      </c>
      <c r="H869">
        <v>3.94</v>
      </c>
      <c r="I869">
        <v>4</v>
      </c>
      <c r="J869">
        <v>3.81</v>
      </c>
      <c r="K869">
        <v>4.03</v>
      </c>
      <c r="L869">
        <v>4.53</v>
      </c>
      <c r="M869">
        <f t="shared" si="26"/>
        <v>3.8540000000000001</v>
      </c>
      <c r="N869">
        <f t="shared" si="27"/>
        <v>4.0620000000000003</v>
      </c>
    </row>
    <row r="870" spans="1:14" ht="14.25" customHeight="1" x14ac:dyDescent="0.3">
      <c r="A870" t="s">
        <v>1778</v>
      </c>
      <c r="B870" t="s">
        <v>1779</v>
      </c>
      <c r="C870">
        <v>3.96</v>
      </c>
      <c r="D870">
        <v>3.63</v>
      </c>
      <c r="E870">
        <v>3.97</v>
      </c>
      <c r="F870">
        <v>4.1500000000000004</v>
      </c>
      <c r="G870">
        <v>3.69</v>
      </c>
      <c r="H870">
        <v>4.18</v>
      </c>
      <c r="I870">
        <v>4.07</v>
      </c>
      <c r="J870">
        <v>4.33</v>
      </c>
      <c r="K870">
        <v>3.64</v>
      </c>
      <c r="L870">
        <v>4.4800000000000004</v>
      </c>
      <c r="M870">
        <f t="shared" si="26"/>
        <v>3.8800000000000003</v>
      </c>
      <c r="N870">
        <f t="shared" si="27"/>
        <v>4.1399999999999997</v>
      </c>
    </row>
    <row r="871" spans="1:14" ht="14.25" customHeight="1" x14ac:dyDescent="0.3">
      <c r="A871" t="s">
        <v>1780</v>
      </c>
      <c r="B871" t="s">
        <v>1781</v>
      </c>
      <c r="C871">
        <v>3.64</v>
      </c>
      <c r="D871">
        <v>3.54</v>
      </c>
      <c r="E871">
        <v>4.2300000000000004</v>
      </c>
      <c r="F871">
        <v>4.2699999999999996</v>
      </c>
      <c r="H871">
        <v>3.77</v>
      </c>
      <c r="I871">
        <v>3.66</v>
      </c>
      <c r="J871">
        <v>4.3</v>
      </c>
      <c r="K871">
        <v>3.2</v>
      </c>
      <c r="L871">
        <v>4.21</v>
      </c>
      <c r="M871">
        <f t="shared" si="26"/>
        <v>3.92</v>
      </c>
      <c r="N871">
        <f t="shared" si="27"/>
        <v>3.8280000000000003</v>
      </c>
    </row>
    <row r="872" spans="1:14" ht="14.25" customHeight="1" x14ac:dyDescent="0.3">
      <c r="A872" t="s">
        <v>1782</v>
      </c>
      <c r="B872" t="s">
        <v>1783</v>
      </c>
      <c r="C872">
        <v>4.0999999999999996</v>
      </c>
      <c r="D872">
        <v>4.13</v>
      </c>
      <c r="E872">
        <v>4.6900000000000004</v>
      </c>
      <c r="F872">
        <v>3.75</v>
      </c>
      <c r="G872">
        <v>4.4800000000000004</v>
      </c>
      <c r="H872">
        <v>4.12</v>
      </c>
      <c r="I872">
        <v>4.1900000000000004</v>
      </c>
      <c r="J872">
        <v>3.69</v>
      </c>
      <c r="K872">
        <v>4.12</v>
      </c>
      <c r="L872">
        <v>3.68</v>
      </c>
      <c r="M872">
        <f t="shared" si="26"/>
        <v>4.2300000000000004</v>
      </c>
      <c r="N872">
        <f t="shared" si="27"/>
        <v>3.96</v>
      </c>
    </row>
    <row r="873" spans="1:14" ht="14.25" customHeight="1" x14ac:dyDescent="0.3">
      <c r="A873" t="s">
        <v>1784</v>
      </c>
      <c r="B873" t="s">
        <v>1785</v>
      </c>
      <c r="C873">
        <v>4.34</v>
      </c>
      <c r="D873">
        <v>3.93</v>
      </c>
      <c r="E873">
        <v>3.64</v>
      </c>
      <c r="F873">
        <v>3.82</v>
      </c>
      <c r="G873" t="s">
        <v>438</v>
      </c>
      <c r="H873">
        <v>4.49</v>
      </c>
      <c r="I873">
        <v>3.58</v>
      </c>
      <c r="J873">
        <v>3.41</v>
      </c>
      <c r="K873">
        <v>5.0199999999999996</v>
      </c>
      <c r="L873">
        <v>3.79</v>
      </c>
      <c r="M873">
        <f t="shared" si="26"/>
        <v>3.9325000000000001</v>
      </c>
      <c r="N873">
        <f t="shared" si="27"/>
        <v>4.0579999999999998</v>
      </c>
    </row>
    <row r="874" spans="1:14" ht="14.25" customHeight="1" x14ac:dyDescent="0.3">
      <c r="A874" t="s">
        <v>1786</v>
      </c>
      <c r="B874" t="s">
        <v>1787</v>
      </c>
      <c r="C874">
        <v>4.5</v>
      </c>
      <c r="D874">
        <v>4.04</v>
      </c>
      <c r="E874">
        <v>4.01</v>
      </c>
      <c r="F874">
        <v>3.65</v>
      </c>
      <c r="G874">
        <v>4.53</v>
      </c>
      <c r="H874">
        <v>4.5</v>
      </c>
      <c r="I874">
        <v>4.18</v>
      </c>
      <c r="J874">
        <v>3.63</v>
      </c>
      <c r="K874">
        <v>3.84</v>
      </c>
      <c r="L874">
        <v>3.72</v>
      </c>
      <c r="M874">
        <f t="shared" si="26"/>
        <v>4.1459999999999999</v>
      </c>
      <c r="N874">
        <f t="shared" si="27"/>
        <v>3.9739999999999993</v>
      </c>
    </row>
    <row r="875" spans="1:14" ht="14.25" customHeight="1" x14ac:dyDescent="0.3">
      <c r="A875" t="s">
        <v>1788</v>
      </c>
      <c r="B875" t="s">
        <v>1789</v>
      </c>
      <c r="C875">
        <v>4.1900000000000004</v>
      </c>
      <c r="D875">
        <v>4.4400000000000004</v>
      </c>
      <c r="E875">
        <v>4.29</v>
      </c>
      <c r="F875">
        <v>3.9</v>
      </c>
      <c r="G875">
        <v>4.32</v>
      </c>
      <c r="H875">
        <v>3.21</v>
      </c>
      <c r="I875">
        <v>4.08</v>
      </c>
      <c r="J875">
        <v>4.33</v>
      </c>
      <c r="K875">
        <v>4.53</v>
      </c>
      <c r="L875">
        <v>3.97</v>
      </c>
      <c r="M875">
        <f t="shared" si="26"/>
        <v>4.2279999999999998</v>
      </c>
      <c r="N875">
        <f t="shared" si="27"/>
        <v>4.024</v>
      </c>
    </row>
    <row r="876" spans="1:14" ht="14.25" customHeight="1" x14ac:dyDescent="0.3">
      <c r="A876" t="s">
        <v>1790</v>
      </c>
      <c r="B876" t="s">
        <v>1791</v>
      </c>
      <c r="C876">
        <v>3.86</v>
      </c>
      <c r="D876">
        <v>4.28</v>
      </c>
      <c r="E876">
        <v>3.34</v>
      </c>
      <c r="F876">
        <v>4.0199999999999996</v>
      </c>
      <c r="G876">
        <v>3.8</v>
      </c>
      <c r="H876">
        <v>3.69</v>
      </c>
      <c r="I876">
        <v>3.73</v>
      </c>
      <c r="J876">
        <v>4.16</v>
      </c>
      <c r="K876">
        <v>3.51</v>
      </c>
      <c r="L876">
        <v>3.8</v>
      </c>
      <c r="M876">
        <f t="shared" si="26"/>
        <v>3.8600000000000003</v>
      </c>
      <c r="N876">
        <f t="shared" si="27"/>
        <v>3.778</v>
      </c>
    </row>
    <row r="877" spans="1:14" ht="14.25" customHeight="1" x14ac:dyDescent="0.3">
      <c r="A877" t="s">
        <v>1792</v>
      </c>
      <c r="B877" t="s">
        <v>1793</v>
      </c>
      <c r="C877">
        <v>4.07</v>
      </c>
      <c r="D877">
        <v>4.75</v>
      </c>
      <c r="E877">
        <v>3.83</v>
      </c>
      <c r="F877">
        <v>3.63</v>
      </c>
      <c r="G877">
        <v>3.6</v>
      </c>
      <c r="H877">
        <v>3.7</v>
      </c>
      <c r="I877">
        <v>3.96</v>
      </c>
      <c r="J877">
        <v>4.18</v>
      </c>
      <c r="K877">
        <v>3.73</v>
      </c>
      <c r="L877">
        <v>4.26</v>
      </c>
      <c r="M877">
        <f t="shared" si="26"/>
        <v>3.9760000000000004</v>
      </c>
      <c r="N877">
        <f t="shared" si="27"/>
        <v>3.9659999999999997</v>
      </c>
    </row>
    <row r="878" spans="1:14" ht="14.25" customHeight="1" x14ac:dyDescent="0.3">
      <c r="A878" t="s">
        <v>1794</v>
      </c>
      <c r="B878" t="s">
        <v>1795</v>
      </c>
      <c r="C878">
        <v>3.68</v>
      </c>
      <c r="D878">
        <v>3.64</v>
      </c>
      <c r="E878">
        <v>4.58</v>
      </c>
      <c r="G878">
        <v>4.21</v>
      </c>
      <c r="H878">
        <v>4.07</v>
      </c>
      <c r="I878">
        <v>4.0199999999999996</v>
      </c>
      <c r="J878">
        <v>4.46</v>
      </c>
      <c r="K878">
        <v>4.53</v>
      </c>
      <c r="L878">
        <v>3.83</v>
      </c>
      <c r="M878">
        <f t="shared" si="26"/>
        <v>4.0274999999999999</v>
      </c>
      <c r="N878">
        <f t="shared" si="27"/>
        <v>4.1820000000000004</v>
      </c>
    </row>
    <row r="879" spans="1:14" ht="14.25" customHeight="1" x14ac:dyDescent="0.3">
      <c r="A879" t="s">
        <v>1796</v>
      </c>
      <c r="B879" t="s">
        <v>1797</v>
      </c>
      <c r="C879">
        <v>4.09</v>
      </c>
      <c r="D879">
        <v>3.99</v>
      </c>
      <c r="E879">
        <v>4.1100000000000003</v>
      </c>
      <c r="F879">
        <v>4.16</v>
      </c>
      <c r="G879">
        <v>3.66</v>
      </c>
      <c r="H879">
        <v>4.01</v>
      </c>
      <c r="I879">
        <v>3.79</v>
      </c>
      <c r="J879">
        <v>4.2699999999999996</v>
      </c>
      <c r="K879">
        <v>4.3899999999999997</v>
      </c>
      <c r="L879" t="s">
        <v>1798</v>
      </c>
      <c r="M879">
        <f t="shared" si="26"/>
        <v>4.0020000000000007</v>
      </c>
      <c r="N879">
        <f t="shared" si="27"/>
        <v>4.1150000000000002</v>
      </c>
    </row>
    <row r="880" spans="1:14" ht="14.25" customHeight="1" x14ac:dyDescent="0.3">
      <c r="A880" t="s">
        <v>1799</v>
      </c>
      <c r="B880" t="s">
        <v>1800</v>
      </c>
      <c r="C880">
        <v>4.55</v>
      </c>
      <c r="D880">
        <v>4.51</v>
      </c>
      <c r="E880">
        <v>4.3899999999999997</v>
      </c>
      <c r="F880">
        <v>3.79</v>
      </c>
      <c r="G880">
        <v>3.29</v>
      </c>
      <c r="H880">
        <v>3.36</v>
      </c>
      <c r="I880">
        <v>4.55</v>
      </c>
      <c r="J880">
        <v>4.2</v>
      </c>
      <c r="K880">
        <v>3.84</v>
      </c>
      <c r="L880">
        <v>4.33</v>
      </c>
      <c r="M880">
        <f t="shared" si="26"/>
        <v>4.1059999999999999</v>
      </c>
      <c r="N880">
        <f t="shared" si="27"/>
        <v>4.056</v>
      </c>
    </row>
    <row r="881" spans="1:14" ht="14.25" customHeight="1" x14ac:dyDescent="0.3">
      <c r="A881" t="s">
        <v>1801</v>
      </c>
      <c r="B881" t="s">
        <v>1802</v>
      </c>
      <c r="C881">
        <v>4.03</v>
      </c>
      <c r="D881">
        <v>3.71</v>
      </c>
      <c r="F881">
        <v>3.55</v>
      </c>
      <c r="G881">
        <v>4</v>
      </c>
      <c r="H881">
        <v>3.54</v>
      </c>
      <c r="I881">
        <v>3.55</v>
      </c>
      <c r="J881">
        <v>3.73</v>
      </c>
      <c r="K881">
        <v>3.87</v>
      </c>
      <c r="L881">
        <v>4.04</v>
      </c>
      <c r="M881">
        <f t="shared" si="26"/>
        <v>3.8224999999999998</v>
      </c>
      <c r="N881">
        <f t="shared" si="27"/>
        <v>3.746</v>
      </c>
    </row>
    <row r="882" spans="1:14" ht="14.25" customHeight="1" x14ac:dyDescent="0.3">
      <c r="A882" t="s">
        <v>1803</v>
      </c>
      <c r="B882" t="s">
        <v>1804</v>
      </c>
      <c r="C882">
        <v>3.89</v>
      </c>
      <c r="D882">
        <v>3.74</v>
      </c>
      <c r="E882">
        <v>3.96</v>
      </c>
      <c r="F882">
        <v>4.2300000000000004</v>
      </c>
      <c r="G882">
        <v>4.01</v>
      </c>
      <c r="H882">
        <v>3.79</v>
      </c>
      <c r="I882">
        <v>4.08</v>
      </c>
      <c r="J882">
        <v>3.82</v>
      </c>
      <c r="K882">
        <v>3.95</v>
      </c>
      <c r="L882">
        <v>4.05</v>
      </c>
      <c r="M882">
        <f t="shared" si="26"/>
        <v>3.9659999999999997</v>
      </c>
      <c r="N882">
        <f t="shared" si="27"/>
        <v>3.9380000000000002</v>
      </c>
    </row>
    <row r="883" spans="1:14" ht="14.25" customHeight="1" x14ac:dyDescent="0.3">
      <c r="A883" t="s">
        <v>1805</v>
      </c>
      <c r="B883" t="s">
        <v>1806</v>
      </c>
      <c r="C883">
        <v>3.51</v>
      </c>
      <c r="D883">
        <v>3.75</v>
      </c>
      <c r="E883">
        <v>3.8</v>
      </c>
      <c r="F883">
        <v>4.18</v>
      </c>
      <c r="G883">
        <v>3.97</v>
      </c>
      <c r="H883">
        <v>4.2300000000000004</v>
      </c>
      <c r="I883">
        <v>4.41</v>
      </c>
      <c r="J883">
        <v>4.51</v>
      </c>
      <c r="K883">
        <v>3.96</v>
      </c>
      <c r="L883">
        <v>3.09</v>
      </c>
      <c r="M883">
        <f t="shared" si="26"/>
        <v>3.8419999999999996</v>
      </c>
      <c r="N883">
        <f t="shared" si="27"/>
        <v>4.04</v>
      </c>
    </row>
    <row r="884" spans="1:14" ht="14.25" customHeight="1" x14ac:dyDescent="0.3">
      <c r="A884" t="s">
        <v>1807</v>
      </c>
      <c r="B884" t="s">
        <v>1808</v>
      </c>
      <c r="C884">
        <v>3.63</v>
      </c>
      <c r="D884">
        <v>4</v>
      </c>
      <c r="E884">
        <v>3.94</v>
      </c>
      <c r="F884">
        <v>3.95</v>
      </c>
      <c r="G884">
        <v>4.0199999999999996</v>
      </c>
      <c r="H884">
        <v>4.21</v>
      </c>
      <c r="I884">
        <v>4</v>
      </c>
      <c r="J884">
        <v>4.3899999999999997</v>
      </c>
      <c r="K884">
        <v>4.25</v>
      </c>
      <c r="L884">
        <v>3.88</v>
      </c>
      <c r="M884">
        <f t="shared" si="26"/>
        <v>3.9079999999999999</v>
      </c>
      <c r="N884">
        <f t="shared" si="27"/>
        <v>4.1459999999999999</v>
      </c>
    </row>
    <row r="885" spans="1:14" ht="14.25" customHeight="1" x14ac:dyDescent="0.3">
      <c r="A885" t="s">
        <v>1809</v>
      </c>
      <c r="B885" t="s">
        <v>1810</v>
      </c>
      <c r="C885">
        <v>4.47</v>
      </c>
      <c r="E885">
        <v>4.1900000000000004</v>
      </c>
      <c r="F885">
        <v>4.22</v>
      </c>
      <c r="G885">
        <v>4.33</v>
      </c>
      <c r="H885">
        <v>3.59</v>
      </c>
      <c r="I885">
        <v>4.7300000000000004</v>
      </c>
      <c r="J885">
        <v>4.17</v>
      </c>
      <c r="K885">
        <v>4.4400000000000004</v>
      </c>
      <c r="L885">
        <v>3.95</v>
      </c>
      <c r="M885">
        <f t="shared" si="26"/>
        <v>4.3025000000000002</v>
      </c>
      <c r="N885">
        <f t="shared" si="27"/>
        <v>4.1760000000000002</v>
      </c>
    </row>
    <row r="886" spans="1:14" ht="14.25" customHeight="1" x14ac:dyDescent="0.3">
      <c r="A886" t="s">
        <v>1811</v>
      </c>
      <c r="B886" t="s">
        <v>1812</v>
      </c>
      <c r="C886">
        <v>3.46</v>
      </c>
      <c r="D886">
        <v>4.09</v>
      </c>
      <c r="E886">
        <v>3.87</v>
      </c>
      <c r="F886">
        <v>4.24</v>
      </c>
      <c r="G886">
        <v>4.37</v>
      </c>
      <c r="H886">
        <v>3.94</v>
      </c>
      <c r="I886">
        <v>3.89</v>
      </c>
      <c r="J886">
        <v>4.1100000000000003</v>
      </c>
      <c r="L886">
        <v>4.25</v>
      </c>
      <c r="M886">
        <f t="shared" si="26"/>
        <v>4.0060000000000002</v>
      </c>
      <c r="N886">
        <f t="shared" si="27"/>
        <v>4.0475000000000003</v>
      </c>
    </row>
    <row r="887" spans="1:14" ht="14.25" customHeight="1" x14ac:dyDescent="0.3">
      <c r="A887" t="s">
        <v>1813</v>
      </c>
      <c r="B887" t="s">
        <v>1814</v>
      </c>
      <c r="C887">
        <v>4.34</v>
      </c>
      <c r="D887">
        <v>3.81</v>
      </c>
      <c r="E887">
        <v>4.2</v>
      </c>
      <c r="F887">
        <v>4.1399999999999997</v>
      </c>
      <c r="G887">
        <v>3.97</v>
      </c>
      <c r="H887">
        <v>4.5199999999999996</v>
      </c>
      <c r="I887">
        <v>4.62</v>
      </c>
      <c r="J887">
        <v>3.94</v>
      </c>
      <c r="K887">
        <v>4.04</v>
      </c>
      <c r="L887">
        <v>3.82</v>
      </c>
      <c r="M887">
        <f t="shared" si="26"/>
        <v>4.0920000000000005</v>
      </c>
      <c r="N887">
        <f t="shared" si="27"/>
        <v>4.1880000000000006</v>
      </c>
    </row>
    <row r="888" spans="1:14" ht="14.25" customHeight="1" x14ac:dyDescent="0.3">
      <c r="A888" t="s">
        <v>1815</v>
      </c>
      <c r="B888" t="s">
        <v>1816</v>
      </c>
      <c r="C888">
        <v>4.21</v>
      </c>
      <c r="D888">
        <v>4.29</v>
      </c>
      <c r="E888">
        <v>3.55</v>
      </c>
      <c r="F888">
        <v>4.2</v>
      </c>
      <c r="G888">
        <v>3.99</v>
      </c>
      <c r="H888">
        <v>3.94</v>
      </c>
      <c r="I888">
        <v>3.79</v>
      </c>
      <c r="J888">
        <v>3.43</v>
      </c>
      <c r="K888">
        <v>4.1900000000000004</v>
      </c>
      <c r="L888">
        <v>4.09</v>
      </c>
      <c r="M888">
        <f t="shared" si="26"/>
        <v>4.048</v>
      </c>
      <c r="N888">
        <f t="shared" si="27"/>
        <v>3.8880000000000003</v>
      </c>
    </row>
    <row r="889" spans="1:14" ht="14.25" customHeight="1" x14ac:dyDescent="0.3">
      <c r="A889" t="s">
        <v>1817</v>
      </c>
      <c r="B889" t="s">
        <v>1818</v>
      </c>
      <c r="C889">
        <v>4.2</v>
      </c>
      <c r="D889">
        <v>4.43</v>
      </c>
      <c r="E889">
        <v>4.28</v>
      </c>
      <c r="F889">
        <v>3.67</v>
      </c>
      <c r="G889">
        <v>4.4800000000000004</v>
      </c>
      <c r="H889">
        <v>3.91</v>
      </c>
      <c r="I889">
        <v>4.0599999999999996</v>
      </c>
      <c r="J889">
        <v>4.4800000000000004</v>
      </c>
      <c r="K889">
        <v>4.21</v>
      </c>
      <c r="L889">
        <v>3.89</v>
      </c>
      <c r="M889">
        <f t="shared" si="26"/>
        <v>4.2119999999999997</v>
      </c>
      <c r="N889">
        <f t="shared" si="27"/>
        <v>4.1100000000000003</v>
      </c>
    </row>
    <row r="890" spans="1:14" ht="14.25" customHeight="1" x14ac:dyDescent="0.3">
      <c r="A890" t="s">
        <v>1819</v>
      </c>
      <c r="B890" t="s">
        <v>1820</v>
      </c>
      <c r="C890">
        <v>3.69</v>
      </c>
      <c r="D890">
        <v>4.12</v>
      </c>
      <c r="E890">
        <v>4.1900000000000004</v>
      </c>
      <c r="F890">
        <v>4.4000000000000004</v>
      </c>
      <c r="G890">
        <v>4.3600000000000003</v>
      </c>
      <c r="H890">
        <v>4.38</v>
      </c>
      <c r="I890">
        <v>4.38</v>
      </c>
      <c r="J890">
        <v>4.25</v>
      </c>
      <c r="K890">
        <v>4.01</v>
      </c>
      <c r="L890">
        <v>3.83</v>
      </c>
      <c r="M890">
        <f t="shared" si="26"/>
        <v>4.1519999999999992</v>
      </c>
      <c r="N890">
        <f t="shared" si="27"/>
        <v>4.17</v>
      </c>
    </row>
    <row r="891" spans="1:14" ht="14.25" customHeight="1" x14ac:dyDescent="0.3">
      <c r="A891" t="s">
        <v>1821</v>
      </c>
      <c r="B891" t="s">
        <v>1822</v>
      </c>
      <c r="C891">
        <v>3.61</v>
      </c>
      <c r="D891">
        <v>4.08</v>
      </c>
      <c r="E891">
        <v>4.03</v>
      </c>
      <c r="F891">
        <v>3.96</v>
      </c>
      <c r="G891">
        <v>3.88</v>
      </c>
      <c r="H891">
        <v>3.64</v>
      </c>
      <c r="I891">
        <v>3.89</v>
      </c>
      <c r="J891">
        <v>3.88</v>
      </c>
      <c r="K891">
        <v>3.82</v>
      </c>
      <c r="L891">
        <v>4.37</v>
      </c>
      <c r="M891">
        <f t="shared" si="26"/>
        <v>3.9119999999999999</v>
      </c>
      <c r="N891">
        <f t="shared" si="27"/>
        <v>3.9200000000000004</v>
      </c>
    </row>
    <row r="892" spans="1:14" ht="14.25" customHeight="1" x14ac:dyDescent="0.3">
      <c r="A892" t="s">
        <v>1823</v>
      </c>
      <c r="B892" t="s">
        <v>1824</v>
      </c>
      <c r="C892">
        <v>4.4000000000000004</v>
      </c>
      <c r="D892">
        <v>3.5</v>
      </c>
      <c r="E892">
        <v>3.87</v>
      </c>
      <c r="F892">
        <v>3.73</v>
      </c>
      <c r="G892">
        <v>3.75</v>
      </c>
      <c r="H892">
        <v>3.74</v>
      </c>
      <c r="I892">
        <v>3.79</v>
      </c>
      <c r="J892">
        <v>3.98</v>
      </c>
      <c r="K892">
        <v>4.21</v>
      </c>
      <c r="L892">
        <v>4.8600000000000003</v>
      </c>
      <c r="M892">
        <f t="shared" si="26"/>
        <v>3.85</v>
      </c>
      <c r="N892">
        <f t="shared" si="27"/>
        <v>4.1159999999999997</v>
      </c>
    </row>
    <row r="893" spans="1:14" ht="14.25" customHeight="1" x14ac:dyDescent="0.3">
      <c r="A893" t="s">
        <v>1825</v>
      </c>
      <c r="B893" t="s">
        <v>1826</v>
      </c>
      <c r="C893">
        <v>4.33</v>
      </c>
      <c r="D893">
        <v>4</v>
      </c>
      <c r="E893">
        <v>3.97</v>
      </c>
      <c r="F893">
        <v>3.91</v>
      </c>
      <c r="G893">
        <v>3.78</v>
      </c>
      <c r="H893">
        <v>4.1100000000000003</v>
      </c>
      <c r="I893">
        <v>4.42</v>
      </c>
      <c r="J893">
        <v>4.37</v>
      </c>
      <c r="K893">
        <v>3.9</v>
      </c>
      <c r="L893">
        <v>3.52</v>
      </c>
      <c r="M893">
        <f t="shared" si="26"/>
        <v>3.9980000000000002</v>
      </c>
      <c r="N893">
        <f t="shared" si="27"/>
        <v>4.0640000000000001</v>
      </c>
    </row>
    <row r="894" spans="1:14" ht="14.25" customHeight="1" x14ac:dyDescent="0.3">
      <c r="A894" t="s">
        <v>1827</v>
      </c>
      <c r="B894" t="s">
        <v>1828</v>
      </c>
      <c r="C894">
        <v>3.66</v>
      </c>
      <c r="D894">
        <v>3.76</v>
      </c>
      <c r="E894">
        <v>4.3</v>
      </c>
      <c r="F894">
        <v>4.0999999999999996</v>
      </c>
      <c r="G894">
        <v>4.1900000000000004</v>
      </c>
      <c r="H894">
        <v>4.66</v>
      </c>
      <c r="I894">
        <v>3.7</v>
      </c>
      <c r="J894">
        <v>4.2699999999999996</v>
      </c>
      <c r="K894">
        <v>3.84</v>
      </c>
      <c r="L894">
        <v>4.4800000000000004</v>
      </c>
      <c r="M894">
        <f t="shared" si="26"/>
        <v>4.0019999999999998</v>
      </c>
      <c r="N894">
        <f t="shared" si="27"/>
        <v>4.1899999999999995</v>
      </c>
    </row>
    <row r="895" spans="1:14" ht="14.25" customHeight="1" x14ac:dyDescent="0.3">
      <c r="A895" t="s">
        <v>1829</v>
      </c>
      <c r="B895" t="s">
        <v>1830</v>
      </c>
      <c r="C895">
        <v>4.17</v>
      </c>
      <c r="D895">
        <v>3.74</v>
      </c>
      <c r="E895">
        <v>4.04</v>
      </c>
      <c r="F895">
        <v>4.16</v>
      </c>
      <c r="G895">
        <v>3.83</v>
      </c>
      <c r="H895">
        <v>4.07</v>
      </c>
      <c r="I895">
        <v>3.99</v>
      </c>
      <c r="K895">
        <v>3.84</v>
      </c>
      <c r="L895">
        <v>4.12</v>
      </c>
      <c r="M895">
        <f t="shared" si="26"/>
        <v>3.9879999999999995</v>
      </c>
      <c r="N895">
        <f t="shared" si="27"/>
        <v>4.0049999999999999</v>
      </c>
    </row>
    <row r="896" spans="1:14" ht="14.25" customHeight="1" x14ac:dyDescent="0.3">
      <c r="A896" t="s">
        <v>1831</v>
      </c>
      <c r="B896" t="s">
        <v>1832</v>
      </c>
      <c r="C896">
        <v>4.17</v>
      </c>
      <c r="D896">
        <v>4.4800000000000004</v>
      </c>
      <c r="E896">
        <v>4.47</v>
      </c>
      <c r="F896">
        <v>3.91</v>
      </c>
      <c r="G896">
        <v>3.84</v>
      </c>
      <c r="H896">
        <v>4.43</v>
      </c>
      <c r="I896">
        <v>4.5599999999999996</v>
      </c>
      <c r="J896">
        <v>4.1100000000000003</v>
      </c>
      <c r="K896">
        <v>4.0999999999999996</v>
      </c>
      <c r="L896">
        <v>3.92</v>
      </c>
      <c r="M896">
        <f t="shared" si="26"/>
        <v>4.1740000000000004</v>
      </c>
      <c r="N896">
        <f t="shared" si="27"/>
        <v>4.2239999999999993</v>
      </c>
    </row>
    <row r="897" spans="1:14" ht="14.25" customHeight="1" x14ac:dyDescent="0.3">
      <c r="A897" t="s">
        <v>1833</v>
      </c>
      <c r="B897" t="s">
        <v>1834</v>
      </c>
      <c r="C897">
        <v>4.09</v>
      </c>
      <c r="D897">
        <v>3.65</v>
      </c>
      <c r="E897">
        <v>3.83</v>
      </c>
      <c r="F897">
        <v>3.73</v>
      </c>
      <c r="G897">
        <v>3.91</v>
      </c>
      <c r="H897">
        <v>4.21</v>
      </c>
      <c r="I897">
        <v>4.2699999999999996</v>
      </c>
      <c r="J897">
        <v>4.38</v>
      </c>
      <c r="K897">
        <v>4.2</v>
      </c>
      <c r="L897">
        <v>3.87</v>
      </c>
      <c r="M897">
        <f t="shared" si="26"/>
        <v>3.8420000000000001</v>
      </c>
      <c r="N897">
        <f t="shared" si="27"/>
        <v>4.1859999999999999</v>
      </c>
    </row>
    <row r="898" spans="1:14" ht="14.25" customHeight="1" x14ac:dyDescent="0.3">
      <c r="A898" t="s">
        <v>1835</v>
      </c>
      <c r="B898" t="s">
        <v>1836</v>
      </c>
      <c r="C898">
        <v>3.94</v>
      </c>
      <c r="D898">
        <v>4.24</v>
      </c>
      <c r="E898">
        <v>3.97</v>
      </c>
      <c r="F898">
        <v>3.3</v>
      </c>
      <c r="G898">
        <v>4.1100000000000003</v>
      </c>
      <c r="H898">
        <v>4.0599999999999996</v>
      </c>
      <c r="I898">
        <v>4.1900000000000004</v>
      </c>
      <c r="J898">
        <v>4</v>
      </c>
      <c r="K898">
        <v>3.75</v>
      </c>
      <c r="L898">
        <v>4.2699999999999996</v>
      </c>
      <c r="M898">
        <f t="shared" ref="M898:M961" si="28">AVERAGE(C898:G898)</f>
        <v>3.9119999999999999</v>
      </c>
      <c r="N898">
        <f t="shared" ref="N898:N961" si="29">AVERAGE(H898:L898)</f>
        <v>4.0540000000000003</v>
      </c>
    </row>
    <row r="899" spans="1:14" ht="14.25" customHeight="1" x14ac:dyDescent="0.3">
      <c r="A899" t="s">
        <v>1837</v>
      </c>
      <c r="B899" t="s">
        <v>1838</v>
      </c>
      <c r="C899">
        <v>3.98</v>
      </c>
      <c r="D899">
        <v>4.2699999999999996</v>
      </c>
      <c r="E899">
        <v>4.08</v>
      </c>
      <c r="F899">
        <v>3.81</v>
      </c>
      <c r="H899">
        <v>4.21</v>
      </c>
      <c r="I899">
        <v>4.1500000000000004</v>
      </c>
      <c r="J899">
        <v>3.59</v>
      </c>
      <c r="K899">
        <v>4.41</v>
      </c>
      <c r="L899">
        <v>4.4400000000000004</v>
      </c>
      <c r="M899">
        <f t="shared" si="28"/>
        <v>4.0350000000000001</v>
      </c>
      <c r="N899">
        <f t="shared" si="29"/>
        <v>4.16</v>
      </c>
    </row>
    <row r="900" spans="1:14" ht="14.25" customHeight="1" x14ac:dyDescent="0.3">
      <c r="A900" t="s">
        <v>1839</v>
      </c>
      <c r="B900" t="s">
        <v>1840</v>
      </c>
      <c r="C900">
        <v>4.3899999999999997</v>
      </c>
      <c r="D900">
        <v>4.2300000000000004</v>
      </c>
      <c r="E900">
        <v>3.9</v>
      </c>
      <c r="F900">
        <v>3.55</v>
      </c>
      <c r="G900">
        <v>4.57</v>
      </c>
      <c r="H900">
        <v>4.12</v>
      </c>
      <c r="I900">
        <v>3.36</v>
      </c>
      <c r="J900">
        <v>3.86</v>
      </c>
      <c r="K900">
        <v>4.4000000000000004</v>
      </c>
      <c r="L900">
        <v>4.29</v>
      </c>
      <c r="M900">
        <f t="shared" si="28"/>
        <v>4.1280000000000001</v>
      </c>
      <c r="N900">
        <f t="shared" si="29"/>
        <v>4.0060000000000002</v>
      </c>
    </row>
    <row r="901" spans="1:14" ht="14.25" customHeight="1" x14ac:dyDescent="0.3">
      <c r="A901" t="s">
        <v>1841</v>
      </c>
      <c r="B901" t="s">
        <v>1842</v>
      </c>
      <c r="C901">
        <v>4.3600000000000003</v>
      </c>
      <c r="D901">
        <v>3.5</v>
      </c>
      <c r="E901">
        <v>4.12</v>
      </c>
      <c r="F901">
        <v>3.72</v>
      </c>
      <c r="G901">
        <v>4.04</v>
      </c>
      <c r="H901">
        <v>3.78</v>
      </c>
      <c r="I901">
        <v>3.91</v>
      </c>
      <c r="J901">
        <v>4.09</v>
      </c>
      <c r="K901">
        <v>4.46</v>
      </c>
      <c r="L901">
        <v>3.97</v>
      </c>
      <c r="M901">
        <f t="shared" si="28"/>
        <v>3.9480000000000004</v>
      </c>
      <c r="N901">
        <f t="shared" si="29"/>
        <v>4.0419999999999998</v>
      </c>
    </row>
    <row r="902" spans="1:14" ht="14.25" customHeight="1" x14ac:dyDescent="0.3">
      <c r="A902" t="s">
        <v>1843</v>
      </c>
      <c r="B902" t="s">
        <v>1844</v>
      </c>
      <c r="C902">
        <v>3.84</v>
      </c>
      <c r="D902">
        <v>4.1500000000000004</v>
      </c>
      <c r="E902">
        <v>3.83</v>
      </c>
      <c r="F902">
        <v>4.1900000000000004</v>
      </c>
      <c r="G902">
        <v>3.94</v>
      </c>
      <c r="H902">
        <v>4.54</v>
      </c>
      <c r="I902">
        <v>3.74</v>
      </c>
      <c r="J902">
        <v>4.04</v>
      </c>
      <c r="K902">
        <v>4.57</v>
      </c>
      <c r="L902">
        <v>4.03</v>
      </c>
      <c r="M902">
        <f t="shared" si="28"/>
        <v>3.9900000000000007</v>
      </c>
      <c r="N902">
        <f t="shared" si="29"/>
        <v>4.1840000000000002</v>
      </c>
    </row>
    <row r="903" spans="1:14" ht="14.25" customHeight="1" x14ac:dyDescent="0.3">
      <c r="A903" t="s">
        <v>1845</v>
      </c>
      <c r="B903" t="s">
        <v>1846</v>
      </c>
      <c r="C903">
        <v>3.97</v>
      </c>
      <c r="D903">
        <v>3.71</v>
      </c>
      <c r="E903">
        <v>3.99</v>
      </c>
      <c r="F903">
        <v>4.0199999999999996</v>
      </c>
      <c r="G903">
        <v>4.0999999999999996</v>
      </c>
      <c r="H903">
        <v>3.7</v>
      </c>
      <c r="I903">
        <v>3.9</v>
      </c>
      <c r="J903">
        <v>4.07</v>
      </c>
      <c r="K903">
        <v>3.98</v>
      </c>
      <c r="L903">
        <v>4.22</v>
      </c>
      <c r="M903">
        <f t="shared" si="28"/>
        <v>3.9579999999999997</v>
      </c>
      <c r="N903">
        <f t="shared" si="29"/>
        <v>3.9740000000000002</v>
      </c>
    </row>
    <row r="904" spans="1:14" ht="14.25" customHeight="1" x14ac:dyDescent="0.3">
      <c r="A904" t="s">
        <v>1847</v>
      </c>
      <c r="B904" t="s">
        <v>1848</v>
      </c>
      <c r="C904">
        <v>4.25</v>
      </c>
      <c r="D904">
        <v>4.79</v>
      </c>
      <c r="E904">
        <v>3.94</v>
      </c>
      <c r="F904">
        <v>3.98</v>
      </c>
      <c r="G904">
        <v>3.55</v>
      </c>
      <c r="H904">
        <v>4.4000000000000004</v>
      </c>
      <c r="I904">
        <v>3.44</v>
      </c>
      <c r="J904">
        <v>3.96</v>
      </c>
      <c r="K904">
        <v>4.0599999999999996</v>
      </c>
      <c r="L904">
        <v>3.94</v>
      </c>
      <c r="M904">
        <f t="shared" si="28"/>
        <v>4.1019999999999994</v>
      </c>
      <c r="N904">
        <f t="shared" si="29"/>
        <v>3.96</v>
      </c>
    </row>
    <row r="905" spans="1:14" ht="14.25" customHeight="1" x14ac:dyDescent="0.3">
      <c r="A905" t="s">
        <v>1849</v>
      </c>
      <c r="B905" t="s">
        <v>1850</v>
      </c>
      <c r="C905">
        <v>3.6</v>
      </c>
      <c r="D905">
        <v>4.33</v>
      </c>
      <c r="E905">
        <v>4.09</v>
      </c>
      <c r="F905">
        <v>3.97</v>
      </c>
      <c r="G905">
        <v>3.89</v>
      </c>
      <c r="H905">
        <v>3.65</v>
      </c>
      <c r="I905">
        <v>4.22</v>
      </c>
      <c r="J905">
        <v>3.87</v>
      </c>
      <c r="K905">
        <v>4.1500000000000004</v>
      </c>
      <c r="L905">
        <v>4.45</v>
      </c>
      <c r="M905">
        <f t="shared" si="28"/>
        <v>3.976</v>
      </c>
      <c r="N905">
        <f t="shared" si="29"/>
        <v>4.0679999999999996</v>
      </c>
    </row>
    <row r="906" spans="1:14" ht="14.25" customHeight="1" x14ac:dyDescent="0.3">
      <c r="A906" t="s">
        <v>1851</v>
      </c>
      <c r="B906" t="s">
        <v>1852</v>
      </c>
      <c r="C906">
        <v>3.24</v>
      </c>
      <c r="D906">
        <v>4.05</v>
      </c>
      <c r="F906">
        <v>4.4000000000000004</v>
      </c>
      <c r="G906">
        <v>3.65</v>
      </c>
      <c r="H906">
        <v>4.09</v>
      </c>
      <c r="I906">
        <v>4.0199999999999996</v>
      </c>
      <c r="J906">
        <v>3.53</v>
      </c>
      <c r="L906">
        <v>3.89</v>
      </c>
      <c r="M906">
        <f t="shared" si="28"/>
        <v>3.8350000000000004</v>
      </c>
      <c r="N906">
        <f t="shared" si="29"/>
        <v>3.8824999999999998</v>
      </c>
    </row>
    <row r="907" spans="1:14" ht="14.25" customHeight="1" x14ac:dyDescent="0.3">
      <c r="A907" t="s">
        <v>1853</v>
      </c>
      <c r="B907" t="s">
        <v>1854</v>
      </c>
      <c r="C907">
        <v>4.09</v>
      </c>
      <c r="D907">
        <v>4.09</v>
      </c>
      <c r="E907">
        <v>3.89</v>
      </c>
      <c r="F907">
        <v>4.03</v>
      </c>
      <c r="G907">
        <v>4.26</v>
      </c>
      <c r="H907">
        <v>4.66</v>
      </c>
      <c r="I907">
        <v>4.55</v>
      </c>
      <c r="J907">
        <v>4.49</v>
      </c>
      <c r="K907">
        <v>3.6</v>
      </c>
      <c r="L907">
        <v>4.0599999999999996</v>
      </c>
      <c r="M907">
        <f t="shared" si="28"/>
        <v>4.0720000000000001</v>
      </c>
      <c r="N907">
        <f t="shared" si="29"/>
        <v>4.2720000000000002</v>
      </c>
    </row>
    <row r="908" spans="1:14" ht="14.25" customHeight="1" x14ac:dyDescent="0.3">
      <c r="A908" t="s">
        <v>1855</v>
      </c>
      <c r="B908" t="s">
        <v>1856</v>
      </c>
      <c r="C908">
        <v>4.47</v>
      </c>
      <c r="D908">
        <v>4.55</v>
      </c>
      <c r="E908">
        <v>4.01</v>
      </c>
      <c r="F908">
        <v>4.07</v>
      </c>
      <c r="G908">
        <v>4.83</v>
      </c>
      <c r="H908">
        <v>4.76</v>
      </c>
      <c r="I908">
        <v>3.93</v>
      </c>
      <c r="J908">
        <v>3.4</v>
      </c>
      <c r="K908">
        <v>4.01</v>
      </c>
      <c r="L908">
        <v>4.33</v>
      </c>
      <c r="M908">
        <f t="shared" si="28"/>
        <v>4.3860000000000001</v>
      </c>
      <c r="N908">
        <f t="shared" si="29"/>
        <v>4.0860000000000003</v>
      </c>
    </row>
    <row r="909" spans="1:14" ht="14.25" customHeight="1" x14ac:dyDescent="0.3">
      <c r="A909" t="s">
        <v>1857</v>
      </c>
      <c r="B909" t="s">
        <v>1858</v>
      </c>
      <c r="C909">
        <v>4.3</v>
      </c>
      <c r="D909">
        <v>4.3499999999999996</v>
      </c>
      <c r="E909">
        <v>4.17</v>
      </c>
      <c r="F909">
        <v>4.47</v>
      </c>
      <c r="G909">
        <v>3.96</v>
      </c>
      <c r="H909">
        <v>3.67</v>
      </c>
      <c r="I909">
        <v>4.05</v>
      </c>
      <c r="J909">
        <v>4.41</v>
      </c>
      <c r="K909">
        <v>4.72</v>
      </c>
      <c r="L909">
        <v>3.76</v>
      </c>
      <c r="M909">
        <f t="shared" si="28"/>
        <v>4.25</v>
      </c>
      <c r="N909">
        <f t="shared" si="29"/>
        <v>4.1219999999999999</v>
      </c>
    </row>
    <row r="910" spans="1:14" ht="14.25" customHeight="1" x14ac:dyDescent="0.3">
      <c r="A910" t="s">
        <v>1859</v>
      </c>
      <c r="B910" t="s">
        <v>1860</v>
      </c>
      <c r="C910">
        <v>3.46</v>
      </c>
      <c r="D910">
        <v>3.96</v>
      </c>
      <c r="E910">
        <v>4.38</v>
      </c>
      <c r="F910">
        <v>4.07</v>
      </c>
      <c r="G910">
        <v>4.12</v>
      </c>
      <c r="I910">
        <v>4.32</v>
      </c>
      <c r="J910">
        <v>4.01</v>
      </c>
      <c r="K910">
        <v>4.24</v>
      </c>
      <c r="L910">
        <v>4.51</v>
      </c>
      <c r="M910">
        <f t="shared" si="28"/>
        <v>3.9980000000000002</v>
      </c>
      <c r="N910">
        <f t="shared" si="29"/>
        <v>4.2699999999999996</v>
      </c>
    </row>
    <row r="911" spans="1:14" ht="14.25" customHeight="1" x14ac:dyDescent="0.3">
      <c r="A911" t="s">
        <v>1861</v>
      </c>
      <c r="B911" t="s">
        <v>1862</v>
      </c>
      <c r="C911" t="s">
        <v>1247</v>
      </c>
      <c r="D911">
        <v>4.1500000000000004</v>
      </c>
      <c r="E911">
        <v>3.87</v>
      </c>
      <c r="F911">
        <v>4.09</v>
      </c>
      <c r="G911">
        <v>3.81</v>
      </c>
      <c r="H911">
        <v>4.38</v>
      </c>
      <c r="I911">
        <v>4.12</v>
      </c>
      <c r="J911">
        <v>4.5</v>
      </c>
      <c r="K911">
        <v>4.28</v>
      </c>
      <c r="L911">
        <v>3.94</v>
      </c>
      <c r="M911">
        <f t="shared" si="28"/>
        <v>3.98</v>
      </c>
      <c r="N911">
        <f t="shared" si="29"/>
        <v>4.2440000000000007</v>
      </c>
    </row>
    <row r="912" spans="1:14" ht="14.25" customHeight="1" x14ac:dyDescent="0.3">
      <c r="A912" t="s">
        <v>1863</v>
      </c>
      <c r="B912" t="s">
        <v>1864</v>
      </c>
      <c r="C912">
        <v>3.68</v>
      </c>
      <c r="D912">
        <v>4.45</v>
      </c>
      <c r="E912">
        <v>4.43</v>
      </c>
      <c r="F912">
        <v>3.89</v>
      </c>
      <c r="G912">
        <v>3.91</v>
      </c>
      <c r="H912">
        <v>3.88</v>
      </c>
      <c r="I912">
        <v>3.93</v>
      </c>
      <c r="J912">
        <v>3.97</v>
      </c>
      <c r="K912">
        <v>4.09</v>
      </c>
      <c r="L912">
        <v>4.25</v>
      </c>
      <c r="M912">
        <f t="shared" si="28"/>
        <v>4.0720000000000001</v>
      </c>
      <c r="N912">
        <f t="shared" si="29"/>
        <v>4.024</v>
      </c>
    </row>
    <row r="913" spans="1:14" ht="14.25" customHeight="1" x14ac:dyDescent="0.3">
      <c r="A913" t="s">
        <v>1865</v>
      </c>
      <c r="B913" t="s">
        <v>1866</v>
      </c>
      <c r="C913">
        <v>4.32</v>
      </c>
      <c r="D913">
        <v>4.33</v>
      </c>
      <c r="E913">
        <v>3.86</v>
      </c>
      <c r="F913">
        <v>3.8</v>
      </c>
      <c r="G913">
        <v>3.49</v>
      </c>
      <c r="H913">
        <v>3.76</v>
      </c>
      <c r="I913">
        <v>3.39</v>
      </c>
      <c r="J913">
        <v>3.54</v>
      </c>
      <c r="K913">
        <v>4.01</v>
      </c>
      <c r="L913">
        <v>3.61</v>
      </c>
      <c r="M913">
        <f t="shared" si="28"/>
        <v>3.9599999999999995</v>
      </c>
      <c r="N913">
        <f t="shared" si="29"/>
        <v>3.6620000000000004</v>
      </c>
    </row>
    <row r="914" spans="1:14" ht="14.25" customHeight="1" x14ac:dyDescent="0.3">
      <c r="A914" t="s">
        <v>1867</v>
      </c>
      <c r="B914" t="s">
        <v>1868</v>
      </c>
      <c r="C914">
        <v>4.33</v>
      </c>
      <c r="D914" t="s">
        <v>211</v>
      </c>
      <c r="E914">
        <v>4.1900000000000004</v>
      </c>
      <c r="F914">
        <v>4.04</v>
      </c>
      <c r="G914">
        <v>4.1100000000000003</v>
      </c>
      <c r="H914">
        <v>3.88</v>
      </c>
      <c r="I914">
        <v>4.38</v>
      </c>
      <c r="J914">
        <v>4.6100000000000003</v>
      </c>
      <c r="K914">
        <v>3.75</v>
      </c>
      <c r="L914">
        <v>4.66</v>
      </c>
      <c r="M914">
        <f t="shared" si="28"/>
        <v>4.1674999999999995</v>
      </c>
      <c r="N914">
        <f t="shared" si="29"/>
        <v>4.2560000000000002</v>
      </c>
    </row>
    <row r="915" spans="1:14" ht="14.25" customHeight="1" x14ac:dyDescent="0.3">
      <c r="A915" t="s">
        <v>1869</v>
      </c>
      <c r="B915" t="s">
        <v>1870</v>
      </c>
      <c r="C915">
        <v>3.71</v>
      </c>
      <c r="D915" t="s">
        <v>211</v>
      </c>
      <c r="E915">
        <v>3.9</v>
      </c>
      <c r="F915">
        <v>3.8</v>
      </c>
      <c r="G915">
        <v>3.89</v>
      </c>
      <c r="H915">
        <v>4.05</v>
      </c>
      <c r="I915">
        <v>3.76</v>
      </c>
      <c r="J915">
        <v>3.94</v>
      </c>
      <c r="K915">
        <v>3.78</v>
      </c>
      <c r="L915">
        <v>4.29</v>
      </c>
      <c r="M915">
        <f t="shared" si="28"/>
        <v>3.8250000000000002</v>
      </c>
      <c r="N915">
        <f t="shared" si="29"/>
        <v>3.964</v>
      </c>
    </row>
    <row r="916" spans="1:14" ht="14.25" customHeight="1" x14ac:dyDescent="0.3">
      <c r="A916" t="s">
        <v>1871</v>
      </c>
      <c r="B916" t="s">
        <v>1872</v>
      </c>
      <c r="C916">
        <v>4</v>
      </c>
      <c r="D916">
        <v>4.17</v>
      </c>
      <c r="E916">
        <v>3.87</v>
      </c>
      <c r="G916">
        <v>4.28</v>
      </c>
      <c r="H916">
        <v>4.4400000000000004</v>
      </c>
      <c r="I916">
        <v>4.0199999999999996</v>
      </c>
      <c r="J916">
        <v>4.2300000000000004</v>
      </c>
      <c r="K916">
        <v>3.73</v>
      </c>
      <c r="L916">
        <v>4.18</v>
      </c>
      <c r="M916">
        <f t="shared" si="28"/>
        <v>4.08</v>
      </c>
      <c r="N916">
        <f t="shared" si="29"/>
        <v>4.12</v>
      </c>
    </row>
    <row r="917" spans="1:14" ht="14.25" customHeight="1" x14ac:dyDescent="0.3">
      <c r="A917" t="s">
        <v>1873</v>
      </c>
      <c r="B917" t="s">
        <v>1874</v>
      </c>
      <c r="C917">
        <v>3.73</v>
      </c>
      <c r="D917">
        <v>3.93</v>
      </c>
      <c r="E917">
        <v>4.01</v>
      </c>
      <c r="F917">
        <v>4.1100000000000003</v>
      </c>
      <c r="G917">
        <v>3.81</v>
      </c>
      <c r="H917">
        <v>4.32</v>
      </c>
      <c r="I917">
        <v>3.8</v>
      </c>
      <c r="J917">
        <v>3.6</v>
      </c>
      <c r="K917">
        <v>4.1399999999999997</v>
      </c>
      <c r="L917">
        <v>4.45</v>
      </c>
      <c r="M917">
        <f t="shared" si="28"/>
        <v>3.9180000000000001</v>
      </c>
      <c r="N917">
        <f t="shared" si="29"/>
        <v>4.0619999999999994</v>
      </c>
    </row>
    <row r="918" spans="1:14" ht="14.25" customHeight="1" x14ac:dyDescent="0.3">
      <c r="A918" t="s">
        <v>1875</v>
      </c>
      <c r="B918" t="s">
        <v>1876</v>
      </c>
      <c r="C918">
        <v>3.53</v>
      </c>
      <c r="D918">
        <v>4.58</v>
      </c>
      <c r="E918">
        <v>4.26</v>
      </c>
      <c r="F918">
        <v>4.04</v>
      </c>
      <c r="G918">
        <v>3.91</v>
      </c>
      <c r="H918">
        <v>4.21</v>
      </c>
      <c r="I918">
        <v>3.81</v>
      </c>
      <c r="J918">
        <v>3.9</v>
      </c>
      <c r="K918">
        <v>4.6500000000000004</v>
      </c>
      <c r="L918">
        <v>3.67</v>
      </c>
      <c r="M918">
        <f t="shared" si="28"/>
        <v>4.0640000000000001</v>
      </c>
      <c r="N918">
        <f t="shared" si="29"/>
        <v>4.048</v>
      </c>
    </row>
    <row r="919" spans="1:14" ht="14.25" customHeight="1" x14ac:dyDescent="0.3">
      <c r="A919" t="s">
        <v>1877</v>
      </c>
      <c r="B919" t="s">
        <v>1878</v>
      </c>
      <c r="C919">
        <v>3.98</v>
      </c>
      <c r="D919">
        <v>4</v>
      </c>
      <c r="E919">
        <v>3.99</v>
      </c>
      <c r="F919">
        <v>4.41</v>
      </c>
      <c r="G919">
        <v>4.5199999999999996</v>
      </c>
      <c r="H919">
        <v>4.18</v>
      </c>
      <c r="I919">
        <v>4.04</v>
      </c>
      <c r="J919">
        <v>4.5</v>
      </c>
      <c r="K919">
        <v>4.6399999999999997</v>
      </c>
      <c r="L919">
        <v>3.94</v>
      </c>
      <c r="M919">
        <f t="shared" si="28"/>
        <v>4.1800000000000006</v>
      </c>
      <c r="N919">
        <f t="shared" si="29"/>
        <v>4.26</v>
      </c>
    </row>
    <row r="920" spans="1:14" ht="14.25" customHeight="1" x14ac:dyDescent="0.3">
      <c r="A920" t="s">
        <v>1879</v>
      </c>
      <c r="B920" t="s">
        <v>1880</v>
      </c>
      <c r="C920">
        <v>3.69</v>
      </c>
      <c r="D920">
        <v>4.07</v>
      </c>
      <c r="F920">
        <v>3.67</v>
      </c>
      <c r="G920">
        <v>4.08</v>
      </c>
      <c r="H920">
        <v>3.97</v>
      </c>
      <c r="I920">
        <v>4.72</v>
      </c>
      <c r="J920">
        <v>4.17</v>
      </c>
      <c r="K920">
        <v>4.3499999999999996</v>
      </c>
      <c r="L920">
        <v>4.4800000000000004</v>
      </c>
      <c r="M920">
        <f t="shared" si="28"/>
        <v>3.8774999999999999</v>
      </c>
      <c r="N920">
        <f t="shared" si="29"/>
        <v>4.3380000000000001</v>
      </c>
    </row>
    <row r="921" spans="1:14" ht="14.25" customHeight="1" x14ac:dyDescent="0.3">
      <c r="A921" t="s">
        <v>1881</v>
      </c>
      <c r="B921" t="s">
        <v>1882</v>
      </c>
      <c r="C921">
        <v>3.51</v>
      </c>
      <c r="D921">
        <v>4.3499999999999996</v>
      </c>
      <c r="E921">
        <v>4.4800000000000004</v>
      </c>
      <c r="F921">
        <v>4.21</v>
      </c>
      <c r="G921">
        <v>4.18</v>
      </c>
      <c r="H921">
        <v>4.1100000000000003</v>
      </c>
      <c r="I921">
        <v>3.17</v>
      </c>
      <c r="K921">
        <v>4.2</v>
      </c>
      <c r="L921">
        <v>4.46</v>
      </c>
      <c r="M921">
        <f t="shared" si="28"/>
        <v>4.1459999999999999</v>
      </c>
      <c r="N921">
        <f t="shared" si="29"/>
        <v>3.9850000000000003</v>
      </c>
    </row>
    <row r="922" spans="1:14" ht="14.25" customHeight="1" x14ac:dyDescent="0.3">
      <c r="A922" t="s">
        <v>1883</v>
      </c>
      <c r="B922" t="s">
        <v>1884</v>
      </c>
      <c r="C922">
        <v>4.37</v>
      </c>
      <c r="D922">
        <v>3.52</v>
      </c>
      <c r="E922">
        <v>3.85</v>
      </c>
      <c r="F922">
        <v>4.51</v>
      </c>
      <c r="G922">
        <v>4.4000000000000004</v>
      </c>
      <c r="H922">
        <v>3.81</v>
      </c>
      <c r="I922">
        <v>4.41</v>
      </c>
      <c r="J922">
        <v>3.92</v>
      </c>
      <c r="K922">
        <v>4.3499999999999996</v>
      </c>
      <c r="L922">
        <v>3.93</v>
      </c>
      <c r="M922">
        <f t="shared" si="28"/>
        <v>4.13</v>
      </c>
      <c r="N922">
        <f t="shared" si="29"/>
        <v>4.0840000000000005</v>
      </c>
    </row>
    <row r="923" spans="1:14" ht="14.25" customHeight="1" x14ac:dyDescent="0.3">
      <c r="A923" t="s">
        <v>1885</v>
      </c>
      <c r="B923" t="s">
        <v>1886</v>
      </c>
      <c r="C923">
        <v>4.24</v>
      </c>
      <c r="D923">
        <v>4.5599999999999996</v>
      </c>
      <c r="E923">
        <v>4.2</v>
      </c>
      <c r="F923">
        <v>4.25</v>
      </c>
      <c r="G923">
        <v>4.0999999999999996</v>
      </c>
      <c r="H923">
        <v>4.1399999999999997</v>
      </c>
      <c r="I923">
        <v>3.67</v>
      </c>
      <c r="J923">
        <v>3.74</v>
      </c>
      <c r="K923">
        <v>3.67</v>
      </c>
      <c r="M923">
        <f t="shared" si="28"/>
        <v>4.2700000000000005</v>
      </c>
      <c r="N923">
        <f t="shared" si="29"/>
        <v>3.8050000000000002</v>
      </c>
    </row>
    <row r="924" spans="1:14" ht="14.25" customHeight="1" x14ac:dyDescent="0.3">
      <c r="A924" t="s">
        <v>1887</v>
      </c>
      <c r="B924" t="s">
        <v>1888</v>
      </c>
      <c r="C924">
        <v>4.01</v>
      </c>
      <c r="D924">
        <v>4.34</v>
      </c>
      <c r="E924">
        <v>3.82</v>
      </c>
      <c r="F924">
        <v>4.4000000000000004</v>
      </c>
      <c r="G924">
        <v>3.91</v>
      </c>
      <c r="H924">
        <v>3.66</v>
      </c>
      <c r="I924">
        <v>3.9</v>
      </c>
      <c r="J924">
        <v>4.09</v>
      </c>
      <c r="K924">
        <v>4.49</v>
      </c>
      <c r="L924">
        <v>4.33</v>
      </c>
      <c r="M924">
        <f t="shared" si="28"/>
        <v>4.0960000000000001</v>
      </c>
      <c r="N924">
        <f t="shared" si="29"/>
        <v>4.0939999999999994</v>
      </c>
    </row>
    <row r="925" spans="1:14" ht="14.25" customHeight="1" x14ac:dyDescent="0.3">
      <c r="A925" t="s">
        <v>1889</v>
      </c>
      <c r="B925" t="s">
        <v>1890</v>
      </c>
      <c r="C925">
        <v>3.35</v>
      </c>
      <c r="D925">
        <v>3.6</v>
      </c>
      <c r="E925">
        <v>4.1100000000000003</v>
      </c>
      <c r="F925">
        <v>3.49</v>
      </c>
      <c r="G925">
        <v>4.1100000000000003</v>
      </c>
      <c r="H925">
        <v>4.3499999999999996</v>
      </c>
      <c r="I925">
        <v>4.5</v>
      </c>
      <c r="J925">
        <v>4.3</v>
      </c>
      <c r="K925">
        <v>4.0599999999999996</v>
      </c>
      <c r="L925">
        <v>4.66</v>
      </c>
      <c r="M925">
        <f t="shared" si="28"/>
        <v>3.7320000000000002</v>
      </c>
      <c r="N925">
        <f t="shared" si="29"/>
        <v>4.3739999999999997</v>
      </c>
    </row>
    <row r="926" spans="1:14" ht="14.25" customHeight="1" x14ac:dyDescent="0.3">
      <c r="A926" t="s">
        <v>1891</v>
      </c>
      <c r="B926" t="s">
        <v>1892</v>
      </c>
      <c r="C926">
        <v>3.93</v>
      </c>
      <c r="D926">
        <v>4.34</v>
      </c>
      <c r="E926">
        <v>3.99</v>
      </c>
      <c r="F926">
        <v>4.3</v>
      </c>
      <c r="G926">
        <v>3.75</v>
      </c>
      <c r="H926">
        <v>3.92</v>
      </c>
      <c r="I926">
        <v>4.18</v>
      </c>
      <c r="J926">
        <v>3.83</v>
      </c>
      <c r="K926">
        <v>4.33</v>
      </c>
      <c r="L926">
        <v>4.9000000000000004</v>
      </c>
      <c r="M926">
        <f t="shared" si="28"/>
        <v>4.0619999999999994</v>
      </c>
      <c r="N926">
        <f t="shared" si="29"/>
        <v>4.2319999999999993</v>
      </c>
    </row>
    <row r="927" spans="1:14" ht="14.25" customHeight="1" x14ac:dyDescent="0.3">
      <c r="A927" t="s">
        <v>1893</v>
      </c>
      <c r="B927" t="s">
        <v>1894</v>
      </c>
      <c r="C927">
        <v>4.0199999999999996</v>
      </c>
      <c r="D927">
        <v>4.42</v>
      </c>
      <c r="E927">
        <v>3.79</v>
      </c>
      <c r="F927">
        <v>3.91</v>
      </c>
      <c r="G927">
        <v>3.83</v>
      </c>
      <c r="H927">
        <v>3.78</v>
      </c>
      <c r="I927">
        <v>3.64</v>
      </c>
      <c r="J927">
        <v>3.61</v>
      </c>
      <c r="K927">
        <v>4.6399999999999997</v>
      </c>
      <c r="L927">
        <v>4.1900000000000004</v>
      </c>
      <c r="M927">
        <f t="shared" si="28"/>
        <v>3.9939999999999998</v>
      </c>
      <c r="N927">
        <f t="shared" si="29"/>
        <v>3.972</v>
      </c>
    </row>
    <row r="928" spans="1:14" ht="14.25" customHeight="1" x14ac:dyDescent="0.3">
      <c r="A928" t="s">
        <v>1895</v>
      </c>
      <c r="B928" t="s">
        <v>1896</v>
      </c>
      <c r="C928">
        <v>3.84</v>
      </c>
      <c r="D928">
        <v>4</v>
      </c>
      <c r="E928">
        <v>3.96</v>
      </c>
      <c r="F928">
        <v>3.77</v>
      </c>
      <c r="G928">
        <v>4.26</v>
      </c>
      <c r="H928">
        <v>3.52</v>
      </c>
      <c r="I928">
        <v>4.18</v>
      </c>
      <c r="J928">
        <v>4.53</v>
      </c>
      <c r="K928">
        <v>3.45</v>
      </c>
      <c r="L928">
        <v>4.04</v>
      </c>
      <c r="M928">
        <f t="shared" si="28"/>
        <v>3.9659999999999997</v>
      </c>
      <c r="N928">
        <f t="shared" si="29"/>
        <v>3.944</v>
      </c>
    </row>
    <row r="929" spans="1:14" ht="14.25" customHeight="1" x14ac:dyDescent="0.3">
      <c r="A929" t="s">
        <v>1897</v>
      </c>
      <c r="B929" t="s">
        <v>1898</v>
      </c>
      <c r="C929">
        <v>3.83</v>
      </c>
      <c r="D929">
        <v>4.03</v>
      </c>
      <c r="F929">
        <v>4.29</v>
      </c>
      <c r="G929">
        <v>4.3899999999999997</v>
      </c>
      <c r="H929">
        <v>3.87</v>
      </c>
      <c r="I929">
        <v>3.8</v>
      </c>
      <c r="J929">
        <v>3.78</v>
      </c>
      <c r="K929">
        <v>3.77</v>
      </c>
      <c r="L929">
        <v>4.1100000000000003</v>
      </c>
      <c r="M929">
        <f t="shared" si="28"/>
        <v>4.1349999999999998</v>
      </c>
      <c r="N929">
        <f t="shared" si="29"/>
        <v>3.8659999999999997</v>
      </c>
    </row>
    <row r="930" spans="1:14" ht="14.25" customHeight="1" x14ac:dyDescent="0.3">
      <c r="A930" t="s">
        <v>1899</v>
      </c>
      <c r="B930" t="s">
        <v>1900</v>
      </c>
      <c r="C930">
        <v>3.67</v>
      </c>
      <c r="D930">
        <v>3.47</v>
      </c>
      <c r="E930">
        <v>3.98</v>
      </c>
      <c r="F930">
        <v>4.1900000000000004</v>
      </c>
      <c r="G930">
        <v>3.62</v>
      </c>
      <c r="H930">
        <v>4.58</v>
      </c>
      <c r="I930">
        <v>4.25</v>
      </c>
      <c r="J930">
        <v>4.3600000000000003</v>
      </c>
      <c r="K930">
        <v>3.69</v>
      </c>
      <c r="L930">
        <v>4.6399999999999997</v>
      </c>
      <c r="M930">
        <f t="shared" si="28"/>
        <v>3.7860000000000005</v>
      </c>
      <c r="N930">
        <f t="shared" si="29"/>
        <v>4.3040000000000003</v>
      </c>
    </row>
    <row r="931" spans="1:14" ht="14.25" customHeight="1" x14ac:dyDescent="0.3">
      <c r="A931" t="s">
        <v>1901</v>
      </c>
      <c r="B931" t="s">
        <v>1902</v>
      </c>
      <c r="C931">
        <v>3.93</v>
      </c>
      <c r="D931">
        <v>4.3899999999999997</v>
      </c>
      <c r="E931">
        <v>4.08</v>
      </c>
      <c r="F931">
        <v>4.1100000000000003</v>
      </c>
      <c r="G931">
        <v>4.18</v>
      </c>
      <c r="H931">
        <v>3.72</v>
      </c>
      <c r="I931">
        <v>3.75</v>
      </c>
      <c r="J931">
        <v>3.89</v>
      </c>
      <c r="K931">
        <v>3.56</v>
      </c>
      <c r="L931">
        <v>4.41</v>
      </c>
      <c r="M931">
        <f t="shared" si="28"/>
        <v>4.1379999999999999</v>
      </c>
      <c r="N931">
        <f t="shared" si="29"/>
        <v>3.8660000000000005</v>
      </c>
    </row>
    <row r="932" spans="1:14" ht="14.25" customHeight="1" x14ac:dyDescent="0.3">
      <c r="A932" t="s">
        <v>1903</v>
      </c>
      <c r="B932" t="s">
        <v>1904</v>
      </c>
      <c r="C932">
        <v>3.75</v>
      </c>
      <c r="D932">
        <v>3.83</v>
      </c>
      <c r="F932">
        <v>4.0999999999999996</v>
      </c>
      <c r="G932">
        <v>4.26</v>
      </c>
      <c r="H932">
        <v>3.95</v>
      </c>
      <c r="I932">
        <v>4.72</v>
      </c>
      <c r="J932">
        <v>3.76</v>
      </c>
      <c r="K932">
        <v>4.3099999999999996</v>
      </c>
      <c r="L932">
        <v>4.26</v>
      </c>
      <c r="M932">
        <f t="shared" si="28"/>
        <v>3.9849999999999999</v>
      </c>
      <c r="N932">
        <f t="shared" si="29"/>
        <v>4.2</v>
      </c>
    </row>
    <row r="933" spans="1:14" ht="14.25" customHeight="1" x14ac:dyDescent="0.3">
      <c r="A933" t="s">
        <v>1905</v>
      </c>
      <c r="B933" t="s">
        <v>1906</v>
      </c>
      <c r="C933">
        <v>3.89</v>
      </c>
      <c r="D933">
        <v>3.94</v>
      </c>
      <c r="E933">
        <v>4.1900000000000004</v>
      </c>
      <c r="F933">
        <v>4.28</v>
      </c>
      <c r="G933">
        <v>3.64</v>
      </c>
      <c r="H933">
        <v>3.77</v>
      </c>
      <c r="J933">
        <v>3.93</v>
      </c>
      <c r="L933">
        <v>3.98</v>
      </c>
      <c r="M933">
        <f t="shared" si="28"/>
        <v>3.9880000000000004</v>
      </c>
      <c r="N933">
        <f t="shared" si="29"/>
        <v>3.8933333333333331</v>
      </c>
    </row>
    <row r="934" spans="1:14" ht="14.25" customHeight="1" x14ac:dyDescent="0.3">
      <c r="A934" t="s">
        <v>1907</v>
      </c>
      <c r="B934" t="s">
        <v>1908</v>
      </c>
      <c r="C934">
        <v>4.32</v>
      </c>
      <c r="D934">
        <v>4</v>
      </c>
      <c r="E934">
        <v>4.1100000000000003</v>
      </c>
      <c r="F934">
        <v>3.48</v>
      </c>
      <c r="G934">
        <v>3.86</v>
      </c>
      <c r="H934">
        <v>4.0999999999999996</v>
      </c>
      <c r="I934">
        <v>4.2300000000000004</v>
      </c>
      <c r="J934">
        <v>4.05</v>
      </c>
      <c r="K934">
        <v>4.25</v>
      </c>
      <c r="L934">
        <v>3.87</v>
      </c>
      <c r="M934">
        <f t="shared" si="28"/>
        <v>3.9539999999999997</v>
      </c>
      <c r="N934">
        <f t="shared" si="29"/>
        <v>4.0999999999999996</v>
      </c>
    </row>
    <row r="935" spans="1:14" ht="14.25" customHeight="1" x14ac:dyDescent="0.3">
      <c r="A935" t="s">
        <v>1909</v>
      </c>
      <c r="B935" t="s">
        <v>1910</v>
      </c>
      <c r="C935">
        <v>4.07</v>
      </c>
      <c r="D935">
        <v>4.26</v>
      </c>
      <c r="E935">
        <v>4.25</v>
      </c>
      <c r="F935">
        <v>4.18</v>
      </c>
      <c r="G935">
        <v>3.8</v>
      </c>
      <c r="H935">
        <v>3.48</v>
      </c>
      <c r="I935">
        <v>3.79</v>
      </c>
      <c r="J935">
        <v>4.3099999999999996</v>
      </c>
      <c r="K935">
        <v>3.85</v>
      </c>
      <c r="L935">
        <v>4.3499999999999996</v>
      </c>
      <c r="M935">
        <f t="shared" si="28"/>
        <v>4.1120000000000001</v>
      </c>
      <c r="N935">
        <f t="shared" si="29"/>
        <v>3.9559999999999995</v>
      </c>
    </row>
    <row r="936" spans="1:14" ht="14.25" customHeight="1" x14ac:dyDescent="0.3">
      <c r="A936" t="s">
        <v>1911</v>
      </c>
      <c r="B936" t="s">
        <v>1912</v>
      </c>
      <c r="C936">
        <v>4.46</v>
      </c>
      <c r="D936">
        <v>3.8</v>
      </c>
      <c r="E936">
        <v>4.3</v>
      </c>
      <c r="F936">
        <v>3.61</v>
      </c>
      <c r="G936">
        <v>4.0599999999999996</v>
      </c>
      <c r="H936">
        <v>3.91</v>
      </c>
      <c r="I936">
        <v>4.43</v>
      </c>
      <c r="J936">
        <v>4.4400000000000004</v>
      </c>
      <c r="K936">
        <v>4.42</v>
      </c>
      <c r="L936">
        <v>4.46</v>
      </c>
      <c r="M936">
        <f t="shared" si="28"/>
        <v>4.0459999999999994</v>
      </c>
      <c r="N936">
        <f t="shared" si="29"/>
        <v>4.3320000000000007</v>
      </c>
    </row>
    <row r="937" spans="1:14" ht="14.25" customHeight="1" x14ac:dyDescent="0.3">
      <c r="A937" t="s">
        <v>1913</v>
      </c>
      <c r="B937" t="s">
        <v>1914</v>
      </c>
      <c r="C937">
        <v>3.73</v>
      </c>
      <c r="D937">
        <v>3.82</v>
      </c>
      <c r="E937">
        <v>3.78</v>
      </c>
      <c r="F937">
        <v>4.4400000000000004</v>
      </c>
      <c r="G937">
        <v>4.12</v>
      </c>
      <c r="H937">
        <v>4.04</v>
      </c>
      <c r="I937">
        <v>4.2</v>
      </c>
      <c r="J937">
        <v>3.92</v>
      </c>
      <c r="K937">
        <v>4.08</v>
      </c>
      <c r="L937">
        <v>4.3499999999999996</v>
      </c>
      <c r="M937">
        <f t="shared" si="28"/>
        <v>3.9780000000000002</v>
      </c>
      <c r="N937">
        <f t="shared" si="29"/>
        <v>4.1180000000000003</v>
      </c>
    </row>
    <row r="938" spans="1:14" ht="14.25" customHeight="1" x14ac:dyDescent="0.3">
      <c r="A938" t="s">
        <v>1915</v>
      </c>
      <c r="B938" t="s">
        <v>1916</v>
      </c>
      <c r="D938">
        <v>3.71</v>
      </c>
      <c r="E938">
        <v>4.45</v>
      </c>
      <c r="F938">
        <v>3.81</v>
      </c>
      <c r="G938">
        <v>4.18</v>
      </c>
      <c r="H938">
        <v>4.21</v>
      </c>
      <c r="I938">
        <v>4.13</v>
      </c>
      <c r="J938">
        <v>4.38</v>
      </c>
      <c r="K938">
        <v>3.8</v>
      </c>
      <c r="L938">
        <v>4.4400000000000004</v>
      </c>
      <c r="M938">
        <f t="shared" si="28"/>
        <v>4.0374999999999996</v>
      </c>
      <c r="N938">
        <f t="shared" si="29"/>
        <v>4.1920000000000002</v>
      </c>
    </row>
    <row r="939" spans="1:14" ht="14.25" customHeight="1" x14ac:dyDescent="0.3">
      <c r="A939" t="s">
        <v>1917</v>
      </c>
      <c r="B939" t="s">
        <v>1918</v>
      </c>
      <c r="C939">
        <v>3.98</v>
      </c>
      <c r="D939">
        <v>4.3600000000000003</v>
      </c>
      <c r="E939">
        <v>4.09</v>
      </c>
      <c r="F939">
        <v>3.97</v>
      </c>
      <c r="G939">
        <v>4.37</v>
      </c>
      <c r="H939">
        <v>3.96</v>
      </c>
      <c r="I939">
        <v>4.3</v>
      </c>
      <c r="J939">
        <v>4.46</v>
      </c>
      <c r="K939">
        <v>4.2300000000000004</v>
      </c>
      <c r="L939">
        <v>3.74</v>
      </c>
      <c r="M939">
        <f t="shared" si="28"/>
        <v>4.1539999999999999</v>
      </c>
      <c r="N939">
        <f t="shared" si="29"/>
        <v>4.1379999999999999</v>
      </c>
    </row>
    <row r="940" spans="1:14" ht="14.25" customHeight="1" x14ac:dyDescent="0.3">
      <c r="A940" t="s">
        <v>1919</v>
      </c>
      <c r="B940" t="s">
        <v>1920</v>
      </c>
      <c r="C940">
        <v>3.99</v>
      </c>
      <c r="D940">
        <v>3.91</v>
      </c>
      <c r="E940">
        <v>4.42</v>
      </c>
      <c r="F940">
        <v>3.61</v>
      </c>
      <c r="G940">
        <v>4.33</v>
      </c>
      <c r="H940">
        <v>4.07</v>
      </c>
      <c r="I940">
        <v>3.77</v>
      </c>
      <c r="K940">
        <v>3.7</v>
      </c>
      <c r="L940">
        <v>4.1500000000000004</v>
      </c>
      <c r="M940">
        <f t="shared" si="28"/>
        <v>4.0519999999999996</v>
      </c>
      <c r="N940">
        <f t="shared" si="29"/>
        <v>3.9224999999999999</v>
      </c>
    </row>
    <row r="941" spans="1:14" ht="14.25" customHeight="1" x14ac:dyDescent="0.3">
      <c r="A941" t="s">
        <v>1921</v>
      </c>
      <c r="B941" t="s">
        <v>1922</v>
      </c>
      <c r="C941">
        <v>4.09</v>
      </c>
      <c r="D941">
        <v>3.78</v>
      </c>
      <c r="E941">
        <v>4.03</v>
      </c>
      <c r="F941">
        <v>4.5</v>
      </c>
      <c r="G941">
        <v>3.59</v>
      </c>
      <c r="H941">
        <v>3.7</v>
      </c>
      <c r="I941">
        <v>3.76</v>
      </c>
      <c r="J941">
        <v>4.1500000000000004</v>
      </c>
      <c r="K941">
        <v>3.76</v>
      </c>
      <c r="L941">
        <v>4.0999999999999996</v>
      </c>
      <c r="M941">
        <f t="shared" si="28"/>
        <v>3.9979999999999998</v>
      </c>
      <c r="N941">
        <f t="shared" si="29"/>
        <v>3.8939999999999997</v>
      </c>
    </row>
    <row r="942" spans="1:14" ht="14.25" customHeight="1" x14ac:dyDescent="0.3">
      <c r="A942" t="s">
        <v>1923</v>
      </c>
      <c r="B942" t="s">
        <v>1924</v>
      </c>
      <c r="C942">
        <v>4.2</v>
      </c>
      <c r="D942">
        <v>4.18</v>
      </c>
      <c r="E942">
        <v>3.57</v>
      </c>
      <c r="F942">
        <v>4.3</v>
      </c>
      <c r="G942">
        <v>4.1399999999999997</v>
      </c>
      <c r="H942">
        <v>3.95</v>
      </c>
      <c r="I942">
        <v>4.83</v>
      </c>
      <c r="J942">
        <v>4.08</v>
      </c>
      <c r="K942">
        <v>3.98</v>
      </c>
      <c r="L942">
        <v>3.81</v>
      </c>
      <c r="M942">
        <f t="shared" si="28"/>
        <v>4.0780000000000003</v>
      </c>
      <c r="N942">
        <f t="shared" si="29"/>
        <v>4.13</v>
      </c>
    </row>
    <row r="943" spans="1:14" ht="14.25" customHeight="1" x14ac:dyDescent="0.3">
      <c r="A943" t="s">
        <v>1925</v>
      </c>
      <c r="B943" t="s">
        <v>1926</v>
      </c>
      <c r="C943">
        <v>3.72</v>
      </c>
      <c r="D943">
        <v>4.1900000000000004</v>
      </c>
      <c r="E943">
        <v>4.67</v>
      </c>
      <c r="F943">
        <v>4.21</v>
      </c>
      <c r="G943">
        <v>3.95</v>
      </c>
      <c r="H943">
        <v>4.08</v>
      </c>
      <c r="I943">
        <v>3.8</v>
      </c>
      <c r="J943">
        <v>3.87</v>
      </c>
      <c r="K943">
        <v>3.62</v>
      </c>
      <c r="L943">
        <v>4.2699999999999996</v>
      </c>
      <c r="M943">
        <f t="shared" si="28"/>
        <v>4.1479999999999997</v>
      </c>
      <c r="N943">
        <f t="shared" si="29"/>
        <v>3.9279999999999999</v>
      </c>
    </row>
    <row r="944" spans="1:14" ht="14.25" customHeight="1" x14ac:dyDescent="0.3">
      <c r="A944" t="s">
        <v>1927</v>
      </c>
      <c r="B944" t="s">
        <v>1928</v>
      </c>
      <c r="C944">
        <v>4.0199999999999996</v>
      </c>
      <c r="D944">
        <v>4.32</v>
      </c>
      <c r="E944">
        <v>3.75</v>
      </c>
      <c r="F944">
        <v>4.22</v>
      </c>
      <c r="G944">
        <v>4.0199999999999996</v>
      </c>
      <c r="H944">
        <v>4.13</v>
      </c>
      <c r="I944">
        <v>4.45</v>
      </c>
      <c r="J944">
        <v>4.3899999999999997</v>
      </c>
      <c r="K944">
        <v>3.73</v>
      </c>
      <c r="L944">
        <v>3.99</v>
      </c>
      <c r="M944">
        <f t="shared" si="28"/>
        <v>4.0659999999999998</v>
      </c>
      <c r="N944">
        <f t="shared" si="29"/>
        <v>4.1379999999999999</v>
      </c>
    </row>
    <row r="945" spans="1:14" ht="14.25" customHeight="1" x14ac:dyDescent="0.3">
      <c r="A945" t="s">
        <v>1929</v>
      </c>
      <c r="B945" t="s">
        <v>1930</v>
      </c>
      <c r="C945">
        <v>3.89</v>
      </c>
      <c r="D945">
        <v>4.01</v>
      </c>
      <c r="E945">
        <v>4.28</v>
      </c>
      <c r="F945">
        <v>4.34</v>
      </c>
      <c r="G945">
        <v>4.28</v>
      </c>
      <c r="H945">
        <v>3.87</v>
      </c>
      <c r="I945">
        <v>3.62</v>
      </c>
      <c r="J945">
        <v>4.17</v>
      </c>
      <c r="K945">
        <v>4.6500000000000004</v>
      </c>
      <c r="L945">
        <v>3.71</v>
      </c>
      <c r="M945">
        <f t="shared" si="28"/>
        <v>4.16</v>
      </c>
      <c r="N945">
        <f t="shared" si="29"/>
        <v>4.0040000000000004</v>
      </c>
    </row>
    <row r="946" spans="1:14" ht="14.25" customHeight="1" x14ac:dyDescent="0.3">
      <c r="A946" t="s">
        <v>1931</v>
      </c>
      <c r="B946" t="s">
        <v>1932</v>
      </c>
      <c r="C946">
        <v>4.33</v>
      </c>
      <c r="D946">
        <v>4.12</v>
      </c>
      <c r="E946">
        <v>4.4800000000000004</v>
      </c>
      <c r="F946">
        <v>4.1500000000000004</v>
      </c>
      <c r="G946">
        <v>3.95</v>
      </c>
      <c r="H946">
        <v>3.47</v>
      </c>
      <c r="I946">
        <v>4.3600000000000003</v>
      </c>
      <c r="J946">
        <v>4.28</v>
      </c>
      <c r="L946">
        <v>3.76</v>
      </c>
      <c r="M946">
        <f t="shared" si="28"/>
        <v>4.2059999999999995</v>
      </c>
      <c r="N946">
        <f t="shared" si="29"/>
        <v>3.9674999999999998</v>
      </c>
    </row>
    <row r="947" spans="1:14" ht="14.25" customHeight="1" x14ac:dyDescent="0.3">
      <c r="A947" t="s">
        <v>1933</v>
      </c>
      <c r="B947" t="s">
        <v>1934</v>
      </c>
      <c r="C947">
        <v>3.88</v>
      </c>
      <c r="D947">
        <v>4.17</v>
      </c>
      <c r="E947">
        <v>4.04</v>
      </c>
      <c r="F947">
        <v>3.54</v>
      </c>
      <c r="G947">
        <v>4.04</v>
      </c>
      <c r="H947">
        <v>3.92</v>
      </c>
      <c r="I947">
        <v>4.76</v>
      </c>
      <c r="K947">
        <v>4.16</v>
      </c>
      <c r="L947">
        <v>3.65</v>
      </c>
      <c r="M947">
        <f t="shared" si="28"/>
        <v>3.9339999999999997</v>
      </c>
      <c r="N947">
        <f t="shared" si="29"/>
        <v>4.1224999999999996</v>
      </c>
    </row>
    <row r="948" spans="1:14" ht="14.25" customHeight="1" x14ac:dyDescent="0.3">
      <c r="A948" t="s">
        <v>1935</v>
      </c>
      <c r="B948" t="s">
        <v>1936</v>
      </c>
      <c r="C948">
        <v>3.5</v>
      </c>
      <c r="D948">
        <v>3.91</v>
      </c>
      <c r="E948">
        <v>4.0199999999999996</v>
      </c>
      <c r="F948">
        <v>3.95</v>
      </c>
      <c r="G948">
        <v>3.85</v>
      </c>
      <c r="H948">
        <v>3.95</v>
      </c>
      <c r="I948">
        <v>4.29</v>
      </c>
      <c r="J948">
        <v>3.95</v>
      </c>
      <c r="K948">
        <v>3.97</v>
      </c>
      <c r="L948">
        <v>3.86</v>
      </c>
      <c r="M948">
        <f t="shared" si="28"/>
        <v>3.8460000000000001</v>
      </c>
      <c r="N948">
        <f t="shared" si="29"/>
        <v>4.0039999999999996</v>
      </c>
    </row>
    <row r="949" spans="1:14" ht="14.25" customHeight="1" x14ac:dyDescent="0.3">
      <c r="A949" t="s">
        <v>1937</v>
      </c>
      <c r="B949" t="s">
        <v>1938</v>
      </c>
      <c r="C949">
        <v>3.49</v>
      </c>
      <c r="D949">
        <v>3.62</v>
      </c>
      <c r="E949">
        <v>3.94</v>
      </c>
      <c r="F949">
        <v>3.82</v>
      </c>
      <c r="G949">
        <v>4</v>
      </c>
      <c r="H949">
        <v>4.08</v>
      </c>
      <c r="I949">
        <v>3.91</v>
      </c>
      <c r="J949">
        <v>4.1399999999999997</v>
      </c>
      <c r="K949">
        <v>4</v>
      </c>
      <c r="L949">
        <v>4.4800000000000004</v>
      </c>
      <c r="M949">
        <f t="shared" si="28"/>
        <v>3.774</v>
      </c>
      <c r="N949">
        <f t="shared" si="29"/>
        <v>4.1219999999999999</v>
      </c>
    </row>
    <row r="950" spans="1:14" ht="14.25" customHeight="1" x14ac:dyDescent="0.3">
      <c r="A950" t="s">
        <v>1939</v>
      </c>
      <c r="B950" t="s">
        <v>1940</v>
      </c>
      <c r="C950">
        <v>4.0599999999999996</v>
      </c>
      <c r="D950">
        <v>4.1100000000000003</v>
      </c>
      <c r="E950">
        <v>4</v>
      </c>
      <c r="F950">
        <v>4.1500000000000004</v>
      </c>
      <c r="G950">
        <v>3.93</v>
      </c>
      <c r="H950">
        <v>4.54</v>
      </c>
      <c r="I950">
        <v>4.25</v>
      </c>
      <c r="J950">
        <v>3.67</v>
      </c>
      <c r="K950">
        <v>3.86</v>
      </c>
      <c r="L950">
        <v>3.84</v>
      </c>
      <c r="M950">
        <f t="shared" si="28"/>
        <v>4.05</v>
      </c>
      <c r="N950">
        <f t="shared" si="29"/>
        <v>4.032</v>
      </c>
    </row>
    <row r="951" spans="1:14" ht="14.25" customHeight="1" x14ac:dyDescent="0.3">
      <c r="A951" t="s">
        <v>1941</v>
      </c>
      <c r="B951" t="s">
        <v>1942</v>
      </c>
      <c r="C951">
        <v>4.0999999999999996</v>
      </c>
      <c r="D951">
        <v>4.03</v>
      </c>
      <c r="E951">
        <v>3.89</v>
      </c>
      <c r="F951">
        <v>4.3</v>
      </c>
      <c r="G951">
        <v>3.72</v>
      </c>
      <c r="H951">
        <v>4.17</v>
      </c>
      <c r="I951">
        <v>4.04</v>
      </c>
      <c r="J951">
        <v>3.83</v>
      </c>
      <c r="K951">
        <v>3.9</v>
      </c>
      <c r="L951">
        <v>3.6</v>
      </c>
      <c r="M951">
        <f t="shared" si="28"/>
        <v>4.008</v>
      </c>
      <c r="N951">
        <f t="shared" si="29"/>
        <v>3.9080000000000004</v>
      </c>
    </row>
    <row r="952" spans="1:14" ht="14.25" customHeight="1" x14ac:dyDescent="0.3">
      <c r="A952" t="s">
        <v>1943</v>
      </c>
      <c r="B952" t="s">
        <v>1944</v>
      </c>
      <c r="C952">
        <v>4.66</v>
      </c>
      <c r="D952">
        <v>4.18</v>
      </c>
      <c r="E952">
        <v>4.49</v>
      </c>
      <c r="F952">
        <v>3.96</v>
      </c>
      <c r="G952">
        <v>3.78</v>
      </c>
      <c r="H952">
        <v>3.94</v>
      </c>
      <c r="I952">
        <v>4.29</v>
      </c>
      <c r="J952">
        <v>4.9400000000000004</v>
      </c>
      <c r="K952">
        <v>3.87</v>
      </c>
      <c r="L952">
        <v>4.24</v>
      </c>
      <c r="M952">
        <f t="shared" si="28"/>
        <v>4.2140000000000004</v>
      </c>
      <c r="N952">
        <f t="shared" si="29"/>
        <v>4.2560000000000002</v>
      </c>
    </row>
    <row r="953" spans="1:14" ht="14.25" customHeight="1" x14ac:dyDescent="0.3">
      <c r="A953" t="s">
        <v>1945</v>
      </c>
      <c r="B953" t="s">
        <v>1946</v>
      </c>
      <c r="C953">
        <v>4.01</v>
      </c>
      <c r="D953">
        <v>3.98</v>
      </c>
      <c r="E953">
        <v>3.91</v>
      </c>
      <c r="F953">
        <v>3.91</v>
      </c>
      <c r="G953">
        <v>3.85</v>
      </c>
      <c r="H953">
        <v>4.32</v>
      </c>
      <c r="I953">
        <v>4.12</v>
      </c>
      <c r="J953">
        <v>4.05</v>
      </c>
      <c r="K953">
        <v>4.45</v>
      </c>
      <c r="L953">
        <v>3.98</v>
      </c>
      <c r="M953">
        <f t="shared" si="28"/>
        <v>3.9319999999999999</v>
      </c>
      <c r="N953">
        <f t="shared" si="29"/>
        <v>4.1840000000000002</v>
      </c>
    </row>
    <row r="954" spans="1:14" ht="14.25" customHeight="1" x14ac:dyDescent="0.3">
      <c r="A954" t="s">
        <v>1947</v>
      </c>
      <c r="B954" t="s">
        <v>1948</v>
      </c>
      <c r="C954">
        <v>3.77</v>
      </c>
      <c r="D954">
        <v>4.33</v>
      </c>
      <c r="E954">
        <v>3.49</v>
      </c>
      <c r="F954">
        <v>4.59</v>
      </c>
      <c r="G954">
        <v>4.28</v>
      </c>
      <c r="H954">
        <v>4.2699999999999996</v>
      </c>
      <c r="I954">
        <v>4.09</v>
      </c>
      <c r="J954">
        <v>4.2</v>
      </c>
      <c r="K954">
        <v>3.89</v>
      </c>
      <c r="L954">
        <v>4.67</v>
      </c>
      <c r="M954">
        <f t="shared" si="28"/>
        <v>4.0920000000000005</v>
      </c>
      <c r="N954">
        <f t="shared" si="29"/>
        <v>4.2239999999999993</v>
      </c>
    </row>
    <row r="955" spans="1:14" ht="14.25" customHeight="1" x14ac:dyDescent="0.3">
      <c r="A955" t="s">
        <v>1949</v>
      </c>
      <c r="B955" t="s">
        <v>1950</v>
      </c>
      <c r="C955">
        <v>3.92</v>
      </c>
      <c r="D955">
        <v>4.2300000000000004</v>
      </c>
      <c r="E955">
        <v>4.26</v>
      </c>
      <c r="F955">
        <v>3.9</v>
      </c>
      <c r="G955">
        <v>4.1100000000000003</v>
      </c>
      <c r="H955">
        <v>3.6</v>
      </c>
      <c r="I955">
        <v>3.8</v>
      </c>
      <c r="J955">
        <v>3.63</v>
      </c>
      <c r="K955">
        <v>3.75</v>
      </c>
      <c r="L955">
        <v>3.71</v>
      </c>
      <c r="M955">
        <f t="shared" si="28"/>
        <v>4.0839999999999996</v>
      </c>
      <c r="N955">
        <f t="shared" si="29"/>
        <v>3.6980000000000004</v>
      </c>
    </row>
    <row r="956" spans="1:14" ht="14.25" customHeight="1" x14ac:dyDescent="0.3">
      <c r="A956" t="s">
        <v>1951</v>
      </c>
      <c r="B956" t="s">
        <v>1952</v>
      </c>
      <c r="C956">
        <v>3.83</v>
      </c>
      <c r="D956">
        <v>4</v>
      </c>
      <c r="E956">
        <v>3.61</v>
      </c>
      <c r="F956">
        <v>4.3600000000000003</v>
      </c>
      <c r="H956">
        <v>4.76</v>
      </c>
      <c r="I956">
        <v>4.41</v>
      </c>
      <c r="J956">
        <v>4.59</v>
      </c>
      <c r="K956">
        <v>4.03</v>
      </c>
      <c r="L956">
        <v>4.07</v>
      </c>
      <c r="M956">
        <f t="shared" si="28"/>
        <v>3.95</v>
      </c>
      <c r="N956">
        <f t="shared" si="29"/>
        <v>4.3719999999999999</v>
      </c>
    </row>
    <row r="957" spans="1:14" ht="14.25" customHeight="1" x14ac:dyDescent="0.3">
      <c r="A957" t="s">
        <v>1953</v>
      </c>
      <c r="B957" t="s">
        <v>1954</v>
      </c>
      <c r="C957">
        <v>3.78</v>
      </c>
      <c r="D957">
        <v>3.65</v>
      </c>
      <c r="E957">
        <v>4.3899999999999997</v>
      </c>
      <c r="F957">
        <v>4.29</v>
      </c>
      <c r="G957">
        <v>3.76</v>
      </c>
      <c r="H957">
        <v>4.21</v>
      </c>
      <c r="I957">
        <v>4.08</v>
      </c>
      <c r="J957">
        <v>4.12</v>
      </c>
      <c r="K957">
        <v>4.12</v>
      </c>
      <c r="L957">
        <v>4.4800000000000004</v>
      </c>
      <c r="M957">
        <f t="shared" si="28"/>
        <v>3.9739999999999993</v>
      </c>
      <c r="N957">
        <f t="shared" si="29"/>
        <v>4.202</v>
      </c>
    </row>
    <row r="958" spans="1:14" ht="14.25" customHeight="1" x14ac:dyDescent="0.3">
      <c r="A958" t="s">
        <v>1955</v>
      </c>
      <c r="B958" t="s">
        <v>1956</v>
      </c>
      <c r="C958">
        <v>3.63</v>
      </c>
      <c r="D958">
        <v>3.75</v>
      </c>
      <c r="E958">
        <v>4.32</v>
      </c>
      <c r="F958">
        <v>3.95</v>
      </c>
      <c r="G958">
        <v>4.05</v>
      </c>
      <c r="H958">
        <v>4.47</v>
      </c>
      <c r="I958">
        <v>3.91</v>
      </c>
      <c r="J958">
        <v>4.07</v>
      </c>
      <c r="K958">
        <v>3.69</v>
      </c>
      <c r="L958">
        <v>4.43</v>
      </c>
      <c r="M958">
        <f t="shared" si="28"/>
        <v>3.94</v>
      </c>
      <c r="N958">
        <f t="shared" si="29"/>
        <v>4.1139999999999999</v>
      </c>
    </row>
    <row r="959" spans="1:14" ht="14.25" customHeight="1" x14ac:dyDescent="0.3">
      <c r="A959" t="s">
        <v>1957</v>
      </c>
      <c r="B959" t="s">
        <v>1958</v>
      </c>
      <c r="C959">
        <v>4.46</v>
      </c>
      <c r="D959">
        <v>3.58</v>
      </c>
      <c r="E959">
        <v>4.21</v>
      </c>
      <c r="F959">
        <v>4.3099999999999996</v>
      </c>
      <c r="G959">
        <v>4.1900000000000004</v>
      </c>
      <c r="H959">
        <v>3.91</v>
      </c>
      <c r="I959">
        <v>4.72</v>
      </c>
      <c r="J959">
        <v>3.77</v>
      </c>
      <c r="K959">
        <v>3.93</v>
      </c>
      <c r="L959">
        <v>4.29</v>
      </c>
      <c r="M959">
        <f t="shared" si="28"/>
        <v>4.1500000000000004</v>
      </c>
      <c r="N959">
        <f t="shared" si="29"/>
        <v>4.1239999999999997</v>
      </c>
    </row>
    <row r="960" spans="1:14" ht="14.25" customHeight="1" x14ac:dyDescent="0.3">
      <c r="A960" t="s">
        <v>1959</v>
      </c>
      <c r="B960" t="s">
        <v>1960</v>
      </c>
      <c r="C960">
        <v>3.74</v>
      </c>
      <c r="D960">
        <v>3.88</v>
      </c>
      <c r="E960">
        <v>3.91</v>
      </c>
      <c r="F960">
        <v>3.73</v>
      </c>
      <c r="G960">
        <v>4.0599999999999996</v>
      </c>
      <c r="H960">
        <v>4.25</v>
      </c>
      <c r="I960">
        <v>3.61</v>
      </c>
      <c r="J960">
        <v>4.16</v>
      </c>
      <c r="K960">
        <v>4.25</v>
      </c>
      <c r="L960">
        <v>3.47</v>
      </c>
      <c r="M960">
        <f t="shared" si="28"/>
        <v>3.8639999999999999</v>
      </c>
      <c r="N960">
        <f t="shared" si="29"/>
        <v>3.9479999999999995</v>
      </c>
    </row>
    <row r="961" spans="1:14" ht="14.25" customHeight="1" x14ac:dyDescent="0.3">
      <c r="A961" t="s">
        <v>1961</v>
      </c>
      <c r="B961" t="s">
        <v>1962</v>
      </c>
      <c r="C961">
        <v>3.25</v>
      </c>
      <c r="D961">
        <v>4.24</v>
      </c>
      <c r="E961">
        <v>4.13</v>
      </c>
      <c r="F961">
        <v>4.05</v>
      </c>
      <c r="G961">
        <v>3.76</v>
      </c>
      <c r="H961">
        <v>3.47</v>
      </c>
      <c r="I961">
        <v>4.6900000000000004</v>
      </c>
      <c r="J961">
        <v>4.03</v>
      </c>
      <c r="K961">
        <v>4.3499999999999996</v>
      </c>
      <c r="L961">
        <v>4.1900000000000004</v>
      </c>
      <c r="M961">
        <f t="shared" si="28"/>
        <v>3.8860000000000001</v>
      </c>
      <c r="N961">
        <f t="shared" si="29"/>
        <v>4.1459999999999999</v>
      </c>
    </row>
    <row r="962" spans="1:14" ht="14.25" customHeight="1" x14ac:dyDescent="0.3">
      <c r="A962" t="s">
        <v>1963</v>
      </c>
      <c r="B962" t="s">
        <v>1964</v>
      </c>
      <c r="C962">
        <v>4.45</v>
      </c>
      <c r="E962">
        <v>3.81</v>
      </c>
      <c r="F962">
        <v>3.73</v>
      </c>
      <c r="G962">
        <v>4.41</v>
      </c>
      <c r="H962">
        <v>4.0999999999999996</v>
      </c>
      <c r="I962">
        <v>4.01</v>
      </c>
      <c r="J962">
        <v>3.79</v>
      </c>
      <c r="K962">
        <v>3.57</v>
      </c>
      <c r="L962">
        <v>4.4000000000000004</v>
      </c>
      <c r="M962">
        <f t="shared" ref="M962:M1025" si="30">AVERAGE(C962:G962)</f>
        <v>4.0999999999999996</v>
      </c>
      <c r="N962">
        <f t="shared" ref="N962:N1025" si="31">AVERAGE(H962:L962)</f>
        <v>3.9739999999999993</v>
      </c>
    </row>
    <row r="963" spans="1:14" ht="14.25" customHeight="1" x14ac:dyDescent="0.3">
      <c r="A963" t="s">
        <v>1965</v>
      </c>
      <c r="B963" t="s">
        <v>1966</v>
      </c>
      <c r="C963">
        <v>3.46</v>
      </c>
      <c r="D963" t="s">
        <v>211</v>
      </c>
      <c r="E963">
        <v>3.81</v>
      </c>
      <c r="F963">
        <v>3.8</v>
      </c>
      <c r="G963">
        <v>4.08</v>
      </c>
      <c r="H963">
        <v>3.9</v>
      </c>
      <c r="I963">
        <v>4.3600000000000003</v>
      </c>
      <c r="J963">
        <v>3.61</v>
      </c>
      <c r="K963">
        <v>3.55</v>
      </c>
      <c r="L963">
        <v>3.78</v>
      </c>
      <c r="M963">
        <f t="shared" si="30"/>
        <v>3.7875000000000001</v>
      </c>
      <c r="N963">
        <f t="shared" si="31"/>
        <v>3.84</v>
      </c>
    </row>
    <row r="964" spans="1:14" ht="14.25" customHeight="1" x14ac:dyDescent="0.3">
      <c r="A964" t="s">
        <v>1967</v>
      </c>
      <c r="B964" t="s">
        <v>1968</v>
      </c>
      <c r="C964">
        <v>3.8</v>
      </c>
      <c r="D964">
        <v>4.2</v>
      </c>
      <c r="E964">
        <v>4.54</v>
      </c>
      <c r="F964">
        <v>3.75</v>
      </c>
      <c r="G964">
        <v>4.09</v>
      </c>
      <c r="I964">
        <v>3.97</v>
      </c>
      <c r="J964">
        <v>3.95</v>
      </c>
      <c r="K964">
        <v>4.3499999999999996</v>
      </c>
      <c r="L964">
        <v>3.83</v>
      </c>
      <c r="M964">
        <f t="shared" si="30"/>
        <v>4.0759999999999996</v>
      </c>
      <c r="N964">
        <f t="shared" si="31"/>
        <v>4.0250000000000004</v>
      </c>
    </row>
    <row r="965" spans="1:14" ht="14.25" customHeight="1" x14ac:dyDescent="0.3">
      <c r="A965" t="s">
        <v>1969</v>
      </c>
      <c r="B965" t="s">
        <v>1970</v>
      </c>
      <c r="C965">
        <v>3.78</v>
      </c>
      <c r="D965">
        <v>4.46</v>
      </c>
      <c r="E965">
        <v>3.88</v>
      </c>
      <c r="F965">
        <v>4.3600000000000003</v>
      </c>
      <c r="G965">
        <v>4.04</v>
      </c>
      <c r="H965">
        <v>4.3099999999999996</v>
      </c>
      <c r="I965">
        <v>4.22</v>
      </c>
      <c r="J965">
        <v>4.09</v>
      </c>
      <c r="K965">
        <v>3.98</v>
      </c>
      <c r="L965">
        <v>4.04</v>
      </c>
      <c r="M965">
        <f t="shared" si="30"/>
        <v>4.1040000000000001</v>
      </c>
      <c r="N965">
        <f t="shared" si="31"/>
        <v>4.1279999999999992</v>
      </c>
    </row>
    <row r="966" spans="1:14" ht="14.25" customHeight="1" x14ac:dyDescent="0.3">
      <c r="A966" t="s">
        <v>1971</v>
      </c>
      <c r="B966" t="s">
        <v>1972</v>
      </c>
      <c r="C966">
        <v>3.99</v>
      </c>
      <c r="D966">
        <v>3.78</v>
      </c>
      <c r="E966">
        <v>3.96</v>
      </c>
      <c r="F966">
        <v>3.65</v>
      </c>
      <c r="G966">
        <v>3.88</v>
      </c>
      <c r="H966">
        <v>4.53</v>
      </c>
      <c r="I966">
        <v>3.96</v>
      </c>
      <c r="J966">
        <v>3.89</v>
      </c>
      <c r="K966">
        <v>4.1100000000000003</v>
      </c>
      <c r="L966">
        <v>3.89</v>
      </c>
      <c r="M966">
        <f t="shared" si="30"/>
        <v>3.8520000000000003</v>
      </c>
      <c r="N966">
        <f t="shared" si="31"/>
        <v>4.0760000000000005</v>
      </c>
    </row>
    <row r="967" spans="1:14" ht="14.25" customHeight="1" x14ac:dyDescent="0.3">
      <c r="A967" t="s">
        <v>1973</v>
      </c>
      <c r="B967" t="s">
        <v>1974</v>
      </c>
      <c r="C967">
        <v>4.21</v>
      </c>
      <c r="D967">
        <v>3.86</v>
      </c>
      <c r="E967">
        <v>4.1399999999999997</v>
      </c>
      <c r="F967">
        <v>4.67</v>
      </c>
      <c r="G967">
        <v>3.89</v>
      </c>
      <c r="H967">
        <v>3.96</v>
      </c>
      <c r="I967">
        <v>4.3499999999999996</v>
      </c>
      <c r="J967">
        <v>4.07</v>
      </c>
      <c r="K967">
        <v>3.4</v>
      </c>
      <c r="L967">
        <v>4.0199999999999996</v>
      </c>
      <c r="M967">
        <f t="shared" si="30"/>
        <v>4.1540000000000008</v>
      </c>
      <c r="N967">
        <f t="shared" si="31"/>
        <v>3.9599999999999995</v>
      </c>
    </row>
    <row r="968" spans="1:14" ht="14.25" customHeight="1" x14ac:dyDescent="0.3">
      <c r="A968" t="s">
        <v>1975</v>
      </c>
      <c r="B968" t="s">
        <v>1976</v>
      </c>
      <c r="C968">
        <v>3.37</v>
      </c>
      <c r="D968">
        <v>4.1500000000000004</v>
      </c>
      <c r="E968">
        <v>4.5</v>
      </c>
      <c r="F968">
        <v>3.97</v>
      </c>
      <c r="G968">
        <v>3.73</v>
      </c>
      <c r="H968">
        <v>3.85</v>
      </c>
      <c r="I968">
        <v>3.74</v>
      </c>
      <c r="J968">
        <v>4</v>
      </c>
      <c r="K968">
        <v>4.46</v>
      </c>
      <c r="L968">
        <v>3.84</v>
      </c>
      <c r="M968">
        <f t="shared" si="30"/>
        <v>3.944</v>
      </c>
      <c r="N968">
        <f t="shared" si="31"/>
        <v>3.9780000000000002</v>
      </c>
    </row>
    <row r="969" spans="1:14" ht="14.25" customHeight="1" x14ac:dyDescent="0.3">
      <c r="A969" t="s">
        <v>1977</v>
      </c>
      <c r="B969" t="s">
        <v>1978</v>
      </c>
      <c r="C969">
        <v>4.3600000000000003</v>
      </c>
      <c r="D969">
        <v>4.66</v>
      </c>
      <c r="E969">
        <v>4.82</v>
      </c>
      <c r="F969">
        <v>4.12</v>
      </c>
      <c r="H969">
        <v>4.28</v>
      </c>
      <c r="I969">
        <v>4.09</v>
      </c>
      <c r="J969">
        <v>4.3099999999999996</v>
      </c>
      <c r="K969">
        <v>4.1500000000000004</v>
      </c>
      <c r="L969">
        <v>3.49</v>
      </c>
      <c r="M969">
        <f t="shared" si="30"/>
        <v>4.49</v>
      </c>
      <c r="N969">
        <f t="shared" si="31"/>
        <v>4.0640000000000001</v>
      </c>
    </row>
    <row r="970" spans="1:14" ht="14.25" customHeight="1" x14ac:dyDescent="0.3">
      <c r="A970" t="s">
        <v>1979</v>
      </c>
      <c r="B970" t="s">
        <v>1980</v>
      </c>
      <c r="C970">
        <v>3.63</v>
      </c>
      <c r="D970">
        <v>4.05</v>
      </c>
      <c r="E970">
        <v>4.0199999999999996</v>
      </c>
      <c r="F970">
        <v>4.01</v>
      </c>
      <c r="G970">
        <v>4.04</v>
      </c>
      <c r="H970">
        <v>3.46</v>
      </c>
      <c r="I970">
        <v>4.21</v>
      </c>
      <c r="J970">
        <v>3.39</v>
      </c>
      <c r="K970">
        <v>4.03</v>
      </c>
      <c r="L970">
        <v>3.75</v>
      </c>
      <c r="M970">
        <f t="shared" si="30"/>
        <v>3.95</v>
      </c>
      <c r="N970">
        <f t="shared" si="31"/>
        <v>3.7679999999999998</v>
      </c>
    </row>
    <row r="971" spans="1:14" ht="14.25" customHeight="1" x14ac:dyDescent="0.3">
      <c r="A971" t="s">
        <v>1981</v>
      </c>
      <c r="B971" t="s">
        <v>1982</v>
      </c>
      <c r="C971">
        <v>3.5</v>
      </c>
      <c r="D971">
        <v>3.49</v>
      </c>
      <c r="E971">
        <v>3.8</v>
      </c>
      <c r="F971">
        <v>4.04</v>
      </c>
      <c r="G971">
        <v>4.6500000000000004</v>
      </c>
      <c r="H971">
        <v>3.9</v>
      </c>
      <c r="I971">
        <v>3.92</v>
      </c>
      <c r="J971">
        <v>4.0199999999999996</v>
      </c>
      <c r="K971">
        <v>4.1500000000000004</v>
      </c>
      <c r="L971">
        <v>3.72</v>
      </c>
      <c r="M971">
        <f t="shared" si="30"/>
        <v>3.8959999999999995</v>
      </c>
      <c r="N971">
        <f t="shared" si="31"/>
        <v>3.9420000000000002</v>
      </c>
    </row>
    <row r="972" spans="1:14" ht="14.25" customHeight="1" x14ac:dyDescent="0.3">
      <c r="A972" t="s">
        <v>1983</v>
      </c>
      <c r="B972" t="s">
        <v>1984</v>
      </c>
      <c r="D972">
        <v>4.62</v>
      </c>
      <c r="E972">
        <v>4.3600000000000003</v>
      </c>
      <c r="F972">
        <v>4.7300000000000004</v>
      </c>
      <c r="G972">
        <v>4.1900000000000004</v>
      </c>
      <c r="H972">
        <v>3.87</v>
      </c>
      <c r="I972">
        <v>4.01</v>
      </c>
      <c r="J972">
        <v>3.85</v>
      </c>
      <c r="K972">
        <v>4.3</v>
      </c>
      <c r="L972">
        <v>4.0199999999999996</v>
      </c>
      <c r="M972">
        <f t="shared" si="30"/>
        <v>4.4750000000000005</v>
      </c>
      <c r="N972">
        <f t="shared" si="31"/>
        <v>4.01</v>
      </c>
    </row>
    <row r="973" spans="1:14" ht="14.25" customHeight="1" x14ac:dyDescent="0.3">
      <c r="A973" t="s">
        <v>1985</v>
      </c>
      <c r="B973" t="s">
        <v>1986</v>
      </c>
      <c r="C973">
        <v>4.03</v>
      </c>
      <c r="D973">
        <v>3.53</v>
      </c>
      <c r="E973">
        <v>4.6500000000000004</v>
      </c>
      <c r="F973">
        <v>3.7</v>
      </c>
      <c r="G973">
        <v>4.2300000000000004</v>
      </c>
      <c r="I973">
        <v>4.1100000000000003</v>
      </c>
      <c r="J973">
        <v>4.28</v>
      </c>
      <c r="K973">
        <v>4.08</v>
      </c>
      <c r="L973">
        <v>3.69</v>
      </c>
      <c r="M973">
        <f t="shared" si="30"/>
        <v>4.0280000000000005</v>
      </c>
      <c r="N973">
        <f t="shared" si="31"/>
        <v>4.04</v>
      </c>
    </row>
    <row r="974" spans="1:14" ht="14.25" customHeight="1" x14ac:dyDescent="0.3">
      <c r="A974" t="s">
        <v>1987</v>
      </c>
      <c r="B974" t="s">
        <v>1988</v>
      </c>
      <c r="C974">
        <v>4.13</v>
      </c>
      <c r="D974">
        <v>3.98</v>
      </c>
      <c r="E974">
        <v>4.08</v>
      </c>
      <c r="F974">
        <v>3.93</v>
      </c>
      <c r="G974">
        <v>3.71</v>
      </c>
      <c r="H974">
        <v>4.0999999999999996</v>
      </c>
      <c r="I974">
        <v>3.9</v>
      </c>
      <c r="J974">
        <v>4.07</v>
      </c>
      <c r="K974">
        <v>3.68</v>
      </c>
      <c r="L974">
        <v>3.82</v>
      </c>
      <c r="M974">
        <f t="shared" si="30"/>
        <v>3.9660000000000002</v>
      </c>
      <c r="N974">
        <f t="shared" si="31"/>
        <v>3.9140000000000001</v>
      </c>
    </row>
    <row r="975" spans="1:14" ht="14.25" customHeight="1" x14ac:dyDescent="0.3">
      <c r="A975" t="s">
        <v>1989</v>
      </c>
      <c r="B975" t="s">
        <v>1990</v>
      </c>
      <c r="C975">
        <v>3.5</v>
      </c>
      <c r="D975">
        <v>3.74</v>
      </c>
      <c r="E975">
        <v>4.5599999999999996</v>
      </c>
      <c r="F975">
        <v>4.4800000000000004</v>
      </c>
      <c r="G975">
        <v>4.09</v>
      </c>
      <c r="H975">
        <v>3.84</v>
      </c>
      <c r="I975">
        <v>4.2</v>
      </c>
      <c r="J975">
        <v>3.64</v>
      </c>
      <c r="K975">
        <v>4.04</v>
      </c>
      <c r="M975">
        <f t="shared" si="30"/>
        <v>4.0739999999999998</v>
      </c>
      <c r="N975">
        <f t="shared" si="31"/>
        <v>3.9299999999999997</v>
      </c>
    </row>
    <row r="976" spans="1:14" ht="14.25" customHeight="1" x14ac:dyDescent="0.3">
      <c r="A976" t="s">
        <v>1991</v>
      </c>
      <c r="B976" t="s">
        <v>1992</v>
      </c>
      <c r="C976">
        <v>3.85</v>
      </c>
      <c r="D976">
        <v>4.0599999999999996</v>
      </c>
      <c r="E976">
        <v>3.67</v>
      </c>
      <c r="F976">
        <v>4.03</v>
      </c>
      <c r="G976">
        <v>4.3099999999999996</v>
      </c>
      <c r="H976">
        <v>3.97</v>
      </c>
      <c r="I976">
        <v>4.21</v>
      </c>
      <c r="J976">
        <v>3.87</v>
      </c>
      <c r="K976">
        <v>3.99</v>
      </c>
      <c r="L976">
        <v>4.46</v>
      </c>
      <c r="M976">
        <f t="shared" si="30"/>
        <v>3.9839999999999995</v>
      </c>
      <c r="N976">
        <f t="shared" si="31"/>
        <v>4.0999999999999996</v>
      </c>
    </row>
    <row r="977" spans="1:14" ht="14.25" customHeight="1" x14ac:dyDescent="0.3">
      <c r="A977" t="s">
        <v>1993</v>
      </c>
      <c r="B977" t="s">
        <v>1994</v>
      </c>
      <c r="C977">
        <v>4.46</v>
      </c>
      <c r="D977">
        <v>4.4000000000000004</v>
      </c>
      <c r="E977">
        <v>4.07</v>
      </c>
      <c r="F977">
        <v>4.08</v>
      </c>
      <c r="G977">
        <v>4.3499999999999996</v>
      </c>
      <c r="H977">
        <v>3.81</v>
      </c>
      <c r="I977">
        <v>3.85</v>
      </c>
      <c r="J977">
        <v>4.0599999999999996</v>
      </c>
      <c r="K977">
        <v>4.08</v>
      </c>
      <c r="L977">
        <v>3.57</v>
      </c>
      <c r="M977">
        <f t="shared" si="30"/>
        <v>4.2720000000000002</v>
      </c>
      <c r="N977">
        <f t="shared" si="31"/>
        <v>3.8739999999999997</v>
      </c>
    </row>
    <row r="978" spans="1:14" ht="14.25" customHeight="1" x14ac:dyDescent="0.3">
      <c r="A978" t="s">
        <v>1995</v>
      </c>
      <c r="B978" t="s">
        <v>1996</v>
      </c>
      <c r="C978">
        <v>3.78</v>
      </c>
      <c r="D978">
        <v>4.46</v>
      </c>
      <c r="E978">
        <v>4.1399999999999997</v>
      </c>
      <c r="F978">
        <v>3.86</v>
      </c>
      <c r="G978">
        <v>4.2300000000000004</v>
      </c>
      <c r="H978">
        <v>4.2</v>
      </c>
      <c r="I978">
        <v>3.95</v>
      </c>
      <c r="J978">
        <v>4.3099999999999996</v>
      </c>
      <c r="K978">
        <v>4.09</v>
      </c>
      <c r="L978">
        <v>3.69</v>
      </c>
      <c r="M978">
        <f t="shared" si="30"/>
        <v>4.0939999999999994</v>
      </c>
      <c r="N978">
        <f t="shared" si="31"/>
        <v>4.048</v>
      </c>
    </row>
    <row r="979" spans="1:14" ht="14.25" customHeight="1" x14ac:dyDescent="0.3">
      <c r="A979" t="s">
        <v>1997</v>
      </c>
      <c r="B979" t="s">
        <v>1998</v>
      </c>
      <c r="C979">
        <v>3.88</v>
      </c>
      <c r="D979">
        <v>3.97</v>
      </c>
      <c r="E979">
        <v>4.3499999999999996</v>
      </c>
      <c r="F979">
        <v>4.5</v>
      </c>
      <c r="G979">
        <v>4.1900000000000004</v>
      </c>
      <c r="I979">
        <v>3.91</v>
      </c>
      <c r="J979">
        <v>3.93</v>
      </c>
      <c r="K979">
        <v>4.92</v>
      </c>
      <c r="L979">
        <v>3.81</v>
      </c>
      <c r="M979">
        <f t="shared" si="30"/>
        <v>4.1779999999999999</v>
      </c>
      <c r="N979">
        <f t="shared" si="31"/>
        <v>4.1425000000000001</v>
      </c>
    </row>
    <row r="980" spans="1:14" ht="14.25" customHeight="1" x14ac:dyDescent="0.3">
      <c r="A980" t="s">
        <v>1999</v>
      </c>
      <c r="B980" t="s">
        <v>2000</v>
      </c>
      <c r="C980">
        <v>4.0999999999999996</v>
      </c>
      <c r="D980">
        <v>3.8</v>
      </c>
      <c r="E980">
        <v>4.38</v>
      </c>
      <c r="F980">
        <v>3.9</v>
      </c>
      <c r="G980">
        <v>4.22</v>
      </c>
      <c r="I980">
        <v>4.2300000000000004</v>
      </c>
      <c r="J980">
        <v>4.28</v>
      </c>
      <c r="K980">
        <v>3.73</v>
      </c>
      <c r="L980">
        <v>4.47</v>
      </c>
      <c r="M980">
        <f t="shared" si="30"/>
        <v>4.08</v>
      </c>
      <c r="N980">
        <f t="shared" si="31"/>
        <v>4.1775000000000002</v>
      </c>
    </row>
    <row r="981" spans="1:14" ht="14.25" customHeight="1" x14ac:dyDescent="0.3">
      <c r="A981" t="s">
        <v>2001</v>
      </c>
      <c r="B981" t="s">
        <v>2002</v>
      </c>
      <c r="C981">
        <v>3.76</v>
      </c>
      <c r="D981">
        <v>4.1900000000000004</v>
      </c>
      <c r="E981">
        <v>3.58</v>
      </c>
      <c r="F981">
        <v>4.32</v>
      </c>
      <c r="G981">
        <v>3.36</v>
      </c>
      <c r="I981">
        <v>3.7</v>
      </c>
      <c r="J981">
        <v>4.51</v>
      </c>
      <c r="K981">
        <v>4.59</v>
      </c>
      <c r="L981">
        <v>3.96</v>
      </c>
      <c r="M981">
        <f t="shared" si="30"/>
        <v>3.8420000000000001</v>
      </c>
      <c r="N981">
        <f t="shared" si="31"/>
        <v>4.1900000000000004</v>
      </c>
    </row>
    <row r="982" spans="1:14" ht="14.25" customHeight="1" x14ac:dyDescent="0.3">
      <c r="A982" t="s">
        <v>2003</v>
      </c>
      <c r="B982" t="s">
        <v>2004</v>
      </c>
      <c r="C982">
        <v>4.18</v>
      </c>
      <c r="D982">
        <v>4.54</v>
      </c>
      <c r="E982">
        <v>3.96</v>
      </c>
      <c r="G982">
        <v>3.8</v>
      </c>
      <c r="H982">
        <v>4.5599999999999996</v>
      </c>
      <c r="I982">
        <v>3.86</v>
      </c>
      <c r="J982">
        <v>4.41</v>
      </c>
      <c r="K982">
        <v>4.12</v>
      </c>
      <c r="L982">
        <v>4.26</v>
      </c>
      <c r="M982">
        <f t="shared" si="30"/>
        <v>4.12</v>
      </c>
      <c r="N982">
        <f t="shared" si="31"/>
        <v>4.242</v>
      </c>
    </row>
    <row r="983" spans="1:14" ht="14.25" customHeight="1" x14ac:dyDescent="0.3">
      <c r="A983" t="s">
        <v>2005</v>
      </c>
      <c r="B983" t="s">
        <v>2006</v>
      </c>
      <c r="C983">
        <v>4.1399999999999997</v>
      </c>
      <c r="D983">
        <v>3.93</v>
      </c>
      <c r="E983">
        <v>4.0599999999999996</v>
      </c>
      <c r="F983">
        <v>4.33</v>
      </c>
      <c r="G983">
        <v>3.54</v>
      </c>
      <c r="H983">
        <v>4.12</v>
      </c>
      <c r="I983">
        <v>3.21</v>
      </c>
      <c r="J983">
        <v>4.21</v>
      </c>
      <c r="K983">
        <v>4.5</v>
      </c>
      <c r="L983">
        <v>4.18</v>
      </c>
      <c r="M983">
        <f t="shared" si="30"/>
        <v>4</v>
      </c>
      <c r="N983">
        <f t="shared" si="31"/>
        <v>4.0439999999999996</v>
      </c>
    </row>
    <row r="984" spans="1:14" ht="14.25" customHeight="1" x14ac:dyDescent="0.3">
      <c r="A984" t="s">
        <v>2007</v>
      </c>
      <c r="B984" t="s">
        <v>2008</v>
      </c>
      <c r="C984">
        <v>3.97</v>
      </c>
      <c r="D984">
        <v>4.4800000000000004</v>
      </c>
      <c r="E984">
        <v>3.95</v>
      </c>
      <c r="F984">
        <v>4.1500000000000004</v>
      </c>
      <c r="G984">
        <v>3.89</v>
      </c>
      <c r="H984">
        <v>3.85</v>
      </c>
      <c r="I984">
        <v>3.56</v>
      </c>
      <c r="J984">
        <v>4.58</v>
      </c>
      <c r="K984">
        <v>4.18</v>
      </c>
      <c r="L984">
        <v>4.16</v>
      </c>
      <c r="M984">
        <f t="shared" si="30"/>
        <v>4.088000000000001</v>
      </c>
      <c r="N984">
        <f t="shared" si="31"/>
        <v>4.0660000000000007</v>
      </c>
    </row>
    <row r="985" spans="1:14" ht="14.25" customHeight="1" x14ac:dyDescent="0.3">
      <c r="A985" t="s">
        <v>2009</v>
      </c>
      <c r="B985" t="s">
        <v>2010</v>
      </c>
      <c r="C985">
        <v>4.5599999999999996</v>
      </c>
      <c r="E985">
        <v>4.34</v>
      </c>
      <c r="F985">
        <v>3.47</v>
      </c>
      <c r="G985">
        <v>3.7</v>
      </c>
      <c r="H985">
        <v>3.83</v>
      </c>
      <c r="I985">
        <v>3.73</v>
      </c>
      <c r="J985">
        <v>3.92</v>
      </c>
      <c r="K985">
        <v>3.86</v>
      </c>
      <c r="L985">
        <v>4.41</v>
      </c>
      <c r="M985">
        <f t="shared" si="30"/>
        <v>4.0175000000000001</v>
      </c>
      <c r="N985">
        <f t="shared" si="31"/>
        <v>3.95</v>
      </c>
    </row>
    <row r="986" spans="1:14" ht="14.25" customHeight="1" x14ac:dyDescent="0.3">
      <c r="A986" t="s">
        <v>2011</v>
      </c>
      <c r="B986" t="s">
        <v>2012</v>
      </c>
      <c r="C986">
        <v>4.25</v>
      </c>
      <c r="D986">
        <v>3.6</v>
      </c>
      <c r="E986">
        <v>4.4000000000000004</v>
      </c>
      <c r="F986">
        <v>4.47</v>
      </c>
      <c r="G986">
        <v>4.3899999999999997</v>
      </c>
      <c r="H986">
        <v>3.69</v>
      </c>
      <c r="I986">
        <v>3.99</v>
      </c>
      <c r="J986">
        <v>3.25</v>
      </c>
      <c r="K986">
        <v>3.7</v>
      </c>
      <c r="L986">
        <v>4.47</v>
      </c>
      <c r="M986">
        <f t="shared" si="30"/>
        <v>4.2219999999999995</v>
      </c>
      <c r="N986">
        <f t="shared" si="31"/>
        <v>3.8199999999999994</v>
      </c>
    </row>
    <row r="987" spans="1:14" ht="14.25" customHeight="1" x14ac:dyDescent="0.3">
      <c r="A987" t="s">
        <v>2013</v>
      </c>
      <c r="B987" t="s">
        <v>2014</v>
      </c>
      <c r="C987">
        <v>3.95</v>
      </c>
      <c r="E987">
        <v>3.91</v>
      </c>
      <c r="F987">
        <v>4.21</v>
      </c>
      <c r="G987">
        <v>4.29</v>
      </c>
      <c r="H987">
        <v>4.01</v>
      </c>
      <c r="I987">
        <v>3.46</v>
      </c>
      <c r="J987">
        <v>3.6</v>
      </c>
      <c r="K987">
        <v>4.34</v>
      </c>
      <c r="L987">
        <v>4.4000000000000004</v>
      </c>
      <c r="M987">
        <f t="shared" si="30"/>
        <v>4.09</v>
      </c>
      <c r="N987">
        <f t="shared" si="31"/>
        <v>3.9620000000000006</v>
      </c>
    </row>
    <row r="988" spans="1:14" ht="14.25" customHeight="1" x14ac:dyDescent="0.3">
      <c r="A988" t="s">
        <v>2015</v>
      </c>
      <c r="B988" t="s">
        <v>2016</v>
      </c>
      <c r="C988">
        <v>4.25</v>
      </c>
      <c r="D988">
        <v>3.51</v>
      </c>
      <c r="E988">
        <v>4.1100000000000003</v>
      </c>
      <c r="F988">
        <v>3.95</v>
      </c>
      <c r="G988">
        <v>4.3600000000000003</v>
      </c>
      <c r="H988">
        <v>4.03</v>
      </c>
      <c r="I988">
        <v>3.08</v>
      </c>
      <c r="J988">
        <v>3.63</v>
      </c>
      <c r="K988">
        <v>4.68</v>
      </c>
      <c r="L988">
        <v>3.89</v>
      </c>
      <c r="M988">
        <f t="shared" si="30"/>
        <v>4.0359999999999996</v>
      </c>
      <c r="N988">
        <f t="shared" si="31"/>
        <v>3.8619999999999997</v>
      </c>
    </row>
    <row r="989" spans="1:14" ht="14.25" customHeight="1" x14ac:dyDescent="0.3">
      <c r="A989" t="s">
        <v>2017</v>
      </c>
      <c r="B989" t="s">
        <v>2018</v>
      </c>
      <c r="C989">
        <v>3.63</v>
      </c>
      <c r="D989">
        <v>4.07</v>
      </c>
      <c r="E989">
        <v>3.7</v>
      </c>
      <c r="F989">
        <v>3.66</v>
      </c>
      <c r="G989">
        <v>3.26</v>
      </c>
      <c r="H989">
        <v>3.7</v>
      </c>
      <c r="I989">
        <v>4.13</v>
      </c>
      <c r="J989">
        <v>3.66</v>
      </c>
      <c r="K989">
        <v>4.24</v>
      </c>
      <c r="L989">
        <v>3.46</v>
      </c>
      <c r="M989">
        <f t="shared" si="30"/>
        <v>3.6640000000000001</v>
      </c>
      <c r="N989">
        <f t="shared" si="31"/>
        <v>3.8380000000000001</v>
      </c>
    </row>
    <row r="990" spans="1:14" ht="14.25" customHeight="1" x14ac:dyDescent="0.3">
      <c r="A990" t="s">
        <v>2019</v>
      </c>
      <c r="B990" t="s">
        <v>2020</v>
      </c>
      <c r="C990">
        <v>3.27</v>
      </c>
      <c r="D990">
        <v>3.41</v>
      </c>
      <c r="E990">
        <v>4.0599999999999996</v>
      </c>
      <c r="F990">
        <v>3.5</v>
      </c>
      <c r="G990">
        <v>3.82</v>
      </c>
      <c r="H990">
        <v>4.16</v>
      </c>
      <c r="I990">
        <v>3.42</v>
      </c>
      <c r="J990">
        <v>4.25</v>
      </c>
      <c r="K990">
        <v>4.0199999999999996</v>
      </c>
      <c r="L990">
        <v>3.59</v>
      </c>
      <c r="M990">
        <f t="shared" si="30"/>
        <v>3.6119999999999997</v>
      </c>
      <c r="N990">
        <f t="shared" si="31"/>
        <v>3.8879999999999995</v>
      </c>
    </row>
    <row r="991" spans="1:14" ht="14.25" customHeight="1" x14ac:dyDescent="0.3">
      <c r="A991" t="s">
        <v>2021</v>
      </c>
      <c r="B991" t="s">
        <v>2022</v>
      </c>
      <c r="C991">
        <v>3.88</v>
      </c>
      <c r="D991">
        <v>3.82</v>
      </c>
      <c r="E991">
        <v>3.57</v>
      </c>
      <c r="F991">
        <v>3.96</v>
      </c>
      <c r="G991">
        <v>4.2</v>
      </c>
      <c r="H991">
        <v>3.74</v>
      </c>
      <c r="I991">
        <v>4.46</v>
      </c>
      <c r="J991">
        <v>4.1100000000000003</v>
      </c>
      <c r="K991">
        <v>4.6500000000000004</v>
      </c>
      <c r="L991">
        <v>4.07</v>
      </c>
      <c r="M991">
        <f t="shared" si="30"/>
        <v>3.8860000000000001</v>
      </c>
      <c r="N991">
        <f t="shared" si="31"/>
        <v>4.2060000000000004</v>
      </c>
    </row>
    <row r="992" spans="1:14" ht="14.25" customHeight="1" x14ac:dyDescent="0.3">
      <c r="A992" t="s">
        <v>2023</v>
      </c>
      <c r="B992" t="s">
        <v>2024</v>
      </c>
      <c r="C992">
        <v>4.0999999999999996</v>
      </c>
      <c r="D992">
        <v>4.38</v>
      </c>
      <c r="E992">
        <v>4.04</v>
      </c>
      <c r="F992">
        <v>4.28</v>
      </c>
      <c r="G992">
        <v>3.92</v>
      </c>
      <c r="H992">
        <v>3.8</v>
      </c>
      <c r="I992">
        <v>3.59</v>
      </c>
      <c r="K992">
        <v>4.0999999999999996</v>
      </c>
      <c r="L992">
        <v>3.63</v>
      </c>
      <c r="M992">
        <f t="shared" si="30"/>
        <v>4.1440000000000001</v>
      </c>
      <c r="N992">
        <f t="shared" si="31"/>
        <v>3.7799999999999994</v>
      </c>
    </row>
    <row r="993" spans="1:14" ht="14.25" customHeight="1" x14ac:dyDescent="0.3">
      <c r="A993" t="s">
        <v>2025</v>
      </c>
      <c r="B993" t="s">
        <v>2026</v>
      </c>
      <c r="C993">
        <v>4.12</v>
      </c>
      <c r="D993">
        <v>4.22</v>
      </c>
      <c r="E993">
        <v>4</v>
      </c>
      <c r="F993">
        <v>4.1900000000000004</v>
      </c>
      <c r="G993">
        <v>3.3</v>
      </c>
      <c r="H993">
        <v>3.89</v>
      </c>
      <c r="I993">
        <v>4.21</v>
      </c>
      <c r="J993">
        <v>4.09</v>
      </c>
      <c r="K993">
        <v>3.98</v>
      </c>
      <c r="L993">
        <v>4.1500000000000004</v>
      </c>
      <c r="M993">
        <f t="shared" si="30"/>
        <v>3.9660000000000002</v>
      </c>
      <c r="N993">
        <f t="shared" si="31"/>
        <v>4.0640000000000001</v>
      </c>
    </row>
    <row r="994" spans="1:14" ht="14.25" customHeight="1" x14ac:dyDescent="0.3">
      <c r="A994" t="s">
        <v>2027</v>
      </c>
      <c r="B994" t="s">
        <v>2028</v>
      </c>
      <c r="C994">
        <v>3.93</v>
      </c>
      <c r="D994">
        <v>3.87</v>
      </c>
      <c r="F994">
        <v>4.8899999999999997</v>
      </c>
      <c r="G994">
        <v>4.13</v>
      </c>
      <c r="H994">
        <v>4.76</v>
      </c>
      <c r="I994">
        <v>4.0599999999999996</v>
      </c>
      <c r="J994">
        <v>3.98</v>
      </c>
      <c r="K994">
        <v>4.5999999999999996</v>
      </c>
      <c r="L994">
        <v>3.52</v>
      </c>
      <c r="M994">
        <f t="shared" si="30"/>
        <v>4.2050000000000001</v>
      </c>
      <c r="N994">
        <f t="shared" si="31"/>
        <v>4.1839999999999993</v>
      </c>
    </row>
    <row r="995" spans="1:14" ht="14.25" customHeight="1" x14ac:dyDescent="0.3">
      <c r="A995" t="s">
        <v>2029</v>
      </c>
      <c r="B995" t="s">
        <v>2030</v>
      </c>
      <c r="C995">
        <v>4.6900000000000004</v>
      </c>
      <c r="D995">
        <v>4.1500000000000004</v>
      </c>
      <c r="E995">
        <v>4.18</v>
      </c>
      <c r="F995">
        <v>3.88</v>
      </c>
      <c r="G995">
        <v>4.38</v>
      </c>
      <c r="H995">
        <v>4.1500000000000004</v>
      </c>
      <c r="I995">
        <v>4.22</v>
      </c>
      <c r="J995">
        <v>4.57</v>
      </c>
      <c r="K995">
        <v>3.91</v>
      </c>
      <c r="L995">
        <v>3.96</v>
      </c>
      <c r="M995">
        <f t="shared" si="30"/>
        <v>4.2559999999999993</v>
      </c>
      <c r="N995">
        <f t="shared" si="31"/>
        <v>4.1620000000000008</v>
      </c>
    </row>
    <row r="996" spans="1:14" ht="14.25" customHeight="1" x14ac:dyDescent="0.3">
      <c r="A996" t="s">
        <v>2031</v>
      </c>
      <c r="B996" t="s">
        <v>2032</v>
      </c>
      <c r="C996">
        <v>4.49</v>
      </c>
      <c r="D996">
        <v>3.78</v>
      </c>
      <c r="E996">
        <v>4.4400000000000004</v>
      </c>
      <c r="F996">
        <v>4.42</v>
      </c>
      <c r="G996">
        <v>4.32</v>
      </c>
      <c r="H996">
        <v>4.3</v>
      </c>
      <c r="I996">
        <v>3.63</v>
      </c>
      <c r="J996">
        <v>3.72</v>
      </c>
      <c r="K996">
        <v>3.97</v>
      </c>
      <c r="L996">
        <v>4.24</v>
      </c>
      <c r="M996">
        <f t="shared" si="30"/>
        <v>4.2900000000000009</v>
      </c>
      <c r="N996">
        <f t="shared" si="31"/>
        <v>3.972</v>
      </c>
    </row>
    <row r="997" spans="1:14" ht="14.25" customHeight="1" x14ac:dyDescent="0.3">
      <c r="A997" t="s">
        <v>2033</v>
      </c>
      <c r="B997" t="s">
        <v>2034</v>
      </c>
      <c r="C997">
        <v>3.89</v>
      </c>
      <c r="E997">
        <v>4.32</v>
      </c>
      <c r="F997">
        <v>4.28</v>
      </c>
      <c r="G997">
        <v>4.63</v>
      </c>
      <c r="H997">
        <v>4.08</v>
      </c>
      <c r="I997">
        <v>3.54</v>
      </c>
      <c r="J997">
        <v>4.42</v>
      </c>
      <c r="K997">
        <v>3.58</v>
      </c>
      <c r="L997">
        <v>4.66</v>
      </c>
      <c r="M997">
        <f t="shared" si="30"/>
        <v>4.28</v>
      </c>
      <c r="N997">
        <f t="shared" si="31"/>
        <v>4.056</v>
      </c>
    </row>
    <row r="998" spans="1:14" ht="14.25" customHeight="1" x14ac:dyDescent="0.3">
      <c r="A998" t="s">
        <v>2035</v>
      </c>
      <c r="B998" t="s">
        <v>2036</v>
      </c>
      <c r="C998">
        <v>4.49</v>
      </c>
      <c r="D998">
        <v>3.9</v>
      </c>
      <c r="E998">
        <v>4.1100000000000003</v>
      </c>
      <c r="F998">
        <v>4.54</v>
      </c>
      <c r="G998">
        <v>3.71</v>
      </c>
      <c r="H998">
        <v>3.58</v>
      </c>
      <c r="I998">
        <v>4.09</v>
      </c>
      <c r="J998">
        <v>4.01</v>
      </c>
      <c r="K998">
        <v>4.55</v>
      </c>
      <c r="L998">
        <v>3.93</v>
      </c>
      <c r="M998">
        <f t="shared" si="30"/>
        <v>4.1500000000000004</v>
      </c>
      <c r="N998">
        <f t="shared" si="31"/>
        <v>4.032</v>
      </c>
    </row>
    <row r="999" spans="1:14" ht="14.25" customHeight="1" x14ac:dyDescent="0.3">
      <c r="A999" t="s">
        <v>2037</v>
      </c>
      <c r="B999" t="s">
        <v>2038</v>
      </c>
      <c r="C999">
        <v>4.2</v>
      </c>
      <c r="D999">
        <v>4.24</v>
      </c>
      <c r="E999">
        <v>3.9</v>
      </c>
      <c r="F999">
        <v>3.98</v>
      </c>
      <c r="G999">
        <v>4.33</v>
      </c>
      <c r="H999">
        <v>4.46</v>
      </c>
      <c r="I999">
        <v>4.0599999999999996</v>
      </c>
      <c r="J999">
        <v>3.94</v>
      </c>
      <c r="K999">
        <v>4.26</v>
      </c>
      <c r="L999">
        <v>3.44</v>
      </c>
      <c r="M999">
        <f t="shared" si="30"/>
        <v>4.13</v>
      </c>
      <c r="N999">
        <f t="shared" si="31"/>
        <v>4.032</v>
      </c>
    </row>
    <row r="1000" spans="1:14" ht="14.25" customHeight="1" x14ac:dyDescent="0.3">
      <c r="A1000" t="s">
        <v>2039</v>
      </c>
      <c r="B1000" t="s">
        <v>2040</v>
      </c>
      <c r="C1000">
        <v>3.61</v>
      </c>
      <c r="D1000">
        <v>3.65</v>
      </c>
      <c r="E1000">
        <v>3.88</v>
      </c>
      <c r="F1000">
        <v>4.1500000000000004</v>
      </c>
      <c r="G1000">
        <v>3.87</v>
      </c>
      <c r="H1000">
        <v>4.03</v>
      </c>
      <c r="I1000">
        <v>4.22</v>
      </c>
      <c r="J1000">
        <v>3.61</v>
      </c>
      <c r="K1000">
        <v>3.57</v>
      </c>
      <c r="L1000">
        <v>4.5999999999999996</v>
      </c>
      <c r="M1000">
        <f t="shared" si="30"/>
        <v>3.8319999999999999</v>
      </c>
      <c r="N1000">
        <f t="shared" si="31"/>
        <v>4.0060000000000002</v>
      </c>
    </row>
    <row r="1001" spans="1:14" ht="14.25" customHeight="1" x14ac:dyDescent="0.3">
      <c r="A1001" t="s">
        <v>2041</v>
      </c>
      <c r="B1001" t="s">
        <v>2042</v>
      </c>
      <c r="C1001">
        <v>3.78</v>
      </c>
      <c r="D1001">
        <v>4.05</v>
      </c>
      <c r="E1001">
        <v>3.56</v>
      </c>
      <c r="G1001">
        <v>4.0199999999999996</v>
      </c>
      <c r="H1001">
        <v>4.33</v>
      </c>
      <c r="I1001">
        <v>4.1100000000000003</v>
      </c>
      <c r="J1001">
        <v>3.77</v>
      </c>
      <c r="K1001">
        <v>4.1100000000000003</v>
      </c>
      <c r="L1001">
        <v>4</v>
      </c>
      <c r="M1001">
        <f t="shared" si="30"/>
        <v>3.8525</v>
      </c>
      <c r="N1001">
        <f t="shared" si="31"/>
        <v>4.0640000000000001</v>
      </c>
    </row>
    <row r="1002" spans="1:14" ht="14.25" customHeight="1" x14ac:dyDescent="0.3">
      <c r="A1002" t="s">
        <v>2043</v>
      </c>
      <c r="B1002" t="s">
        <v>511</v>
      </c>
      <c r="C1002">
        <v>4.26</v>
      </c>
      <c r="D1002">
        <v>4.41</v>
      </c>
      <c r="E1002">
        <v>4.1900000000000004</v>
      </c>
      <c r="F1002">
        <v>3.76</v>
      </c>
      <c r="G1002">
        <v>4.53</v>
      </c>
      <c r="H1002">
        <v>4.1399999999999997</v>
      </c>
      <c r="I1002">
        <v>4.1500000000000004</v>
      </c>
      <c r="J1002">
        <v>4.25</v>
      </c>
      <c r="K1002">
        <v>4.1500000000000004</v>
      </c>
      <c r="L1002">
        <v>4.29</v>
      </c>
      <c r="M1002">
        <f t="shared" si="30"/>
        <v>4.2299999999999995</v>
      </c>
      <c r="N1002">
        <f t="shared" si="31"/>
        <v>4.1959999999999997</v>
      </c>
    </row>
    <row r="1003" spans="1:14" ht="14.25" customHeight="1" x14ac:dyDescent="0.3">
      <c r="A1003" t="s">
        <v>2044</v>
      </c>
      <c r="B1003" t="s">
        <v>803</v>
      </c>
      <c r="C1003">
        <v>4.59</v>
      </c>
      <c r="D1003">
        <v>3.79</v>
      </c>
      <c r="E1003">
        <v>3.6</v>
      </c>
      <c r="F1003">
        <v>4.1399999999999997</v>
      </c>
      <c r="G1003">
        <v>3.71</v>
      </c>
      <c r="H1003">
        <v>4.45</v>
      </c>
      <c r="I1003">
        <v>4.51</v>
      </c>
      <c r="J1003">
        <v>3.67</v>
      </c>
      <c r="K1003">
        <v>4.08</v>
      </c>
      <c r="L1003">
        <v>3.94</v>
      </c>
      <c r="M1003">
        <f t="shared" si="30"/>
        <v>3.9659999999999997</v>
      </c>
      <c r="N1003">
        <f t="shared" si="31"/>
        <v>4.1300000000000008</v>
      </c>
    </row>
    <row r="1004" spans="1:14" ht="14.25" customHeight="1" x14ac:dyDescent="0.3">
      <c r="A1004" t="s">
        <v>2045</v>
      </c>
      <c r="B1004" t="s">
        <v>1902</v>
      </c>
      <c r="C1004">
        <v>3.93</v>
      </c>
      <c r="D1004">
        <v>4.3899999999999997</v>
      </c>
      <c r="E1004">
        <v>4.08</v>
      </c>
      <c r="F1004">
        <v>4.1100000000000003</v>
      </c>
      <c r="G1004">
        <v>4.18</v>
      </c>
      <c r="H1004">
        <v>3.72</v>
      </c>
      <c r="I1004">
        <v>3.75</v>
      </c>
      <c r="J1004">
        <v>3.89</v>
      </c>
      <c r="K1004">
        <v>3.56</v>
      </c>
      <c r="L1004">
        <v>4.41</v>
      </c>
      <c r="M1004">
        <f t="shared" si="30"/>
        <v>4.1379999999999999</v>
      </c>
      <c r="N1004">
        <f t="shared" si="31"/>
        <v>3.8660000000000005</v>
      </c>
    </row>
    <row r="1005" spans="1:14" ht="14.25" customHeight="1" x14ac:dyDescent="0.3">
      <c r="A1005" t="s">
        <v>2046</v>
      </c>
      <c r="B1005" t="s">
        <v>1787</v>
      </c>
      <c r="C1005">
        <v>4.5</v>
      </c>
      <c r="D1005">
        <v>4.04</v>
      </c>
      <c r="E1005">
        <v>4.01</v>
      </c>
      <c r="F1005">
        <v>3.65</v>
      </c>
      <c r="G1005">
        <v>4.53</v>
      </c>
      <c r="H1005">
        <v>4.5</v>
      </c>
      <c r="I1005">
        <v>4.18</v>
      </c>
      <c r="J1005">
        <v>3.63</v>
      </c>
      <c r="K1005">
        <v>3.84</v>
      </c>
      <c r="L1005">
        <v>3.72</v>
      </c>
      <c r="M1005">
        <f t="shared" si="30"/>
        <v>4.1459999999999999</v>
      </c>
      <c r="N1005">
        <f t="shared" si="31"/>
        <v>3.9739999999999993</v>
      </c>
    </row>
    <row r="1006" spans="1:14" ht="14.25" customHeight="1" x14ac:dyDescent="0.3">
      <c r="A1006" t="s">
        <v>2047</v>
      </c>
      <c r="B1006" t="s">
        <v>1326</v>
      </c>
      <c r="C1006">
        <v>4.12</v>
      </c>
      <c r="D1006">
        <v>4.5599999999999996</v>
      </c>
      <c r="E1006">
        <v>4.1100000000000003</v>
      </c>
      <c r="F1006">
        <v>4.28</v>
      </c>
      <c r="G1006">
        <v>3.7</v>
      </c>
      <c r="H1006">
        <v>3.84</v>
      </c>
      <c r="I1006">
        <v>3.47</v>
      </c>
      <c r="J1006">
        <v>4.16</v>
      </c>
      <c r="K1006">
        <v>3.98</v>
      </c>
      <c r="M1006">
        <f t="shared" si="30"/>
        <v>4.1539999999999999</v>
      </c>
      <c r="N1006">
        <f t="shared" si="31"/>
        <v>3.8625000000000003</v>
      </c>
    </row>
    <row r="1007" spans="1:14" ht="14.25" customHeight="1" x14ac:dyDescent="0.3">
      <c r="A1007" t="s">
        <v>2048</v>
      </c>
      <c r="B1007" t="s">
        <v>1930</v>
      </c>
      <c r="C1007">
        <v>3.89</v>
      </c>
      <c r="D1007">
        <v>4.01</v>
      </c>
      <c r="E1007">
        <v>4.28</v>
      </c>
      <c r="F1007">
        <v>4.34</v>
      </c>
      <c r="G1007">
        <v>4.28</v>
      </c>
      <c r="H1007">
        <v>3.87</v>
      </c>
      <c r="I1007">
        <v>3.62</v>
      </c>
      <c r="J1007">
        <v>4.17</v>
      </c>
      <c r="K1007">
        <v>4.6500000000000004</v>
      </c>
      <c r="L1007">
        <v>3.71</v>
      </c>
      <c r="M1007">
        <f t="shared" si="30"/>
        <v>4.16</v>
      </c>
      <c r="N1007">
        <f t="shared" si="31"/>
        <v>4.0040000000000004</v>
      </c>
    </row>
    <row r="1008" spans="1:14" ht="14.25" customHeight="1" x14ac:dyDescent="0.3">
      <c r="A1008" t="s">
        <v>2049</v>
      </c>
      <c r="B1008" t="s">
        <v>1454</v>
      </c>
      <c r="C1008">
        <v>4.3600000000000003</v>
      </c>
      <c r="D1008">
        <v>4.37</v>
      </c>
      <c r="E1008">
        <v>4.2699999999999996</v>
      </c>
      <c r="F1008">
        <v>4.16</v>
      </c>
      <c r="G1008">
        <v>3.54</v>
      </c>
      <c r="H1008">
        <v>4.5199999999999996</v>
      </c>
      <c r="I1008">
        <v>3.94</v>
      </c>
      <c r="J1008">
        <v>4.13</v>
      </c>
      <c r="K1008">
        <v>4.04</v>
      </c>
      <c r="L1008">
        <v>4.3899999999999997</v>
      </c>
      <c r="M1008">
        <f t="shared" si="30"/>
        <v>4.1399999999999997</v>
      </c>
      <c r="N1008">
        <f t="shared" si="31"/>
        <v>4.2039999999999997</v>
      </c>
    </row>
    <row r="1009" spans="1:14" ht="14.25" customHeight="1" x14ac:dyDescent="0.3">
      <c r="A1009" t="s">
        <v>2050</v>
      </c>
      <c r="B1009" t="s">
        <v>1398</v>
      </c>
      <c r="C1009">
        <v>4.12</v>
      </c>
      <c r="D1009">
        <v>4.24</v>
      </c>
      <c r="E1009">
        <v>4.38</v>
      </c>
      <c r="F1009">
        <v>3.94</v>
      </c>
      <c r="G1009">
        <v>4.13</v>
      </c>
      <c r="H1009">
        <v>3.86</v>
      </c>
      <c r="I1009">
        <v>4.24</v>
      </c>
      <c r="J1009">
        <v>4.12</v>
      </c>
      <c r="K1009">
        <v>4.0599999999999996</v>
      </c>
      <c r="L1009">
        <v>3.8</v>
      </c>
      <c r="M1009">
        <f t="shared" si="30"/>
        <v>4.1619999999999999</v>
      </c>
      <c r="N1009">
        <f t="shared" si="31"/>
        <v>4.016</v>
      </c>
    </row>
    <row r="1010" spans="1:14" ht="14.25" customHeight="1" x14ac:dyDescent="0.3">
      <c r="A1010" t="s">
        <v>2051</v>
      </c>
      <c r="B1010" t="s">
        <v>1765</v>
      </c>
      <c r="C1010">
        <v>4.67</v>
      </c>
      <c r="D1010">
        <v>3.72</v>
      </c>
      <c r="E1010">
        <v>4.21</v>
      </c>
      <c r="F1010">
        <v>3.65</v>
      </c>
      <c r="G1010">
        <v>4.0599999999999996</v>
      </c>
      <c r="H1010">
        <v>3.76</v>
      </c>
      <c r="I1010">
        <v>4.21</v>
      </c>
      <c r="J1010">
        <v>3.75</v>
      </c>
      <c r="K1010">
        <v>3.59</v>
      </c>
      <c r="L1010">
        <v>4.28</v>
      </c>
      <c r="M1010">
        <f t="shared" si="30"/>
        <v>4.0619999999999994</v>
      </c>
      <c r="N1010">
        <f t="shared" si="31"/>
        <v>3.9180000000000001</v>
      </c>
    </row>
    <row r="1011" spans="1:14" ht="14.25" customHeight="1" x14ac:dyDescent="0.3">
      <c r="A1011" t="s">
        <v>2052</v>
      </c>
      <c r="B1011" t="s">
        <v>1130</v>
      </c>
      <c r="C1011">
        <v>4.4400000000000004</v>
      </c>
      <c r="E1011">
        <v>4.45</v>
      </c>
      <c r="F1011">
        <v>3.67</v>
      </c>
      <c r="G1011">
        <v>3.98</v>
      </c>
      <c r="H1011">
        <v>4.0999999999999996</v>
      </c>
      <c r="I1011">
        <v>4.45</v>
      </c>
      <c r="J1011">
        <v>3.61</v>
      </c>
      <c r="L1011">
        <v>3.92</v>
      </c>
      <c r="M1011">
        <f t="shared" si="30"/>
        <v>4.1349999999999998</v>
      </c>
      <c r="N1011">
        <f t="shared" si="31"/>
        <v>4.0199999999999996</v>
      </c>
    </row>
    <row r="1012" spans="1:14" ht="14.25" customHeight="1" x14ac:dyDescent="0.3">
      <c r="A1012" t="s">
        <v>2053</v>
      </c>
      <c r="B1012" t="s">
        <v>989</v>
      </c>
      <c r="C1012">
        <v>3.98</v>
      </c>
      <c r="D1012">
        <v>3.99</v>
      </c>
      <c r="E1012">
        <v>4.21</v>
      </c>
      <c r="F1012">
        <v>4.3899999999999997</v>
      </c>
      <c r="G1012">
        <v>4.4800000000000004</v>
      </c>
      <c r="H1012">
        <v>3.91</v>
      </c>
      <c r="I1012">
        <v>4.1100000000000003</v>
      </c>
      <c r="J1012">
        <v>3.76</v>
      </c>
      <c r="K1012">
        <v>4.28</v>
      </c>
      <c r="L1012">
        <v>4.0599999999999996</v>
      </c>
      <c r="M1012">
        <f t="shared" si="30"/>
        <v>4.21</v>
      </c>
      <c r="N1012">
        <f t="shared" si="31"/>
        <v>4.0239999999999991</v>
      </c>
    </row>
    <row r="1013" spans="1:14" ht="14.25" customHeight="1" x14ac:dyDescent="0.3">
      <c r="A1013" t="s">
        <v>2054</v>
      </c>
      <c r="B1013" t="s">
        <v>995</v>
      </c>
      <c r="C1013">
        <v>4.2300000000000004</v>
      </c>
      <c r="D1013">
        <v>3.96</v>
      </c>
      <c r="E1013">
        <v>4.13</v>
      </c>
      <c r="F1013">
        <v>3.69</v>
      </c>
      <c r="H1013">
        <v>4.5</v>
      </c>
      <c r="I1013">
        <v>3.97</v>
      </c>
      <c r="J1013">
        <v>3.63</v>
      </c>
      <c r="K1013">
        <v>3.95</v>
      </c>
      <c r="L1013">
        <v>4.24</v>
      </c>
      <c r="M1013">
        <f t="shared" si="30"/>
        <v>4.0025000000000004</v>
      </c>
      <c r="N1013">
        <f t="shared" si="31"/>
        <v>4.0579999999999998</v>
      </c>
    </row>
    <row r="1014" spans="1:14" ht="14.25" customHeight="1" x14ac:dyDescent="0.3">
      <c r="A1014" t="s">
        <v>2055</v>
      </c>
      <c r="B1014" t="s">
        <v>1761</v>
      </c>
      <c r="C1014">
        <v>4.1100000000000003</v>
      </c>
      <c r="D1014">
        <v>4.03</v>
      </c>
      <c r="E1014">
        <v>4.18</v>
      </c>
      <c r="F1014">
        <v>3.83</v>
      </c>
      <c r="G1014">
        <v>3.82</v>
      </c>
      <c r="H1014">
        <v>3.91</v>
      </c>
      <c r="I1014">
        <v>4.16</v>
      </c>
      <c r="J1014">
        <v>4.03</v>
      </c>
      <c r="K1014">
        <v>4.24</v>
      </c>
      <c r="L1014">
        <v>3.8</v>
      </c>
      <c r="M1014">
        <f t="shared" si="30"/>
        <v>3.9939999999999998</v>
      </c>
      <c r="N1014">
        <f t="shared" si="31"/>
        <v>4.0280000000000005</v>
      </c>
    </row>
    <row r="1015" spans="1:14" ht="14.25" customHeight="1" x14ac:dyDescent="0.3">
      <c r="A1015" t="s">
        <v>2056</v>
      </c>
      <c r="B1015" t="s">
        <v>1118</v>
      </c>
      <c r="C1015">
        <v>4.32</v>
      </c>
      <c r="D1015">
        <v>3.86</v>
      </c>
      <c r="E1015">
        <v>3.74</v>
      </c>
      <c r="G1015">
        <v>4.7</v>
      </c>
      <c r="H1015">
        <v>4.46</v>
      </c>
      <c r="I1015">
        <v>4.0199999999999996</v>
      </c>
      <c r="J1015">
        <v>3.88</v>
      </c>
      <c r="L1015">
        <v>4.3899999999999997</v>
      </c>
      <c r="M1015">
        <f t="shared" si="30"/>
        <v>4.1550000000000002</v>
      </c>
      <c r="N1015">
        <f t="shared" si="31"/>
        <v>4.1875</v>
      </c>
    </row>
    <row r="1016" spans="1:14" ht="14.25" customHeight="1" x14ac:dyDescent="0.3">
      <c r="A1016" t="s">
        <v>2057</v>
      </c>
      <c r="B1016" t="s">
        <v>1464</v>
      </c>
      <c r="C1016">
        <v>3.75</v>
      </c>
      <c r="D1016">
        <v>4.4800000000000004</v>
      </c>
      <c r="E1016">
        <v>4.4400000000000004</v>
      </c>
      <c r="F1016">
        <v>3.97</v>
      </c>
      <c r="G1016">
        <v>3.53</v>
      </c>
      <c r="H1016">
        <v>3.7</v>
      </c>
      <c r="I1016">
        <v>3.88</v>
      </c>
      <c r="J1016">
        <v>4.07</v>
      </c>
      <c r="K1016">
        <v>4.43</v>
      </c>
      <c r="L1016">
        <v>4.07</v>
      </c>
      <c r="M1016">
        <f t="shared" si="30"/>
        <v>4.0340000000000007</v>
      </c>
      <c r="N1016">
        <f t="shared" si="31"/>
        <v>4.0299999999999994</v>
      </c>
    </row>
    <row r="1017" spans="1:14" ht="14.25" customHeight="1" x14ac:dyDescent="0.3">
      <c r="A1017" t="s">
        <v>2058</v>
      </c>
      <c r="B1017" t="s">
        <v>27</v>
      </c>
      <c r="C1017">
        <v>4.03</v>
      </c>
      <c r="D1017">
        <v>4.2699999999999996</v>
      </c>
      <c r="E1017">
        <v>4.66</v>
      </c>
      <c r="F1017">
        <v>3.82</v>
      </c>
      <c r="G1017">
        <v>3.87</v>
      </c>
      <c r="H1017">
        <v>4.4800000000000004</v>
      </c>
      <c r="I1017">
        <v>3.49</v>
      </c>
      <c r="J1017">
        <v>4.4800000000000004</v>
      </c>
      <c r="K1017">
        <v>3.81</v>
      </c>
      <c r="L1017">
        <v>4.1100000000000003</v>
      </c>
      <c r="M1017">
        <f t="shared" si="30"/>
        <v>4.1300000000000008</v>
      </c>
      <c r="N1017">
        <f t="shared" si="31"/>
        <v>4.0739999999999998</v>
      </c>
    </row>
    <row r="1018" spans="1:14" ht="14.25" customHeight="1" x14ac:dyDescent="0.3">
      <c r="A1018" t="s">
        <v>2059</v>
      </c>
      <c r="B1018" t="s">
        <v>1800</v>
      </c>
      <c r="C1018">
        <v>4.55</v>
      </c>
      <c r="D1018">
        <v>4.51</v>
      </c>
      <c r="E1018">
        <v>4.3899999999999997</v>
      </c>
      <c r="F1018">
        <v>3.79</v>
      </c>
      <c r="G1018">
        <v>3.29</v>
      </c>
      <c r="H1018">
        <v>3.36</v>
      </c>
      <c r="I1018">
        <v>4.55</v>
      </c>
      <c r="J1018">
        <v>4.2</v>
      </c>
      <c r="K1018">
        <v>3.84</v>
      </c>
      <c r="L1018">
        <v>4.33</v>
      </c>
      <c r="M1018">
        <f t="shared" si="30"/>
        <v>4.1059999999999999</v>
      </c>
      <c r="N1018">
        <f t="shared" si="31"/>
        <v>4.056</v>
      </c>
    </row>
    <row r="1019" spans="1:14" ht="14.25" customHeight="1" x14ac:dyDescent="0.3">
      <c r="A1019" t="s">
        <v>2060</v>
      </c>
      <c r="B1019" t="s">
        <v>69</v>
      </c>
      <c r="C1019">
        <v>4.58</v>
      </c>
      <c r="D1019">
        <v>3.96</v>
      </c>
      <c r="E1019">
        <v>4.26</v>
      </c>
      <c r="F1019">
        <v>3.94</v>
      </c>
      <c r="G1019">
        <v>4.3499999999999996</v>
      </c>
      <c r="H1019">
        <v>4.54</v>
      </c>
      <c r="I1019">
        <v>4.2</v>
      </c>
      <c r="J1019">
        <v>4.3499999999999996</v>
      </c>
      <c r="K1019">
        <v>4.3600000000000003</v>
      </c>
      <c r="L1019">
        <v>4.71</v>
      </c>
      <c r="M1019">
        <f t="shared" si="30"/>
        <v>4.2179999999999991</v>
      </c>
      <c r="N1019">
        <f t="shared" si="31"/>
        <v>4.4320000000000004</v>
      </c>
    </row>
    <row r="1020" spans="1:14" ht="14.25" customHeight="1" x14ac:dyDescent="0.3">
      <c r="A1020" t="s">
        <v>2061</v>
      </c>
      <c r="B1020" t="s">
        <v>923</v>
      </c>
      <c r="C1020">
        <v>4.07</v>
      </c>
      <c r="D1020">
        <v>3.58</v>
      </c>
      <c r="E1020">
        <v>3.8</v>
      </c>
      <c r="F1020">
        <v>4.13</v>
      </c>
      <c r="G1020">
        <v>3.79</v>
      </c>
      <c r="H1020">
        <v>3.82</v>
      </c>
      <c r="I1020">
        <v>4.2300000000000004</v>
      </c>
      <c r="J1020">
        <v>4.68</v>
      </c>
      <c r="K1020">
        <v>3.88</v>
      </c>
      <c r="L1020">
        <v>4.59</v>
      </c>
      <c r="M1020">
        <f t="shared" si="30"/>
        <v>3.8739999999999997</v>
      </c>
      <c r="N1020">
        <f t="shared" si="31"/>
        <v>4.24</v>
      </c>
    </row>
    <row r="1021" spans="1:14" ht="14.25" customHeight="1" x14ac:dyDescent="0.3">
      <c r="A1021" t="s">
        <v>2062</v>
      </c>
      <c r="B1021" t="s">
        <v>2000</v>
      </c>
      <c r="C1021">
        <v>4.0999999999999996</v>
      </c>
      <c r="D1021">
        <v>3.8</v>
      </c>
      <c r="E1021">
        <v>4.38</v>
      </c>
      <c r="F1021">
        <v>3.9</v>
      </c>
      <c r="G1021">
        <v>4.22</v>
      </c>
      <c r="I1021">
        <v>4.2300000000000004</v>
      </c>
      <c r="J1021">
        <v>4.28</v>
      </c>
      <c r="K1021">
        <v>3.73</v>
      </c>
      <c r="L1021">
        <v>4.47</v>
      </c>
      <c r="M1021">
        <f t="shared" si="30"/>
        <v>4.08</v>
      </c>
      <c r="N1021">
        <f t="shared" si="31"/>
        <v>4.1775000000000002</v>
      </c>
    </row>
    <row r="1022" spans="1:14" ht="14.25" customHeight="1" x14ac:dyDescent="0.3">
      <c r="A1022" t="s">
        <v>2063</v>
      </c>
      <c r="B1022" t="s">
        <v>1522</v>
      </c>
      <c r="C1022">
        <v>3.7</v>
      </c>
      <c r="F1022">
        <v>3.89</v>
      </c>
      <c r="G1022">
        <v>3.97</v>
      </c>
      <c r="H1022">
        <v>3.57</v>
      </c>
      <c r="I1022">
        <v>4.28</v>
      </c>
      <c r="J1022">
        <v>3.97</v>
      </c>
      <c r="K1022">
        <v>3.74</v>
      </c>
      <c r="L1022">
        <v>3.74</v>
      </c>
      <c r="M1022">
        <f t="shared" si="30"/>
        <v>3.8533333333333335</v>
      </c>
      <c r="N1022">
        <f t="shared" si="31"/>
        <v>3.8600000000000003</v>
      </c>
    </row>
    <row r="1023" spans="1:14" ht="14.25" customHeight="1" x14ac:dyDescent="0.3">
      <c r="A1023" t="s">
        <v>2064</v>
      </c>
      <c r="B1023" t="s">
        <v>501</v>
      </c>
      <c r="C1023">
        <v>3.94</v>
      </c>
      <c r="D1023">
        <v>4.28</v>
      </c>
      <c r="E1023">
        <v>4.24</v>
      </c>
      <c r="F1023">
        <v>4.1500000000000004</v>
      </c>
      <c r="G1023">
        <v>4.13</v>
      </c>
      <c r="H1023">
        <v>3.63</v>
      </c>
      <c r="I1023">
        <v>4.16</v>
      </c>
      <c r="J1023">
        <v>4.21</v>
      </c>
      <c r="K1023">
        <v>3.73</v>
      </c>
      <c r="L1023">
        <v>4.12</v>
      </c>
      <c r="M1023">
        <f t="shared" si="30"/>
        <v>4.1479999999999997</v>
      </c>
      <c r="N1023">
        <f t="shared" si="31"/>
        <v>3.97</v>
      </c>
    </row>
    <row r="1024" spans="1:14" ht="14.25" customHeight="1" x14ac:dyDescent="0.3">
      <c r="A1024" t="s">
        <v>2065</v>
      </c>
      <c r="B1024" t="s">
        <v>1201</v>
      </c>
      <c r="C1024">
        <v>4.34</v>
      </c>
      <c r="D1024">
        <v>4.6100000000000003</v>
      </c>
      <c r="E1024">
        <v>3.47</v>
      </c>
      <c r="G1024">
        <v>3.97</v>
      </c>
      <c r="H1024">
        <v>4.18</v>
      </c>
      <c r="I1024">
        <v>4.1100000000000003</v>
      </c>
      <c r="K1024">
        <v>3.04</v>
      </c>
      <c r="L1024">
        <v>4.1399999999999997</v>
      </c>
      <c r="M1024">
        <f t="shared" si="30"/>
        <v>4.0975000000000001</v>
      </c>
      <c r="N1024">
        <f t="shared" si="31"/>
        <v>3.8674999999999997</v>
      </c>
    </row>
    <row r="1025" spans="1:14" ht="14.25" customHeight="1" x14ac:dyDescent="0.3">
      <c r="A1025" t="s">
        <v>2066</v>
      </c>
      <c r="B1025" t="s">
        <v>1854</v>
      </c>
      <c r="C1025">
        <v>4.09</v>
      </c>
      <c r="D1025">
        <v>4.09</v>
      </c>
      <c r="E1025">
        <v>3.89</v>
      </c>
      <c r="F1025">
        <v>4.03</v>
      </c>
      <c r="G1025">
        <v>4.26</v>
      </c>
      <c r="H1025">
        <v>4.66</v>
      </c>
      <c r="I1025">
        <v>4.55</v>
      </c>
      <c r="J1025">
        <v>4.49</v>
      </c>
      <c r="K1025">
        <v>3.6</v>
      </c>
      <c r="L1025">
        <v>4.0599999999999996</v>
      </c>
      <c r="M1025">
        <f t="shared" si="30"/>
        <v>4.0720000000000001</v>
      </c>
      <c r="N1025">
        <f t="shared" si="31"/>
        <v>4.2720000000000002</v>
      </c>
    </row>
    <row r="1026" spans="1:14" ht="14.25" customHeight="1" x14ac:dyDescent="0.3">
      <c r="A1026" t="s">
        <v>2067</v>
      </c>
      <c r="B1026" t="s">
        <v>655</v>
      </c>
      <c r="C1026">
        <v>4.21</v>
      </c>
      <c r="D1026">
        <v>4.28</v>
      </c>
      <c r="E1026">
        <v>4.76</v>
      </c>
      <c r="F1026">
        <v>4.28</v>
      </c>
      <c r="G1026">
        <v>3.7</v>
      </c>
      <c r="H1026">
        <v>3.74</v>
      </c>
      <c r="I1026">
        <v>3.63</v>
      </c>
      <c r="J1026">
        <v>4.07</v>
      </c>
      <c r="L1026">
        <v>4.49</v>
      </c>
      <c r="M1026">
        <f t="shared" ref="M1026:M1051" si="32">AVERAGE(C1026:G1026)</f>
        <v>4.2460000000000004</v>
      </c>
      <c r="N1026">
        <f t="shared" ref="N1026:N1051" si="33">AVERAGE(H1026:L1026)</f>
        <v>3.9825000000000004</v>
      </c>
    </row>
    <row r="1027" spans="1:14" ht="14.25" customHeight="1" x14ac:dyDescent="0.3">
      <c r="A1027" t="s">
        <v>2068</v>
      </c>
      <c r="B1027" t="s">
        <v>1658</v>
      </c>
      <c r="C1027">
        <v>3.64</v>
      </c>
      <c r="D1027">
        <v>3.98</v>
      </c>
      <c r="E1027">
        <v>3.59</v>
      </c>
      <c r="F1027">
        <v>3.31</v>
      </c>
      <c r="G1027">
        <v>3.82</v>
      </c>
      <c r="H1027">
        <v>4.5199999999999996</v>
      </c>
      <c r="I1027">
        <v>4.09</v>
      </c>
      <c r="J1027">
        <v>4.3</v>
      </c>
      <c r="K1027">
        <v>4.01</v>
      </c>
      <c r="L1027">
        <v>4.18</v>
      </c>
      <c r="M1027">
        <f t="shared" si="32"/>
        <v>3.6680000000000001</v>
      </c>
      <c r="N1027">
        <f t="shared" si="33"/>
        <v>4.2200000000000006</v>
      </c>
    </row>
    <row r="1028" spans="1:14" ht="14.25" customHeight="1" x14ac:dyDescent="0.3">
      <c r="A1028" t="s">
        <v>2069</v>
      </c>
      <c r="B1028" t="s">
        <v>457</v>
      </c>
      <c r="C1028">
        <v>3.77</v>
      </c>
      <c r="D1028">
        <v>4.0599999999999996</v>
      </c>
      <c r="E1028">
        <v>3.97</v>
      </c>
      <c r="F1028">
        <v>4.4400000000000004</v>
      </c>
      <c r="H1028">
        <v>4.51</v>
      </c>
      <c r="I1028">
        <v>4.21</v>
      </c>
      <c r="J1028">
        <v>3.39</v>
      </c>
      <c r="K1028">
        <v>4.0599999999999996</v>
      </c>
      <c r="L1028">
        <v>3.95</v>
      </c>
      <c r="M1028">
        <f t="shared" si="32"/>
        <v>4.0600000000000005</v>
      </c>
      <c r="N1028">
        <f t="shared" si="33"/>
        <v>4.0239999999999991</v>
      </c>
    </row>
    <row r="1029" spans="1:14" ht="14.25" customHeight="1" x14ac:dyDescent="0.3">
      <c r="A1029" t="s">
        <v>2070</v>
      </c>
      <c r="B1029" t="s">
        <v>827</v>
      </c>
      <c r="C1029">
        <v>4.0199999999999996</v>
      </c>
      <c r="D1029">
        <v>4.3899999999999997</v>
      </c>
      <c r="E1029">
        <v>3.88</v>
      </c>
      <c r="F1029">
        <v>3.67</v>
      </c>
      <c r="G1029">
        <v>4.3</v>
      </c>
      <c r="H1029">
        <v>4.26</v>
      </c>
      <c r="I1029">
        <v>3.91</v>
      </c>
      <c r="J1029">
        <v>4.21</v>
      </c>
      <c r="K1029">
        <v>3.79</v>
      </c>
      <c r="L1029">
        <v>4.4400000000000004</v>
      </c>
      <c r="M1029">
        <f t="shared" si="32"/>
        <v>4.0519999999999996</v>
      </c>
      <c r="N1029">
        <f t="shared" si="33"/>
        <v>4.1219999999999999</v>
      </c>
    </row>
    <row r="1030" spans="1:14" ht="14.25" customHeight="1" x14ac:dyDescent="0.3">
      <c r="A1030" t="s">
        <v>2071</v>
      </c>
      <c r="B1030" t="s">
        <v>1309</v>
      </c>
      <c r="C1030">
        <v>4.08</v>
      </c>
      <c r="D1030">
        <v>3.63</v>
      </c>
      <c r="E1030">
        <v>4.21</v>
      </c>
      <c r="F1030">
        <v>3.84</v>
      </c>
      <c r="G1030">
        <v>4.1900000000000004</v>
      </c>
      <c r="H1030">
        <v>4.24</v>
      </c>
      <c r="I1030">
        <v>3.87</v>
      </c>
      <c r="J1030">
        <v>3.86</v>
      </c>
      <c r="K1030">
        <v>4.32</v>
      </c>
      <c r="L1030">
        <v>4.32</v>
      </c>
      <c r="M1030">
        <f t="shared" si="32"/>
        <v>3.9899999999999998</v>
      </c>
      <c r="N1030">
        <f t="shared" si="33"/>
        <v>4.1219999999999999</v>
      </c>
    </row>
    <row r="1031" spans="1:14" ht="14.25" customHeight="1" x14ac:dyDescent="0.3">
      <c r="A1031" t="s">
        <v>2072</v>
      </c>
      <c r="B1031" t="s">
        <v>1232</v>
      </c>
      <c r="C1031">
        <v>4.1500000000000004</v>
      </c>
      <c r="D1031">
        <v>4.18</v>
      </c>
      <c r="E1031">
        <v>4.01</v>
      </c>
      <c r="F1031">
        <v>3.89</v>
      </c>
      <c r="G1031">
        <v>3.87</v>
      </c>
      <c r="H1031">
        <v>3.44</v>
      </c>
      <c r="I1031">
        <v>4.21</v>
      </c>
      <c r="J1031">
        <v>4.2</v>
      </c>
      <c r="K1031">
        <v>3.53</v>
      </c>
      <c r="L1031">
        <v>4.1399999999999997</v>
      </c>
      <c r="M1031">
        <f t="shared" si="32"/>
        <v>4.0200000000000005</v>
      </c>
      <c r="N1031">
        <f t="shared" si="33"/>
        <v>3.9039999999999999</v>
      </c>
    </row>
    <row r="1032" spans="1:14" ht="14.25" customHeight="1" x14ac:dyDescent="0.3">
      <c r="A1032" t="s">
        <v>2073</v>
      </c>
      <c r="B1032" t="s">
        <v>174</v>
      </c>
      <c r="C1032">
        <v>4.43</v>
      </c>
      <c r="D1032">
        <v>3.79</v>
      </c>
      <c r="E1032">
        <v>3.93</v>
      </c>
      <c r="F1032">
        <v>4.37</v>
      </c>
      <c r="G1032">
        <v>3.59</v>
      </c>
      <c r="H1032">
        <v>3.8</v>
      </c>
      <c r="I1032">
        <v>4.28</v>
      </c>
      <c r="J1032">
        <v>4.1900000000000004</v>
      </c>
      <c r="K1032">
        <v>4.05</v>
      </c>
      <c r="L1032">
        <v>3.85</v>
      </c>
      <c r="M1032">
        <f t="shared" si="32"/>
        <v>4.0220000000000002</v>
      </c>
      <c r="N1032">
        <f t="shared" si="33"/>
        <v>4.0340000000000007</v>
      </c>
    </row>
    <row r="1033" spans="1:14" ht="14.25" customHeight="1" x14ac:dyDescent="0.3">
      <c r="A1033" t="s">
        <v>2074</v>
      </c>
      <c r="B1033" t="s">
        <v>1189</v>
      </c>
      <c r="C1033">
        <v>4.18</v>
      </c>
      <c r="D1033">
        <v>4.45</v>
      </c>
      <c r="E1033">
        <v>4.0999999999999996</v>
      </c>
      <c r="F1033">
        <v>3.96</v>
      </c>
      <c r="G1033">
        <v>4.5</v>
      </c>
      <c r="H1033">
        <v>4.07</v>
      </c>
      <c r="I1033">
        <v>3.84</v>
      </c>
      <c r="J1033">
        <v>3.18</v>
      </c>
      <c r="K1033">
        <v>4.3499999999999996</v>
      </c>
      <c r="L1033">
        <v>3.62</v>
      </c>
      <c r="M1033">
        <f t="shared" si="32"/>
        <v>4.2379999999999995</v>
      </c>
      <c r="N1033">
        <f t="shared" si="33"/>
        <v>3.8119999999999998</v>
      </c>
    </row>
    <row r="1034" spans="1:14" ht="14.25" customHeight="1" x14ac:dyDescent="0.3">
      <c r="A1034" t="s">
        <v>2075</v>
      </c>
      <c r="B1034" t="s">
        <v>1908</v>
      </c>
      <c r="C1034">
        <v>4.32</v>
      </c>
      <c r="D1034">
        <v>4</v>
      </c>
      <c r="E1034">
        <v>4.1100000000000003</v>
      </c>
      <c r="F1034">
        <v>3.48</v>
      </c>
      <c r="G1034">
        <v>3.86</v>
      </c>
      <c r="H1034">
        <v>4.0999999999999996</v>
      </c>
      <c r="I1034">
        <v>4.2300000000000004</v>
      </c>
      <c r="J1034">
        <v>4.05</v>
      </c>
      <c r="K1034">
        <v>4.25</v>
      </c>
      <c r="L1034">
        <v>3.87</v>
      </c>
      <c r="M1034">
        <f t="shared" si="32"/>
        <v>3.9539999999999997</v>
      </c>
      <c r="N1034">
        <f t="shared" si="33"/>
        <v>4.0999999999999996</v>
      </c>
    </row>
    <row r="1035" spans="1:14" ht="14.25" customHeight="1" x14ac:dyDescent="0.3">
      <c r="A1035" t="s">
        <v>2076</v>
      </c>
      <c r="B1035" t="s">
        <v>371</v>
      </c>
      <c r="C1035">
        <v>3.99</v>
      </c>
      <c r="D1035">
        <v>4.53</v>
      </c>
      <c r="E1035">
        <v>3.53</v>
      </c>
      <c r="F1035">
        <v>3.66</v>
      </c>
      <c r="G1035">
        <v>4.26</v>
      </c>
      <c r="H1035">
        <v>4.55</v>
      </c>
      <c r="I1035">
        <v>3.98</v>
      </c>
      <c r="J1035">
        <v>3.65</v>
      </c>
      <c r="K1035">
        <v>3.41</v>
      </c>
      <c r="L1035">
        <v>4.13</v>
      </c>
      <c r="M1035">
        <f t="shared" si="32"/>
        <v>3.9939999999999998</v>
      </c>
      <c r="N1035">
        <f t="shared" si="33"/>
        <v>3.944</v>
      </c>
    </row>
    <row r="1036" spans="1:14" ht="14.25" customHeight="1" x14ac:dyDescent="0.3">
      <c r="A1036" t="s">
        <v>2077</v>
      </c>
      <c r="B1036" t="s">
        <v>316</v>
      </c>
      <c r="C1036">
        <v>4</v>
      </c>
      <c r="D1036">
        <v>4.5199999999999996</v>
      </c>
      <c r="E1036">
        <v>4.46</v>
      </c>
      <c r="F1036">
        <v>3.98</v>
      </c>
      <c r="G1036">
        <v>4.0599999999999996</v>
      </c>
      <c r="H1036">
        <v>4.1500000000000004</v>
      </c>
      <c r="I1036">
        <v>3.66</v>
      </c>
      <c r="J1036">
        <v>4.0999999999999996</v>
      </c>
      <c r="K1036">
        <v>3.95</v>
      </c>
      <c r="L1036">
        <v>3.51</v>
      </c>
      <c r="M1036">
        <f t="shared" si="32"/>
        <v>4.2039999999999997</v>
      </c>
      <c r="N1036">
        <f t="shared" si="33"/>
        <v>3.8739999999999997</v>
      </c>
    </row>
    <row r="1037" spans="1:14" ht="14.25" customHeight="1" x14ac:dyDescent="0.3">
      <c r="A1037" t="s">
        <v>2078</v>
      </c>
      <c r="B1037" t="s">
        <v>81</v>
      </c>
      <c r="C1037">
        <v>4.22</v>
      </c>
      <c r="D1037">
        <v>4.49</v>
      </c>
      <c r="E1037">
        <v>3.66</v>
      </c>
      <c r="F1037">
        <v>4.42</v>
      </c>
      <c r="G1037">
        <v>4.24</v>
      </c>
      <c r="H1037">
        <v>4.42</v>
      </c>
      <c r="I1037">
        <v>3.55</v>
      </c>
      <c r="J1037">
        <v>4.3899999999999997</v>
      </c>
      <c r="K1037">
        <v>3.98</v>
      </c>
      <c r="L1037">
        <v>4.26</v>
      </c>
      <c r="M1037">
        <f t="shared" si="32"/>
        <v>4.2060000000000004</v>
      </c>
      <c r="N1037">
        <f t="shared" si="33"/>
        <v>4.12</v>
      </c>
    </row>
    <row r="1038" spans="1:14" ht="14.25" customHeight="1" x14ac:dyDescent="0.3">
      <c r="A1038" t="s">
        <v>2079</v>
      </c>
      <c r="B1038" t="s">
        <v>247</v>
      </c>
      <c r="C1038">
        <v>4.37</v>
      </c>
      <c r="D1038">
        <v>3.74</v>
      </c>
      <c r="E1038">
        <v>3.9</v>
      </c>
      <c r="F1038">
        <v>3.94</v>
      </c>
      <c r="G1038">
        <v>4.26</v>
      </c>
      <c r="H1038">
        <v>4.5</v>
      </c>
      <c r="I1038">
        <v>3.56</v>
      </c>
      <c r="J1038">
        <v>3.56</v>
      </c>
      <c r="K1038">
        <v>4.03</v>
      </c>
      <c r="L1038">
        <v>3.96</v>
      </c>
      <c r="M1038">
        <f t="shared" si="32"/>
        <v>4.0419999999999998</v>
      </c>
      <c r="N1038">
        <f t="shared" si="33"/>
        <v>3.9220000000000006</v>
      </c>
    </row>
    <row r="1039" spans="1:14" ht="14.25" customHeight="1" x14ac:dyDescent="0.3">
      <c r="A1039" t="s">
        <v>2080</v>
      </c>
      <c r="B1039" t="s">
        <v>236</v>
      </c>
      <c r="C1039">
        <v>4</v>
      </c>
      <c r="D1039">
        <v>3.98</v>
      </c>
      <c r="E1039">
        <v>3.79</v>
      </c>
      <c r="F1039">
        <v>3.1</v>
      </c>
      <c r="G1039">
        <v>3.62</v>
      </c>
      <c r="H1039">
        <v>3.98</v>
      </c>
      <c r="I1039">
        <v>3.58</v>
      </c>
      <c r="J1039">
        <v>4.59</v>
      </c>
      <c r="K1039">
        <v>3.63</v>
      </c>
      <c r="L1039">
        <v>4.41</v>
      </c>
      <c r="M1039">
        <f t="shared" si="32"/>
        <v>3.6979999999999995</v>
      </c>
      <c r="N1039">
        <f t="shared" si="33"/>
        <v>4.0380000000000003</v>
      </c>
    </row>
    <row r="1040" spans="1:14" ht="14.25" customHeight="1" x14ac:dyDescent="0.3">
      <c r="A1040" t="s">
        <v>2081</v>
      </c>
      <c r="B1040" t="s">
        <v>1307</v>
      </c>
      <c r="C1040">
        <v>4.13</v>
      </c>
      <c r="D1040">
        <v>3.97</v>
      </c>
      <c r="F1040">
        <v>4.62</v>
      </c>
      <c r="G1040">
        <v>4.1100000000000003</v>
      </c>
      <c r="H1040">
        <v>3.85</v>
      </c>
      <c r="I1040">
        <v>3.83</v>
      </c>
      <c r="J1040">
        <v>4.26</v>
      </c>
      <c r="K1040">
        <v>3.34</v>
      </c>
      <c r="L1040">
        <v>3.54</v>
      </c>
      <c r="M1040">
        <f t="shared" si="32"/>
        <v>4.2074999999999996</v>
      </c>
      <c r="N1040">
        <f t="shared" si="33"/>
        <v>3.7640000000000002</v>
      </c>
    </row>
    <row r="1041" spans="1:14" ht="14.25" customHeight="1" x14ac:dyDescent="0.3">
      <c r="A1041" t="s">
        <v>2082</v>
      </c>
      <c r="B1041" t="s">
        <v>1946</v>
      </c>
      <c r="C1041">
        <v>4.01</v>
      </c>
      <c r="D1041">
        <v>3.98</v>
      </c>
      <c r="E1041">
        <v>3.91</v>
      </c>
      <c r="F1041">
        <v>3.91</v>
      </c>
      <c r="G1041">
        <v>3.85</v>
      </c>
      <c r="H1041">
        <v>4.32</v>
      </c>
      <c r="I1041">
        <v>4.12</v>
      </c>
      <c r="J1041">
        <v>4.05</v>
      </c>
      <c r="K1041">
        <v>4.45</v>
      </c>
      <c r="L1041">
        <v>3.98</v>
      </c>
      <c r="M1041">
        <f t="shared" si="32"/>
        <v>3.9319999999999999</v>
      </c>
      <c r="N1041">
        <f t="shared" si="33"/>
        <v>4.1840000000000002</v>
      </c>
    </row>
    <row r="1042" spans="1:14" ht="14.25" customHeight="1" x14ac:dyDescent="0.3">
      <c r="A1042" t="s">
        <v>2083</v>
      </c>
      <c r="B1042" t="s">
        <v>350</v>
      </c>
      <c r="C1042">
        <v>3.94</v>
      </c>
      <c r="D1042">
        <v>4.08</v>
      </c>
      <c r="E1042">
        <v>3.49</v>
      </c>
      <c r="F1042">
        <v>4.1900000000000004</v>
      </c>
      <c r="G1042">
        <v>4</v>
      </c>
      <c r="H1042">
        <v>3.73</v>
      </c>
      <c r="J1042">
        <v>3.57</v>
      </c>
      <c r="K1042">
        <v>3.96</v>
      </c>
      <c r="L1042">
        <v>4</v>
      </c>
      <c r="M1042">
        <f t="shared" si="32"/>
        <v>3.94</v>
      </c>
      <c r="N1042">
        <f t="shared" si="33"/>
        <v>3.8149999999999999</v>
      </c>
    </row>
    <row r="1043" spans="1:14" ht="14.25" customHeight="1" x14ac:dyDescent="0.3">
      <c r="A1043" t="s">
        <v>2084</v>
      </c>
      <c r="B1043" t="s">
        <v>731</v>
      </c>
      <c r="C1043">
        <v>4.5999999999999996</v>
      </c>
      <c r="D1043">
        <v>3.86</v>
      </c>
      <c r="E1043">
        <v>4.68</v>
      </c>
      <c r="F1043">
        <v>3.87</v>
      </c>
      <c r="G1043">
        <v>4.21</v>
      </c>
      <c r="H1043">
        <v>3.66</v>
      </c>
      <c r="I1043">
        <v>3.76</v>
      </c>
      <c r="J1043">
        <v>3.27</v>
      </c>
      <c r="K1043">
        <v>3.54</v>
      </c>
      <c r="L1043">
        <v>3.84</v>
      </c>
      <c r="M1043">
        <f t="shared" si="32"/>
        <v>4.2439999999999998</v>
      </c>
      <c r="N1043">
        <f t="shared" si="33"/>
        <v>3.6139999999999999</v>
      </c>
    </row>
    <row r="1044" spans="1:14" ht="14.25" customHeight="1" x14ac:dyDescent="0.3">
      <c r="A1044" t="s">
        <v>2085</v>
      </c>
      <c r="B1044" t="s">
        <v>310</v>
      </c>
      <c r="C1044">
        <v>4.1500000000000004</v>
      </c>
      <c r="D1044">
        <v>4.1500000000000004</v>
      </c>
      <c r="E1044">
        <v>3.39</v>
      </c>
      <c r="F1044">
        <v>4.72</v>
      </c>
      <c r="G1044">
        <v>3.76</v>
      </c>
      <c r="H1044">
        <v>3.94</v>
      </c>
      <c r="I1044">
        <v>4.32</v>
      </c>
      <c r="J1044">
        <v>4.3899999999999997</v>
      </c>
      <c r="K1044">
        <v>3.98</v>
      </c>
      <c r="L1044">
        <v>4.0999999999999996</v>
      </c>
      <c r="M1044">
        <f t="shared" si="32"/>
        <v>4.0340000000000007</v>
      </c>
      <c r="N1044">
        <f t="shared" si="33"/>
        <v>4.145999999999999</v>
      </c>
    </row>
    <row r="1045" spans="1:14" ht="14.25" customHeight="1" x14ac:dyDescent="0.3">
      <c r="A1045" t="s">
        <v>2086</v>
      </c>
      <c r="B1045" t="s">
        <v>1470</v>
      </c>
      <c r="C1045">
        <v>4.3099999999999996</v>
      </c>
      <c r="D1045">
        <v>3.67</v>
      </c>
      <c r="E1045">
        <v>4.26</v>
      </c>
      <c r="F1045">
        <v>4.16</v>
      </c>
      <c r="G1045">
        <v>4.4000000000000004</v>
      </c>
      <c r="I1045">
        <v>4.28</v>
      </c>
      <c r="J1045">
        <v>4.18</v>
      </c>
      <c r="K1045">
        <v>4.58</v>
      </c>
      <c r="L1045">
        <v>3.8</v>
      </c>
      <c r="M1045">
        <f t="shared" si="32"/>
        <v>4.1599999999999993</v>
      </c>
      <c r="N1045">
        <f t="shared" si="33"/>
        <v>4.21</v>
      </c>
    </row>
    <row r="1046" spans="1:14" ht="14.25" customHeight="1" x14ac:dyDescent="0.3">
      <c r="A1046" t="s">
        <v>2087</v>
      </c>
      <c r="B1046" t="s">
        <v>73</v>
      </c>
      <c r="C1046">
        <v>4.26</v>
      </c>
      <c r="D1046">
        <v>4.08</v>
      </c>
      <c r="E1046">
        <v>3.75</v>
      </c>
      <c r="F1046">
        <v>4.6100000000000003</v>
      </c>
      <c r="G1046">
        <v>4.3</v>
      </c>
      <c r="H1046">
        <v>4</v>
      </c>
      <c r="I1046">
        <v>3.85</v>
      </c>
      <c r="J1046">
        <v>3.8</v>
      </c>
      <c r="K1046">
        <v>4.4400000000000004</v>
      </c>
      <c r="L1046">
        <v>4</v>
      </c>
      <c r="M1046">
        <f t="shared" si="32"/>
        <v>4.2</v>
      </c>
      <c r="N1046">
        <f t="shared" si="33"/>
        <v>4.0179999999999998</v>
      </c>
    </row>
    <row r="1047" spans="1:14" ht="14.25" customHeight="1" x14ac:dyDescent="0.3">
      <c r="A1047" t="s">
        <v>2088</v>
      </c>
      <c r="B1047" t="s">
        <v>77</v>
      </c>
      <c r="C1047">
        <v>4.22</v>
      </c>
      <c r="D1047">
        <v>3.93</v>
      </c>
      <c r="E1047">
        <v>4.38</v>
      </c>
      <c r="F1047">
        <v>4.1399999999999997</v>
      </c>
      <c r="G1047">
        <v>3.47</v>
      </c>
      <c r="H1047">
        <v>3.98</v>
      </c>
      <c r="I1047">
        <v>3.76</v>
      </c>
      <c r="J1047">
        <v>3.35</v>
      </c>
      <c r="K1047">
        <v>4.03</v>
      </c>
      <c r="L1047">
        <v>3.84</v>
      </c>
      <c r="M1047">
        <f t="shared" si="32"/>
        <v>4.0280000000000005</v>
      </c>
      <c r="N1047">
        <f t="shared" si="33"/>
        <v>3.7920000000000003</v>
      </c>
    </row>
    <row r="1048" spans="1:14" ht="14.25" customHeight="1" x14ac:dyDescent="0.3">
      <c r="A1048" t="s">
        <v>2089</v>
      </c>
      <c r="B1048" t="s">
        <v>100</v>
      </c>
      <c r="C1048">
        <v>3.98</v>
      </c>
      <c r="D1048">
        <v>4.08</v>
      </c>
      <c r="E1048">
        <v>3.8</v>
      </c>
      <c r="F1048">
        <v>4.46</v>
      </c>
      <c r="G1048">
        <v>3.89</v>
      </c>
      <c r="H1048">
        <v>4.16</v>
      </c>
      <c r="I1048">
        <v>3.89</v>
      </c>
      <c r="J1048">
        <v>4.08</v>
      </c>
      <c r="K1048">
        <v>4</v>
      </c>
      <c r="L1048">
        <v>4</v>
      </c>
      <c r="M1048">
        <f t="shared" si="32"/>
        <v>4.0419999999999998</v>
      </c>
      <c r="N1048">
        <f t="shared" si="33"/>
        <v>4.0260000000000007</v>
      </c>
    </row>
    <row r="1049" spans="1:14" ht="14.25" customHeight="1" x14ac:dyDescent="0.3">
      <c r="A1049" t="s">
        <v>2090</v>
      </c>
      <c r="B1049" t="s">
        <v>302</v>
      </c>
      <c r="C1049">
        <v>4.0599999999999996</v>
      </c>
      <c r="D1049">
        <v>4.21</v>
      </c>
      <c r="E1049">
        <v>3.88</v>
      </c>
      <c r="F1049">
        <v>4.0999999999999996</v>
      </c>
      <c r="G1049">
        <v>4.78</v>
      </c>
      <c r="H1049">
        <v>4.29</v>
      </c>
      <c r="I1049">
        <v>4.2699999999999996</v>
      </c>
      <c r="J1049">
        <v>3.8</v>
      </c>
      <c r="K1049">
        <v>4.72</v>
      </c>
      <c r="L1049">
        <v>3.89</v>
      </c>
      <c r="M1049">
        <f t="shared" si="32"/>
        <v>4.2060000000000004</v>
      </c>
      <c r="N1049">
        <f t="shared" si="33"/>
        <v>4.194</v>
      </c>
    </row>
    <row r="1050" spans="1:14" ht="14.25" customHeight="1" x14ac:dyDescent="0.3">
      <c r="A1050" t="s">
        <v>2091</v>
      </c>
      <c r="B1050" t="s">
        <v>1352</v>
      </c>
      <c r="C1050">
        <v>4.3099999999999996</v>
      </c>
      <c r="D1050">
        <v>3.49</v>
      </c>
      <c r="E1050">
        <v>4.08</v>
      </c>
      <c r="F1050">
        <v>4.0999999999999996</v>
      </c>
      <c r="G1050">
        <v>4.2699999999999996</v>
      </c>
      <c r="H1050">
        <v>4.21</v>
      </c>
      <c r="I1050">
        <v>3.74</v>
      </c>
      <c r="J1050">
        <v>3.98</v>
      </c>
      <c r="K1050">
        <v>4.53</v>
      </c>
      <c r="L1050">
        <v>4.3</v>
      </c>
      <c r="M1050">
        <f t="shared" si="32"/>
        <v>4.05</v>
      </c>
      <c r="N1050">
        <f t="shared" si="33"/>
        <v>4.1520000000000001</v>
      </c>
    </row>
    <row r="1051" spans="1:14" ht="14.25" customHeight="1" x14ac:dyDescent="0.3">
      <c r="A1051" t="s">
        <v>2092</v>
      </c>
      <c r="B1051" t="s">
        <v>1334</v>
      </c>
      <c r="C1051">
        <v>4.53</v>
      </c>
      <c r="E1051">
        <v>3.84</v>
      </c>
      <c r="F1051">
        <v>4.0599999999999996</v>
      </c>
      <c r="G1051">
        <v>4.79</v>
      </c>
      <c r="H1051">
        <v>4.4000000000000004</v>
      </c>
      <c r="J1051">
        <v>4.28</v>
      </c>
      <c r="K1051">
        <v>3.98</v>
      </c>
      <c r="L1051">
        <v>3.95</v>
      </c>
      <c r="M1051">
        <f t="shared" si="32"/>
        <v>4.3049999999999997</v>
      </c>
      <c r="N1051">
        <f t="shared" si="33"/>
        <v>4.1524999999999999</v>
      </c>
    </row>
  </sheetData>
  <conditionalFormatting sqref="B1">
    <cfRule type="cellIs" dxfId="58" priority="2" operator="equal">
      <formula>"N/A"</formula>
    </cfRule>
    <cfRule type="cellIs" dxfId="57" priority="3" operator="equal">
      <formula>"NA"</formula>
    </cfRule>
  </conditionalFormatting>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051"/>
  <sheetViews>
    <sheetView topLeftCell="E1" zoomScaleNormal="100" workbookViewId="0">
      <selection activeCell="G11" sqref="G11"/>
    </sheetView>
  </sheetViews>
  <sheetFormatPr defaultColWidth="8.6640625" defaultRowHeight="14.4" x14ac:dyDescent="0.3"/>
  <cols>
    <col min="1" max="1" width="9.88671875" customWidth="1"/>
    <col min="2" max="2" width="20" customWidth="1"/>
    <col min="3" max="3" width="25.33203125" customWidth="1"/>
    <col min="4" max="4" width="26" customWidth="1"/>
    <col min="5" max="5" width="28.109375" customWidth="1"/>
    <col min="6" max="6" width="26.21875" customWidth="1"/>
    <col min="7" max="7" width="30" customWidth="1"/>
    <col min="8" max="8" width="21.5546875" customWidth="1"/>
    <col min="9" max="9" width="25.109375" customWidth="1"/>
    <col min="10" max="10" width="27.33203125" customWidth="1"/>
    <col min="11" max="11" width="25.44140625" customWidth="1"/>
    <col min="12" max="12" width="29.109375" customWidth="1"/>
    <col min="13" max="13" width="20.88671875" customWidth="1"/>
    <col min="14" max="14" width="27.21875" customWidth="1"/>
    <col min="15" max="15" width="20.109375" customWidth="1"/>
  </cols>
  <sheetData>
    <row r="1" spans="1:15" ht="15" customHeight="1" x14ac:dyDescent="0.3">
      <c r="A1" s="3" t="s">
        <v>0</v>
      </c>
      <c r="B1" s="2" t="s">
        <v>1</v>
      </c>
      <c r="C1" s="2" t="s">
        <v>2</v>
      </c>
      <c r="D1" s="2" t="s">
        <v>3</v>
      </c>
      <c r="E1" s="2" t="s">
        <v>4</v>
      </c>
      <c r="F1" s="2" t="s">
        <v>5</v>
      </c>
      <c r="G1" s="2" t="s">
        <v>6</v>
      </c>
      <c r="H1" s="2" t="s">
        <v>7</v>
      </c>
      <c r="I1" s="2" t="s">
        <v>8</v>
      </c>
      <c r="J1" s="2" t="s">
        <v>9</v>
      </c>
      <c r="K1" s="2" t="s">
        <v>10</v>
      </c>
      <c r="L1" s="2" t="s">
        <v>11</v>
      </c>
      <c r="M1" s="2" t="s">
        <v>12</v>
      </c>
      <c r="N1" s="2" t="s">
        <v>2093</v>
      </c>
      <c r="O1" s="2" t="s">
        <v>13</v>
      </c>
    </row>
    <row r="2" spans="1:15" ht="15" customHeight="1" x14ac:dyDescent="0.3">
      <c r="A2" t="s">
        <v>14</v>
      </c>
      <c r="B2" t="s">
        <v>2094</v>
      </c>
      <c r="C2">
        <v>4.04</v>
      </c>
      <c r="D2">
        <v>3.81</v>
      </c>
      <c r="E2">
        <v>4.1500000000000004</v>
      </c>
      <c r="F2">
        <v>4.16</v>
      </c>
      <c r="G2">
        <v>4.03</v>
      </c>
      <c r="H2">
        <v>3.65</v>
      </c>
      <c r="I2">
        <v>3.98</v>
      </c>
      <c r="J2">
        <v>4.01</v>
      </c>
      <c r="K2">
        <v>4.24</v>
      </c>
      <c r="L2">
        <v>4.18</v>
      </c>
      <c r="M2">
        <f t="shared" ref="M2:M65" si="0">AVERAGE(C2:G2)</f>
        <v>4.0380000000000003</v>
      </c>
      <c r="N2">
        <f t="shared" ref="N2:N65" si="1">ROUND(M2,2)</f>
        <v>4.04</v>
      </c>
      <c r="O2">
        <f t="shared" ref="O2:O65" si="2">AVERAGE(H2:L2)</f>
        <v>4.0120000000000005</v>
      </c>
    </row>
    <row r="3" spans="1:15" ht="15" customHeight="1" x14ac:dyDescent="0.3">
      <c r="A3" t="s">
        <v>16</v>
      </c>
      <c r="B3" t="s">
        <v>17</v>
      </c>
      <c r="C3">
        <v>3.58</v>
      </c>
      <c r="D3">
        <v>3.86</v>
      </c>
      <c r="E3">
        <v>3.95</v>
      </c>
      <c r="F3">
        <v>3.73</v>
      </c>
      <c r="G3">
        <v>3.8</v>
      </c>
      <c r="H3">
        <v>4.13</v>
      </c>
      <c r="I3">
        <v>4.42</v>
      </c>
      <c r="J3">
        <v>3.65</v>
      </c>
      <c r="K3">
        <v>4.2300000000000004</v>
      </c>
      <c r="L3">
        <v>4.33</v>
      </c>
      <c r="M3">
        <f t="shared" si="0"/>
        <v>3.7840000000000003</v>
      </c>
      <c r="N3">
        <f t="shared" si="1"/>
        <v>3.78</v>
      </c>
      <c r="O3">
        <f t="shared" si="2"/>
        <v>4.1519999999999992</v>
      </c>
    </row>
    <row r="4" spans="1:15" ht="15" customHeight="1" x14ac:dyDescent="0.3">
      <c r="A4" t="s">
        <v>18</v>
      </c>
      <c r="B4" t="s">
        <v>19</v>
      </c>
      <c r="C4">
        <v>4.17</v>
      </c>
      <c r="D4">
        <v>4.58</v>
      </c>
      <c r="E4">
        <v>4.3</v>
      </c>
      <c r="F4">
        <v>4.24</v>
      </c>
      <c r="G4">
        <v>3.86</v>
      </c>
      <c r="H4">
        <v>4.28</v>
      </c>
      <c r="I4">
        <v>4.04</v>
      </c>
      <c r="J4">
        <v>4.1399999999999997</v>
      </c>
      <c r="K4">
        <v>3.89</v>
      </c>
      <c r="L4">
        <v>4.09</v>
      </c>
      <c r="M4">
        <f t="shared" si="0"/>
        <v>4.2299999999999995</v>
      </c>
      <c r="N4">
        <f t="shared" si="1"/>
        <v>4.2300000000000004</v>
      </c>
      <c r="O4">
        <f t="shared" si="2"/>
        <v>4.0880000000000001</v>
      </c>
    </row>
    <row r="5" spans="1:15" ht="15" customHeight="1" x14ac:dyDescent="0.3">
      <c r="A5" t="s">
        <v>20</v>
      </c>
      <c r="B5" t="s">
        <v>2095</v>
      </c>
      <c r="C5">
        <v>3.48</v>
      </c>
      <c r="D5">
        <v>3.86</v>
      </c>
      <c r="E5">
        <v>3.58</v>
      </c>
      <c r="F5">
        <v>3.62</v>
      </c>
      <c r="G5">
        <v>3.61</v>
      </c>
      <c r="H5">
        <v>3.82</v>
      </c>
      <c r="I5">
        <v>4.2699999999999996</v>
      </c>
      <c r="J5">
        <v>4.12</v>
      </c>
      <c r="K5">
        <v>4.0199999999999996</v>
      </c>
      <c r="L5">
        <v>4.18</v>
      </c>
      <c r="M5">
        <f t="shared" si="0"/>
        <v>3.63</v>
      </c>
      <c r="N5">
        <f t="shared" si="1"/>
        <v>3.63</v>
      </c>
      <c r="O5">
        <f t="shared" si="2"/>
        <v>4.0819999999999999</v>
      </c>
    </row>
    <row r="6" spans="1:15" ht="15" customHeight="1" x14ac:dyDescent="0.3">
      <c r="A6" t="s">
        <v>22</v>
      </c>
      <c r="B6" t="s">
        <v>23</v>
      </c>
      <c r="C6">
        <v>3.79</v>
      </c>
      <c r="D6">
        <v>4.29</v>
      </c>
      <c r="E6">
        <v>4.1500000000000004</v>
      </c>
      <c r="F6">
        <v>3.89</v>
      </c>
      <c r="G6">
        <v>3.76</v>
      </c>
      <c r="H6">
        <v>4.43</v>
      </c>
      <c r="I6">
        <v>3.91</v>
      </c>
      <c r="J6">
        <v>3.59</v>
      </c>
      <c r="K6">
        <v>4.46</v>
      </c>
      <c r="L6">
        <v>4.25</v>
      </c>
      <c r="M6">
        <f t="shared" si="0"/>
        <v>3.9760000000000004</v>
      </c>
      <c r="N6">
        <f t="shared" si="1"/>
        <v>3.98</v>
      </c>
      <c r="O6">
        <f t="shared" si="2"/>
        <v>4.1280000000000001</v>
      </c>
    </row>
    <row r="7" spans="1:15" ht="15" customHeight="1" x14ac:dyDescent="0.3">
      <c r="A7" t="s">
        <v>24</v>
      </c>
      <c r="B7" t="s">
        <v>2096</v>
      </c>
      <c r="C7">
        <v>4.21</v>
      </c>
      <c r="D7">
        <v>4.32</v>
      </c>
      <c r="E7">
        <v>4.51</v>
      </c>
      <c r="F7">
        <v>4.0199999999999996</v>
      </c>
      <c r="G7">
        <v>3.59</v>
      </c>
      <c r="H7">
        <v>3.88</v>
      </c>
      <c r="I7">
        <v>4.3499999999999996</v>
      </c>
      <c r="J7">
        <v>3.59</v>
      </c>
      <c r="K7">
        <v>4.0599999999999996</v>
      </c>
      <c r="L7">
        <v>4.13</v>
      </c>
      <c r="M7">
        <f t="shared" si="0"/>
        <v>4.1300000000000008</v>
      </c>
      <c r="N7">
        <f t="shared" si="1"/>
        <v>4.13</v>
      </c>
      <c r="O7">
        <f t="shared" si="2"/>
        <v>4.0019999999999998</v>
      </c>
    </row>
    <row r="8" spans="1:15" ht="15" customHeight="1" x14ac:dyDescent="0.3">
      <c r="A8" t="s">
        <v>26</v>
      </c>
      <c r="B8" t="s">
        <v>27</v>
      </c>
      <c r="C8">
        <v>4.03</v>
      </c>
      <c r="D8">
        <v>4.2699999999999996</v>
      </c>
      <c r="E8">
        <v>4.66</v>
      </c>
      <c r="F8">
        <v>3.82</v>
      </c>
      <c r="G8">
        <v>3.87</v>
      </c>
      <c r="H8">
        <v>4.4800000000000004</v>
      </c>
      <c r="I8">
        <v>3.49</v>
      </c>
      <c r="J8">
        <v>4.4800000000000004</v>
      </c>
      <c r="K8">
        <v>3.81</v>
      </c>
      <c r="L8">
        <v>4.1100000000000003</v>
      </c>
      <c r="M8">
        <f t="shared" si="0"/>
        <v>4.1300000000000008</v>
      </c>
      <c r="N8">
        <f t="shared" si="1"/>
        <v>4.13</v>
      </c>
      <c r="O8">
        <f t="shared" si="2"/>
        <v>4.0739999999999998</v>
      </c>
    </row>
    <row r="9" spans="1:15" ht="15" customHeight="1" x14ac:dyDescent="0.3">
      <c r="A9" t="s">
        <v>28</v>
      </c>
      <c r="B9" t="s">
        <v>2097</v>
      </c>
      <c r="C9">
        <v>4.0199999999999996</v>
      </c>
      <c r="D9">
        <v>4.47</v>
      </c>
      <c r="E9">
        <v>4.3099999999999996</v>
      </c>
      <c r="F9">
        <v>3.86</v>
      </c>
      <c r="G9">
        <v>4.26</v>
      </c>
      <c r="H9">
        <v>5.14</v>
      </c>
      <c r="I9">
        <v>3.91</v>
      </c>
      <c r="J9">
        <v>4.04</v>
      </c>
      <c r="K9">
        <v>4.2</v>
      </c>
      <c r="L9">
        <v>4.09</v>
      </c>
      <c r="M9">
        <f t="shared" si="0"/>
        <v>4.1839999999999993</v>
      </c>
      <c r="N9">
        <f t="shared" si="1"/>
        <v>4.18</v>
      </c>
      <c r="O9">
        <f t="shared" si="2"/>
        <v>4.2759999999999998</v>
      </c>
    </row>
    <row r="10" spans="1:15" ht="15" customHeight="1" x14ac:dyDescent="0.3">
      <c r="A10" t="s">
        <v>30</v>
      </c>
      <c r="B10" t="s">
        <v>31</v>
      </c>
      <c r="C10">
        <v>3.79</v>
      </c>
      <c r="D10">
        <v>3.87</v>
      </c>
      <c r="E10">
        <v>3.75</v>
      </c>
      <c r="F10">
        <v>3.85</v>
      </c>
      <c r="G10">
        <v>4.05</v>
      </c>
      <c r="H10">
        <v>4.46</v>
      </c>
      <c r="I10">
        <v>4.5</v>
      </c>
      <c r="J10">
        <v>3.88</v>
      </c>
      <c r="K10">
        <v>4.55</v>
      </c>
      <c r="L10">
        <v>4.49</v>
      </c>
      <c r="M10">
        <f t="shared" si="0"/>
        <v>3.8619999999999997</v>
      </c>
      <c r="N10">
        <f t="shared" si="1"/>
        <v>3.86</v>
      </c>
      <c r="O10">
        <f t="shared" si="2"/>
        <v>4.3760000000000003</v>
      </c>
    </row>
    <row r="11" spans="1:15" ht="15" customHeight="1" x14ac:dyDescent="0.3">
      <c r="A11" t="s">
        <v>32</v>
      </c>
      <c r="B11" t="s">
        <v>2098</v>
      </c>
      <c r="C11">
        <v>4.3099999999999996</v>
      </c>
      <c r="D11">
        <v>4.2699999999999996</v>
      </c>
      <c r="E11">
        <v>3.29</v>
      </c>
      <c r="F11">
        <v>4.28</v>
      </c>
      <c r="G11">
        <v>4.2300000000000004</v>
      </c>
      <c r="H11">
        <v>3.87</v>
      </c>
      <c r="I11">
        <v>3.85</v>
      </c>
      <c r="J11">
        <v>4.05</v>
      </c>
      <c r="K11">
        <v>4.5999999999999996</v>
      </c>
      <c r="L11">
        <v>3.71</v>
      </c>
      <c r="M11">
        <f t="shared" si="0"/>
        <v>4.0759999999999996</v>
      </c>
      <c r="N11">
        <f t="shared" si="1"/>
        <v>4.08</v>
      </c>
      <c r="O11">
        <f t="shared" si="2"/>
        <v>4.016</v>
      </c>
    </row>
    <row r="12" spans="1:15" ht="15" customHeight="1" x14ac:dyDescent="0.3">
      <c r="A12" t="s">
        <v>34</v>
      </c>
      <c r="B12" t="s">
        <v>2099</v>
      </c>
      <c r="C12">
        <v>3.91</v>
      </c>
      <c r="D12">
        <v>3.93</v>
      </c>
      <c r="E12">
        <v>4.08</v>
      </c>
      <c r="F12">
        <v>3.65</v>
      </c>
      <c r="G12">
        <v>4.12</v>
      </c>
      <c r="H12">
        <v>3.66</v>
      </c>
      <c r="I12">
        <v>4.33</v>
      </c>
      <c r="J12">
        <v>4.05</v>
      </c>
      <c r="K12">
        <v>4.78</v>
      </c>
      <c r="L12">
        <v>4.1399999999999997</v>
      </c>
      <c r="M12">
        <f t="shared" si="0"/>
        <v>3.9380000000000002</v>
      </c>
      <c r="N12">
        <f t="shared" si="1"/>
        <v>3.94</v>
      </c>
      <c r="O12">
        <f t="shared" si="2"/>
        <v>4.1920000000000002</v>
      </c>
    </row>
    <row r="13" spans="1:15" ht="15" customHeight="1" x14ac:dyDescent="0.3">
      <c r="A13" t="s">
        <v>36</v>
      </c>
      <c r="B13" t="s">
        <v>2100</v>
      </c>
      <c r="C13">
        <v>4.66</v>
      </c>
      <c r="D13">
        <v>4.28</v>
      </c>
      <c r="E13">
        <v>4.18</v>
      </c>
      <c r="F13">
        <v>4.01</v>
      </c>
      <c r="G13">
        <v>3.93</v>
      </c>
      <c r="H13">
        <v>4.0599999999999996</v>
      </c>
      <c r="I13">
        <v>4.09</v>
      </c>
      <c r="J13">
        <v>3.51</v>
      </c>
      <c r="K13">
        <v>4.3</v>
      </c>
      <c r="L13">
        <v>4.3099999999999996</v>
      </c>
      <c r="M13">
        <f t="shared" si="0"/>
        <v>4.2120000000000006</v>
      </c>
      <c r="N13">
        <f t="shared" si="1"/>
        <v>4.21</v>
      </c>
      <c r="O13">
        <f t="shared" si="2"/>
        <v>4.0539999999999994</v>
      </c>
    </row>
    <row r="14" spans="1:15" ht="15" customHeight="1" x14ac:dyDescent="0.3">
      <c r="A14" t="s">
        <v>38</v>
      </c>
      <c r="B14" t="s">
        <v>2101</v>
      </c>
      <c r="C14">
        <v>3.99</v>
      </c>
      <c r="D14">
        <v>4.7</v>
      </c>
      <c r="E14">
        <v>3.85</v>
      </c>
      <c r="F14">
        <v>4.1500000000000004</v>
      </c>
      <c r="G14">
        <v>3.55</v>
      </c>
      <c r="H14">
        <v>3.92</v>
      </c>
      <c r="I14">
        <v>4.13</v>
      </c>
      <c r="J14" t="s">
        <v>211</v>
      </c>
      <c r="K14">
        <v>4.51</v>
      </c>
      <c r="L14">
        <v>4.04</v>
      </c>
      <c r="M14">
        <f t="shared" si="0"/>
        <v>4.048</v>
      </c>
      <c r="N14">
        <f t="shared" si="1"/>
        <v>4.05</v>
      </c>
      <c r="O14">
        <f t="shared" si="2"/>
        <v>4.1500000000000004</v>
      </c>
    </row>
    <row r="15" spans="1:15" ht="15" customHeight="1" x14ac:dyDescent="0.3">
      <c r="A15" t="s">
        <v>40</v>
      </c>
      <c r="B15" t="s">
        <v>2102</v>
      </c>
      <c r="C15">
        <v>3.82</v>
      </c>
      <c r="D15">
        <v>4.12</v>
      </c>
      <c r="E15">
        <v>4.1100000000000003</v>
      </c>
      <c r="F15">
        <v>4.08</v>
      </c>
      <c r="G15">
        <v>3.65</v>
      </c>
      <c r="H15">
        <v>3.91</v>
      </c>
      <c r="I15">
        <v>4.55</v>
      </c>
      <c r="J15">
        <v>4.07</v>
      </c>
      <c r="K15">
        <v>4.16</v>
      </c>
      <c r="L15">
        <v>4.09</v>
      </c>
      <c r="M15">
        <f t="shared" si="0"/>
        <v>3.9560000000000004</v>
      </c>
      <c r="N15">
        <f t="shared" si="1"/>
        <v>3.96</v>
      </c>
      <c r="O15">
        <f t="shared" si="2"/>
        <v>4.1560000000000006</v>
      </c>
    </row>
    <row r="16" spans="1:15" ht="15" customHeight="1" x14ac:dyDescent="0.3">
      <c r="A16" t="s">
        <v>42</v>
      </c>
      <c r="B16" t="s">
        <v>2103</v>
      </c>
      <c r="C16">
        <v>4.26</v>
      </c>
      <c r="D16">
        <v>4.1500000000000004</v>
      </c>
      <c r="E16">
        <v>3.94</v>
      </c>
      <c r="F16">
        <v>3.86</v>
      </c>
      <c r="G16">
        <v>4.55</v>
      </c>
      <c r="H16">
        <v>4.5999999999999996</v>
      </c>
      <c r="I16">
        <v>3.72</v>
      </c>
      <c r="J16">
        <v>3.89</v>
      </c>
      <c r="K16">
        <v>4.18</v>
      </c>
      <c r="L16">
        <v>3.48</v>
      </c>
      <c r="M16">
        <f t="shared" si="0"/>
        <v>4.1520000000000001</v>
      </c>
      <c r="N16">
        <f t="shared" si="1"/>
        <v>4.1500000000000004</v>
      </c>
      <c r="O16">
        <f t="shared" si="2"/>
        <v>3.9740000000000002</v>
      </c>
    </row>
    <row r="17" spans="1:15" ht="15" customHeight="1" x14ac:dyDescent="0.3">
      <c r="A17" t="s">
        <v>44</v>
      </c>
      <c r="B17" t="s">
        <v>2104</v>
      </c>
      <c r="C17" t="s">
        <v>211</v>
      </c>
      <c r="D17">
        <v>4.24</v>
      </c>
      <c r="E17">
        <v>3.73</v>
      </c>
      <c r="F17">
        <v>4.22</v>
      </c>
      <c r="G17">
        <v>3.99</v>
      </c>
      <c r="H17">
        <v>3.58</v>
      </c>
      <c r="I17">
        <v>4.1900000000000004</v>
      </c>
      <c r="J17">
        <v>4.04</v>
      </c>
      <c r="K17">
        <v>3.81</v>
      </c>
      <c r="L17">
        <v>4.22</v>
      </c>
      <c r="M17">
        <f t="shared" si="0"/>
        <v>4.0449999999999999</v>
      </c>
      <c r="N17">
        <f t="shared" si="1"/>
        <v>4.05</v>
      </c>
      <c r="O17">
        <f t="shared" si="2"/>
        <v>3.968</v>
      </c>
    </row>
    <row r="18" spans="1:15" ht="15" customHeight="1" x14ac:dyDescent="0.3">
      <c r="A18" t="s">
        <v>46</v>
      </c>
      <c r="B18" t="s">
        <v>2105</v>
      </c>
      <c r="C18">
        <v>4.1900000000000004</v>
      </c>
      <c r="D18">
        <v>4.42</v>
      </c>
      <c r="E18">
        <v>4.18</v>
      </c>
      <c r="F18">
        <v>4.21</v>
      </c>
      <c r="G18">
        <v>3.42</v>
      </c>
      <c r="H18">
        <v>4.2</v>
      </c>
      <c r="I18">
        <v>4.57</v>
      </c>
      <c r="J18">
        <v>4.32</v>
      </c>
      <c r="K18">
        <v>4.1399999999999997</v>
      </c>
      <c r="L18">
        <v>3.94</v>
      </c>
      <c r="M18">
        <f t="shared" si="0"/>
        <v>4.0840000000000005</v>
      </c>
      <c r="N18">
        <f t="shared" si="1"/>
        <v>4.08</v>
      </c>
      <c r="O18">
        <f t="shared" si="2"/>
        <v>4.234</v>
      </c>
    </row>
    <row r="19" spans="1:15" ht="15" customHeight="1" x14ac:dyDescent="0.3">
      <c r="A19" t="s">
        <v>48</v>
      </c>
      <c r="B19" t="s">
        <v>2106</v>
      </c>
      <c r="C19">
        <v>4.7699999999999996</v>
      </c>
      <c r="D19">
        <v>3.91</v>
      </c>
      <c r="E19">
        <v>4.16</v>
      </c>
      <c r="F19">
        <v>3.89</v>
      </c>
      <c r="G19">
        <v>3.83</v>
      </c>
      <c r="H19">
        <v>4.07</v>
      </c>
      <c r="I19">
        <v>3.96</v>
      </c>
      <c r="J19">
        <v>4.1100000000000003</v>
      </c>
      <c r="K19">
        <v>3.38</v>
      </c>
      <c r="L19">
        <v>4.6900000000000004</v>
      </c>
      <c r="M19">
        <f t="shared" si="0"/>
        <v>4.1120000000000001</v>
      </c>
      <c r="N19">
        <f t="shared" si="1"/>
        <v>4.1100000000000003</v>
      </c>
      <c r="O19">
        <f t="shared" si="2"/>
        <v>4.0419999999999998</v>
      </c>
    </row>
    <row r="20" spans="1:15" ht="15" customHeight="1" x14ac:dyDescent="0.3">
      <c r="A20" t="s">
        <v>50</v>
      </c>
      <c r="B20" t="s">
        <v>51</v>
      </c>
      <c r="C20">
        <v>3.94</v>
      </c>
      <c r="D20">
        <v>4.53</v>
      </c>
      <c r="E20">
        <v>3.98</v>
      </c>
      <c r="F20">
        <v>3.49</v>
      </c>
      <c r="G20">
        <v>3.86</v>
      </c>
      <c r="H20">
        <v>3.74</v>
      </c>
      <c r="I20">
        <v>4.13</v>
      </c>
      <c r="J20">
        <v>4.26</v>
      </c>
      <c r="K20">
        <v>4.54</v>
      </c>
      <c r="L20">
        <v>4.24</v>
      </c>
      <c r="M20">
        <f t="shared" si="0"/>
        <v>3.96</v>
      </c>
      <c r="N20">
        <f t="shared" si="1"/>
        <v>3.96</v>
      </c>
      <c r="O20">
        <f t="shared" si="2"/>
        <v>4.1819999999999995</v>
      </c>
    </row>
    <row r="21" spans="1:15" ht="15" customHeight="1" x14ac:dyDescent="0.3">
      <c r="A21" t="s">
        <v>52</v>
      </c>
      <c r="B21" t="s">
        <v>2107</v>
      </c>
      <c r="C21">
        <v>4.45</v>
      </c>
      <c r="D21">
        <v>4.2</v>
      </c>
      <c r="E21">
        <v>3.42</v>
      </c>
      <c r="F21">
        <v>4.04</v>
      </c>
      <c r="G21">
        <v>4.5</v>
      </c>
      <c r="H21" t="s">
        <v>211</v>
      </c>
      <c r="I21">
        <v>4.2300000000000004</v>
      </c>
      <c r="J21">
        <v>4.1500000000000004</v>
      </c>
      <c r="K21">
        <v>3.65</v>
      </c>
      <c r="L21">
        <v>3.78</v>
      </c>
      <c r="M21">
        <f t="shared" si="0"/>
        <v>4.1219999999999999</v>
      </c>
      <c r="N21">
        <f t="shared" si="1"/>
        <v>4.12</v>
      </c>
      <c r="O21">
        <f t="shared" si="2"/>
        <v>3.9525000000000001</v>
      </c>
    </row>
    <row r="22" spans="1:15" ht="15" customHeight="1" x14ac:dyDescent="0.3">
      <c r="A22" t="s">
        <v>54</v>
      </c>
      <c r="B22" t="s">
        <v>2108</v>
      </c>
      <c r="C22">
        <v>4.54</v>
      </c>
      <c r="D22">
        <v>4.51</v>
      </c>
      <c r="E22">
        <v>4.0599999999999996</v>
      </c>
      <c r="F22">
        <v>4.4800000000000004</v>
      </c>
      <c r="G22">
        <v>3.81</v>
      </c>
      <c r="H22">
        <v>3.82</v>
      </c>
      <c r="I22">
        <v>3.71</v>
      </c>
      <c r="J22">
        <v>3.85</v>
      </c>
      <c r="K22">
        <v>4.25</v>
      </c>
      <c r="L22">
        <v>3.96</v>
      </c>
      <c r="M22">
        <f t="shared" si="0"/>
        <v>4.2799999999999994</v>
      </c>
      <c r="N22">
        <f t="shared" si="1"/>
        <v>4.28</v>
      </c>
      <c r="O22">
        <f t="shared" si="2"/>
        <v>3.9180000000000001</v>
      </c>
    </row>
    <row r="23" spans="1:15" ht="15" customHeight="1" x14ac:dyDescent="0.3">
      <c r="A23" t="s">
        <v>56</v>
      </c>
      <c r="B23" t="s">
        <v>57</v>
      </c>
      <c r="C23" t="s">
        <v>211</v>
      </c>
      <c r="D23">
        <v>4.22</v>
      </c>
      <c r="E23">
        <v>3.83</v>
      </c>
      <c r="F23">
        <v>3.77</v>
      </c>
      <c r="G23">
        <v>4.7300000000000004</v>
      </c>
      <c r="H23">
        <v>3.73</v>
      </c>
      <c r="I23">
        <v>4.5</v>
      </c>
      <c r="J23">
        <v>4.08</v>
      </c>
      <c r="K23">
        <v>3.91</v>
      </c>
      <c r="L23">
        <v>3.99</v>
      </c>
      <c r="M23">
        <f t="shared" si="0"/>
        <v>4.1375000000000002</v>
      </c>
      <c r="N23">
        <f t="shared" si="1"/>
        <v>4.1399999999999997</v>
      </c>
      <c r="O23">
        <f t="shared" si="2"/>
        <v>4.0419999999999998</v>
      </c>
    </row>
    <row r="24" spans="1:15" ht="15" customHeight="1" x14ac:dyDescent="0.3">
      <c r="A24" t="s">
        <v>58</v>
      </c>
      <c r="B24" t="s">
        <v>2109</v>
      </c>
      <c r="C24">
        <v>3.88</v>
      </c>
      <c r="D24">
        <v>4.04</v>
      </c>
      <c r="E24">
        <v>3.98</v>
      </c>
      <c r="F24">
        <v>4.1500000000000004</v>
      </c>
      <c r="G24">
        <v>4.0599999999999996</v>
      </c>
      <c r="H24">
        <v>4.3099999999999996</v>
      </c>
      <c r="I24">
        <v>3.68</v>
      </c>
      <c r="J24">
        <v>4.2</v>
      </c>
      <c r="K24">
        <v>3.75</v>
      </c>
      <c r="L24">
        <v>4.92</v>
      </c>
      <c r="M24">
        <f t="shared" si="0"/>
        <v>4.0220000000000002</v>
      </c>
      <c r="N24">
        <f t="shared" si="1"/>
        <v>4.0199999999999996</v>
      </c>
      <c r="O24">
        <f t="shared" si="2"/>
        <v>4.1719999999999997</v>
      </c>
    </row>
    <row r="25" spans="1:15" ht="15" customHeight="1" x14ac:dyDescent="0.3">
      <c r="A25" t="s">
        <v>60</v>
      </c>
      <c r="B25" t="s">
        <v>2110</v>
      </c>
      <c r="C25">
        <v>3.85</v>
      </c>
      <c r="D25">
        <v>3.7</v>
      </c>
      <c r="E25">
        <v>4.1900000000000004</v>
      </c>
      <c r="F25">
        <v>3.99</v>
      </c>
      <c r="G25">
        <v>4.2300000000000004</v>
      </c>
      <c r="H25">
        <v>3.88</v>
      </c>
      <c r="I25">
        <v>4.46</v>
      </c>
      <c r="J25" t="s">
        <v>211</v>
      </c>
      <c r="K25">
        <v>4.2</v>
      </c>
      <c r="L25">
        <v>4.2699999999999996</v>
      </c>
      <c r="M25">
        <f t="shared" si="0"/>
        <v>3.992</v>
      </c>
      <c r="N25">
        <f t="shared" si="1"/>
        <v>3.99</v>
      </c>
      <c r="O25">
        <f t="shared" si="2"/>
        <v>4.2024999999999997</v>
      </c>
    </row>
    <row r="26" spans="1:15" ht="15" customHeight="1" x14ac:dyDescent="0.3">
      <c r="A26" t="s">
        <v>62</v>
      </c>
      <c r="B26" t="s">
        <v>63</v>
      </c>
      <c r="C26">
        <v>4.18</v>
      </c>
      <c r="D26">
        <v>4.4800000000000004</v>
      </c>
      <c r="E26">
        <v>4.0199999999999996</v>
      </c>
      <c r="F26">
        <v>4.42</v>
      </c>
      <c r="G26">
        <v>4.5599999999999996</v>
      </c>
      <c r="H26">
        <v>3.7</v>
      </c>
      <c r="I26">
        <v>4.33</v>
      </c>
      <c r="J26">
        <v>4.2300000000000004</v>
      </c>
      <c r="K26">
        <v>4.05</v>
      </c>
      <c r="L26">
        <v>4.08</v>
      </c>
      <c r="M26">
        <f t="shared" si="0"/>
        <v>4.3319999999999999</v>
      </c>
      <c r="N26">
        <f t="shared" si="1"/>
        <v>4.33</v>
      </c>
      <c r="O26">
        <f t="shared" si="2"/>
        <v>4.0780000000000003</v>
      </c>
    </row>
    <row r="27" spans="1:15" ht="15" customHeight="1" x14ac:dyDescent="0.3">
      <c r="A27" t="s">
        <v>64</v>
      </c>
      <c r="B27" t="s">
        <v>2111</v>
      </c>
      <c r="C27">
        <v>4.2300000000000004</v>
      </c>
      <c r="D27">
        <v>4.34</v>
      </c>
      <c r="E27">
        <v>3.94</v>
      </c>
      <c r="F27">
        <v>3.66</v>
      </c>
      <c r="G27">
        <v>4.6399999999999997</v>
      </c>
      <c r="H27">
        <v>4.55</v>
      </c>
      <c r="I27">
        <v>3.98</v>
      </c>
      <c r="J27">
        <v>3.88</v>
      </c>
      <c r="K27">
        <v>4.3499999999999996</v>
      </c>
      <c r="L27">
        <v>4.12</v>
      </c>
      <c r="M27">
        <f t="shared" si="0"/>
        <v>4.1620000000000008</v>
      </c>
      <c r="N27">
        <f t="shared" si="1"/>
        <v>4.16</v>
      </c>
      <c r="O27">
        <f t="shared" si="2"/>
        <v>4.1760000000000002</v>
      </c>
    </row>
    <row r="28" spans="1:15" ht="15" customHeight="1" x14ac:dyDescent="0.3">
      <c r="A28" t="s">
        <v>66</v>
      </c>
      <c r="B28" t="s">
        <v>2112</v>
      </c>
      <c r="C28">
        <v>3.97</v>
      </c>
      <c r="D28">
        <v>4.09</v>
      </c>
      <c r="E28">
        <v>3.56</v>
      </c>
      <c r="F28">
        <v>4.6100000000000003</v>
      </c>
      <c r="G28">
        <v>4.1399999999999997</v>
      </c>
      <c r="H28">
        <v>4.03</v>
      </c>
      <c r="I28">
        <v>3.75</v>
      </c>
      <c r="J28">
        <v>4.43</v>
      </c>
      <c r="K28">
        <v>3.9</v>
      </c>
      <c r="L28">
        <v>3.79</v>
      </c>
      <c r="M28">
        <f t="shared" si="0"/>
        <v>4.0739999999999998</v>
      </c>
      <c r="N28">
        <f t="shared" si="1"/>
        <v>4.07</v>
      </c>
      <c r="O28">
        <f t="shared" si="2"/>
        <v>3.9799999999999995</v>
      </c>
    </row>
    <row r="29" spans="1:15" ht="15" customHeight="1" x14ac:dyDescent="0.3">
      <c r="A29" t="s">
        <v>68</v>
      </c>
      <c r="B29" t="s">
        <v>2113</v>
      </c>
      <c r="C29">
        <v>4.58</v>
      </c>
      <c r="D29">
        <v>3.96</v>
      </c>
      <c r="E29">
        <v>4.26</v>
      </c>
      <c r="F29">
        <v>3.94</v>
      </c>
      <c r="G29">
        <v>4.3499999999999996</v>
      </c>
      <c r="H29">
        <v>4.54</v>
      </c>
      <c r="I29">
        <v>4.2</v>
      </c>
      <c r="J29">
        <v>4.3499999999999996</v>
      </c>
      <c r="K29">
        <v>4.3600000000000003</v>
      </c>
      <c r="L29">
        <v>4.71</v>
      </c>
      <c r="M29">
        <f t="shared" si="0"/>
        <v>4.2179999999999991</v>
      </c>
      <c r="N29">
        <f t="shared" si="1"/>
        <v>4.22</v>
      </c>
      <c r="O29">
        <f t="shared" si="2"/>
        <v>4.4320000000000004</v>
      </c>
    </row>
    <row r="30" spans="1:15" ht="15" customHeight="1" x14ac:dyDescent="0.3">
      <c r="A30" t="s">
        <v>70</v>
      </c>
      <c r="B30" t="s">
        <v>2114</v>
      </c>
      <c r="C30">
        <v>3.99</v>
      </c>
      <c r="D30">
        <v>4.6100000000000003</v>
      </c>
      <c r="E30" t="s">
        <v>211</v>
      </c>
      <c r="F30">
        <v>4.46</v>
      </c>
      <c r="G30" t="s">
        <v>211</v>
      </c>
      <c r="H30">
        <v>3.87</v>
      </c>
      <c r="I30">
        <v>4.1900000000000004</v>
      </c>
      <c r="J30">
        <v>3.73</v>
      </c>
      <c r="K30">
        <v>3.86</v>
      </c>
      <c r="L30">
        <v>4.59</v>
      </c>
      <c r="M30">
        <f t="shared" si="0"/>
        <v>4.3533333333333344</v>
      </c>
      <c r="N30">
        <f t="shared" si="1"/>
        <v>4.3499999999999996</v>
      </c>
      <c r="O30">
        <f t="shared" si="2"/>
        <v>4.048</v>
      </c>
    </row>
    <row r="31" spans="1:15" ht="15" customHeight="1" x14ac:dyDescent="0.3">
      <c r="A31" t="s">
        <v>72</v>
      </c>
      <c r="B31" t="s">
        <v>73</v>
      </c>
      <c r="C31">
        <v>4.26</v>
      </c>
      <c r="D31">
        <v>4.08</v>
      </c>
      <c r="E31">
        <v>3.75</v>
      </c>
      <c r="F31">
        <v>4.6100000000000003</v>
      </c>
      <c r="G31">
        <v>4.3</v>
      </c>
      <c r="H31">
        <v>4</v>
      </c>
      <c r="I31">
        <v>3.85</v>
      </c>
      <c r="J31">
        <v>3.8</v>
      </c>
      <c r="K31">
        <v>4.4400000000000004</v>
      </c>
      <c r="L31">
        <v>4</v>
      </c>
      <c r="M31">
        <f t="shared" si="0"/>
        <v>4.2</v>
      </c>
      <c r="N31">
        <f t="shared" si="1"/>
        <v>4.2</v>
      </c>
      <c r="O31">
        <f t="shared" si="2"/>
        <v>4.0179999999999998</v>
      </c>
    </row>
    <row r="32" spans="1:15" ht="15" customHeight="1" x14ac:dyDescent="0.3">
      <c r="A32" t="s">
        <v>74</v>
      </c>
      <c r="B32" t="s">
        <v>2115</v>
      </c>
      <c r="C32">
        <v>4.2300000000000004</v>
      </c>
      <c r="D32">
        <v>3.88</v>
      </c>
      <c r="E32">
        <v>3.25</v>
      </c>
      <c r="F32">
        <v>3.61</v>
      </c>
      <c r="G32">
        <v>4.47</v>
      </c>
      <c r="H32">
        <v>4.1500000000000004</v>
      </c>
      <c r="I32">
        <v>3.73</v>
      </c>
      <c r="J32">
        <v>4.51</v>
      </c>
      <c r="K32">
        <v>3.2</v>
      </c>
      <c r="L32">
        <v>4.41</v>
      </c>
      <c r="M32">
        <f t="shared" si="0"/>
        <v>3.8879999999999995</v>
      </c>
      <c r="N32">
        <f t="shared" si="1"/>
        <v>3.89</v>
      </c>
      <c r="O32">
        <f t="shared" si="2"/>
        <v>4</v>
      </c>
    </row>
    <row r="33" spans="1:15" ht="15" customHeight="1" x14ac:dyDescent="0.3">
      <c r="A33" t="s">
        <v>76</v>
      </c>
      <c r="B33" t="s">
        <v>2116</v>
      </c>
      <c r="C33">
        <v>4.22</v>
      </c>
      <c r="D33">
        <v>3.93</v>
      </c>
      <c r="E33">
        <v>4.38</v>
      </c>
      <c r="F33">
        <v>4.1399999999999997</v>
      </c>
      <c r="G33">
        <v>3.47</v>
      </c>
      <c r="H33">
        <v>3.98</v>
      </c>
      <c r="I33">
        <v>3.76</v>
      </c>
      <c r="J33">
        <v>3.35</v>
      </c>
      <c r="K33">
        <v>4.03</v>
      </c>
      <c r="L33">
        <v>3.84</v>
      </c>
      <c r="M33">
        <f t="shared" si="0"/>
        <v>4.0280000000000005</v>
      </c>
      <c r="N33">
        <f t="shared" si="1"/>
        <v>4.03</v>
      </c>
      <c r="O33">
        <f t="shared" si="2"/>
        <v>3.7920000000000003</v>
      </c>
    </row>
    <row r="34" spans="1:15" ht="15" customHeight="1" x14ac:dyDescent="0.3">
      <c r="A34" t="s">
        <v>78</v>
      </c>
      <c r="B34" t="s">
        <v>79</v>
      </c>
      <c r="C34">
        <v>4.7300000000000004</v>
      </c>
      <c r="D34">
        <v>3.82</v>
      </c>
      <c r="E34">
        <v>3.71</v>
      </c>
      <c r="F34">
        <v>3.72</v>
      </c>
      <c r="G34">
        <v>4.54</v>
      </c>
      <c r="H34">
        <v>4.53</v>
      </c>
      <c r="I34">
        <v>3.58</v>
      </c>
      <c r="J34">
        <v>4.03</v>
      </c>
      <c r="K34">
        <v>3.82</v>
      </c>
      <c r="L34">
        <v>4.49</v>
      </c>
      <c r="M34">
        <f t="shared" si="0"/>
        <v>4.104000000000001</v>
      </c>
      <c r="N34">
        <f t="shared" si="1"/>
        <v>4.0999999999999996</v>
      </c>
      <c r="O34">
        <f t="shared" si="2"/>
        <v>4.0900000000000007</v>
      </c>
    </row>
    <row r="35" spans="1:15" ht="15" customHeight="1" x14ac:dyDescent="0.3">
      <c r="A35" t="s">
        <v>80</v>
      </c>
      <c r="B35" t="s">
        <v>81</v>
      </c>
      <c r="C35">
        <v>4.22</v>
      </c>
      <c r="D35">
        <v>4.49</v>
      </c>
      <c r="E35">
        <v>3.66</v>
      </c>
      <c r="F35">
        <v>4.42</v>
      </c>
      <c r="G35">
        <v>4.24</v>
      </c>
      <c r="H35">
        <v>4.42</v>
      </c>
      <c r="I35">
        <v>3.55</v>
      </c>
      <c r="J35">
        <v>4.3899999999999997</v>
      </c>
      <c r="K35">
        <v>3.98</v>
      </c>
      <c r="L35">
        <v>4.26</v>
      </c>
      <c r="M35">
        <f t="shared" si="0"/>
        <v>4.2060000000000004</v>
      </c>
      <c r="N35">
        <f t="shared" si="1"/>
        <v>4.21</v>
      </c>
      <c r="O35">
        <f t="shared" si="2"/>
        <v>4.12</v>
      </c>
    </row>
    <row r="36" spans="1:15" ht="15" customHeight="1" x14ac:dyDescent="0.3">
      <c r="A36" t="s">
        <v>82</v>
      </c>
      <c r="B36" t="s">
        <v>83</v>
      </c>
      <c r="C36">
        <v>3.71</v>
      </c>
      <c r="D36">
        <v>4.13</v>
      </c>
      <c r="E36">
        <v>4.13</v>
      </c>
      <c r="F36">
        <v>4.4000000000000004</v>
      </c>
      <c r="G36">
        <v>4.51</v>
      </c>
      <c r="H36">
        <v>3.72</v>
      </c>
      <c r="I36">
        <v>4.12</v>
      </c>
      <c r="J36">
        <v>4.17</v>
      </c>
      <c r="K36">
        <v>3.6</v>
      </c>
      <c r="L36">
        <v>4.01</v>
      </c>
      <c r="M36">
        <f t="shared" si="0"/>
        <v>4.1759999999999993</v>
      </c>
      <c r="N36">
        <f t="shared" si="1"/>
        <v>4.18</v>
      </c>
      <c r="O36">
        <f t="shared" si="2"/>
        <v>3.9239999999999995</v>
      </c>
    </row>
    <row r="37" spans="1:15" ht="15" customHeight="1" x14ac:dyDescent="0.3">
      <c r="A37" t="s">
        <v>84</v>
      </c>
      <c r="B37" t="s">
        <v>2117</v>
      </c>
      <c r="C37">
        <v>4.2699999999999996</v>
      </c>
      <c r="D37" t="s">
        <v>86</v>
      </c>
      <c r="E37">
        <v>3.94</v>
      </c>
      <c r="F37">
        <v>3.85</v>
      </c>
      <c r="G37">
        <v>4.07</v>
      </c>
      <c r="H37">
        <v>4.12</v>
      </c>
      <c r="I37">
        <v>4.0599999999999996</v>
      </c>
      <c r="J37">
        <v>4.41</v>
      </c>
      <c r="K37">
        <v>4.12</v>
      </c>
      <c r="L37">
        <v>3.95</v>
      </c>
      <c r="M37">
        <f t="shared" si="0"/>
        <v>4.0324999999999998</v>
      </c>
      <c r="N37">
        <f t="shared" si="1"/>
        <v>4.03</v>
      </c>
      <c r="O37">
        <f t="shared" si="2"/>
        <v>4.1319999999999997</v>
      </c>
    </row>
    <row r="38" spans="1:15" ht="15" customHeight="1" x14ac:dyDescent="0.3">
      <c r="A38" t="s">
        <v>87</v>
      </c>
      <c r="B38" t="s">
        <v>88</v>
      </c>
      <c r="C38">
        <v>3.99</v>
      </c>
      <c r="D38">
        <v>3.74</v>
      </c>
      <c r="E38">
        <v>3.9</v>
      </c>
      <c r="F38">
        <v>4.16</v>
      </c>
      <c r="G38">
        <v>3.79</v>
      </c>
      <c r="H38">
        <v>3.43</v>
      </c>
      <c r="I38">
        <v>4.4800000000000004</v>
      </c>
      <c r="J38">
        <v>3.54</v>
      </c>
      <c r="K38">
        <v>4.09</v>
      </c>
      <c r="L38">
        <v>3.83</v>
      </c>
      <c r="M38">
        <f t="shared" si="0"/>
        <v>3.9160000000000004</v>
      </c>
      <c r="N38">
        <f t="shared" si="1"/>
        <v>3.92</v>
      </c>
      <c r="O38">
        <f t="shared" si="2"/>
        <v>3.8739999999999997</v>
      </c>
    </row>
    <row r="39" spans="1:15" ht="15" customHeight="1" x14ac:dyDescent="0.3">
      <c r="A39" t="s">
        <v>89</v>
      </c>
      <c r="B39" t="s">
        <v>2118</v>
      </c>
      <c r="C39">
        <v>4.28</v>
      </c>
      <c r="D39">
        <v>4.13</v>
      </c>
      <c r="E39">
        <v>4.25</v>
      </c>
      <c r="F39">
        <v>3.76</v>
      </c>
      <c r="G39">
        <v>4.2</v>
      </c>
      <c r="H39">
        <v>3.6</v>
      </c>
      <c r="I39">
        <v>4.4800000000000004</v>
      </c>
      <c r="J39">
        <v>4.0199999999999996</v>
      </c>
      <c r="K39">
        <v>4.6900000000000004</v>
      </c>
      <c r="L39">
        <v>3.84</v>
      </c>
      <c r="M39">
        <f t="shared" si="0"/>
        <v>4.1240000000000006</v>
      </c>
      <c r="N39">
        <f t="shared" si="1"/>
        <v>4.12</v>
      </c>
      <c r="O39">
        <f t="shared" si="2"/>
        <v>4.1259999999999994</v>
      </c>
    </row>
    <row r="40" spans="1:15" ht="15" customHeight="1" x14ac:dyDescent="0.3">
      <c r="A40" t="s">
        <v>91</v>
      </c>
      <c r="B40" t="s">
        <v>2119</v>
      </c>
      <c r="C40">
        <v>3.43</v>
      </c>
      <c r="D40">
        <v>4.3600000000000003</v>
      </c>
      <c r="E40">
        <v>3.87</v>
      </c>
      <c r="F40">
        <v>4.1100000000000003</v>
      </c>
      <c r="G40">
        <v>4.28</v>
      </c>
      <c r="H40">
        <v>3.78</v>
      </c>
      <c r="I40">
        <v>4.0599999999999996</v>
      </c>
      <c r="J40">
        <v>3.44</v>
      </c>
      <c r="K40">
        <v>3.96</v>
      </c>
      <c r="L40">
        <v>4.5999999999999996</v>
      </c>
      <c r="M40">
        <f t="shared" si="0"/>
        <v>4.01</v>
      </c>
      <c r="N40">
        <f t="shared" si="1"/>
        <v>4.01</v>
      </c>
      <c r="O40">
        <f t="shared" si="2"/>
        <v>3.9679999999999991</v>
      </c>
    </row>
    <row r="41" spans="1:15" ht="15" customHeight="1" x14ac:dyDescent="0.3">
      <c r="A41" t="s">
        <v>93</v>
      </c>
      <c r="B41" t="s">
        <v>94</v>
      </c>
      <c r="C41">
        <v>4.03</v>
      </c>
      <c r="D41">
        <v>4.18</v>
      </c>
      <c r="E41">
        <v>3.99</v>
      </c>
      <c r="F41">
        <v>4.3</v>
      </c>
      <c r="G41">
        <v>3.88</v>
      </c>
      <c r="H41">
        <v>4.41</v>
      </c>
      <c r="I41">
        <v>4.2</v>
      </c>
      <c r="J41">
        <v>4.2300000000000004</v>
      </c>
      <c r="K41">
        <v>3.88</v>
      </c>
      <c r="L41">
        <v>3.58</v>
      </c>
      <c r="M41">
        <f t="shared" si="0"/>
        <v>4.0759999999999996</v>
      </c>
      <c r="N41">
        <f t="shared" si="1"/>
        <v>4.08</v>
      </c>
      <c r="O41">
        <f t="shared" si="2"/>
        <v>4.0599999999999996</v>
      </c>
    </row>
    <row r="42" spans="1:15" ht="15" customHeight="1" x14ac:dyDescent="0.3">
      <c r="A42" t="s">
        <v>95</v>
      </c>
      <c r="B42" t="s">
        <v>2120</v>
      </c>
      <c r="C42">
        <v>3.72</v>
      </c>
      <c r="D42">
        <v>4.2699999999999996</v>
      </c>
      <c r="E42">
        <v>3.86</v>
      </c>
      <c r="F42">
        <v>4.16</v>
      </c>
      <c r="G42">
        <v>3.44</v>
      </c>
      <c r="H42">
        <v>4.38</v>
      </c>
      <c r="I42">
        <v>3.62</v>
      </c>
      <c r="J42">
        <v>3.8</v>
      </c>
      <c r="K42">
        <v>4.3899999999999997</v>
      </c>
      <c r="L42">
        <v>3.62</v>
      </c>
      <c r="M42">
        <f t="shared" si="0"/>
        <v>3.8899999999999997</v>
      </c>
      <c r="N42">
        <f t="shared" si="1"/>
        <v>3.89</v>
      </c>
      <c r="O42">
        <f t="shared" si="2"/>
        <v>3.9620000000000006</v>
      </c>
    </row>
    <row r="43" spans="1:15" ht="15" customHeight="1" x14ac:dyDescent="0.3">
      <c r="A43" t="s">
        <v>97</v>
      </c>
      <c r="B43" t="s">
        <v>98</v>
      </c>
      <c r="C43">
        <v>4.3499999999999996</v>
      </c>
      <c r="D43">
        <v>4.0599999999999996</v>
      </c>
      <c r="E43">
        <v>4.0599999999999996</v>
      </c>
      <c r="F43">
        <v>3.42</v>
      </c>
      <c r="G43">
        <v>4.37</v>
      </c>
      <c r="H43">
        <v>3.95</v>
      </c>
      <c r="I43">
        <v>4.04</v>
      </c>
      <c r="J43">
        <v>3.65</v>
      </c>
      <c r="K43">
        <v>3.87</v>
      </c>
      <c r="L43">
        <v>3.91</v>
      </c>
      <c r="M43">
        <f t="shared" si="0"/>
        <v>4.0519999999999996</v>
      </c>
      <c r="N43">
        <f t="shared" si="1"/>
        <v>4.05</v>
      </c>
      <c r="O43">
        <f t="shared" si="2"/>
        <v>3.8840000000000003</v>
      </c>
    </row>
    <row r="44" spans="1:15" ht="15" customHeight="1" x14ac:dyDescent="0.3">
      <c r="A44" t="s">
        <v>99</v>
      </c>
      <c r="B44" t="s">
        <v>2121</v>
      </c>
      <c r="C44">
        <v>3.98</v>
      </c>
      <c r="D44">
        <v>4.08</v>
      </c>
      <c r="E44">
        <v>3.8</v>
      </c>
      <c r="F44">
        <v>4.46</v>
      </c>
      <c r="G44">
        <v>3.89</v>
      </c>
      <c r="H44">
        <v>4.16</v>
      </c>
      <c r="I44">
        <v>3.89</v>
      </c>
      <c r="J44">
        <v>4.08</v>
      </c>
      <c r="K44">
        <v>4</v>
      </c>
      <c r="L44">
        <v>4</v>
      </c>
      <c r="M44">
        <f t="shared" si="0"/>
        <v>4.0419999999999998</v>
      </c>
      <c r="N44">
        <f t="shared" si="1"/>
        <v>4.04</v>
      </c>
      <c r="O44">
        <f t="shared" si="2"/>
        <v>4.0260000000000007</v>
      </c>
    </row>
    <row r="45" spans="1:15" ht="15" customHeight="1" x14ac:dyDescent="0.3">
      <c r="A45" t="s">
        <v>101</v>
      </c>
      <c r="B45" t="s">
        <v>2122</v>
      </c>
      <c r="C45">
        <v>4.34</v>
      </c>
      <c r="D45" t="s">
        <v>211</v>
      </c>
      <c r="E45">
        <v>4.1900000000000004</v>
      </c>
      <c r="F45">
        <v>3.9</v>
      </c>
      <c r="G45">
        <v>4.03</v>
      </c>
      <c r="H45">
        <v>4.33</v>
      </c>
      <c r="I45">
        <v>3.77</v>
      </c>
      <c r="J45">
        <v>4.13</v>
      </c>
      <c r="K45">
        <v>4.24</v>
      </c>
      <c r="L45">
        <v>3.87</v>
      </c>
      <c r="M45">
        <f t="shared" si="0"/>
        <v>4.1150000000000002</v>
      </c>
      <c r="N45">
        <f t="shared" si="1"/>
        <v>4.12</v>
      </c>
      <c r="O45">
        <f t="shared" si="2"/>
        <v>4.0679999999999996</v>
      </c>
    </row>
    <row r="46" spans="1:15" ht="15" customHeight="1" x14ac:dyDescent="0.3">
      <c r="A46" t="s">
        <v>103</v>
      </c>
      <c r="B46" t="s">
        <v>104</v>
      </c>
      <c r="C46">
        <v>4.2300000000000004</v>
      </c>
      <c r="D46">
        <v>3.74</v>
      </c>
      <c r="E46">
        <v>4.05</v>
      </c>
      <c r="F46">
        <v>3.95</v>
      </c>
      <c r="G46">
        <v>4.2699999999999996</v>
      </c>
      <c r="H46">
        <v>3.98</v>
      </c>
      <c r="I46">
        <v>4.78</v>
      </c>
      <c r="J46">
        <v>4.3899999999999997</v>
      </c>
      <c r="K46" t="s">
        <v>211</v>
      </c>
      <c r="L46">
        <v>4.07</v>
      </c>
      <c r="M46">
        <f t="shared" si="0"/>
        <v>4.048</v>
      </c>
      <c r="N46">
        <f t="shared" si="1"/>
        <v>4.05</v>
      </c>
      <c r="O46">
        <f t="shared" si="2"/>
        <v>4.3049999999999997</v>
      </c>
    </row>
    <row r="47" spans="1:15" ht="15" customHeight="1" x14ac:dyDescent="0.3">
      <c r="A47" t="s">
        <v>105</v>
      </c>
      <c r="B47" t="s">
        <v>2123</v>
      </c>
      <c r="C47">
        <v>4.29</v>
      </c>
      <c r="D47">
        <v>3.67</v>
      </c>
      <c r="E47">
        <v>4.08</v>
      </c>
      <c r="F47">
        <v>4.41</v>
      </c>
      <c r="G47">
        <v>4.6399999999999997</v>
      </c>
      <c r="H47">
        <v>4.5599999999999996</v>
      </c>
      <c r="I47">
        <v>3.81</v>
      </c>
      <c r="J47">
        <v>4.0999999999999996</v>
      </c>
      <c r="K47">
        <v>3.75</v>
      </c>
      <c r="L47">
        <v>4.37</v>
      </c>
      <c r="M47">
        <f t="shared" si="0"/>
        <v>4.218</v>
      </c>
      <c r="N47">
        <f t="shared" si="1"/>
        <v>4.22</v>
      </c>
      <c r="O47">
        <f t="shared" si="2"/>
        <v>4.1180000000000003</v>
      </c>
    </row>
    <row r="48" spans="1:15" ht="15" customHeight="1" x14ac:dyDescent="0.3">
      <c r="A48" t="s">
        <v>107</v>
      </c>
      <c r="B48" t="s">
        <v>2124</v>
      </c>
      <c r="C48">
        <v>4.2</v>
      </c>
      <c r="D48">
        <v>4.0199999999999996</v>
      </c>
      <c r="E48">
        <v>4.32</v>
      </c>
      <c r="F48">
        <v>4.09</v>
      </c>
      <c r="G48">
        <v>3.69</v>
      </c>
      <c r="H48">
        <v>3.33</v>
      </c>
      <c r="I48">
        <v>3.65</v>
      </c>
      <c r="J48">
        <v>4.3600000000000003</v>
      </c>
      <c r="K48">
        <v>4.49</v>
      </c>
      <c r="L48">
        <v>4.28</v>
      </c>
      <c r="M48">
        <f t="shared" si="0"/>
        <v>4.0640000000000001</v>
      </c>
      <c r="N48">
        <f t="shared" si="1"/>
        <v>4.0599999999999996</v>
      </c>
      <c r="O48">
        <f t="shared" si="2"/>
        <v>4.0220000000000002</v>
      </c>
    </row>
    <row r="49" spans="1:15" ht="15" customHeight="1" x14ac:dyDescent="0.3">
      <c r="A49" t="s">
        <v>109</v>
      </c>
      <c r="B49" t="s">
        <v>2125</v>
      </c>
      <c r="C49">
        <v>3.96</v>
      </c>
      <c r="D49">
        <v>3.79</v>
      </c>
      <c r="E49">
        <v>3.82</v>
      </c>
      <c r="F49">
        <v>3.52</v>
      </c>
      <c r="G49">
        <v>4.17</v>
      </c>
      <c r="H49">
        <v>3.65</v>
      </c>
      <c r="I49">
        <v>4.43</v>
      </c>
      <c r="J49">
        <v>4.1500000000000004</v>
      </c>
      <c r="K49" t="s">
        <v>211</v>
      </c>
      <c r="L49">
        <v>3.95</v>
      </c>
      <c r="M49">
        <f t="shared" si="0"/>
        <v>3.8519999999999994</v>
      </c>
      <c r="N49">
        <f t="shared" si="1"/>
        <v>3.85</v>
      </c>
      <c r="O49">
        <f t="shared" si="2"/>
        <v>4.0449999999999999</v>
      </c>
    </row>
    <row r="50" spans="1:15" ht="15" customHeight="1" x14ac:dyDescent="0.3">
      <c r="A50" t="s">
        <v>111</v>
      </c>
      <c r="B50" t="s">
        <v>112</v>
      </c>
      <c r="C50">
        <v>4.4000000000000004</v>
      </c>
      <c r="D50">
        <v>3.57</v>
      </c>
      <c r="E50">
        <v>4.6900000000000004</v>
      </c>
      <c r="F50">
        <v>4.55</v>
      </c>
      <c r="G50">
        <v>3.65</v>
      </c>
      <c r="H50">
        <v>3.6</v>
      </c>
      <c r="I50">
        <v>3.96</v>
      </c>
      <c r="J50">
        <v>3.72</v>
      </c>
      <c r="K50">
        <v>3.97</v>
      </c>
      <c r="L50">
        <v>3.22</v>
      </c>
      <c r="M50">
        <f t="shared" si="0"/>
        <v>4.1719999999999997</v>
      </c>
      <c r="N50">
        <f t="shared" si="1"/>
        <v>4.17</v>
      </c>
      <c r="O50">
        <f t="shared" si="2"/>
        <v>3.6940000000000004</v>
      </c>
    </row>
    <row r="51" spans="1:15" ht="15" customHeight="1" x14ac:dyDescent="0.3">
      <c r="A51" t="s">
        <v>113</v>
      </c>
      <c r="B51" t="s">
        <v>2126</v>
      </c>
      <c r="C51">
        <v>4.1100000000000003</v>
      </c>
      <c r="D51">
        <v>3.7</v>
      </c>
      <c r="E51">
        <v>4.25</v>
      </c>
      <c r="F51">
        <v>3.67</v>
      </c>
      <c r="G51">
        <v>3.94</v>
      </c>
      <c r="H51">
        <v>4.2699999999999996</v>
      </c>
      <c r="I51">
        <v>4.29</v>
      </c>
      <c r="J51">
        <v>3.95</v>
      </c>
      <c r="K51">
        <v>3.54</v>
      </c>
      <c r="L51">
        <v>4.21</v>
      </c>
      <c r="M51">
        <f t="shared" si="0"/>
        <v>3.9340000000000002</v>
      </c>
      <c r="N51">
        <f t="shared" si="1"/>
        <v>3.93</v>
      </c>
      <c r="O51">
        <f t="shared" si="2"/>
        <v>4.0519999999999996</v>
      </c>
    </row>
    <row r="52" spans="1:15" ht="15" customHeight="1" x14ac:dyDescent="0.3">
      <c r="A52" t="s">
        <v>115</v>
      </c>
      <c r="B52" t="s">
        <v>116</v>
      </c>
      <c r="C52">
        <v>3.86</v>
      </c>
      <c r="D52">
        <v>4.37</v>
      </c>
      <c r="E52">
        <v>3.88</v>
      </c>
      <c r="F52">
        <v>4.38</v>
      </c>
      <c r="G52">
        <v>3.9</v>
      </c>
      <c r="H52">
        <v>4.25</v>
      </c>
      <c r="I52">
        <v>3.97</v>
      </c>
      <c r="J52">
        <v>4.47</v>
      </c>
      <c r="K52">
        <v>4.3499999999999996</v>
      </c>
      <c r="L52">
        <v>3.77</v>
      </c>
      <c r="M52">
        <f t="shared" si="0"/>
        <v>4.0779999999999994</v>
      </c>
      <c r="N52">
        <f t="shared" si="1"/>
        <v>4.08</v>
      </c>
      <c r="O52">
        <f t="shared" si="2"/>
        <v>4.1619999999999999</v>
      </c>
    </row>
    <row r="53" spans="1:15" ht="15" customHeight="1" x14ac:dyDescent="0.3">
      <c r="A53" t="s">
        <v>117</v>
      </c>
      <c r="B53" t="s">
        <v>2127</v>
      </c>
      <c r="C53">
        <v>4.49</v>
      </c>
      <c r="D53">
        <v>4.3099999999999996</v>
      </c>
      <c r="E53">
        <v>3.51</v>
      </c>
      <c r="F53">
        <v>4.09</v>
      </c>
      <c r="G53">
        <v>3.88</v>
      </c>
      <c r="H53">
        <v>3.62</v>
      </c>
      <c r="I53">
        <v>3.48</v>
      </c>
      <c r="J53">
        <v>4.08</v>
      </c>
      <c r="K53">
        <v>4.24</v>
      </c>
      <c r="L53">
        <v>4.18</v>
      </c>
      <c r="M53">
        <f t="shared" si="0"/>
        <v>4.0559999999999992</v>
      </c>
      <c r="N53">
        <f t="shared" si="1"/>
        <v>4.0599999999999996</v>
      </c>
      <c r="O53">
        <f t="shared" si="2"/>
        <v>3.9200000000000004</v>
      </c>
    </row>
    <row r="54" spans="1:15" ht="15" customHeight="1" x14ac:dyDescent="0.3">
      <c r="A54" t="s">
        <v>119</v>
      </c>
      <c r="B54" t="s">
        <v>2128</v>
      </c>
      <c r="C54">
        <v>3.89</v>
      </c>
      <c r="D54">
        <v>3.79</v>
      </c>
      <c r="E54">
        <v>3.77</v>
      </c>
      <c r="F54">
        <v>3.95</v>
      </c>
      <c r="G54">
        <v>4.45</v>
      </c>
      <c r="H54">
        <v>4.04</v>
      </c>
      <c r="I54">
        <v>3.84</v>
      </c>
      <c r="J54">
        <v>4.33</v>
      </c>
      <c r="K54">
        <v>3.97</v>
      </c>
      <c r="L54">
        <v>4.2699999999999996</v>
      </c>
      <c r="M54">
        <f t="shared" si="0"/>
        <v>3.9699999999999998</v>
      </c>
      <c r="N54">
        <f t="shared" si="1"/>
        <v>3.97</v>
      </c>
      <c r="O54">
        <f t="shared" si="2"/>
        <v>4.09</v>
      </c>
    </row>
    <row r="55" spans="1:15" ht="15" customHeight="1" x14ac:dyDescent="0.3">
      <c r="A55" t="s">
        <v>121</v>
      </c>
      <c r="B55" t="s">
        <v>2129</v>
      </c>
      <c r="C55">
        <v>4.34</v>
      </c>
      <c r="D55">
        <v>4.32</v>
      </c>
      <c r="E55">
        <v>4.07</v>
      </c>
      <c r="F55">
        <v>3.85</v>
      </c>
      <c r="G55">
        <v>4.13</v>
      </c>
      <c r="H55">
        <v>4.41</v>
      </c>
      <c r="I55">
        <v>3.91</v>
      </c>
      <c r="J55">
        <v>3.18</v>
      </c>
      <c r="K55">
        <v>3.79</v>
      </c>
      <c r="L55">
        <v>4.01</v>
      </c>
      <c r="M55">
        <f t="shared" si="0"/>
        <v>4.1420000000000003</v>
      </c>
      <c r="N55">
        <f t="shared" si="1"/>
        <v>4.1399999999999997</v>
      </c>
      <c r="O55">
        <f t="shared" si="2"/>
        <v>3.8599999999999994</v>
      </c>
    </row>
    <row r="56" spans="1:15" ht="15" customHeight="1" x14ac:dyDescent="0.3">
      <c r="A56" t="s">
        <v>123</v>
      </c>
      <c r="B56" t="s">
        <v>2130</v>
      </c>
      <c r="C56">
        <v>3.96</v>
      </c>
      <c r="D56">
        <v>4.34</v>
      </c>
      <c r="E56">
        <v>3.89</v>
      </c>
      <c r="F56">
        <v>4.53</v>
      </c>
      <c r="G56">
        <v>4.12</v>
      </c>
      <c r="H56">
        <v>4.12</v>
      </c>
      <c r="I56">
        <v>4.3</v>
      </c>
      <c r="J56">
        <v>4.1399999999999997</v>
      </c>
      <c r="K56">
        <v>4.4800000000000004</v>
      </c>
      <c r="L56">
        <v>3.89</v>
      </c>
      <c r="M56">
        <f t="shared" si="0"/>
        <v>4.168000000000001</v>
      </c>
      <c r="N56">
        <f t="shared" si="1"/>
        <v>4.17</v>
      </c>
      <c r="O56">
        <f t="shared" si="2"/>
        <v>4.1859999999999999</v>
      </c>
    </row>
    <row r="57" spans="1:15" ht="15" customHeight="1" x14ac:dyDescent="0.3">
      <c r="A57" t="s">
        <v>125</v>
      </c>
      <c r="B57" t="s">
        <v>126</v>
      </c>
      <c r="C57">
        <v>4.34</v>
      </c>
      <c r="D57">
        <v>3.75</v>
      </c>
      <c r="E57">
        <v>3.71</v>
      </c>
      <c r="F57">
        <v>4.12</v>
      </c>
      <c r="G57">
        <v>4.09</v>
      </c>
      <c r="H57">
        <v>4.1500000000000004</v>
      </c>
      <c r="I57">
        <v>4.3899999999999997</v>
      </c>
      <c r="J57">
        <v>3.92</v>
      </c>
      <c r="K57">
        <v>4.1900000000000004</v>
      </c>
      <c r="L57">
        <v>3.76</v>
      </c>
      <c r="M57">
        <f t="shared" si="0"/>
        <v>4.0020000000000007</v>
      </c>
      <c r="N57">
        <f t="shared" si="1"/>
        <v>4</v>
      </c>
      <c r="O57">
        <f t="shared" si="2"/>
        <v>4.081999999999999</v>
      </c>
    </row>
    <row r="58" spans="1:15" ht="15" customHeight="1" x14ac:dyDescent="0.3">
      <c r="A58" t="s">
        <v>127</v>
      </c>
      <c r="B58" t="s">
        <v>2131</v>
      </c>
      <c r="C58">
        <v>4.3899999999999997</v>
      </c>
      <c r="D58">
        <v>4.53</v>
      </c>
      <c r="E58">
        <v>4.18</v>
      </c>
      <c r="F58">
        <v>4.01</v>
      </c>
      <c r="G58">
        <v>4.05</v>
      </c>
      <c r="H58">
        <v>4.46</v>
      </c>
      <c r="I58">
        <v>3.68</v>
      </c>
      <c r="J58">
        <v>4.2699999999999996</v>
      </c>
      <c r="K58">
        <v>3.64</v>
      </c>
      <c r="L58">
        <v>3.68</v>
      </c>
      <c r="M58">
        <f t="shared" si="0"/>
        <v>4.2320000000000002</v>
      </c>
      <c r="N58">
        <f t="shared" si="1"/>
        <v>4.2300000000000004</v>
      </c>
      <c r="O58">
        <f t="shared" si="2"/>
        <v>3.9460000000000002</v>
      </c>
    </row>
    <row r="59" spans="1:15" ht="15" customHeight="1" x14ac:dyDescent="0.3">
      <c r="A59" t="s">
        <v>129</v>
      </c>
      <c r="B59" t="s">
        <v>2132</v>
      </c>
      <c r="C59">
        <v>4.28</v>
      </c>
      <c r="D59">
        <v>3.9</v>
      </c>
      <c r="E59">
        <v>3.76</v>
      </c>
      <c r="F59">
        <v>3.87</v>
      </c>
      <c r="G59">
        <v>3.95</v>
      </c>
      <c r="H59">
        <v>4</v>
      </c>
      <c r="I59">
        <v>4.1900000000000004</v>
      </c>
      <c r="J59">
        <v>4.01</v>
      </c>
      <c r="K59">
        <v>4.09</v>
      </c>
      <c r="L59">
        <v>3.6</v>
      </c>
      <c r="M59">
        <f t="shared" si="0"/>
        <v>3.9519999999999995</v>
      </c>
      <c r="N59">
        <f t="shared" si="1"/>
        <v>3.95</v>
      </c>
      <c r="O59">
        <f t="shared" si="2"/>
        <v>3.9780000000000002</v>
      </c>
    </row>
    <row r="60" spans="1:15" ht="15" customHeight="1" x14ac:dyDescent="0.3">
      <c r="A60" t="s">
        <v>131</v>
      </c>
      <c r="B60" t="s">
        <v>2133</v>
      </c>
      <c r="C60">
        <v>4.16</v>
      </c>
      <c r="D60">
        <v>4.21</v>
      </c>
      <c r="E60" t="s">
        <v>211</v>
      </c>
      <c r="F60" t="s">
        <v>211</v>
      </c>
      <c r="G60">
        <v>3.64</v>
      </c>
      <c r="H60">
        <v>4.18</v>
      </c>
      <c r="I60">
        <v>3.99</v>
      </c>
      <c r="J60">
        <v>4.2699999999999996</v>
      </c>
      <c r="K60">
        <v>3.92</v>
      </c>
      <c r="L60">
        <v>3.57</v>
      </c>
      <c r="M60">
        <f t="shared" si="0"/>
        <v>4.0033333333333339</v>
      </c>
      <c r="N60">
        <f t="shared" si="1"/>
        <v>4</v>
      </c>
      <c r="O60">
        <f t="shared" si="2"/>
        <v>3.9859999999999998</v>
      </c>
    </row>
    <row r="61" spans="1:15" ht="15" customHeight="1" x14ac:dyDescent="0.3">
      <c r="A61" t="s">
        <v>133</v>
      </c>
      <c r="B61" t="s">
        <v>2134</v>
      </c>
      <c r="C61">
        <v>3.77</v>
      </c>
      <c r="D61">
        <v>3.38</v>
      </c>
      <c r="E61">
        <v>4.16</v>
      </c>
      <c r="F61">
        <v>3.61</v>
      </c>
      <c r="G61">
        <v>3.66</v>
      </c>
      <c r="H61">
        <v>3.42</v>
      </c>
      <c r="I61">
        <v>3.69</v>
      </c>
      <c r="J61">
        <v>4.2300000000000004</v>
      </c>
      <c r="K61">
        <v>3.63</v>
      </c>
      <c r="L61">
        <v>3.49</v>
      </c>
      <c r="M61">
        <f t="shared" si="0"/>
        <v>3.7159999999999997</v>
      </c>
      <c r="N61">
        <f t="shared" si="1"/>
        <v>3.72</v>
      </c>
      <c r="O61">
        <f t="shared" si="2"/>
        <v>3.6920000000000002</v>
      </c>
    </row>
    <row r="62" spans="1:15" ht="15" customHeight="1" x14ac:dyDescent="0.3">
      <c r="A62" t="s">
        <v>135</v>
      </c>
      <c r="B62" t="s">
        <v>2135</v>
      </c>
      <c r="C62">
        <v>4.58</v>
      </c>
      <c r="D62">
        <v>4.26</v>
      </c>
      <c r="E62">
        <v>3.56</v>
      </c>
      <c r="F62">
        <v>3.71</v>
      </c>
      <c r="G62">
        <v>4.3499999999999996</v>
      </c>
      <c r="H62">
        <v>3.89</v>
      </c>
      <c r="I62">
        <v>3.78</v>
      </c>
      <c r="J62">
        <v>4.0999999999999996</v>
      </c>
      <c r="K62">
        <v>3.84</v>
      </c>
      <c r="L62" t="s">
        <v>211</v>
      </c>
      <c r="M62">
        <f t="shared" si="0"/>
        <v>4.0920000000000005</v>
      </c>
      <c r="N62">
        <f t="shared" si="1"/>
        <v>4.09</v>
      </c>
      <c r="O62">
        <f t="shared" si="2"/>
        <v>3.9024999999999999</v>
      </c>
    </row>
    <row r="63" spans="1:15" ht="15" customHeight="1" x14ac:dyDescent="0.3">
      <c r="A63" t="s">
        <v>137</v>
      </c>
      <c r="B63" t="s">
        <v>2136</v>
      </c>
      <c r="C63">
        <v>3.65</v>
      </c>
      <c r="D63">
        <v>4.21</v>
      </c>
      <c r="E63">
        <v>4.45</v>
      </c>
      <c r="F63">
        <v>3.72</v>
      </c>
      <c r="G63">
        <v>3.99</v>
      </c>
      <c r="H63">
        <v>4.01</v>
      </c>
      <c r="I63">
        <v>4.1100000000000003</v>
      </c>
      <c r="J63">
        <v>4.53</v>
      </c>
      <c r="K63">
        <v>4.32</v>
      </c>
      <c r="L63">
        <v>3.72</v>
      </c>
      <c r="M63">
        <f t="shared" si="0"/>
        <v>4.0039999999999996</v>
      </c>
      <c r="N63">
        <f t="shared" si="1"/>
        <v>4</v>
      </c>
      <c r="O63">
        <f t="shared" si="2"/>
        <v>4.1379999999999999</v>
      </c>
    </row>
    <row r="64" spans="1:15" ht="15" customHeight="1" x14ac:dyDescent="0.3">
      <c r="A64" t="s">
        <v>139</v>
      </c>
      <c r="B64" t="s">
        <v>2137</v>
      </c>
      <c r="C64">
        <v>3.57</v>
      </c>
      <c r="D64">
        <v>3.8</v>
      </c>
      <c r="E64">
        <v>4.2300000000000004</v>
      </c>
      <c r="F64">
        <v>4.4000000000000004</v>
      </c>
      <c r="G64" t="s">
        <v>211</v>
      </c>
      <c r="H64" t="s">
        <v>211</v>
      </c>
      <c r="I64">
        <v>4.3899999999999997</v>
      </c>
      <c r="J64">
        <v>4.04</v>
      </c>
      <c r="K64">
        <v>4.38</v>
      </c>
      <c r="L64">
        <v>3.27</v>
      </c>
      <c r="M64">
        <f t="shared" si="0"/>
        <v>4</v>
      </c>
      <c r="N64">
        <f t="shared" si="1"/>
        <v>4</v>
      </c>
      <c r="O64">
        <f t="shared" si="2"/>
        <v>4.0199999999999996</v>
      </c>
    </row>
    <row r="65" spans="1:15" ht="15" customHeight="1" x14ac:dyDescent="0.3">
      <c r="A65" t="s">
        <v>141</v>
      </c>
      <c r="B65" t="s">
        <v>142</v>
      </c>
      <c r="C65">
        <v>3.81</v>
      </c>
      <c r="D65">
        <v>4.2</v>
      </c>
      <c r="E65">
        <v>4.2</v>
      </c>
      <c r="F65" t="s">
        <v>211</v>
      </c>
      <c r="G65">
        <v>3.73</v>
      </c>
      <c r="H65">
        <v>4.25</v>
      </c>
      <c r="I65">
        <v>3.88</v>
      </c>
      <c r="J65">
        <v>3.77</v>
      </c>
      <c r="K65">
        <v>4.0599999999999996</v>
      </c>
      <c r="L65">
        <v>3.96</v>
      </c>
      <c r="M65">
        <f t="shared" si="0"/>
        <v>3.9850000000000003</v>
      </c>
      <c r="N65">
        <f t="shared" si="1"/>
        <v>3.99</v>
      </c>
      <c r="O65">
        <f t="shared" si="2"/>
        <v>3.9839999999999995</v>
      </c>
    </row>
    <row r="66" spans="1:15" ht="15" customHeight="1" x14ac:dyDescent="0.3">
      <c r="A66" t="s">
        <v>143</v>
      </c>
      <c r="B66" t="s">
        <v>144</v>
      </c>
      <c r="C66">
        <v>4.05</v>
      </c>
      <c r="D66">
        <v>4.21</v>
      </c>
      <c r="E66">
        <v>4.1399999999999997</v>
      </c>
      <c r="F66">
        <v>3.42</v>
      </c>
      <c r="G66">
        <v>4.0599999999999996</v>
      </c>
      <c r="H66">
        <v>4.04</v>
      </c>
      <c r="I66">
        <v>4.29</v>
      </c>
      <c r="J66">
        <v>3.79</v>
      </c>
      <c r="K66">
        <v>4.41</v>
      </c>
      <c r="L66">
        <v>4.18</v>
      </c>
      <c r="M66">
        <f t="shared" ref="M66:M129" si="3">AVERAGE(C66:G66)</f>
        <v>3.976</v>
      </c>
      <c r="N66">
        <f t="shared" ref="N66:N129" si="4">ROUND(M66,2)</f>
        <v>3.98</v>
      </c>
      <c r="O66">
        <f t="shared" ref="O66:O129" si="5">AVERAGE(H66:L66)</f>
        <v>4.1420000000000003</v>
      </c>
    </row>
    <row r="67" spans="1:15" ht="15" customHeight="1" x14ac:dyDescent="0.3">
      <c r="A67" t="s">
        <v>145</v>
      </c>
      <c r="B67" t="s">
        <v>146</v>
      </c>
      <c r="C67">
        <v>3.67</v>
      </c>
      <c r="D67">
        <v>3.67</v>
      </c>
      <c r="E67">
        <v>4.17</v>
      </c>
      <c r="F67">
        <v>4.4400000000000004</v>
      </c>
      <c r="G67">
        <v>4.3600000000000003</v>
      </c>
      <c r="H67">
        <v>3.9</v>
      </c>
      <c r="I67">
        <v>4</v>
      </c>
      <c r="J67">
        <v>3.9</v>
      </c>
      <c r="K67">
        <v>4.4800000000000004</v>
      </c>
      <c r="L67">
        <v>3.98</v>
      </c>
      <c r="M67">
        <f t="shared" si="3"/>
        <v>4.0619999999999994</v>
      </c>
      <c r="N67">
        <f t="shared" si="4"/>
        <v>4.0599999999999996</v>
      </c>
      <c r="O67">
        <f t="shared" si="5"/>
        <v>4.0520000000000005</v>
      </c>
    </row>
    <row r="68" spans="1:15" ht="15" customHeight="1" x14ac:dyDescent="0.3">
      <c r="A68" t="s">
        <v>147</v>
      </c>
      <c r="B68" t="s">
        <v>2138</v>
      </c>
      <c r="C68">
        <v>4.03</v>
      </c>
      <c r="D68">
        <v>4.0999999999999996</v>
      </c>
      <c r="E68">
        <v>3.86</v>
      </c>
      <c r="F68">
        <v>4.17</v>
      </c>
      <c r="G68">
        <v>4.1399999999999997</v>
      </c>
      <c r="H68">
        <v>3.92</v>
      </c>
      <c r="I68">
        <v>4.49</v>
      </c>
      <c r="J68">
        <v>3.9</v>
      </c>
      <c r="K68">
        <v>4.47</v>
      </c>
      <c r="L68">
        <v>4.66</v>
      </c>
      <c r="M68">
        <f t="shared" si="3"/>
        <v>4.0599999999999996</v>
      </c>
      <c r="N68">
        <f t="shared" si="4"/>
        <v>4.0599999999999996</v>
      </c>
      <c r="O68">
        <f t="shared" si="5"/>
        <v>4.2880000000000003</v>
      </c>
    </row>
    <row r="69" spans="1:15" ht="15" customHeight="1" x14ac:dyDescent="0.3">
      <c r="A69" t="s">
        <v>149</v>
      </c>
      <c r="B69" t="s">
        <v>2139</v>
      </c>
      <c r="C69">
        <v>3.96</v>
      </c>
      <c r="D69">
        <v>3.73</v>
      </c>
      <c r="E69">
        <v>3.69</v>
      </c>
      <c r="F69">
        <v>4.09</v>
      </c>
      <c r="G69">
        <v>3.88</v>
      </c>
      <c r="H69">
        <v>4.0999999999999996</v>
      </c>
      <c r="I69">
        <v>4.21</v>
      </c>
      <c r="J69">
        <v>4.45</v>
      </c>
      <c r="K69">
        <v>4.05</v>
      </c>
      <c r="L69">
        <v>3.88</v>
      </c>
      <c r="M69">
        <f t="shared" si="3"/>
        <v>3.8699999999999997</v>
      </c>
      <c r="N69">
        <f t="shared" si="4"/>
        <v>3.87</v>
      </c>
      <c r="O69">
        <f t="shared" si="5"/>
        <v>4.1379999999999999</v>
      </c>
    </row>
    <row r="70" spans="1:15" ht="15" customHeight="1" x14ac:dyDescent="0.3">
      <c r="A70" t="s">
        <v>151</v>
      </c>
      <c r="B70" t="s">
        <v>2140</v>
      </c>
      <c r="C70">
        <v>4.1399999999999997</v>
      </c>
      <c r="D70">
        <v>3.43</v>
      </c>
      <c r="E70">
        <v>3.75</v>
      </c>
      <c r="F70" t="s">
        <v>211</v>
      </c>
      <c r="G70" t="s">
        <v>211</v>
      </c>
      <c r="H70">
        <v>4.07</v>
      </c>
      <c r="I70">
        <v>3.96</v>
      </c>
      <c r="J70">
        <v>3.45</v>
      </c>
      <c r="K70">
        <v>3.64</v>
      </c>
      <c r="L70">
        <v>3.82</v>
      </c>
      <c r="M70">
        <f t="shared" si="3"/>
        <v>3.7733333333333334</v>
      </c>
      <c r="N70">
        <f t="shared" si="4"/>
        <v>3.77</v>
      </c>
      <c r="O70">
        <f t="shared" si="5"/>
        <v>3.7880000000000003</v>
      </c>
    </row>
    <row r="71" spans="1:15" ht="15" customHeight="1" x14ac:dyDescent="0.3">
      <c r="A71" t="s">
        <v>153</v>
      </c>
      <c r="B71" t="s">
        <v>2141</v>
      </c>
      <c r="C71">
        <v>3.76</v>
      </c>
      <c r="D71">
        <v>3.98</v>
      </c>
      <c r="E71">
        <v>3.67</v>
      </c>
      <c r="F71">
        <v>3.92</v>
      </c>
      <c r="G71">
        <v>3.78</v>
      </c>
      <c r="H71">
        <v>4.13</v>
      </c>
      <c r="I71">
        <v>4.24</v>
      </c>
      <c r="J71">
        <v>4.51</v>
      </c>
      <c r="K71">
        <v>3.84</v>
      </c>
      <c r="L71">
        <v>3.95</v>
      </c>
      <c r="M71">
        <f t="shared" si="3"/>
        <v>3.8220000000000001</v>
      </c>
      <c r="N71">
        <f t="shared" si="4"/>
        <v>3.82</v>
      </c>
      <c r="O71">
        <f t="shared" si="5"/>
        <v>4.1339999999999995</v>
      </c>
    </row>
    <row r="72" spans="1:15" ht="15" customHeight="1" x14ac:dyDescent="0.3">
      <c r="A72" t="s">
        <v>155</v>
      </c>
      <c r="B72" t="s">
        <v>156</v>
      </c>
      <c r="C72">
        <v>3.9</v>
      </c>
      <c r="D72" t="s">
        <v>211</v>
      </c>
      <c r="E72">
        <v>4.32</v>
      </c>
      <c r="F72">
        <v>3.89</v>
      </c>
      <c r="G72">
        <v>4.62</v>
      </c>
      <c r="H72">
        <v>4.01</v>
      </c>
      <c r="I72">
        <v>3.94</v>
      </c>
      <c r="J72">
        <v>3.9</v>
      </c>
      <c r="K72">
        <v>4.21</v>
      </c>
      <c r="L72">
        <v>4.01</v>
      </c>
      <c r="M72">
        <f t="shared" si="3"/>
        <v>4.1825000000000001</v>
      </c>
      <c r="N72">
        <f t="shared" si="4"/>
        <v>4.18</v>
      </c>
      <c r="O72">
        <f t="shared" si="5"/>
        <v>4.0140000000000002</v>
      </c>
    </row>
    <row r="73" spans="1:15" ht="15" customHeight="1" x14ac:dyDescent="0.3">
      <c r="A73" t="s">
        <v>157</v>
      </c>
      <c r="B73" t="s">
        <v>2142</v>
      </c>
      <c r="C73">
        <v>4.5</v>
      </c>
      <c r="D73">
        <v>3.57</v>
      </c>
      <c r="E73">
        <v>3.69</v>
      </c>
      <c r="F73">
        <v>4.1900000000000004</v>
      </c>
      <c r="G73">
        <v>3.56</v>
      </c>
      <c r="H73">
        <v>4.1900000000000004</v>
      </c>
      <c r="I73">
        <v>3.66</v>
      </c>
      <c r="J73">
        <v>4.3</v>
      </c>
      <c r="K73">
        <v>4.25</v>
      </c>
      <c r="L73">
        <v>4.3499999999999996</v>
      </c>
      <c r="M73">
        <f t="shared" si="3"/>
        <v>3.9019999999999997</v>
      </c>
      <c r="N73">
        <f t="shared" si="4"/>
        <v>3.9</v>
      </c>
      <c r="O73">
        <f t="shared" si="5"/>
        <v>4.1500000000000004</v>
      </c>
    </row>
    <row r="74" spans="1:15" ht="15" customHeight="1" x14ac:dyDescent="0.3">
      <c r="A74" t="s">
        <v>159</v>
      </c>
      <c r="B74" t="s">
        <v>2143</v>
      </c>
      <c r="C74">
        <v>3.82</v>
      </c>
      <c r="D74">
        <v>3.82</v>
      </c>
      <c r="E74">
        <v>4.3</v>
      </c>
      <c r="F74" t="s">
        <v>211</v>
      </c>
      <c r="G74">
        <v>3.87</v>
      </c>
      <c r="H74">
        <v>3.7</v>
      </c>
      <c r="I74">
        <v>4.4800000000000004</v>
      </c>
      <c r="J74">
        <v>3.92</v>
      </c>
      <c r="K74">
        <v>4.33</v>
      </c>
      <c r="L74">
        <v>3.81</v>
      </c>
      <c r="M74">
        <f t="shared" si="3"/>
        <v>3.9524999999999997</v>
      </c>
      <c r="N74">
        <f t="shared" si="4"/>
        <v>3.95</v>
      </c>
      <c r="O74">
        <f t="shared" si="5"/>
        <v>4.048</v>
      </c>
    </row>
    <row r="75" spans="1:15" ht="15" customHeight="1" x14ac:dyDescent="0.3">
      <c r="A75" t="s">
        <v>161</v>
      </c>
      <c r="B75" t="s">
        <v>162</v>
      </c>
      <c r="C75">
        <v>3.88</v>
      </c>
      <c r="D75">
        <v>3.89</v>
      </c>
      <c r="E75">
        <v>3.94</v>
      </c>
      <c r="F75">
        <v>3.81</v>
      </c>
      <c r="G75">
        <v>4.07</v>
      </c>
      <c r="H75">
        <v>4.1900000000000004</v>
      </c>
      <c r="I75">
        <v>4.59</v>
      </c>
      <c r="J75">
        <v>3.98</v>
      </c>
      <c r="K75">
        <v>4.01</v>
      </c>
      <c r="L75">
        <v>3.91</v>
      </c>
      <c r="M75">
        <f t="shared" si="3"/>
        <v>3.9180000000000001</v>
      </c>
      <c r="N75">
        <f t="shared" si="4"/>
        <v>3.92</v>
      </c>
      <c r="O75">
        <f t="shared" si="5"/>
        <v>4.136000000000001</v>
      </c>
    </row>
    <row r="76" spans="1:15" ht="15" customHeight="1" x14ac:dyDescent="0.3">
      <c r="A76" t="s">
        <v>163</v>
      </c>
      <c r="B76" t="s">
        <v>164</v>
      </c>
      <c r="C76">
        <v>4.13</v>
      </c>
      <c r="D76" t="s">
        <v>211</v>
      </c>
      <c r="E76">
        <v>4.13</v>
      </c>
      <c r="F76" t="s">
        <v>211</v>
      </c>
      <c r="G76">
        <v>3.92</v>
      </c>
      <c r="H76">
        <v>4.18</v>
      </c>
      <c r="I76">
        <v>3.64</v>
      </c>
      <c r="J76">
        <v>3.97</v>
      </c>
      <c r="K76" t="s">
        <v>211</v>
      </c>
      <c r="L76">
        <v>3.86</v>
      </c>
      <c r="M76">
        <f t="shared" si="3"/>
        <v>4.0599999999999996</v>
      </c>
      <c r="N76">
        <f t="shared" si="4"/>
        <v>4.0599999999999996</v>
      </c>
      <c r="O76">
        <f t="shared" si="5"/>
        <v>3.9125000000000001</v>
      </c>
    </row>
    <row r="77" spans="1:15" ht="15" customHeight="1" x14ac:dyDescent="0.3">
      <c r="A77" t="s">
        <v>165</v>
      </c>
      <c r="B77" t="s">
        <v>2144</v>
      </c>
      <c r="C77">
        <v>3.88</v>
      </c>
      <c r="D77">
        <v>3.89</v>
      </c>
      <c r="E77">
        <v>4.2</v>
      </c>
      <c r="F77">
        <v>3.96</v>
      </c>
      <c r="G77">
        <v>3.81</v>
      </c>
      <c r="H77">
        <v>4.1100000000000003</v>
      </c>
      <c r="I77">
        <v>4.05</v>
      </c>
      <c r="J77">
        <v>4.09</v>
      </c>
      <c r="K77">
        <v>4.28</v>
      </c>
      <c r="L77">
        <v>3.4</v>
      </c>
      <c r="M77">
        <f t="shared" si="3"/>
        <v>3.9479999999999995</v>
      </c>
      <c r="N77">
        <f t="shared" si="4"/>
        <v>3.95</v>
      </c>
      <c r="O77">
        <f t="shared" si="5"/>
        <v>3.9859999999999998</v>
      </c>
    </row>
    <row r="78" spans="1:15" ht="15" customHeight="1" x14ac:dyDescent="0.3">
      <c r="A78" t="s">
        <v>167</v>
      </c>
      <c r="B78" t="s">
        <v>168</v>
      </c>
      <c r="C78">
        <v>4.74</v>
      </c>
      <c r="D78">
        <v>4.4000000000000004</v>
      </c>
      <c r="E78">
        <v>4.32</v>
      </c>
      <c r="F78">
        <v>4.03</v>
      </c>
      <c r="G78">
        <v>4.53</v>
      </c>
      <c r="H78">
        <v>3.93</v>
      </c>
      <c r="I78">
        <v>3.79</v>
      </c>
      <c r="J78">
        <v>4.12</v>
      </c>
      <c r="K78">
        <v>4.68</v>
      </c>
      <c r="L78">
        <v>4.05</v>
      </c>
      <c r="M78">
        <f t="shared" si="3"/>
        <v>4.4040000000000008</v>
      </c>
      <c r="N78">
        <f t="shared" si="4"/>
        <v>4.4000000000000004</v>
      </c>
      <c r="O78">
        <f t="shared" si="5"/>
        <v>4.1139999999999999</v>
      </c>
    </row>
    <row r="79" spans="1:15" ht="15" customHeight="1" x14ac:dyDescent="0.3">
      <c r="A79" t="s">
        <v>169</v>
      </c>
      <c r="B79" t="s">
        <v>170</v>
      </c>
      <c r="C79">
        <v>3.83</v>
      </c>
      <c r="D79">
        <v>4.25</v>
      </c>
      <c r="E79">
        <v>3.91</v>
      </c>
      <c r="F79">
        <v>4.53</v>
      </c>
      <c r="G79">
        <v>4.6500000000000004</v>
      </c>
      <c r="H79">
        <v>4.13</v>
      </c>
      <c r="I79">
        <v>4.0199999999999996</v>
      </c>
      <c r="J79">
        <v>4.07</v>
      </c>
      <c r="K79">
        <v>4.42</v>
      </c>
      <c r="L79">
        <v>3.63</v>
      </c>
      <c r="M79">
        <f t="shared" si="3"/>
        <v>4.234</v>
      </c>
      <c r="N79">
        <f t="shared" si="4"/>
        <v>4.2300000000000004</v>
      </c>
      <c r="O79">
        <f t="shared" si="5"/>
        <v>4.0540000000000003</v>
      </c>
    </row>
    <row r="80" spans="1:15" ht="15" customHeight="1" x14ac:dyDescent="0.3">
      <c r="A80" t="s">
        <v>171</v>
      </c>
      <c r="B80" t="s">
        <v>172</v>
      </c>
      <c r="C80">
        <v>4.3899999999999997</v>
      </c>
      <c r="D80">
        <v>3.45</v>
      </c>
      <c r="E80">
        <v>4.09</v>
      </c>
      <c r="F80">
        <v>3.82</v>
      </c>
      <c r="G80">
        <v>4.12</v>
      </c>
      <c r="H80">
        <v>3.84</v>
      </c>
      <c r="I80">
        <v>4.1399999999999997</v>
      </c>
      <c r="J80">
        <v>4.28</v>
      </c>
      <c r="K80">
        <v>4.07</v>
      </c>
      <c r="L80">
        <v>3.5</v>
      </c>
      <c r="M80">
        <f t="shared" si="3"/>
        <v>3.9740000000000002</v>
      </c>
      <c r="N80">
        <f t="shared" si="4"/>
        <v>3.97</v>
      </c>
      <c r="O80">
        <f t="shared" si="5"/>
        <v>3.9659999999999997</v>
      </c>
    </row>
    <row r="81" spans="1:15" ht="15" customHeight="1" x14ac:dyDescent="0.3">
      <c r="A81" t="s">
        <v>173</v>
      </c>
      <c r="B81" t="s">
        <v>2145</v>
      </c>
      <c r="C81">
        <v>4.43</v>
      </c>
      <c r="D81">
        <v>3.79</v>
      </c>
      <c r="E81">
        <v>3.93</v>
      </c>
      <c r="F81">
        <v>4.37</v>
      </c>
      <c r="G81">
        <v>3.59</v>
      </c>
      <c r="H81">
        <v>3.8</v>
      </c>
      <c r="I81">
        <v>4.28</v>
      </c>
      <c r="J81">
        <v>4.1900000000000004</v>
      </c>
      <c r="K81">
        <v>4.05</v>
      </c>
      <c r="L81">
        <v>3.85</v>
      </c>
      <c r="M81">
        <f t="shared" si="3"/>
        <v>4.0220000000000002</v>
      </c>
      <c r="N81">
        <f t="shared" si="4"/>
        <v>4.0199999999999996</v>
      </c>
      <c r="O81">
        <f t="shared" si="5"/>
        <v>4.0340000000000007</v>
      </c>
    </row>
    <row r="82" spans="1:15" ht="15" customHeight="1" x14ac:dyDescent="0.3">
      <c r="A82" t="s">
        <v>175</v>
      </c>
      <c r="B82" t="s">
        <v>176</v>
      </c>
      <c r="C82">
        <v>4.2699999999999996</v>
      </c>
      <c r="D82">
        <v>3.84</v>
      </c>
      <c r="E82">
        <v>3.79</v>
      </c>
      <c r="F82">
        <v>4.05</v>
      </c>
      <c r="G82">
        <v>4.41</v>
      </c>
      <c r="H82">
        <v>4.66</v>
      </c>
      <c r="I82">
        <v>4.84</v>
      </c>
      <c r="J82">
        <v>3.76</v>
      </c>
      <c r="K82">
        <v>3.87</v>
      </c>
      <c r="L82">
        <v>4.67</v>
      </c>
      <c r="M82">
        <f t="shared" si="3"/>
        <v>4.0720000000000001</v>
      </c>
      <c r="N82">
        <f t="shared" si="4"/>
        <v>4.07</v>
      </c>
      <c r="O82">
        <f t="shared" si="5"/>
        <v>4.3599999999999994</v>
      </c>
    </row>
    <row r="83" spans="1:15" ht="15" customHeight="1" x14ac:dyDescent="0.3">
      <c r="A83" t="s">
        <v>177</v>
      </c>
      <c r="B83" t="s">
        <v>178</v>
      </c>
      <c r="C83">
        <v>4.22</v>
      </c>
      <c r="D83">
        <v>4.01</v>
      </c>
      <c r="E83">
        <v>4.67</v>
      </c>
      <c r="F83">
        <v>3.92</v>
      </c>
      <c r="G83">
        <v>3.91</v>
      </c>
      <c r="H83">
        <v>3.17</v>
      </c>
      <c r="I83">
        <v>4.62</v>
      </c>
      <c r="J83">
        <v>3.93</v>
      </c>
      <c r="K83">
        <v>3.67</v>
      </c>
      <c r="L83">
        <v>4.47</v>
      </c>
      <c r="M83">
        <f t="shared" si="3"/>
        <v>4.1459999999999999</v>
      </c>
      <c r="N83">
        <f t="shared" si="4"/>
        <v>4.1500000000000004</v>
      </c>
      <c r="O83">
        <f t="shared" si="5"/>
        <v>3.972</v>
      </c>
    </row>
    <row r="84" spans="1:15" ht="15" customHeight="1" x14ac:dyDescent="0.3">
      <c r="A84" t="s">
        <v>179</v>
      </c>
      <c r="B84" t="s">
        <v>180</v>
      </c>
      <c r="C84">
        <v>3.71</v>
      </c>
      <c r="D84">
        <v>3.97</v>
      </c>
      <c r="E84" t="s">
        <v>211</v>
      </c>
      <c r="F84" t="s">
        <v>211</v>
      </c>
      <c r="G84">
        <v>3.54</v>
      </c>
      <c r="H84">
        <v>3.75</v>
      </c>
      <c r="I84">
        <v>4.1900000000000004</v>
      </c>
      <c r="J84">
        <v>3.99</v>
      </c>
      <c r="K84">
        <v>4.0599999999999996</v>
      </c>
      <c r="L84">
        <v>4.12</v>
      </c>
      <c r="M84">
        <f t="shared" si="3"/>
        <v>3.7399999999999998</v>
      </c>
      <c r="N84">
        <f t="shared" si="4"/>
        <v>3.74</v>
      </c>
      <c r="O84">
        <f t="shared" si="5"/>
        <v>4.0220000000000002</v>
      </c>
    </row>
    <row r="85" spans="1:15" ht="15" customHeight="1" x14ac:dyDescent="0.3">
      <c r="A85" t="s">
        <v>181</v>
      </c>
      <c r="B85" t="s">
        <v>2146</v>
      </c>
      <c r="C85">
        <v>4.25</v>
      </c>
      <c r="D85">
        <v>3.94</v>
      </c>
      <c r="E85">
        <v>4.5999999999999996</v>
      </c>
      <c r="F85">
        <v>4.28</v>
      </c>
      <c r="G85">
        <v>4.28</v>
      </c>
      <c r="H85">
        <v>3.9</v>
      </c>
      <c r="I85">
        <v>3.9</v>
      </c>
      <c r="J85">
        <v>4.1500000000000004</v>
      </c>
      <c r="K85">
        <v>4.3099999999999996</v>
      </c>
      <c r="L85" t="s">
        <v>211</v>
      </c>
      <c r="M85">
        <f t="shared" si="3"/>
        <v>4.2700000000000005</v>
      </c>
      <c r="N85">
        <f t="shared" si="4"/>
        <v>4.2699999999999996</v>
      </c>
      <c r="O85">
        <f t="shared" si="5"/>
        <v>4.0649999999999995</v>
      </c>
    </row>
    <row r="86" spans="1:15" ht="15" customHeight="1" x14ac:dyDescent="0.3">
      <c r="A86" t="s">
        <v>183</v>
      </c>
      <c r="B86" t="s">
        <v>2147</v>
      </c>
      <c r="C86">
        <v>4.5999999999999996</v>
      </c>
      <c r="D86">
        <v>4.43</v>
      </c>
      <c r="E86">
        <v>4.28</v>
      </c>
      <c r="F86">
        <v>4.3099999999999996</v>
      </c>
      <c r="G86">
        <v>3.8</v>
      </c>
      <c r="H86">
        <v>3.59</v>
      </c>
      <c r="I86">
        <v>4.3600000000000003</v>
      </c>
      <c r="J86">
        <v>3.94</v>
      </c>
      <c r="K86">
        <v>4.04</v>
      </c>
      <c r="L86">
        <v>3.86</v>
      </c>
      <c r="M86">
        <f t="shared" si="3"/>
        <v>4.2839999999999998</v>
      </c>
      <c r="N86">
        <f t="shared" si="4"/>
        <v>4.28</v>
      </c>
      <c r="O86">
        <f t="shared" si="5"/>
        <v>3.9579999999999997</v>
      </c>
    </row>
    <row r="87" spans="1:15" ht="15" customHeight="1" x14ac:dyDescent="0.3">
      <c r="A87" t="s">
        <v>185</v>
      </c>
      <c r="B87" t="s">
        <v>2148</v>
      </c>
      <c r="C87">
        <v>4.2699999999999996</v>
      </c>
      <c r="D87">
        <v>3.67</v>
      </c>
      <c r="E87">
        <v>4.29</v>
      </c>
      <c r="F87">
        <v>3.95</v>
      </c>
      <c r="G87">
        <v>3.97</v>
      </c>
      <c r="H87">
        <v>3.84</v>
      </c>
      <c r="I87">
        <v>3.83</v>
      </c>
      <c r="J87">
        <v>4.13</v>
      </c>
      <c r="K87">
        <v>3.46</v>
      </c>
      <c r="L87" t="s">
        <v>211</v>
      </c>
      <c r="M87">
        <f t="shared" si="3"/>
        <v>4.0299999999999994</v>
      </c>
      <c r="N87">
        <f t="shared" si="4"/>
        <v>4.03</v>
      </c>
      <c r="O87">
        <f t="shared" si="5"/>
        <v>3.8150000000000004</v>
      </c>
    </row>
    <row r="88" spans="1:15" ht="15" customHeight="1" x14ac:dyDescent="0.3">
      <c r="A88" t="s">
        <v>187</v>
      </c>
      <c r="B88" t="s">
        <v>2149</v>
      </c>
      <c r="C88">
        <v>4.43</v>
      </c>
      <c r="D88">
        <v>3.78</v>
      </c>
      <c r="E88">
        <v>4.29</v>
      </c>
      <c r="F88">
        <v>4.1500000000000004</v>
      </c>
      <c r="G88" t="s">
        <v>211</v>
      </c>
      <c r="H88">
        <v>3.9</v>
      </c>
      <c r="I88">
        <v>4.1100000000000003</v>
      </c>
      <c r="J88">
        <v>3.92</v>
      </c>
      <c r="K88">
        <v>4.16</v>
      </c>
      <c r="L88">
        <v>4.49</v>
      </c>
      <c r="M88">
        <f t="shared" si="3"/>
        <v>4.1624999999999996</v>
      </c>
      <c r="N88">
        <f t="shared" si="4"/>
        <v>4.16</v>
      </c>
      <c r="O88">
        <f t="shared" si="5"/>
        <v>4.1159999999999997</v>
      </c>
    </row>
    <row r="89" spans="1:15" ht="15" customHeight="1" x14ac:dyDescent="0.3">
      <c r="A89" t="s">
        <v>189</v>
      </c>
      <c r="B89" t="s">
        <v>2150</v>
      </c>
      <c r="C89">
        <v>4.0999999999999996</v>
      </c>
      <c r="D89">
        <v>3.82</v>
      </c>
      <c r="E89" t="s">
        <v>211</v>
      </c>
      <c r="F89">
        <v>4.34</v>
      </c>
      <c r="G89">
        <v>4.54</v>
      </c>
      <c r="H89">
        <v>4.28</v>
      </c>
      <c r="I89">
        <v>4.1100000000000003</v>
      </c>
      <c r="J89">
        <v>4.2699999999999996</v>
      </c>
      <c r="K89">
        <v>4.25</v>
      </c>
      <c r="L89">
        <v>3.84</v>
      </c>
      <c r="M89">
        <f t="shared" si="3"/>
        <v>4.2</v>
      </c>
      <c r="N89">
        <f t="shared" si="4"/>
        <v>4.2</v>
      </c>
      <c r="O89">
        <f t="shared" si="5"/>
        <v>4.1500000000000004</v>
      </c>
    </row>
    <row r="90" spans="1:15" ht="15" customHeight="1" x14ac:dyDescent="0.3">
      <c r="A90" t="s">
        <v>191</v>
      </c>
      <c r="B90" t="s">
        <v>192</v>
      </c>
      <c r="C90">
        <v>3.89</v>
      </c>
      <c r="D90">
        <v>4.96</v>
      </c>
      <c r="E90">
        <v>4.45</v>
      </c>
      <c r="F90">
        <v>4.0199999999999996</v>
      </c>
      <c r="G90">
        <v>4.0999999999999996</v>
      </c>
      <c r="H90">
        <v>3.9</v>
      </c>
      <c r="I90" t="s">
        <v>211</v>
      </c>
      <c r="J90">
        <v>3.92</v>
      </c>
      <c r="K90">
        <v>3.7</v>
      </c>
      <c r="L90">
        <v>4.49</v>
      </c>
      <c r="M90">
        <f t="shared" si="3"/>
        <v>4.2840000000000007</v>
      </c>
      <c r="N90">
        <f t="shared" si="4"/>
        <v>4.28</v>
      </c>
      <c r="O90">
        <f t="shared" si="5"/>
        <v>4.0024999999999995</v>
      </c>
    </row>
    <row r="91" spans="1:15" ht="15" customHeight="1" x14ac:dyDescent="0.3">
      <c r="A91" t="s">
        <v>193</v>
      </c>
      <c r="B91" t="s">
        <v>194</v>
      </c>
      <c r="C91">
        <v>4.3</v>
      </c>
      <c r="D91">
        <v>4.07</v>
      </c>
      <c r="E91">
        <v>4.28</v>
      </c>
      <c r="F91">
        <v>4.29</v>
      </c>
      <c r="G91">
        <v>4.1399999999999997</v>
      </c>
      <c r="H91">
        <v>4.13</v>
      </c>
      <c r="I91">
        <v>3.76</v>
      </c>
      <c r="J91">
        <v>4.1500000000000004</v>
      </c>
      <c r="K91">
        <v>3.76</v>
      </c>
      <c r="L91">
        <v>3.86</v>
      </c>
      <c r="M91">
        <f t="shared" si="3"/>
        <v>4.2160000000000002</v>
      </c>
      <c r="N91">
        <f t="shared" si="4"/>
        <v>4.22</v>
      </c>
      <c r="O91">
        <f t="shared" si="5"/>
        <v>3.9319999999999999</v>
      </c>
    </row>
    <row r="92" spans="1:15" ht="15" customHeight="1" x14ac:dyDescent="0.3">
      <c r="A92" t="s">
        <v>195</v>
      </c>
      <c r="B92" t="s">
        <v>196</v>
      </c>
      <c r="C92">
        <v>3.95</v>
      </c>
      <c r="D92">
        <v>3.36</v>
      </c>
      <c r="E92">
        <v>3.9</v>
      </c>
      <c r="F92">
        <v>3.82</v>
      </c>
      <c r="G92">
        <v>4</v>
      </c>
      <c r="H92">
        <v>3.99</v>
      </c>
      <c r="I92">
        <v>4.67</v>
      </c>
      <c r="J92">
        <v>4.04</v>
      </c>
      <c r="K92">
        <v>3.91</v>
      </c>
      <c r="L92">
        <v>4.12</v>
      </c>
      <c r="M92">
        <f t="shared" si="3"/>
        <v>3.806</v>
      </c>
      <c r="N92">
        <f t="shared" si="4"/>
        <v>3.81</v>
      </c>
      <c r="O92">
        <f t="shared" si="5"/>
        <v>4.1459999999999999</v>
      </c>
    </row>
    <row r="93" spans="1:15" ht="15" customHeight="1" x14ac:dyDescent="0.3">
      <c r="A93" t="s">
        <v>197</v>
      </c>
      <c r="B93" t="s">
        <v>2151</v>
      </c>
      <c r="C93">
        <v>4.28</v>
      </c>
      <c r="D93">
        <v>3.88</v>
      </c>
      <c r="E93">
        <v>4.1500000000000004</v>
      </c>
      <c r="F93">
        <v>4.18</v>
      </c>
      <c r="G93" t="s">
        <v>211</v>
      </c>
      <c r="H93">
        <v>3.75</v>
      </c>
      <c r="I93">
        <v>3.98</v>
      </c>
      <c r="J93">
        <v>3.75</v>
      </c>
      <c r="K93">
        <v>3.83</v>
      </c>
      <c r="L93">
        <v>3.9</v>
      </c>
      <c r="M93">
        <f t="shared" si="3"/>
        <v>4.1225000000000005</v>
      </c>
      <c r="N93">
        <f t="shared" si="4"/>
        <v>4.12</v>
      </c>
      <c r="O93">
        <f t="shared" si="5"/>
        <v>3.8420000000000001</v>
      </c>
    </row>
    <row r="94" spans="1:15" ht="15" customHeight="1" x14ac:dyDescent="0.3">
      <c r="A94" t="s">
        <v>199</v>
      </c>
      <c r="B94" t="s">
        <v>2152</v>
      </c>
      <c r="C94">
        <v>4.45</v>
      </c>
      <c r="D94">
        <v>4.34</v>
      </c>
      <c r="E94">
        <v>4.33</v>
      </c>
      <c r="F94">
        <v>3.68</v>
      </c>
      <c r="G94">
        <v>4.1100000000000003</v>
      </c>
      <c r="H94">
        <v>3.54</v>
      </c>
      <c r="I94">
        <v>4.13</v>
      </c>
      <c r="J94">
        <v>4.3899999999999997</v>
      </c>
      <c r="K94">
        <v>4.09</v>
      </c>
      <c r="L94">
        <v>4.34</v>
      </c>
      <c r="M94">
        <f t="shared" si="3"/>
        <v>4.1820000000000004</v>
      </c>
      <c r="N94">
        <f t="shared" si="4"/>
        <v>4.18</v>
      </c>
      <c r="O94">
        <f t="shared" si="5"/>
        <v>4.0979999999999999</v>
      </c>
    </row>
    <row r="95" spans="1:15" ht="15" customHeight="1" x14ac:dyDescent="0.3">
      <c r="A95" t="s">
        <v>201</v>
      </c>
      <c r="B95" t="s">
        <v>2153</v>
      </c>
      <c r="C95">
        <v>3.93</v>
      </c>
      <c r="D95">
        <v>4.12</v>
      </c>
      <c r="E95">
        <v>3.63</v>
      </c>
      <c r="F95">
        <v>4.26</v>
      </c>
      <c r="G95">
        <v>3.92</v>
      </c>
      <c r="H95">
        <v>4.18</v>
      </c>
      <c r="I95">
        <v>4.16</v>
      </c>
      <c r="J95">
        <v>3.99</v>
      </c>
      <c r="K95">
        <v>4.12</v>
      </c>
      <c r="L95">
        <v>3.93</v>
      </c>
      <c r="M95">
        <f t="shared" si="3"/>
        <v>3.972</v>
      </c>
      <c r="N95">
        <f t="shared" si="4"/>
        <v>3.97</v>
      </c>
      <c r="O95">
        <f t="shared" si="5"/>
        <v>4.0759999999999996</v>
      </c>
    </row>
    <row r="96" spans="1:15" ht="15" customHeight="1" x14ac:dyDescent="0.3">
      <c r="A96" t="s">
        <v>203</v>
      </c>
      <c r="B96" t="s">
        <v>2154</v>
      </c>
      <c r="C96">
        <v>4.2</v>
      </c>
      <c r="D96">
        <v>3.67</v>
      </c>
      <c r="E96">
        <v>3.7</v>
      </c>
      <c r="F96">
        <v>3.84</v>
      </c>
      <c r="G96">
        <v>3.97</v>
      </c>
      <c r="H96">
        <v>4.1900000000000004</v>
      </c>
      <c r="I96">
        <v>3.76</v>
      </c>
      <c r="J96">
        <v>4.43</v>
      </c>
      <c r="K96">
        <v>4.05</v>
      </c>
      <c r="L96">
        <v>3.41</v>
      </c>
      <c r="M96">
        <f t="shared" si="3"/>
        <v>3.8759999999999999</v>
      </c>
      <c r="N96">
        <f t="shared" si="4"/>
        <v>3.88</v>
      </c>
      <c r="O96">
        <f t="shared" si="5"/>
        <v>3.968</v>
      </c>
    </row>
    <row r="97" spans="1:15" ht="15" customHeight="1" x14ac:dyDescent="0.3">
      <c r="A97" t="s">
        <v>205</v>
      </c>
      <c r="B97" t="s">
        <v>2155</v>
      </c>
      <c r="C97">
        <v>3.81</v>
      </c>
      <c r="D97">
        <v>3.87</v>
      </c>
      <c r="E97">
        <v>3.85</v>
      </c>
      <c r="F97">
        <v>3.95</v>
      </c>
      <c r="G97">
        <v>3.92</v>
      </c>
      <c r="H97">
        <v>3.86</v>
      </c>
      <c r="I97">
        <v>4.53</v>
      </c>
      <c r="J97">
        <v>4.4400000000000004</v>
      </c>
      <c r="K97">
        <v>3.68</v>
      </c>
      <c r="L97">
        <v>4.45</v>
      </c>
      <c r="M97">
        <f t="shared" si="3"/>
        <v>3.88</v>
      </c>
      <c r="N97">
        <f t="shared" si="4"/>
        <v>3.88</v>
      </c>
      <c r="O97">
        <f t="shared" si="5"/>
        <v>4.1920000000000002</v>
      </c>
    </row>
    <row r="98" spans="1:15" ht="15" customHeight="1" x14ac:dyDescent="0.3">
      <c r="A98" t="s">
        <v>207</v>
      </c>
      <c r="B98" t="s">
        <v>208</v>
      </c>
      <c r="C98">
        <v>4.2699999999999996</v>
      </c>
      <c r="D98">
        <v>3.47</v>
      </c>
      <c r="E98">
        <v>4.63</v>
      </c>
      <c r="F98">
        <v>3.96</v>
      </c>
      <c r="G98">
        <v>3.7</v>
      </c>
      <c r="H98" t="s">
        <v>211</v>
      </c>
      <c r="I98">
        <v>4.78</v>
      </c>
      <c r="J98">
        <v>4.17</v>
      </c>
      <c r="K98">
        <v>4.17</v>
      </c>
      <c r="L98">
        <v>3.83</v>
      </c>
      <c r="M98">
        <f t="shared" si="3"/>
        <v>4.0060000000000002</v>
      </c>
      <c r="N98">
        <f t="shared" si="4"/>
        <v>4.01</v>
      </c>
      <c r="O98">
        <f t="shared" si="5"/>
        <v>4.2374999999999998</v>
      </c>
    </row>
    <row r="99" spans="1:15" ht="15" customHeight="1" x14ac:dyDescent="0.3">
      <c r="A99" t="s">
        <v>209</v>
      </c>
      <c r="B99" t="s">
        <v>2156</v>
      </c>
      <c r="C99">
        <v>3.97</v>
      </c>
      <c r="D99">
        <v>3.79</v>
      </c>
      <c r="E99">
        <v>4.03</v>
      </c>
      <c r="F99">
        <v>4.08</v>
      </c>
      <c r="G99">
        <v>4.33</v>
      </c>
      <c r="H99">
        <v>3.75</v>
      </c>
      <c r="I99" t="s">
        <v>211</v>
      </c>
      <c r="J99">
        <v>4.1500000000000004</v>
      </c>
      <c r="K99">
        <v>4</v>
      </c>
      <c r="L99">
        <v>3.99</v>
      </c>
      <c r="M99">
        <f t="shared" si="3"/>
        <v>4.04</v>
      </c>
      <c r="N99">
        <f t="shared" si="4"/>
        <v>4.04</v>
      </c>
      <c r="O99">
        <f t="shared" si="5"/>
        <v>3.9725000000000001</v>
      </c>
    </row>
    <row r="100" spans="1:15" ht="15" customHeight="1" x14ac:dyDescent="0.3">
      <c r="A100" t="s">
        <v>212</v>
      </c>
      <c r="B100" t="s">
        <v>2157</v>
      </c>
      <c r="C100">
        <v>3.8</v>
      </c>
      <c r="D100">
        <v>4.3</v>
      </c>
      <c r="E100">
        <v>4.2</v>
      </c>
      <c r="F100">
        <v>4.28</v>
      </c>
      <c r="G100">
        <v>3.71</v>
      </c>
      <c r="H100">
        <v>4.7300000000000004</v>
      </c>
      <c r="I100">
        <v>3.5</v>
      </c>
      <c r="J100">
        <v>3.67</v>
      </c>
      <c r="K100">
        <v>4.3499999999999996</v>
      </c>
      <c r="L100">
        <v>4.49</v>
      </c>
      <c r="M100">
        <f t="shared" si="3"/>
        <v>4.0580000000000007</v>
      </c>
      <c r="N100">
        <f t="shared" si="4"/>
        <v>4.0599999999999996</v>
      </c>
      <c r="O100">
        <f t="shared" si="5"/>
        <v>4.1480000000000006</v>
      </c>
    </row>
    <row r="101" spans="1:15" ht="15" customHeight="1" x14ac:dyDescent="0.3">
      <c r="A101" t="s">
        <v>214</v>
      </c>
      <c r="B101" t="s">
        <v>2158</v>
      </c>
      <c r="C101">
        <v>3.98</v>
      </c>
      <c r="D101">
        <v>4.5199999999999996</v>
      </c>
      <c r="E101">
        <v>3.71</v>
      </c>
      <c r="F101">
        <v>4.08</v>
      </c>
      <c r="G101">
        <v>3.97</v>
      </c>
      <c r="H101">
        <v>4.58</v>
      </c>
      <c r="I101">
        <v>4.3099999999999996</v>
      </c>
      <c r="J101">
        <v>4.2699999999999996</v>
      </c>
      <c r="K101">
        <v>3.95</v>
      </c>
      <c r="L101">
        <v>4.5199999999999996</v>
      </c>
      <c r="M101">
        <f t="shared" si="3"/>
        <v>4.0519999999999996</v>
      </c>
      <c r="N101">
        <f t="shared" si="4"/>
        <v>4.05</v>
      </c>
      <c r="O101">
        <f t="shared" si="5"/>
        <v>4.3259999999999996</v>
      </c>
    </row>
    <row r="102" spans="1:15" ht="15" customHeight="1" x14ac:dyDescent="0.3">
      <c r="A102" t="s">
        <v>216</v>
      </c>
      <c r="B102" t="s">
        <v>2159</v>
      </c>
      <c r="C102">
        <v>4</v>
      </c>
      <c r="D102">
        <v>3.97</v>
      </c>
      <c r="E102">
        <v>3.71</v>
      </c>
      <c r="F102" t="s">
        <v>218</v>
      </c>
      <c r="G102">
        <v>4.32</v>
      </c>
      <c r="H102">
        <v>4.0599999999999996</v>
      </c>
      <c r="I102">
        <v>4.09</v>
      </c>
      <c r="J102">
        <v>4.22</v>
      </c>
      <c r="K102">
        <v>4.04</v>
      </c>
      <c r="L102">
        <v>4.34</v>
      </c>
      <c r="M102">
        <f t="shared" si="3"/>
        <v>4</v>
      </c>
      <c r="N102">
        <f t="shared" si="4"/>
        <v>4</v>
      </c>
      <c r="O102">
        <f t="shared" si="5"/>
        <v>4.1499999999999995</v>
      </c>
    </row>
    <row r="103" spans="1:15" ht="15" customHeight="1" x14ac:dyDescent="0.3">
      <c r="A103" t="s">
        <v>219</v>
      </c>
      <c r="B103" t="s">
        <v>2160</v>
      </c>
      <c r="C103">
        <v>4.05</v>
      </c>
      <c r="D103">
        <v>3.85</v>
      </c>
      <c r="E103">
        <v>3.69</v>
      </c>
      <c r="F103">
        <v>4.3899999999999997</v>
      </c>
      <c r="G103">
        <v>3.44</v>
      </c>
      <c r="H103">
        <v>4.05</v>
      </c>
      <c r="I103">
        <v>4.09</v>
      </c>
      <c r="J103">
        <v>3.93</v>
      </c>
      <c r="K103">
        <v>4.1100000000000003</v>
      </c>
      <c r="L103">
        <v>3.98</v>
      </c>
      <c r="M103">
        <f t="shared" si="3"/>
        <v>3.8840000000000003</v>
      </c>
      <c r="N103">
        <f t="shared" si="4"/>
        <v>3.88</v>
      </c>
      <c r="O103">
        <f t="shared" si="5"/>
        <v>4.032</v>
      </c>
    </row>
    <row r="104" spans="1:15" ht="15" customHeight="1" x14ac:dyDescent="0.3">
      <c r="A104" t="s">
        <v>221</v>
      </c>
      <c r="B104" t="s">
        <v>2161</v>
      </c>
      <c r="C104">
        <v>4.6100000000000003</v>
      </c>
      <c r="D104">
        <v>3.75</v>
      </c>
      <c r="E104">
        <v>3.68</v>
      </c>
      <c r="F104">
        <v>3.86</v>
      </c>
      <c r="G104">
        <v>3.97</v>
      </c>
      <c r="H104">
        <v>3.73</v>
      </c>
      <c r="I104">
        <v>4.0999999999999996</v>
      </c>
      <c r="J104">
        <v>4.09</v>
      </c>
      <c r="K104">
        <v>3.79</v>
      </c>
      <c r="L104">
        <v>4.5599999999999996</v>
      </c>
      <c r="M104">
        <f t="shared" si="3"/>
        <v>3.9739999999999993</v>
      </c>
      <c r="N104">
        <f t="shared" si="4"/>
        <v>3.97</v>
      </c>
      <c r="O104">
        <f t="shared" si="5"/>
        <v>4.0540000000000003</v>
      </c>
    </row>
    <row r="105" spans="1:15" ht="15" customHeight="1" x14ac:dyDescent="0.3">
      <c r="A105" t="s">
        <v>223</v>
      </c>
      <c r="B105" t="s">
        <v>224</v>
      </c>
      <c r="C105">
        <v>4.4000000000000004</v>
      </c>
      <c r="D105">
        <v>3.42</v>
      </c>
      <c r="E105">
        <v>4.58</v>
      </c>
      <c r="F105">
        <v>4.37</v>
      </c>
      <c r="G105">
        <v>4.07</v>
      </c>
      <c r="H105">
        <v>4.4800000000000004</v>
      </c>
      <c r="I105">
        <v>3.73</v>
      </c>
      <c r="J105">
        <v>4</v>
      </c>
      <c r="K105">
        <v>3.94</v>
      </c>
      <c r="L105">
        <v>4.32</v>
      </c>
      <c r="M105">
        <f t="shared" si="3"/>
        <v>4.1680000000000001</v>
      </c>
      <c r="N105">
        <f t="shared" si="4"/>
        <v>4.17</v>
      </c>
      <c r="O105">
        <f t="shared" si="5"/>
        <v>4.0940000000000003</v>
      </c>
    </row>
    <row r="106" spans="1:15" ht="15" customHeight="1" x14ac:dyDescent="0.3">
      <c r="A106" t="s">
        <v>225</v>
      </c>
      <c r="B106" t="s">
        <v>226</v>
      </c>
      <c r="C106" t="s">
        <v>211</v>
      </c>
      <c r="D106">
        <v>4.26</v>
      </c>
      <c r="E106">
        <v>3.84</v>
      </c>
      <c r="F106" t="s">
        <v>211</v>
      </c>
      <c r="G106">
        <v>4.0999999999999996</v>
      </c>
      <c r="H106" t="s">
        <v>211</v>
      </c>
      <c r="I106">
        <v>4.5</v>
      </c>
      <c r="J106">
        <v>3.93</v>
      </c>
      <c r="K106">
        <v>4.1399999999999997</v>
      </c>
      <c r="L106">
        <v>4.17</v>
      </c>
      <c r="M106">
        <f t="shared" si="3"/>
        <v>4.0666666666666664</v>
      </c>
      <c r="N106">
        <f t="shared" si="4"/>
        <v>4.07</v>
      </c>
      <c r="O106">
        <f t="shared" si="5"/>
        <v>4.1850000000000005</v>
      </c>
    </row>
    <row r="107" spans="1:15" ht="15" customHeight="1" x14ac:dyDescent="0.3">
      <c r="A107" t="s">
        <v>227</v>
      </c>
      <c r="B107" t="s">
        <v>2162</v>
      </c>
      <c r="C107">
        <v>4.1399999999999997</v>
      </c>
      <c r="D107">
        <v>4.21</v>
      </c>
      <c r="E107">
        <v>4.0599999999999996</v>
      </c>
      <c r="F107">
        <v>3.92</v>
      </c>
      <c r="G107">
        <v>4.4800000000000004</v>
      </c>
      <c r="H107">
        <v>3.91</v>
      </c>
      <c r="I107">
        <v>3.65</v>
      </c>
      <c r="J107">
        <v>4.1399999999999997</v>
      </c>
      <c r="K107">
        <v>3.63</v>
      </c>
      <c r="L107" t="s">
        <v>211</v>
      </c>
      <c r="M107">
        <f t="shared" si="3"/>
        <v>4.1619999999999999</v>
      </c>
      <c r="N107">
        <f t="shared" si="4"/>
        <v>4.16</v>
      </c>
      <c r="O107">
        <f t="shared" si="5"/>
        <v>3.8324999999999996</v>
      </c>
    </row>
    <row r="108" spans="1:15" ht="15" customHeight="1" x14ac:dyDescent="0.3">
      <c r="A108" t="s">
        <v>229</v>
      </c>
      <c r="B108" t="s">
        <v>230</v>
      </c>
      <c r="C108">
        <v>4.3499999999999996</v>
      </c>
      <c r="D108">
        <v>3.71</v>
      </c>
      <c r="E108">
        <v>4.12</v>
      </c>
      <c r="F108">
        <v>4.1500000000000004</v>
      </c>
      <c r="G108">
        <v>3.8</v>
      </c>
      <c r="H108">
        <v>4.1500000000000004</v>
      </c>
      <c r="I108">
        <v>4.03</v>
      </c>
      <c r="J108" t="s">
        <v>211</v>
      </c>
      <c r="K108">
        <v>3.77</v>
      </c>
      <c r="L108">
        <v>4.04</v>
      </c>
      <c r="M108">
        <f t="shared" si="3"/>
        <v>4.0259999999999998</v>
      </c>
      <c r="N108">
        <f t="shared" si="4"/>
        <v>4.03</v>
      </c>
      <c r="O108">
        <f t="shared" si="5"/>
        <v>3.9974999999999996</v>
      </c>
    </row>
    <row r="109" spans="1:15" ht="15" customHeight="1" x14ac:dyDescent="0.3">
      <c r="A109" t="s">
        <v>231</v>
      </c>
      <c r="B109" t="s">
        <v>2163</v>
      </c>
      <c r="C109">
        <v>4.62</v>
      </c>
      <c r="D109">
        <v>4.26</v>
      </c>
      <c r="E109">
        <v>4.62</v>
      </c>
      <c r="F109">
        <v>4.3499999999999996</v>
      </c>
      <c r="G109">
        <v>4.32</v>
      </c>
      <c r="H109">
        <v>3.7</v>
      </c>
      <c r="I109">
        <v>3.69</v>
      </c>
      <c r="J109">
        <v>4.03</v>
      </c>
      <c r="K109">
        <v>3.52</v>
      </c>
      <c r="L109">
        <v>3.86</v>
      </c>
      <c r="M109">
        <f t="shared" si="3"/>
        <v>4.4340000000000002</v>
      </c>
      <c r="N109">
        <f t="shared" si="4"/>
        <v>4.43</v>
      </c>
      <c r="O109">
        <f t="shared" si="5"/>
        <v>3.7600000000000002</v>
      </c>
    </row>
    <row r="110" spans="1:15" ht="15" customHeight="1" x14ac:dyDescent="0.3">
      <c r="A110" t="s">
        <v>233</v>
      </c>
      <c r="B110" t="s">
        <v>2164</v>
      </c>
      <c r="C110">
        <v>4.4000000000000004</v>
      </c>
      <c r="D110">
        <v>3.82</v>
      </c>
      <c r="E110">
        <v>4.22</v>
      </c>
      <c r="F110">
        <v>4.45</v>
      </c>
      <c r="G110">
        <v>3.25</v>
      </c>
      <c r="H110">
        <v>4.04</v>
      </c>
      <c r="I110" t="s">
        <v>211</v>
      </c>
      <c r="J110">
        <v>4.2300000000000004</v>
      </c>
      <c r="K110">
        <v>4.5199999999999996</v>
      </c>
      <c r="L110">
        <v>3.27</v>
      </c>
      <c r="M110">
        <f t="shared" si="3"/>
        <v>4.0280000000000005</v>
      </c>
      <c r="N110">
        <f t="shared" si="4"/>
        <v>4.03</v>
      </c>
      <c r="O110">
        <f t="shared" si="5"/>
        <v>4.0149999999999997</v>
      </c>
    </row>
    <row r="111" spans="1:15" ht="15" customHeight="1" x14ac:dyDescent="0.3">
      <c r="A111" t="s">
        <v>235</v>
      </c>
      <c r="B111" t="s">
        <v>2165</v>
      </c>
      <c r="C111">
        <v>4</v>
      </c>
      <c r="D111">
        <v>3.98</v>
      </c>
      <c r="E111">
        <v>3.79</v>
      </c>
      <c r="F111" t="s">
        <v>237</v>
      </c>
      <c r="G111">
        <v>3.62</v>
      </c>
      <c r="H111">
        <v>3.98</v>
      </c>
      <c r="I111">
        <v>3.58</v>
      </c>
      <c r="J111">
        <v>4.59</v>
      </c>
      <c r="K111">
        <v>3.63</v>
      </c>
      <c r="L111">
        <v>4.41</v>
      </c>
      <c r="M111">
        <f t="shared" si="3"/>
        <v>3.8475000000000001</v>
      </c>
      <c r="N111">
        <f t="shared" si="4"/>
        <v>3.85</v>
      </c>
      <c r="O111">
        <f t="shared" si="5"/>
        <v>4.0380000000000003</v>
      </c>
    </row>
    <row r="112" spans="1:15" ht="15" customHeight="1" x14ac:dyDescent="0.3">
      <c r="A112" t="s">
        <v>238</v>
      </c>
      <c r="B112" t="s">
        <v>239</v>
      </c>
      <c r="C112">
        <v>4.16</v>
      </c>
      <c r="D112">
        <v>3.6</v>
      </c>
      <c r="E112">
        <v>4.18</v>
      </c>
      <c r="F112">
        <v>4.1100000000000003</v>
      </c>
      <c r="G112">
        <v>3.94</v>
      </c>
      <c r="H112">
        <v>3.81</v>
      </c>
      <c r="I112">
        <v>3.97</v>
      </c>
      <c r="J112">
        <v>3.59</v>
      </c>
      <c r="K112">
        <v>4.59</v>
      </c>
      <c r="L112">
        <v>3.69</v>
      </c>
      <c r="M112">
        <f t="shared" si="3"/>
        <v>3.9980000000000002</v>
      </c>
      <c r="N112">
        <f t="shared" si="4"/>
        <v>4</v>
      </c>
      <c r="O112">
        <f t="shared" si="5"/>
        <v>3.9300000000000006</v>
      </c>
    </row>
    <row r="113" spans="1:15" ht="15" customHeight="1" x14ac:dyDescent="0.3">
      <c r="A113" t="s">
        <v>240</v>
      </c>
      <c r="B113" t="s">
        <v>2166</v>
      </c>
      <c r="C113">
        <v>3.9</v>
      </c>
      <c r="D113">
        <v>3.96</v>
      </c>
      <c r="E113">
        <v>3.56</v>
      </c>
      <c r="F113">
        <v>4.7300000000000004</v>
      </c>
      <c r="G113">
        <v>3.95</v>
      </c>
      <c r="H113">
        <v>3.75</v>
      </c>
      <c r="I113">
        <v>3.43</v>
      </c>
      <c r="J113">
        <v>3.63</v>
      </c>
      <c r="K113">
        <v>3.94</v>
      </c>
      <c r="L113">
        <v>4.34</v>
      </c>
      <c r="M113">
        <f t="shared" si="3"/>
        <v>4.0199999999999996</v>
      </c>
      <c r="N113">
        <f t="shared" si="4"/>
        <v>4.0199999999999996</v>
      </c>
      <c r="O113">
        <f t="shared" si="5"/>
        <v>3.8179999999999992</v>
      </c>
    </row>
    <row r="114" spans="1:15" ht="15" customHeight="1" x14ac:dyDescent="0.3">
      <c r="A114" t="s">
        <v>242</v>
      </c>
      <c r="B114" t="s">
        <v>2167</v>
      </c>
      <c r="C114">
        <v>3.76</v>
      </c>
      <c r="D114">
        <v>3.52</v>
      </c>
      <c r="E114">
        <v>4.0199999999999996</v>
      </c>
      <c r="F114">
        <v>3.56</v>
      </c>
      <c r="G114">
        <v>3.6</v>
      </c>
      <c r="H114" t="s">
        <v>211</v>
      </c>
      <c r="I114">
        <v>3.78</v>
      </c>
      <c r="J114">
        <v>4.1900000000000004</v>
      </c>
      <c r="K114">
        <v>3.92</v>
      </c>
      <c r="L114">
        <v>4.2</v>
      </c>
      <c r="M114">
        <f t="shared" si="3"/>
        <v>3.6920000000000002</v>
      </c>
      <c r="N114">
        <f t="shared" si="4"/>
        <v>3.69</v>
      </c>
      <c r="O114">
        <f t="shared" si="5"/>
        <v>4.0225</v>
      </c>
    </row>
    <row r="115" spans="1:15" ht="15" customHeight="1" x14ac:dyDescent="0.3">
      <c r="A115" t="s">
        <v>244</v>
      </c>
      <c r="B115" t="s">
        <v>2168</v>
      </c>
      <c r="C115">
        <v>4.4000000000000004</v>
      </c>
      <c r="D115">
        <v>3.93</v>
      </c>
      <c r="E115">
        <v>4.08</v>
      </c>
      <c r="F115">
        <v>4.22</v>
      </c>
      <c r="G115">
        <v>4.5999999999999996</v>
      </c>
      <c r="H115">
        <v>4.34</v>
      </c>
      <c r="I115">
        <v>4.49</v>
      </c>
      <c r="J115">
        <v>4.38</v>
      </c>
      <c r="K115">
        <v>4.3899999999999997</v>
      </c>
      <c r="L115">
        <v>3.48</v>
      </c>
      <c r="M115">
        <f t="shared" si="3"/>
        <v>4.2459999999999996</v>
      </c>
      <c r="N115">
        <f t="shared" si="4"/>
        <v>4.25</v>
      </c>
      <c r="O115">
        <f t="shared" si="5"/>
        <v>4.2160000000000002</v>
      </c>
    </row>
    <row r="116" spans="1:15" ht="15" customHeight="1" x14ac:dyDescent="0.3">
      <c r="A116" t="s">
        <v>246</v>
      </c>
      <c r="B116" t="s">
        <v>2169</v>
      </c>
      <c r="C116">
        <v>4.37</v>
      </c>
      <c r="D116">
        <v>3.74</v>
      </c>
      <c r="E116">
        <v>3.9</v>
      </c>
      <c r="F116">
        <v>3.94</v>
      </c>
      <c r="G116">
        <v>4.26</v>
      </c>
      <c r="H116">
        <v>4.5</v>
      </c>
      <c r="I116">
        <v>3.56</v>
      </c>
      <c r="J116">
        <v>3.56</v>
      </c>
      <c r="K116">
        <v>4.03</v>
      </c>
      <c r="L116">
        <v>3.96</v>
      </c>
      <c r="M116">
        <f t="shared" si="3"/>
        <v>4.0419999999999998</v>
      </c>
      <c r="N116">
        <f t="shared" si="4"/>
        <v>4.04</v>
      </c>
      <c r="O116">
        <f t="shared" si="5"/>
        <v>3.9220000000000006</v>
      </c>
    </row>
    <row r="117" spans="1:15" ht="15" customHeight="1" x14ac:dyDescent="0.3">
      <c r="A117" t="s">
        <v>248</v>
      </c>
      <c r="B117" t="s">
        <v>249</v>
      </c>
      <c r="C117">
        <v>4.4800000000000004</v>
      </c>
      <c r="D117">
        <v>3.97</v>
      </c>
      <c r="E117">
        <v>4.0599999999999996</v>
      </c>
      <c r="F117" t="s">
        <v>211</v>
      </c>
      <c r="G117">
        <v>4.07</v>
      </c>
      <c r="H117">
        <v>4.29</v>
      </c>
      <c r="I117">
        <v>4.5999999999999996</v>
      </c>
      <c r="J117">
        <v>3.93</v>
      </c>
      <c r="K117">
        <v>4.22</v>
      </c>
      <c r="L117">
        <v>3.93</v>
      </c>
      <c r="M117">
        <f t="shared" si="3"/>
        <v>4.1450000000000005</v>
      </c>
      <c r="N117">
        <f t="shared" si="4"/>
        <v>4.1500000000000004</v>
      </c>
      <c r="O117">
        <f t="shared" si="5"/>
        <v>4.194</v>
      </c>
    </row>
    <row r="118" spans="1:15" ht="15" customHeight="1" x14ac:dyDescent="0.3">
      <c r="A118" t="s">
        <v>250</v>
      </c>
      <c r="B118" t="s">
        <v>2170</v>
      </c>
      <c r="C118">
        <v>3.8</v>
      </c>
      <c r="D118">
        <v>4.1100000000000003</v>
      </c>
      <c r="E118">
        <v>3.76</v>
      </c>
      <c r="F118">
        <v>4.3099999999999996</v>
      </c>
      <c r="G118">
        <v>4.63</v>
      </c>
      <c r="H118">
        <v>3.93</v>
      </c>
      <c r="I118">
        <v>4.1100000000000003</v>
      </c>
      <c r="J118">
        <v>3.88</v>
      </c>
      <c r="K118">
        <v>4.05</v>
      </c>
      <c r="L118">
        <v>4.51</v>
      </c>
      <c r="M118">
        <f t="shared" si="3"/>
        <v>4.1219999999999999</v>
      </c>
      <c r="N118">
        <f t="shared" si="4"/>
        <v>4.12</v>
      </c>
      <c r="O118">
        <f t="shared" si="5"/>
        <v>4.096000000000001</v>
      </c>
    </row>
    <row r="119" spans="1:15" ht="15" customHeight="1" x14ac:dyDescent="0.3">
      <c r="A119" t="s">
        <v>252</v>
      </c>
      <c r="B119" t="s">
        <v>253</v>
      </c>
      <c r="C119">
        <v>3.96</v>
      </c>
      <c r="D119">
        <v>3.68</v>
      </c>
      <c r="E119">
        <v>4.1399999999999997</v>
      </c>
      <c r="F119">
        <v>4.1399999999999997</v>
      </c>
      <c r="G119">
        <v>4.24</v>
      </c>
      <c r="H119">
        <v>4.3499999999999996</v>
      </c>
      <c r="I119">
        <v>3.45</v>
      </c>
      <c r="J119">
        <v>4</v>
      </c>
      <c r="K119">
        <v>4.6399999999999997</v>
      </c>
      <c r="L119">
        <v>4.43</v>
      </c>
      <c r="M119">
        <f t="shared" si="3"/>
        <v>4.0320000000000009</v>
      </c>
      <c r="N119">
        <f t="shared" si="4"/>
        <v>4.03</v>
      </c>
      <c r="O119">
        <f t="shared" si="5"/>
        <v>4.1740000000000004</v>
      </c>
    </row>
    <row r="120" spans="1:15" ht="15" customHeight="1" x14ac:dyDescent="0.3">
      <c r="A120" t="s">
        <v>254</v>
      </c>
      <c r="B120" t="s">
        <v>2171</v>
      </c>
      <c r="C120">
        <v>4.3499999999999996</v>
      </c>
      <c r="D120">
        <v>3.91</v>
      </c>
      <c r="E120">
        <v>3.8</v>
      </c>
      <c r="F120">
        <v>4.24</v>
      </c>
      <c r="G120">
        <v>3.95</v>
      </c>
      <c r="H120">
        <v>4.1399999999999997</v>
      </c>
      <c r="I120">
        <v>4.09</v>
      </c>
      <c r="J120" t="s">
        <v>211</v>
      </c>
      <c r="K120">
        <v>4.46</v>
      </c>
      <c r="L120">
        <v>4.3499999999999996</v>
      </c>
      <c r="M120">
        <f t="shared" si="3"/>
        <v>4.0499999999999989</v>
      </c>
      <c r="N120">
        <f t="shared" si="4"/>
        <v>4.05</v>
      </c>
      <c r="O120">
        <f t="shared" si="5"/>
        <v>4.26</v>
      </c>
    </row>
    <row r="121" spans="1:15" ht="15" customHeight="1" x14ac:dyDescent="0.3">
      <c r="A121" t="s">
        <v>256</v>
      </c>
      <c r="B121" t="s">
        <v>257</v>
      </c>
      <c r="C121">
        <v>4.22</v>
      </c>
      <c r="D121">
        <v>4.25</v>
      </c>
      <c r="E121">
        <v>4.29</v>
      </c>
      <c r="F121">
        <v>3.62</v>
      </c>
      <c r="G121">
        <v>4.37</v>
      </c>
      <c r="H121">
        <v>4.43</v>
      </c>
      <c r="I121">
        <v>4.0199999999999996</v>
      </c>
      <c r="J121">
        <v>4.0599999999999996</v>
      </c>
      <c r="K121">
        <v>4.2699999999999996</v>
      </c>
      <c r="L121">
        <v>4.17</v>
      </c>
      <c r="M121">
        <f t="shared" si="3"/>
        <v>4.1500000000000004</v>
      </c>
      <c r="N121">
        <f t="shared" si="4"/>
        <v>4.1500000000000004</v>
      </c>
      <c r="O121">
        <f t="shared" si="5"/>
        <v>4.1899999999999995</v>
      </c>
    </row>
    <row r="122" spans="1:15" ht="15" customHeight="1" x14ac:dyDescent="0.3">
      <c r="A122" t="s">
        <v>258</v>
      </c>
      <c r="B122" t="s">
        <v>2172</v>
      </c>
      <c r="C122">
        <v>3.56</v>
      </c>
      <c r="D122">
        <v>4.3099999999999996</v>
      </c>
      <c r="E122">
        <v>4.0599999999999996</v>
      </c>
      <c r="F122">
        <v>4.21</v>
      </c>
      <c r="G122">
        <v>4.08</v>
      </c>
      <c r="H122">
        <v>4.51</v>
      </c>
      <c r="I122">
        <v>3.97</v>
      </c>
      <c r="J122">
        <v>3.97</v>
      </c>
      <c r="K122">
        <v>4.25</v>
      </c>
      <c r="L122" t="s">
        <v>211</v>
      </c>
      <c r="M122">
        <f t="shared" si="3"/>
        <v>4.0439999999999996</v>
      </c>
      <c r="N122">
        <f t="shared" si="4"/>
        <v>4.04</v>
      </c>
      <c r="O122">
        <f t="shared" si="5"/>
        <v>4.1750000000000007</v>
      </c>
    </row>
    <row r="123" spans="1:15" ht="15" customHeight="1" x14ac:dyDescent="0.3">
      <c r="A123" t="s">
        <v>260</v>
      </c>
      <c r="B123" t="s">
        <v>261</v>
      </c>
      <c r="C123">
        <v>3.77</v>
      </c>
      <c r="D123">
        <v>3.74</v>
      </c>
      <c r="E123">
        <v>4</v>
      </c>
      <c r="F123">
        <v>3.79</v>
      </c>
      <c r="G123">
        <v>4.3499999999999996</v>
      </c>
      <c r="H123">
        <v>4.05</v>
      </c>
      <c r="I123">
        <v>3.86</v>
      </c>
      <c r="J123">
        <v>3.96</v>
      </c>
      <c r="K123">
        <v>3.86</v>
      </c>
      <c r="L123">
        <v>3.71</v>
      </c>
      <c r="M123">
        <f t="shared" si="3"/>
        <v>3.9299999999999997</v>
      </c>
      <c r="N123">
        <f t="shared" si="4"/>
        <v>3.93</v>
      </c>
      <c r="O123">
        <f t="shared" si="5"/>
        <v>3.8880000000000003</v>
      </c>
    </row>
    <row r="124" spans="1:15" ht="15" customHeight="1" x14ac:dyDescent="0.3">
      <c r="A124" t="s">
        <v>262</v>
      </c>
      <c r="B124" t="s">
        <v>2173</v>
      </c>
      <c r="C124">
        <v>4.43</v>
      </c>
      <c r="D124">
        <v>3.93</v>
      </c>
      <c r="E124">
        <v>4.1399999999999997</v>
      </c>
      <c r="F124">
        <v>3.68</v>
      </c>
      <c r="G124">
        <v>4.7</v>
      </c>
      <c r="H124">
        <v>4.13</v>
      </c>
      <c r="I124">
        <v>4.3499999999999996</v>
      </c>
      <c r="J124">
        <v>4.1399999999999997</v>
      </c>
      <c r="K124">
        <v>3.68</v>
      </c>
      <c r="L124">
        <v>4.43</v>
      </c>
      <c r="M124">
        <f t="shared" si="3"/>
        <v>4.1760000000000002</v>
      </c>
      <c r="N124">
        <f t="shared" si="4"/>
        <v>4.18</v>
      </c>
      <c r="O124">
        <f t="shared" si="5"/>
        <v>4.1459999999999999</v>
      </c>
    </row>
    <row r="125" spans="1:15" ht="15" customHeight="1" x14ac:dyDescent="0.3">
      <c r="A125" t="s">
        <v>264</v>
      </c>
      <c r="B125" t="s">
        <v>2174</v>
      </c>
      <c r="C125">
        <v>3.76</v>
      </c>
      <c r="D125">
        <v>4.4800000000000004</v>
      </c>
      <c r="E125">
        <v>3.67</v>
      </c>
      <c r="F125">
        <v>3.65</v>
      </c>
      <c r="G125">
        <v>4.0199999999999996</v>
      </c>
      <c r="H125">
        <v>3.76</v>
      </c>
      <c r="I125">
        <v>4.4400000000000004</v>
      </c>
      <c r="J125">
        <v>4.16</v>
      </c>
      <c r="K125">
        <v>4.13</v>
      </c>
      <c r="L125">
        <v>3.87</v>
      </c>
      <c r="M125">
        <f t="shared" si="3"/>
        <v>3.9159999999999995</v>
      </c>
      <c r="N125">
        <f t="shared" si="4"/>
        <v>3.92</v>
      </c>
      <c r="O125">
        <f t="shared" si="5"/>
        <v>4.0720000000000001</v>
      </c>
    </row>
    <row r="126" spans="1:15" ht="15" customHeight="1" x14ac:dyDescent="0.3">
      <c r="A126" t="s">
        <v>266</v>
      </c>
      <c r="B126" t="s">
        <v>267</v>
      </c>
      <c r="C126">
        <v>3.65</v>
      </c>
      <c r="D126">
        <v>3.62</v>
      </c>
      <c r="E126">
        <v>4.5599999999999996</v>
      </c>
      <c r="F126">
        <v>4.26</v>
      </c>
      <c r="G126">
        <v>3.79</v>
      </c>
      <c r="H126">
        <v>4.12</v>
      </c>
      <c r="I126" t="s">
        <v>211</v>
      </c>
      <c r="J126">
        <v>4.1100000000000003</v>
      </c>
      <c r="K126">
        <v>4.7699999999999996</v>
      </c>
      <c r="L126">
        <v>4.24</v>
      </c>
      <c r="M126">
        <f t="shared" si="3"/>
        <v>3.9759999999999991</v>
      </c>
      <c r="N126">
        <f t="shared" si="4"/>
        <v>3.98</v>
      </c>
      <c r="O126">
        <f t="shared" si="5"/>
        <v>4.3100000000000005</v>
      </c>
    </row>
    <row r="127" spans="1:15" ht="15" customHeight="1" x14ac:dyDescent="0.3">
      <c r="A127" t="s">
        <v>268</v>
      </c>
      <c r="B127" t="s">
        <v>2175</v>
      </c>
      <c r="C127">
        <v>4.45</v>
      </c>
      <c r="D127">
        <v>4.0199999999999996</v>
      </c>
      <c r="E127">
        <v>4.04</v>
      </c>
      <c r="F127">
        <v>4.59</v>
      </c>
      <c r="G127">
        <v>4.16</v>
      </c>
      <c r="H127">
        <v>4.33</v>
      </c>
      <c r="I127">
        <v>4.17</v>
      </c>
      <c r="J127">
        <v>3.42</v>
      </c>
      <c r="K127">
        <v>3.97</v>
      </c>
      <c r="L127">
        <v>4.1900000000000004</v>
      </c>
      <c r="M127">
        <f t="shared" si="3"/>
        <v>4.2519999999999998</v>
      </c>
      <c r="N127">
        <f t="shared" si="4"/>
        <v>4.25</v>
      </c>
      <c r="O127">
        <f t="shared" si="5"/>
        <v>4.016</v>
      </c>
    </row>
    <row r="128" spans="1:15" ht="15" customHeight="1" x14ac:dyDescent="0.3">
      <c r="A128" t="s">
        <v>270</v>
      </c>
      <c r="B128" t="s">
        <v>2176</v>
      </c>
      <c r="C128">
        <v>4.46</v>
      </c>
      <c r="D128">
        <v>3.71</v>
      </c>
      <c r="E128">
        <v>4.3</v>
      </c>
      <c r="F128" t="s">
        <v>211</v>
      </c>
      <c r="G128">
        <v>4.42</v>
      </c>
      <c r="H128">
        <v>3.99</v>
      </c>
      <c r="I128">
        <v>3.32</v>
      </c>
      <c r="J128">
        <v>4.0599999999999996</v>
      </c>
      <c r="K128">
        <v>3.48</v>
      </c>
      <c r="L128">
        <v>3.98</v>
      </c>
      <c r="M128">
        <f t="shared" si="3"/>
        <v>4.2225000000000001</v>
      </c>
      <c r="N128">
        <f t="shared" si="4"/>
        <v>4.22</v>
      </c>
      <c r="O128">
        <f t="shared" si="5"/>
        <v>3.7660000000000005</v>
      </c>
    </row>
    <row r="129" spans="1:15" ht="15" customHeight="1" x14ac:dyDescent="0.3">
      <c r="A129" t="s">
        <v>272</v>
      </c>
      <c r="B129" t="s">
        <v>2177</v>
      </c>
      <c r="C129">
        <v>3.1</v>
      </c>
      <c r="D129">
        <v>4.49</v>
      </c>
      <c r="E129">
        <v>4.16</v>
      </c>
      <c r="F129">
        <v>4.29</v>
      </c>
      <c r="G129">
        <v>4.28</v>
      </c>
      <c r="H129">
        <v>4.22</v>
      </c>
      <c r="I129">
        <v>3.95</v>
      </c>
      <c r="J129">
        <v>4.38</v>
      </c>
      <c r="K129">
        <v>4.01</v>
      </c>
      <c r="L129">
        <v>3.86</v>
      </c>
      <c r="M129">
        <f t="shared" si="3"/>
        <v>4.0640000000000001</v>
      </c>
      <c r="N129">
        <f t="shared" si="4"/>
        <v>4.0599999999999996</v>
      </c>
      <c r="O129">
        <f t="shared" si="5"/>
        <v>4.0840000000000005</v>
      </c>
    </row>
    <row r="130" spans="1:15" ht="15" customHeight="1" x14ac:dyDescent="0.3">
      <c r="A130" t="s">
        <v>274</v>
      </c>
      <c r="B130" t="s">
        <v>2178</v>
      </c>
      <c r="C130">
        <v>3.56</v>
      </c>
      <c r="D130">
        <v>4.22</v>
      </c>
      <c r="E130">
        <v>4.43</v>
      </c>
      <c r="F130">
        <v>3.82</v>
      </c>
      <c r="G130">
        <v>3.63</v>
      </c>
      <c r="H130">
        <v>4.2300000000000004</v>
      </c>
      <c r="I130">
        <v>4.08</v>
      </c>
      <c r="J130">
        <v>3.94</v>
      </c>
      <c r="K130">
        <v>3.89</v>
      </c>
      <c r="L130">
        <v>3.76</v>
      </c>
      <c r="M130">
        <f t="shared" ref="M130:M193" si="6">AVERAGE(C130:G130)</f>
        <v>3.9319999999999995</v>
      </c>
      <c r="N130">
        <f t="shared" ref="N130:N193" si="7">ROUND(M130,2)</f>
        <v>3.93</v>
      </c>
      <c r="O130">
        <f t="shared" ref="O130:O193" si="8">AVERAGE(H130:L130)</f>
        <v>3.9799999999999995</v>
      </c>
    </row>
    <row r="131" spans="1:15" ht="15" customHeight="1" x14ac:dyDescent="0.3">
      <c r="A131" t="s">
        <v>276</v>
      </c>
      <c r="B131" t="s">
        <v>2179</v>
      </c>
      <c r="C131">
        <v>4.22</v>
      </c>
      <c r="D131">
        <v>4</v>
      </c>
      <c r="E131">
        <v>3.61</v>
      </c>
      <c r="F131">
        <v>3.7</v>
      </c>
      <c r="G131">
        <v>4.17</v>
      </c>
      <c r="H131">
        <v>4.08</v>
      </c>
      <c r="I131">
        <v>4.0999999999999996</v>
      </c>
      <c r="J131">
        <v>3.75</v>
      </c>
      <c r="K131" t="s">
        <v>278</v>
      </c>
      <c r="L131">
        <v>4.33</v>
      </c>
      <c r="M131">
        <f t="shared" si="6"/>
        <v>3.9399999999999991</v>
      </c>
      <c r="N131">
        <f t="shared" si="7"/>
        <v>3.94</v>
      </c>
      <c r="O131">
        <f t="shared" si="8"/>
        <v>4.0649999999999995</v>
      </c>
    </row>
    <row r="132" spans="1:15" ht="15" customHeight="1" x14ac:dyDescent="0.3">
      <c r="A132" t="s">
        <v>279</v>
      </c>
      <c r="B132" t="s">
        <v>280</v>
      </c>
      <c r="C132">
        <v>3.71</v>
      </c>
      <c r="D132">
        <v>3.35</v>
      </c>
      <c r="E132">
        <v>3.67</v>
      </c>
      <c r="F132">
        <v>4.4400000000000004</v>
      </c>
      <c r="G132">
        <v>3.7</v>
      </c>
      <c r="H132">
        <v>3.87</v>
      </c>
      <c r="I132">
        <v>3.68</v>
      </c>
      <c r="J132">
        <v>4.33</v>
      </c>
      <c r="K132">
        <v>4.05</v>
      </c>
      <c r="L132">
        <v>4.21</v>
      </c>
      <c r="M132">
        <f t="shared" si="6"/>
        <v>3.774</v>
      </c>
      <c r="N132">
        <f t="shared" si="7"/>
        <v>3.77</v>
      </c>
      <c r="O132">
        <f t="shared" si="8"/>
        <v>4.0280000000000005</v>
      </c>
    </row>
    <row r="133" spans="1:15" ht="15" customHeight="1" x14ac:dyDescent="0.3">
      <c r="A133" t="s">
        <v>281</v>
      </c>
      <c r="B133" t="s">
        <v>2180</v>
      </c>
      <c r="C133">
        <v>3.35</v>
      </c>
      <c r="D133">
        <v>3.97</v>
      </c>
      <c r="E133">
        <v>4.46</v>
      </c>
      <c r="F133">
        <v>4.42</v>
      </c>
      <c r="G133">
        <v>3.99</v>
      </c>
      <c r="H133">
        <v>3.84</v>
      </c>
      <c r="I133">
        <v>3.67</v>
      </c>
      <c r="J133">
        <v>3.73</v>
      </c>
      <c r="K133">
        <v>4.26</v>
      </c>
      <c r="L133">
        <v>4.05</v>
      </c>
      <c r="M133">
        <f t="shared" si="6"/>
        <v>4.0380000000000011</v>
      </c>
      <c r="N133">
        <f t="shared" si="7"/>
        <v>4.04</v>
      </c>
      <c r="O133">
        <f t="shared" si="8"/>
        <v>3.91</v>
      </c>
    </row>
    <row r="134" spans="1:15" ht="15" customHeight="1" x14ac:dyDescent="0.3">
      <c r="A134" t="s">
        <v>283</v>
      </c>
      <c r="B134" t="s">
        <v>2181</v>
      </c>
      <c r="C134">
        <v>3.4</v>
      </c>
      <c r="D134">
        <v>4.25</v>
      </c>
      <c r="E134">
        <v>3.92</v>
      </c>
      <c r="F134" t="s">
        <v>211</v>
      </c>
      <c r="G134">
        <v>3.79</v>
      </c>
      <c r="H134">
        <v>3.49</v>
      </c>
      <c r="I134">
        <v>3.92</v>
      </c>
      <c r="J134">
        <v>4.32</v>
      </c>
      <c r="K134">
        <v>4.42</v>
      </c>
      <c r="L134">
        <v>4.21</v>
      </c>
      <c r="M134">
        <f t="shared" si="6"/>
        <v>3.84</v>
      </c>
      <c r="N134">
        <f t="shared" si="7"/>
        <v>3.84</v>
      </c>
      <c r="O134">
        <f t="shared" si="8"/>
        <v>4.0720000000000001</v>
      </c>
    </row>
    <row r="135" spans="1:15" ht="15" customHeight="1" x14ac:dyDescent="0.3">
      <c r="A135" t="s">
        <v>285</v>
      </c>
      <c r="B135" t="s">
        <v>286</v>
      </c>
      <c r="C135">
        <v>3.88</v>
      </c>
      <c r="D135">
        <v>3.34</v>
      </c>
      <c r="E135">
        <v>3.68</v>
      </c>
      <c r="F135">
        <v>3.62</v>
      </c>
      <c r="G135">
        <v>3.89</v>
      </c>
      <c r="H135">
        <v>4.04</v>
      </c>
      <c r="I135">
        <v>4.0999999999999996</v>
      </c>
      <c r="J135">
        <v>4.22</v>
      </c>
      <c r="K135" t="s">
        <v>211</v>
      </c>
      <c r="L135">
        <v>3.98</v>
      </c>
      <c r="M135">
        <f t="shared" si="6"/>
        <v>3.6819999999999999</v>
      </c>
      <c r="N135">
        <f t="shared" si="7"/>
        <v>3.68</v>
      </c>
      <c r="O135">
        <f t="shared" si="8"/>
        <v>4.085</v>
      </c>
    </row>
    <row r="136" spans="1:15" ht="15" customHeight="1" x14ac:dyDescent="0.3">
      <c r="A136" t="s">
        <v>287</v>
      </c>
      <c r="B136" t="s">
        <v>2182</v>
      </c>
      <c r="C136">
        <v>3.16</v>
      </c>
      <c r="D136">
        <v>4.24</v>
      </c>
      <c r="E136">
        <v>4.51</v>
      </c>
      <c r="F136">
        <v>4.53</v>
      </c>
      <c r="G136">
        <v>4.3499999999999996</v>
      </c>
      <c r="H136">
        <v>4.18</v>
      </c>
      <c r="I136">
        <v>3.97</v>
      </c>
      <c r="J136">
        <v>3.69</v>
      </c>
      <c r="K136">
        <v>3.77</v>
      </c>
      <c r="L136">
        <v>4.22</v>
      </c>
      <c r="M136">
        <f t="shared" si="6"/>
        <v>4.1579999999999995</v>
      </c>
      <c r="N136">
        <f t="shared" si="7"/>
        <v>4.16</v>
      </c>
      <c r="O136">
        <f t="shared" si="8"/>
        <v>3.9659999999999997</v>
      </c>
    </row>
    <row r="137" spans="1:15" ht="15" customHeight="1" x14ac:dyDescent="0.3">
      <c r="A137" t="s">
        <v>289</v>
      </c>
      <c r="B137" t="s">
        <v>2183</v>
      </c>
      <c r="C137">
        <v>4.25</v>
      </c>
      <c r="D137">
        <v>4.25</v>
      </c>
      <c r="E137">
        <v>4.37</v>
      </c>
      <c r="F137">
        <v>4.21</v>
      </c>
      <c r="G137">
        <v>3.88</v>
      </c>
      <c r="H137">
        <v>4.03</v>
      </c>
      <c r="I137">
        <v>4.24</v>
      </c>
      <c r="J137">
        <v>3.69</v>
      </c>
      <c r="K137">
        <v>3.58</v>
      </c>
      <c r="L137">
        <v>3.76</v>
      </c>
      <c r="M137">
        <f t="shared" si="6"/>
        <v>4.1920000000000002</v>
      </c>
      <c r="N137">
        <f t="shared" si="7"/>
        <v>4.1900000000000004</v>
      </c>
      <c r="O137">
        <f t="shared" si="8"/>
        <v>3.8599999999999994</v>
      </c>
    </row>
    <row r="138" spans="1:15" ht="15" customHeight="1" x14ac:dyDescent="0.3">
      <c r="A138" t="s">
        <v>291</v>
      </c>
      <c r="B138" t="s">
        <v>2184</v>
      </c>
      <c r="C138">
        <v>3.41</v>
      </c>
      <c r="D138">
        <v>4.04</v>
      </c>
      <c r="E138">
        <v>4.24</v>
      </c>
      <c r="F138">
        <v>3.71</v>
      </c>
      <c r="G138">
        <v>3.99</v>
      </c>
      <c r="H138">
        <v>4.2300000000000004</v>
      </c>
      <c r="I138">
        <v>4.26</v>
      </c>
      <c r="J138">
        <v>3.96</v>
      </c>
      <c r="K138">
        <v>4.42</v>
      </c>
      <c r="L138">
        <v>3.92</v>
      </c>
      <c r="M138">
        <f t="shared" si="6"/>
        <v>3.8780000000000001</v>
      </c>
      <c r="N138">
        <f t="shared" si="7"/>
        <v>3.88</v>
      </c>
      <c r="O138">
        <f t="shared" si="8"/>
        <v>4.1579999999999995</v>
      </c>
    </row>
    <row r="139" spans="1:15" ht="15" customHeight="1" x14ac:dyDescent="0.3">
      <c r="A139" t="s">
        <v>293</v>
      </c>
      <c r="B139" t="s">
        <v>2185</v>
      </c>
      <c r="C139">
        <v>4.05</v>
      </c>
      <c r="D139">
        <v>4.5</v>
      </c>
      <c r="E139">
        <v>3.89</v>
      </c>
      <c r="F139">
        <v>4</v>
      </c>
      <c r="G139">
        <v>3.92</v>
      </c>
      <c r="H139">
        <v>4.42</v>
      </c>
      <c r="I139">
        <v>3.86</v>
      </c>
      <c r="J139">
        <v>4.05</v>
      </c>
      <c r="K139">
        <v>4.22</v>
      </c>
      <c r="L139">
        <v>3.98</v>
      </c>
      <c r="M139">
        <f t="shared" si="6"/>
        <v>4.0720000000000001</v>
      </c>
      <c r="N139">
        <f t="shared" si="7"/>
        <v>4.07</v>
      </c>
      <c r="O139">
        <f t="shared" si="8"/>
        <v>4.1059999999999999</v>
      </c>
    </row>
    <row r="140" spans="1:15" ht="15" customHeight="1" x14ac:dyDescent="0.3">
      <c r="A140" t="s">
        <v>295</v>
      </c>
      <c r="B140" t="s">
        <v>296</v>
      </c>
      <c r="C140">
        <v>4.28</v>
      </c>
      <c r="D140">
        <v>3.71</v>
      </c>
      <c r="E140">
        <v>4.08</v>
      </c>
      <c r="F140">
        <v>3.98</v>
      </c>
      <c r="G140">
        <v>4.49</v>
      </c>
      <c r="H140">
        <v>4.18</v>
      </c>
      <c r="I140">
        <v>3.64</v>
      </c>
      <c r="J140">
        <v>3.83</v>
      </c>
      <c r="K140">
        <v>4.09</v>
      </c>
      <c r="L140">
        <v>3.72</v>
      </c>
      <c r="M140">
        <f t="shared" si="6"/>
        <v>4.1079999999999997</v>
      </c>
      <c r="N140">
        <f t="shared" si="7"/>
        <v>4.1100000000000003</v>
      </c>
      <c r="O140">
        <f t="shared" si="8"/>
        <v>3.8920000000000003</v>
      </c>
    </row>
    <row r="141" spans="1:15" ht="15" customHeight="1" x14ac:dyDescent="0.3">
      <c r="A141" t="s">
        <v>297</v>
      </c>
      <c r="B141" t="s">
        <v>298</v>
      </c>
      <c r="C141">
        <v>4.3600000000000003</v>
      </c>
      <c r="D141">
        <v>3.79</v>
      </c>
      <c r="E141">
        <v>3.88</v>
      </c>
      <c r="F141">
        <v>3.84</v>
      </c>
      <c r="G141">
        <v>4.07</v>
      </c>
      <c r="H141">
        <v>4.63</v>
      </c>
      <c r="I141">
        <v>3.76</v>
      </c>
      <c r="J141">
        <v>4.25</v>
      </c>
      <c r="K141">
        <v>3.98</v>
      </c>
      <c r="L141">
        <v>3.88</v>
      </c>
      <c r="M141">
        <f t="shared" si="6"/>
        <v>3.9880000000000004</v>
      </c>
      <c r="N141">
        <f t="shared" si="7"/>
        <v>3.99</v>
      </c>
      <c r="O141">
        <f t="shared" si="8"/>
        <v>4.0999999999999996</v>
      </c>
    </row>
    <row r="142" spans="1:15" ht="15" customHeight="1" x14ac:dyDescent="0.3">
      <c r="A142" t="s">
        <v>299</v>
      </c>
      <c r="B142" t="s">
        <v>300</v>
      </c>
      <c r="C142">
        <v>3.77</v>
      </c>
      <c r="D142">
        <v>4.1100000000000003</v>
      </c>
      <c r="E142">
        <v>4.4400000000000004</v>
      </c>
      <c r="F142">
        <v>4.55</v>
      </c>
      <c r="G142">
        <v>3.65</v>
      </c>
      <c r="H142">
        <v>4.91</v>
      </c>
      <c r="I142" t="s">
        <v>211</v>
      </c>
      <c r="J142">
        <v>4.32</v>
      </c>
      <c r="K142">
        <v>4.08</v>
      </c>
      <c r="L142">
        <v>3.67</v>
      </c>
      <c r="M142">
        <f t="shared" si="6"/>
        <v>4.1040000000000001</v>
      </c>
      <c r="N142">
        <f t="shared" si="7"/>
        <v>4.0999999999999996</v>
      </c>
      <c r="O142">
        <f t="shared" si="8"/>
        <v>4.2450000000000001</v>
      </c>
    </row>
    <row r="143" spans="1:15" ht="15" customHeight="1" x14ac:dyDescent="0.3">
      <c r="A143" t="s">
        <v>301</v>
      </c>
      <c r="B143" t="s">
        <v>2186</v>
      </c>
      <c r="C143">
        <v>4.0599999999999996</v>
      </c>
      <c r="D143">
        <v>4.21</v>
      </c>
      <c r="E143">
        <v>3.88</v>
      </c>
      <c r="F143">
        <v>4.0999999999999996</v>
      </c>
      <c r="G143">
        <v>4.78</v>
      </c>
      <c r="H143">
        <v>4.29</v>
      </c>
      <c r="I143">
        <v>4.2699999999999996</v>
      </c>
      <c r="J143">
        <v>3.8</v>
      </c>
      <c r="K143">
        <v>4.72</v>
      </c>
      <c r="L143">
        <v>3.89</v>
      </c>
      <c r="M143">
        <f t="shared" si="6"/>
        <v>4.2060000000000004</v>
      </c>
      <c r="N143">
        <f t="shared" si="7"/>
        <v>4.21</v>
      </c>
      <c r="O143">
        <f t="shared" si="8"/>
        <v>4.194</v>
      </c>
    </row>
    <row r="144" spans="1:15" ht="15" customHeight="1" x14ac:dyDescent="0.3">
      <c r="A144" t="s">
        <v>303</v>
      </c>
      <c r="B144" t="s">
        <v>2187</v>
      </c>
      <c r="C144">
        <v>4.12</v>
      </c>
      <c r="D144">
        <v>4.2300000000000004</v>
      </c>
      <c r="E144">
        <v>4.41</v>
      </c>
      <c r="F144">
        <v>4.04</v>
      </c>
      <c r="G144">
        <v>4.32</v>
      </c>
      <c r="H144">
        <v>3.79</v>
      </c>
      <c r="I144">
        <v>4.32</v>
      </c>
      <c r="J144">
        <v>4.22</v>
      </c>
      <c r="K144">
        <v>3.82</v>
      </c>
      <c r="L144">
        <v>4.1100000000000003</v>
      </c>
      <c r="M144">
        <f t="shared" si="6"/>
        <v>4.2240000000000002</v>
      </c>
      <c r="N144">
        <f t="shared" si="7"/>
        <v>4.22</v>
      </c>
      <c r="O144">
        <f t="shared" si="8"/>
        <v>4.0519999999999996</v>
      </c>
    </row>
    <row r="145" spans="1:15" ht="15" customHeight="1" x14ac:dyDescent="0.3">
      <c r="A145" t="s">
        <v>305</v>
      </c>
      <c r="B145" t="s">
        <v>2188</v>
      </c>
      <c r="C145">
        <v>4.3</v>
      </c>
      <c r="D145">
        <v>4.13</v>
      </c>
      <c r="E145">
        <v>3.55</v>
      </c>
      <c r="F145">
        <v>3.7</v>
      </c>
      <c r="G145">
        <v>3.93</v>
      </c>
      <c r="H145">
        <v>3.82</v>
      </c>
      <c r="I145">
        <v>4.2</v>
      </c>
      <c r="J145">
        <v>4.0599999999999996</v>
      </c>
      <c r="K145">
        <v>4.22</v>
      </c>
      <c r="L145">
        <v>4.24</v>
      </c>
      <c r="M145">
        <f t="shared" si="6"/>
        <v>3.9219999999999997</v>
      </c>
      <c r="N145">
        <f t="shared" si="7"/>
        <v>3.92</v>
      </c>
      <c r="O145">
        <f t="shared" si="8"/>
        <v>4.1079999999999997</v>
      </c>
    </row>
    <row r="146" spans="1:15" ht="15" customHeight="1" x14ac:dyDescent="0.3">
      <c r="A146" t="s">
        <v>307</v>
      </c>
      <c r="B146" t="s">
        <v>2189</v>
      </c>
      <c r="C146">
        <v>3.83</v>
      </c>
      <c r="D146">
        <v>4.29</v>
      </c>
      <c r="E146">
        <v>3.86</v>
      </c>
      <c r="F146">
        <v>3.96</v>
      </c>
      <c r="G146">
        <v>3.93</v>
      </c>
      <c r="H146">
        <v>4.01</v>
      </c>
      <c r="I146">
        <v>3.51</v>
      </c>
      <c r="J146">
        <v>4.04</v>
      </c>
      <c r="K146">
        <v>3.87</v>
      </c>
      <c r="L146">
        <v>5</v>
      </c>
      <c r="M146">
        <f t="shared" si="6"/>
        <v>3.9740000000000002</v>
      </c>
      <c r="N146">
        <f t="shared" si="7"/>
        <v>3.97</v>
      </c>
      <c r="O146">
        <f t="shared" si="8"/>
        <v>4.0860000000000003</v>
      </c>
    </row>
    <row r="147" spans="1:15" ht="15" customHeight="1" x14ac:dyDescent="0.3">
      <c r="A147" t="s">
        <v>309</v>
      </c>
      <c r="B147" t="s">
        <v>2190</v>
      </c>
      <c r="C147">
        <v>4.1500000000000004</v>
      </c>
      <c r="D147">
        <v>4.1500000000000004</v>
      </c>
      <c r="E147">
        <v>3.39</v>
      </c>
      <c r="F147">
        <v>4.72</v>
      </c>
      <c r="G147">
        <v>3.76</v>
      </c>
      <c r="H147">
        <v>3.94</v>
      </c>
      <c r="I147">
        <v>4.32</v>
      </c>
      <c r="J147">
        <v>4.3899999999999997</v>
      </c>
      <c r="K147">
        <v>3.98</v>
      </c>
      <c r="L147">
        <v>4.0999999999999996</v>
      </c>
      <c r="M147">
        <f t="shared" si="6"/>
        <v>4.0340000000000007</v>
      </c>
      <c r="N147">
        <f t="shared" si="7"/>
        <v>4.03</v>
      </c>
      <c r="O147">
        <f t="shared" si="8"/>
        <v>4.145999999999999</v>
      </c>
    </row>
    <row r="148" spans="1:15" ht="15" customHeight="1" x14ac:dyDescent="0.3">
      <c r="A148" t="s">
        <v>311</v>
      </c>
      <c r="B148" t="s">
        <v>2191</v>
      </c>
      <c r="C148">
        <v>3.92</v>
      </c>
      <c r="D148">
        <v>3.49</v>
      </c>
      <c r="E148">
        <v>3.87</v>
      </c>
      <c r="F148">
        <v>4.03</v>
      </c>
      <c r="G148" t="s">
        <v>211</v>
      </c>
      <c r="H148">
        <v>3.94</v>
      </c>
      <c r="I148">
        <v>4.3</v>
      </c>
      <c r="J148">
        <v>3.93</v>
      </c>
      <c r="K148">
        <v>3.7</v>
      </c>
      <c r="L148">
        <v>4.33</v>
      </c>
      <c r="M148">
        <f t="shared" si="6"/>
        <v>3.8275000000000006</v>
      </c>
      <c r="N148">
        <f t="shared" si="7"/>
        <v>3.83</v>
      </c>
      <c r="O148">
        <f t="shared" si="8"/>
        <v>4.0400000000000009</v>
      </c>
    </row>
    <row r="149" spans="1:15" ht="15" customHeight="1" x14ac:dyDescent="0.3">
      <c r="A149" t="s">
        <v>313</v>
      </c>
      <c r="B149" t="s">
        <v>2192</v>
      </c>
      <c r="C149">
        <v>3.67</v>
      </c>
      <c r="D149">
        <v>4.03</v>
      </c>
      <c r="E149">
        <v>3.64</v>
      </c>
      <c r="F149">
        <v>4.08</v>
      </c>
      <c r="G149">
        <v>3.99</v>
      </c>
      <c r="H149">
        <v>4.0599999999999996</v>
      </c>
      <c r="I149">
        <v>3.97</v>
      </c>
      <c r="J149">
        <v>4.18</v>
      </c>
      <c r="K149" t="s">
        <v>211</v>
      </c>
      <c r="L149">
        <v>4.1900000000000004</v>
      </c>
      <c r="M149">
        <f t="shared" si="6"/>
        <v>3.8820000000000001</v>
      </c>
      <c r="N149">
        <f t="shared" si="7"/>
        <v>3.88</v>
      </c>
      <c r="O149">
        <f t="shared" si="8"/>
        <v>4.0999999999999996</v>
      </c>
    </row>
    <row r="150" spans="1:15" ht="15" customHeight="1" x14ac:dyDescent="0.3">
      <c r="A150" t="s">
        <v>315</v>
      </c>
      <c r="B150" t="s">
        <v>316</v>
      </c>
      <c r="C150">
        <v>4</v>
      </c>
      <c r="D150">
        <v>4.5199999999999996</v>
      </c>
      <c r="E150">
        <v>4.46</v>
      </c>
      <c r="F150">
        <v>3.98</v>
      </c>
      <c r="G150">
        <v>4.0599999999999996</v>
      </c>
      <c r="H150">
        <v>4.1500000000000004</v>
      </c>
      <c r="I150">
        <v>3.66</v>
      </c>
      <c r="J150">
        <v>4.0999999999999996</v>
      </c>
      <c r="K150">
        <v>3.95</v>
      </c>
      <c r="L150">
        <v>3.51</v>
      </c>
      <c r="M150">
        <f t="shared" si="6"/>
        <v>4.2039999999999997</v>
      </c>
      <c r="N150">
        <f t="shared" si="7"/>
        <v>4.2</v>
      </c>
      <c r="O150">
        <f t="shared" si="8"/>
        <v>3.8739999999999997</v>
      </c>
    </row>
    <row r="151" spans="1:15" ht="15" customHeight="1" x14ac:dyDescent="0.3">
      <c r="A151" t="s">
        <v>317</v>
      </c>
      <c r="B151" t="s">
        <v>318</v>
      </c>
      <c r="C151">
        <v>4.1500000000000004</v>
      </c>
      <c r="D151">
        <v>3.84</v>
      </c>
      <c r="E151">
        <v>3.6</v>
      </c>
      <c r="F151">
        <v>3.83</v>
      </c>
      <c r="G151">
        <v>4.18</v>
      </c>
      <c r="H151">
        <v>4.37</v>
      </c>
      <c r="I151" t="s">
        <v>211</v>
      </c>
      <c r="J151">
        <v>4.21</v>
      </c>
      <c r="K151">
        <v>4.16</v>
      </c>
      <c r="L151">
        <v>4.41</v>
      </c>
      <c r="M151">
        <f t="shared" si="6"/>
        <v>3.9200000000000004</v>
      </c>
      <c r="N151">
        <f t="shared" si="7"/>
        <v>3.92</v>
      </c>
      <c r="O151">
        <f t="shared" si="8"/>
        <v>4.2874999999999996</v>
      </c>
    </row>
    <row r="152" spans="1:15" ht="15" customHeight="1" x14ac:dyDescent="0.3">
      <c r="A152" t="s">
        <v>319</v>
      </c>
      <c r="B152" t="s">
        <v>320</v>
      </c>
      <c r="C152">
        <v>4.41</v>
      </c>
      <c r="D152">
        <v>3.68</v>
      </c>
      <c r="E152">
        <v>4.21</v>
      </c>
      <c r="F152">
        <v>4.12</v>
      </c>
      <c r="G152">
        <v>4.13</v>
      </c>
      <c r="H152">
        <v>4.32</v>
      </c>
      <c r="I152">
        <v>3.85</v>
      </c>
      <c r="J152">
        <v>3.72</v>
      </c>
      <c r="K152">
        <v>3.97</v>
      </c>
      <c r="L152">
        <v>4.2300000000000004</v>
      </c>
      <c r="M152">
        <f t="shared" si="6"/>
        <v>4.1100000000000003</v>
      </c>
      <c r="N152">
        <f t="shared" si="7"/>
        <v>4.1100000000000003</v>
      </c>
      <c r="O152">
        <f t="shared" si="8"/>
        <v>4.0180000000000007</v>
      </c>
    </row>
    <row r="153" spans="1:15" ht="15" customHeight="1" x14ac:dyDescent="0.3">
      <c r="A153" t="s">
        <v>321</v>
      </c>
      <c r="B153" t="s">
        <v>322</v>
      </c>
      <c r="C153">
        <v>3.59</v>
      </c>
      <c r="D153">
        <v>3.91</v>
      </c>
      <c r="E153">
        <v>4.38</v>
      </c>
      <c r="F153">
        <v>3.69</v>
      </c>
      <c r="G153">
        <v>4.13</v>
      </c>
      <c r="H153">
        <v>3.81</v>
      </c>
      <c r="I153">
        <v>3.25</v>
      </c>
      <c r="J153">
        <v>4.13</v>
      </c>
      <c r="K153">
        <v>4</v>
      </c>
      <c r="L153">
        <v>4.3099999999999996</v>
      </c>
      <c r="M153">
        <f t="shared" si="6"/>
        <v>3.94</v>
      </c>
      <c r="N153">
        <f t="shared" si="7"/>
        <v>3.94</v>
      </c>
      <c r="O153">
        <f t="shared" si="8"/>
        <v>3.9</v>
      </c>
    </row>
    <row r="154" spans="1:15" ht="15" customHeight="1" x14ac:dyDescent="0.3">
      <c r="A154" t="s">
        <v>323</v>
      </c>
      <c r="B154" t="s">
        <v>324</v>
      </c>
      <c r="C154">
        <v>3.91</v>
      </c>
      <c r="D154">
        <v>3.58</v>
      </c>
      <c r="E154">
        <v>3.69</v>
      </c>
      <c r="F154">
        <v>4.08</v>
      </c>
      <c r="G154" t="s">
        <v>211</v>
      </c>
      <c r="H154">
        <v>3.77</v>
      </c>
      <c r="I154">
        <v>4</v>
      </c>
      <c r="J154">
        <v>3.79</v>
      </c>
      <c r="K154">
        <v>3.69</v>
      </c>
      <c r="L154">
        <v>3.87</v>
      </c>
      <c r="M154">
        <f t="shared" si="6"/>
        <v>3.8149999999999999</v>
      </c>
      <c r="N154">
        <f t="shared" si="7"/>
        <v>3.82</v>
      </c>
      <c r="O154">
        <f t="shared" si="8"/>
        <v>3.8239999999999994</v>
      </c>
    </row>
    <row r="155" spans="1:15" ht="15" customHeight="1" x14ac:dyDescent="0.3">
      <c r="A155" t="s">
        <v>325</v>
      </c>
      <c r="B155" t="s">
        <v>326</v>
      </c>
      <c r="C155">
        <v>4.5999999999999996</v>
      </c>
      <c r="D155">
        <v>3.89</v>
      </c>
      <c r="E155">
        <v>3.98</v>
      </c>
      <c r="F155">
        <v>4.3099999999999996</v>
      </c>
      <c r="G155">
        <v>3.98</v>
      </c>
      <c r="H155">
        <v>3.76</v>
      </c>
      <c r="I155">
        <v>3.82</v>
      </c>
      <c r="J155">
        <v>4.1399999999999997</v>
      </c>
      <c r="K155">
        <v>3.84</v>
      </c>
      <c r="L155">
        <v>4.08</v>
      </c>
      <c r="M155">
        <f t="shared" si="6"/>
        <v>4.1520000000000001</v>
      </c>
      <c r="N155">
        <f t="shared" si="7"/>
        <v>4.1500000000000004</v>
      </c>
      <c r="O155">
        <f t="shared" si="8"/>
        <v>3.9279999999999999</v>
      </c>
    </row>
    <row r="156" spans="1:15" ht="15" customHeight="1" x14ac:dyDescent="0.3">
      <c r="A156" t="s">
        <v>327</v>
      </c>
      <c r="B156" t="s">
        <v>328</v>
      </c>
      <c r="C156">
        <v>4.5</v>
      </c>
      <c r="D156" t="s">
        <v>211</v>
      </c>
      <c r="E156">
        <v>4.34</v>
      </c>
      <c r="F156">
        <v>4.3899999999999997</v>
      </c>
      <c r="G156">
        <v>3.85</v>
      </c>
      <c r="H156">
        <v>3.93</v>
      </c>
      <c r="I156">
        <v>3.86</v>
      </c>
      <c r="J156">
        <v>3.71</v>
      </c>
      <c r="K156">
        <v>3.98</v>
      </c>
      <c r="L156">
        <v>3.97</v>
      </c>
      <c r="M156">
        <f t="shared" si="6"/>
        <v>4.2700000000000005</v>
      </c>
      <c r="N156">
        <f t="shared" si="7"/>
        <v>4.2699999999999996</v>
      </c>
      <c r="O156">
        <f t="shared" si="8"/>
        <v>3.8899999999999997</v>
      </c>
    </row>
    <row r="157" spans="1:15" ht="15" customHeight="1" x14ac:dyDescent="0.3">
      <c r="A157" t="s">
        <v>329</v>
      </c>
      <c r="B157" t="s">
        <v>2193</v>
      </c>
      <c r="C157">
        <v>4.0199999999999996</v>
      </c>
      <c r="D157">
        <v>3.91</v>
      </c>
      <c r="E157">
        <v>4.05</v>
      </c>
      <c r="F157">
        <v>4.0199999999999996</v>
      </c>
      <c r="G157">
        <v>3.35</v>
      </c>
      <c r="H157">
        <v>3.82</v>
      </c>
      <c r="I157">
        <v>3.43</v>
      </c>
      <c r="J157" t="s">
        <v>211</v>
      </c>
      <c r="K157" t="s">
        <v>211</v>
      </c>
      <c r="L157">
        <v>3.8</v>
      </c>
      <c r="M157">
        <f t="shared" si="6"/>
        <v>3.87</v>
      </c>
      <c r="N157">
        <f t="shared" si="7"/>
        <v>3.87</v>
      </c>
      <c r="O157">
        <f t="shared" si="8"/>
        <v>3.6833333333333336</v>
      </c>
    </row>
    <row r="158" spans="1:15" ht="15" customHeight="1" x14ac:dyDescent="0.3">
      <c r="A158" t="s">
        <v>331</v>
      </c>
      <c r="B158" t="s">
        <v>2194</v>
      </c>
      <c r="C158">
        <v>3.85</v>
      </c>
      <c r="D158">
        <v>4.47</v>
      </c>
      <c r="E158">
        <v>4.17</v>
      </c>
      <c r="F158">
        <v>3.97</v>
      </c>
      <c r="G158">
        <v>3.7</v>
      </c>
      <c r="H158">
        <v>3.87</v>
      </c>
      <c r="I158">
        <v>3.92</v>
      </c>
      <c r="J158">
        <v>3.31</v>
      </c>
      <c r="K158">
        <v>4.22</v>
      </c>
      <c r="L158">
        <v>3.95</v>
      </c>
      <c r="M158">
        <f t="shared" si="6"/>
        <v>4.032</v>
      </c>
      <c r="N158">
        <f t="shared" si="7"/>
        <v>4.03</v>
      </c>
      <c r="O158">
        <f t="shared" si="8"/>
        <v>3.8540000000000001</v>
      </c>
    </row>
    <row r="159" spans="1:15" ht="15" customHeight="1" x14ac:dyDescent="0.3">
      <c r="A159" t="s">
        <v>333</v>
      </c>
      <c r="B159" t="s">
        <v>2195</v>
      </c>
      <c r="C159">
        <v>4.37</v>
      </c>
      <c r="D159">
        <v>4.04</v>
      </c>
      <c r="E159">
        <v>3.3</v>
      </c>
      <c r="F159">
        <v>4.07</v>
      </c>
      <c r="G159">
        <v>4.76</v>
      </c>
      <c r="H159">
        <v>3.88</v>
      </c>
      <c r="I159">
        <v>4.08</v>
      </c>
      <c r="J159">
        <v>4.0199999999999996</v>
      </c>
      <c r="K159">
        <v>3.91</v>
      </c>
      <c r="L159">
        <v>3.99</v>
      </c>
      <c r="M159">
        <f t="shared" si="6"/>
        <v>4.1079999999999997</v>
      </c>
      <c r="N159">
        <f t="shared" si="7"/>
        <v>4.1100000000000003</v>
      </c>
      <c r="O159">
        <f t="shared" si="8"/>
        <v>3.9760000000000004</v>
      </c>
    </row>
    <row r="160" spans="1:15" ht="15" customHeight="1" x14ac:dyDescent="0.3">
      <c r="A160" t="s">
        <v>335</v>
      </c>
      <c r="B160" t="s">
        <v>2196</v>
      </c>
      <c r="C160">
        <v>3.61</v>
      </c>
      <c r="D160">
        <v>4.18</v>
      </c>
      <c r="E160">
        <v>3.39</v>
      </c>
      <c r="F160">
        <v>3.95</v>
      </c>
      <c r="G160">
        <v>4.3</v>
      </c>
      <c r="H160">
        <v>4.33</v>
      </c>
      <c r="I160">
        <v>3.97</v>
      </c>
      <c r="J160">
        <v>4.63</v>
      </c>
      <c r="K160">
        <v>3.8</v>
      </c>
      <c r="L160">
        <v>4.5</v>
      </c>
      <c r="M160">
        <f t="shared" si="6"/>
        <v>3.8860000000000001</v>
      </c>
      <c r="N160">
        <f t="shared" si="7"/>
        <v>3.89</v>
      </c>
      <c r="O160">
        <f t="shared" si="8"/>
        <v>4.2460000000000004</v>
      </c>
    </row>
    <row r="161" spans="1:15" ht="15" customHeight="1" x14ac:dyDescent="0.3">
      <c r="A161" t="s">
        <v>337</v>
      </c>
      <c r="B161" t="s">
        <v>2197</v>
      </c>
      <c r="C161">
        <v>4.34</v>
      </c>
      <c r="D161">
        <v>4.08</v>
      </c>
      <c r="E161">
        <v>3.92</v>
      </c>
      <c r="F161">
        <v>4.51</v>
      </c>
      <c r="G161">
        <v>4.2</v>
      </c>
      <c r="H161">
        <v>4.46</v>
      </c>
      <c r="I161">
        <v>3.84</v>
      </c>
      <c r="J161">
        <v>3.8</v>
      </c>
      <c r="K161" t="s">
        <v>211</v>
      </c>
      <c r="L161">
        <v>4.18</v>
      </c>
      <c r="M161">
        <f t="shared" si="6"/>
        <v>4.21</v>
      </c>
      <c r="N161">
        <f t="shared" si="7"/>
        <v>4.21</v>
      </c>
      <c r="O161">
        <f t="shared" si="8"/>
        <v>4.07</v>
      </c>
    </row>
    <row r="162" spans="1:15" ht="15" customHeight="1" x14ac:dyDescent="0.3">
      <c r="A162" t="s">
        <v>339</v>
      </c>
      <c r="B162" t="s">
        <v>2198</v>
      </c>
      <c r="C162">
        <v>4.12</v>
      </c>
      <c r="D162">
        <v>4.21</v>
      </c>
      <c r="E162">
        <v>3.94</v>
      </c>
      <c r="F162">
        <v>4.2699999999999996</v>
      </c>
      <c r="G162">
        <v>4.03</v>
      </c>
      <c r="H162">
        <v>4.28</v>
      </c>
      <c r="I162">
        <v>4.07</v>
      </c>
      <c r="J162">
        <v>3.26</v>
      </c>
      <c r="K162">
        <v>3.89</v>
      </c>
      <c r="L162">
        <v>4.54</v>
      </c>
      <c r="M162">
        <f t="shared" si="6"/>
        <v>4.1139999999999999</v>
      </c>
      <c r="N162">
        <f t="shared" si="7"/>
        <v>4.1100000000000003</v>
      </c>
      <c r="O162">
        <f t="shared" si="8"/>
        <v>4.0080000000000009</v>
      </c>
    </row>
    <row r="163" spans="1:15" ht="15" customHeight="1" x14ac:dyDescent="0.3">
      <c r="A163" t="s">
        <v>341</v>
      </c>
      <c r="B163" t="s">
        <v>342</v>
      </c>
      <c r="C163">
        <v>3.77</v>
      </c>
      <c r="D163">
        <v>3.65</v>
      </c>
      <c r="E163">
        <v>4.2</v>
      </c>
      <c r="F163">
        <v>4.1100000000000003</v>
      </c>
      <c r="G163">
        <v>3.94</v>
      </c>
      <c r="H163">
        <v>4.3600000000000003</v>
      </c>
      <c r="I163">
        <v>3.37</v>
      </c>
      <c r="J163">
        <v>4.04</v>
      </c>
      <c r="K163">
        <v>3.97</v>
      </c>
      <c r="L163">
        <v>3.79</v>
      </c>
      <c r="M163">
        <f t="shared" si="6"/>
        <v>3.9340000000000002</v>
      </c>
      <c r="N163">
        <f t="shared" si="7"/>
        <v>3.93</v>
      </c>
      <c r="O163">
        <f t="shared" si="8"/>
        <v>3.9060000000000001</v>
      </c>
    </row>
    <row r="164" spans="1:15" ht="15" customHeight="1" x14ac:dyDescent="0.3">
      <c r="A164" t="s">
        <v>343</v>
      </c>
      <c r="B164" t="s">
        <v>2199</v>
      </c>
      <c r="C164">
        <v>3.9</v>
      </c>
      <c r="D164">
        <v>4.22</v>
      </c>
      <c r="E164">
        <v>4.4000000000000004</v>
      </c>
      <c r="F164">
        <v>3.95</v>
      </c>
      <c r="G164">
        <v>3.13</v>
      </c>
      <c r="H164">
        <v>4.32</v>
      </c>
      <c r="I164">
        <v>3.7</v>
      </c>
      <c r="J164">
        <v>4.41</v>
      </c>
      <c r="K164">
        <v>4.51</v>
      </c>
      <c r="L164">
        <v>3.77</v>
      </c>
      <c r="M164">
        <f t="shared" si="6"/>
        <v>3.9199999999999995</v>
      </c>
      <c r="N164">
        <f t="shared" si="7"/>
        <v>3.92</v>
      </c>
      <c r="O164">
        <f t="shared" si="8"/>
        <v>4.1419999999999995</v>
      </c>
    </row>
    <row r="165" spans="1:15" ht="15" customHeight="1" x14ac:dyDescent="0.3">
      <c r="A165" t="s">
        <v>345</v>
      </c>
      <c r="B165" t="s">
        <v>2200</v>
      </c>
      <c r="C165">
        <v>3.87</v>
      </c>
      <c r="D165">
        <v>3.66</v>
      </c>
      <c r="E165">
        <v>4.1399999999999997</v>
      </c>
      <c r="F165">
        <v>3.67</v>
      </c>
      <c r="G165">
        <v>3.75</v>
      </c>
      <c r="H165">
        <v>4</v>
      </c>
      <c r="I165">
        <v>4.1900000000000004</v>
      </c>
      <c r="J165">
        <v>3.97</v>
      </c>
      <c r="K165">
        <v>4.38</v>
      </c>
      <c r="L165">
        <v>3.44</v>
      </c>
      <c r="M165">
        <f t="shared" si="6"/>
        <v>3.8180000000000001</v>
      </c>
      <c r="N165">
        <f t="shared" si="7"/>
        <v>3.82</v>
      </c>
      <c r="O165">
        <f t="shared" si="8"/>
        <v>3.9960000000000009</v>
      </c>
    </row>
    <row r="166" spans="1:15" ht="15" customHeight="1" x14ac:dyDescent="0.3">
      <c r="A166" t="s">
        <v>347</v>
      </c>
      <c r="B166" t="s">
        <v>2201</v>
      </c>
      <c r="C166">
        <v>4.22</v>
      </c>
      <c r="D166">
        <v>4.28</v>
      </c>
      <c r="E166">
        <v>3.89</v>
      </c>
      <c r="F166">
        <v>4.03</v>
      </c>
      <c r="G166">
        <v>4.17</v>
      </c>
      <c r="H166">
        <v>4.46</v>
      </c>
      <c r="I166">
        <v>4.37</v>
      </c>
      <c r="J166">
        <v>4.26</v>
      </c>
      <c r="K166">
        <v>4.18</v>
      </c>
      <c r="L166">
        <v>3.72</v>
      </c>
      <c r="M166">
        <f t="shared" si="6"/>
        <v>4.1180000000000003</v>
      </c>
      <c r="N166">
        <f t="shared" si="7"/>
        <v>4.12</v>
      </c>
      <c r="O166">
        <f t="shared" si="8"/>
        <v>4.1979999999999995</v>
      </c>
    </row>
    <row r="167" spans="1:15" ht="15" customHeight="1" x14ac:dyDescent="0.3">
      <c r="A167" t="s">
        <v>349</v>
      </c>
      <c r="B167" t="s">
        <v>350</v>
      </c>
      <c r="C167">
        <v>3.94</v>
      </c>
      <c r="D167">
        <v>4.08</v>
      </c>
      <c r="E167">
        <v>3.49</v>
      </c>
      <c r="F167">
        <v>4.1900000000000004</v>
      </c>
      <c r="G167">
        <v>4</v>
      </c>
      <c r="H167">
        <v>3.73</v>
      </c>
      <c r="I167" t="s">
        <v>211</v>
      </c>
      <c r="J167">
        <v>3.57</v>
      </c>
      <c r="K167">
        <v>3.96</v>
      </c>
      <c r="L167">
        <v>4</v>
      </c>
      <c r="M167">
        <f t="shared" si="6"/>
        <v>3.94</v>
      </c>
      <c r="N167">
        <f t="shared" si="7"/>
        <v>3.94</v>
      </c>
      <c r="O167">
        <f t="shared" si="8"/>
        <v>3.8149999999999999</v>
      </c>
    </row>
    <row r="168" spans="1:15" ht="15" customHeight="1" x14ac:dyDescent="0.3">
      <c r="A168" t="s">
        <v>351</v>
      </c>
      <c r="B168" t="s">
        <v>2202</v>
      </c>
      <c r="C168">
        <v>3.94</v>
      </c>
      <c r="D168">
        <v>4.0199999999999996</v>
      </c>
      <c r="E168">
        <v>4.79</v>
      </c>
      <c r="F168" t="s">
        <v>211</v>
      </c>
      <c r="G168">
        <v>3.79</v>
      </c>
      <c r="H168">
        <v>4.0999999999999996</v>
      </c>
      <c r="I168">
        <v>4.12</v>
      </c>
      <c r="J168">
        <v>4.21</v>
      </c>
      <c r="K168">
        <v>3.72</v>
      </c>
      <c r="L168">
        <v>3.65</v>
      </c>
      <c r="M168">
        <f t="shared" si="6"/>
        <v>4.1349999999999998</v>
      </c>
      <c r="N168">
        <f t="shared" si="7"/>
        <v>4.1399999999999997</v>
      </c>
      <c r="O168">
        <f t="shared" si="8"/>
        <v>3.9599999999999995</v>
      </c>
    </row>
    <row r="169" spans="1:15" ht="15" customHeight="1" x14ac:dyDescent="0.3">
      <c r="A169" t="s">
        <v>353</v>
      </c>
      <c r="B169" t="s">
        <v>2203</v>
      </c>
      <c r="C169">
        <v>4.3600000000000003</v>
      </c>
      <c r="D169">
        <v>4.04</v>
      </c>
      <c r="E169">
        <v>4.53</v>
      </c>
      <c r="F169">
        <v>3.54</v>
      </c>
      <c r="G169">
        <v>3.71</v>
      </c>
      <c r="H169">
        <v>4.3899999999999997</v>
      </c>
      <c r="I169">
        <v>3.84</v>
      </c>
      <c r="J169">
        <v>3.71</v>
      </c>
      <c r="K169">
        <v>3.88</v>
      </c>
      <c r="L169">
        <v>3.81</v>
      </c>
      <c r="M169">
        <f t="shared" si="6"/>
        <v>4.0359999999999996</v>
      </c>
      <c r="N169">
        <f t="shared" si="7"/>
        <v>4.04</v>
      </c>
      <c r="O169">
        <f t="shared" si="8"/>
        <v>3.9259999999999997</v>
      </c>
    </row>
    <row r="170" spans="1:15" ht="15" customHeight="1" x14ac:dyDescent="0.3">
      <c r="A170" t="s">
        <v>355</v>
      </c>
      <c r="B170" t="s">
        <v>2204</v>
      </c>
      <c r="C170">
        <v>3.92</v>
      </c>
      <c r="D170">
        <v>4.1500000000000004</v>
      </c>
      <c r="E170">
        <v>4.6500000000000004</v>
      </c>
      <c r="F170">
        <v>3.97</v>
      </c>
      <c r="G170">
        <v>4.08</v>
      </c>
      <c r="H170" t="s">
        <v>211</v>
      </c>
      <c r="I170">
        <v>3.55</v>
      </c>
      <c r="J170">
        <v>4.17</v>
      </c>
      <c r="K170">
        <v>3.77</v>
      </c>
      <c r="L170">
        <v>4.1900000000000004</v>
      </c>
      <c r="M170">
        <f t="shared" si="6"/>
        <v>4.1540000000000008</v>
      </c>
      <c r="N170">
        <f t="shared" si="7"/>
        <v>4.1500000000000004</v>
      </c>
      <c r="O170">
        <f t="shared" si="8"/>
        <v>3.92</v>
      </c>
    </row>
    <row r="171" spans="1:15" ht="15" customHeight="1" x14ac:dyDescent="0.3">
      <c r="A171" t="s">
        <v>357</v>
      </c>
      <c r="B171" t="s">
        <v>2205</v>
      </c>
      <c r="C171">
        <v>3.87</v>
      </c>
      <c r="D171">
        <v>4.0999999999999996</v>
      </c>
      <c r="E171">
        <v>4.3</v>
      </c>
      <c r="F171">
        <v>4.6500000000000004</v>
      </c>
      <c r="G171">
        <v>4.0599999999999996</v>
      </c>
      <c r="H171">
        <v>3.97</v>
      </c>
      <c r="I171">
        <v>3.81</v>
      </c>
      <c r="J171">
        <v>3.68</v>
      </c>
      <c r="K171">
        <v>4.67</v>
      </c>
      <c r="L171">
        <v>3.79</v>
      </c>
      <c r="M171">
        <f t="shared" si="6"/>
        <v>4.1959999999999997</v>
      </c>
      <c r="N171">
        <f t="shared" si="7"/>
        <v>4.2</v>
      </c>
      <c r="O171">
        <f t="shared" si="8"/>
        <v>3.9840000000000004</v>
      </c>
    </row>
    <row r="172" spans="1:15" ht="15" customHeight="1" x14ac:dyDescent="0.3">
      <c r="A172" t="s">
        <v>359</v>
      </c>
      <c r="B172" t="s">
        <v>360</v>
      </c>
      <c r="C172">
        <v>4.4400000000000004</v>
      </c>
      <c r="D172">
        <v>4.2300000000000004</v>
      </c>
      <c r="E172">
        <v>3.6</v>
      </c>
      <c r="F172">
        <v>4.21</v>
      </c>
      <c r="G172">
        <v>4.22</v>
      </c>
      <c r="H172">
        <v>3.88</v>
      </c>
      <c r="I172">
        <v>4.38</v>
      </c>
      <c r="J172">
        <v>4.1399999999999997</v>
      </c>
      <c r="K172">
        <v>3.53</v>
      </c>
      <c r="L172">
        <v>3.92</v>
      </c>
      <c r="M172">
        <f t="shared" si="6"/>
        <v>4.1399999999999997</v>
      </c>
      <c r="N172">
        <f t="shared" si="7"/>
        <v>4.1399999999999997</v>
      </c>
      <c r="O172">
        <f t="shared" si="8"/>
        <v>3.9699999999999998</v>
      </c>
    </row>
    <row r="173" spans="1:15" ht="15" customHeight="1" x14ac:dyDescent="0.3">
      <c r="A173" t="s">
        <v>361</v>
      </c>
      <c r="B173" t="s">
        <v>2206</v>
      </c>
      <c r="C173">
        <v>3.79</v>
      </c>
      <c r="D173">
        <v>4.04</v>
      </c>
      <c r="E173">
        <v>4.26</v>
      </c>
      <c r="F173">
        <v>3.57</v>
      </c>
      <c r="G173">
        <v>3.87</v>
      </c>
      <c r="H173">
        <v>4.4400000000000004</v>
      </c>
      <c r="I173">
        <v>3.92</v>
      </c>
      <c r="J173">
        <v>3.8</v>
      </c>
      <c r="K173">
        <v>3.99</v>
      </c>
      <c r="L173">
        <v>4.22</v>
      </c>
      <c r="M173">
        <f t="shared" si="6"/>
        <v>3.9060000000000001</v>
      </c>
      <c r="N173">
        <f t="shared" si="7"/>
        <v>3.91</v>
      </c>
      <c r="O173">
        <f t="shared" si="8"/>
        <v>4.0739999999999998</v>
      </c>
    </row>
    <row r="174" spans="1:15" ht="15" customHeight="1" x14ac:dyDescent="0.3">
      <c r="A174" t="s">
        <v>363</v>
      </c>
      <c r="B174" t="s">
        <v>2207</v>
      </c>
      <c r="C174">
        <v>3.83</v>
      </c>
      <c r="D174">
        <v>4.18</v>
      </c>
      <c r="E174">
        <v>3.65</v>
      </c>
      <c r="F174">
        <v>3.9</v>
      </c>
      <c r="G174">
        <v>4.03</v>
      </c>
      <c r="H174">
        <v>3.85</v>
      </c>
      <c r="I174">
        <v>3.87</v>
      </c>
      <c r="J174">
        <v>3.68</v>
      </c>
      <c r="K174">
        <v>4.33</v>
      </c>
      <c r="L174">
        <v>4.1399999999999997</v>
      </c>
      <c r="M174">
        <f t="shared" si="6"/>
        <v>3.9180000000000001</v>
      </c>
      <c r="N174">
        <f t="shared" si="7"/>
        <v>3.92</v>
      </c>
      <c r="O174">
        <f t="shared" si="8"/>
        <v>3.9740000000000002</v>
      </c>
    </row>
    <row r="175" spans="1:15" ht="15" customHeight="1" x14ac:dyDescent="0.3">
      <c r="A175" t="s">
        <v>365</v>
      </c>
      <c r="B175" t="s">
        <v>2208</v>
      </c>
      <c r="C175">
        <v>3.91</v>
      </c>
      <c r="D175">
        <v>4.3499999999999996</v>
      </c>
      <c r="E175">
        <v>4.2300000000000004</v>
      </c>
      <c r="F175">
        <v>4.3</v>
      </c>
      <c r="G175">
        <v>4.0599999999999996</v>
      </c>
      <c r="H175">
        <v>3.69</v>
      </c>
      <c r="I175">
        <v>4.21</v>
      </c>
      <c r="J175">
        <v>3.83</v>
      </c>
      <c r="K175">
        <v>3.9</v>
      </c>
      <c r="L175">
        <v>3.49</v>
      </c>
      <c r="M175">
        <f t="shared" si="6"/>
        <v>4.17</v>
      </c>
      <c r="N175">
        <f t="shared" si="7"/>
        <v>4.17</v>
      </c>
      <c r="O175">
        <f t="shared" si="8"/>
        <v>3.8240000000000003</v>
      </c>
    </row>
    <row r="176" spans="1:15" ht="15" customHeight="1" x14ac:dyDescent="0.3">
      <c r="A176" t="s">
        <v>367</v>
      </c>
      <c r="B176" t="s">
        <v>2209</v>
      </c>
      <c r="C176">
        <v>4.45</v>
      </c>
      <c r="D176">
        <v>3.97</v>
      </c>
      <c r="E176" t="s">
        <v>211</v>
      </c>
      <c r="F176">
        <v>4.2300000000000004</v>
      </c>
      <c r="G176">
        <v>4.18</v>
      </c>
      <c r="H176">
        <v>4.49</v>
      </c>
      <c r="I176" t="s">
        <v>369</v>
      </c>
      <c r="J176">
        <v>3.76</v>
      </c>
      <c r="K176">
        <v>4.4800000000000004</v>
      </c>
      <c r="L176">
        <v>4.33</v>
      </c>
      <c r="M176">
        <f t="shared" si="6"/>
        <v>4.2074999999999996</v>
      </c>
      <c r="N176">
        <f t="shared" si="7"/>
        <v>4.21</v>
      </c>
      <c r="O176">
        <f t="shared" si="8"/>
        <v>4.2650000000000006</v>
      </c>
    </row>
    <row r="177" spans="1:15" ht="15" customHeight="1" x14ac:dyDescent="0.3">
      <c r="A177" t="s">
        <v>370</v>
      </c>
      <c r="B177" t="s">
        <v>2210</v>
      </c>
      <c r="C177">
        <v>3.99</v>
      </c>
      <c r="D177">
        <v>4.53</v>
      </c>
      <c r="E177">
        <v>3.53</v>
      </c>
      <c r="F177">
        <v>3.66</v>
      </c>
      <c r="G177">
        <v>4.26</v>
      </c>
      <c r="H177">
        <v>4.55</v>
      </c>
      <c r="I177">
        <v>3.98</v>
      </c>
      <c r="J177">
        <v>3.65</v>
      </c>
      <c r="K177">
        <v>3.41</v>
      </c>
      <c r="L177">
        <v>4.13</v>
      </c>
      <c r="M177">
        <f t="shared" si="6"/>
        <v>3.9939999999999998</v>
      </c>
      <c r="N177">
        <f t="shared" si="7"/>
        <v>3.99</v>
      </c>
      <c r="O177">
        <f t="shared" si="8"/>
        <v>3.944</v>
      </c>
    </row>
    <row r="178" spans="1:15" ht="15" customHeight="1" x14ac:dyDescent="0.3">
      <c r="A178" t="s">
        <v>372</v>
      </c>
      <c r="B178" t="s">
        <v>2211</v>
      </c>
      <c r="C178">
        <v>4.0999999999999996</v>
      </c>
      <c r="D178">
        <v>4.03</v>
      </c>
      <c r="E178" t="s">
        <v>211</v>
      </c>
      <c r="F178">
        <v>3.74</v>
      </c>
      <c r="G178">
        <v>4.9800000000000004</v>
      </c>
      <c r="H178">
        <v>4.9000000000000004</v>
      </c>
      <c r="I178">
        <v>3.81</v>
      </c>
      <c r="J178">
        <v>4.08</v>
      </c>
      <c r="K178">
        <v>3.88</v>
      </c>
      <c r="L178">
        <v>3.92</v>
      </c>
      <c r="M178">
        <f t="shared" si="6"/>
        <v>4.2125000000000004</v>
      </c>
      <c r="N178">
        <f t="shared" si="7"/>
        <v>4.21</v>
      </c>
      <c r="O178">
        <f t="shared" si="8"/>
        <v>4.1180000000000003</v>
      </c>
    </row>
    <row r="179" spans="1:15" ht="15" customHeight="1" x14ac:dyDescent="0.3">
      <c r="A179" t="s">
        <v>374</v>
      </c>
      <c r="B179" t="s">
        <v>2212</v>
      </c>
      <c r="C179">
        <v>4.0999999999999996</v>
      </c>
      <c r="D179">
        <v>3.74</v>
      </c>
      <c r="E179">
        <v>3.75</v>
      </c>
      <c r="F179">
        <v>3.99</v>
      </c>
      <c r="G179">
        <v>4.0199999999999996</v>
      </c>
      <c r="H179">
        <v>4.43</v>
      </c>
      <c r="I179">
        <v>3.9</v>
      </c>
      <c r="J179">
        <v>4.05</v>
      </c>
      <c r="K179">
        <v>4.41</v>
      </c>
      <c r="L179">
        <v>4.01</v>
      </c>
      <c r="M179">
        <f t="shared" si="6"/>
        <v>3.9200000000000004</v>
      </c>
      <c r="N179">
        <f t="shared" si="7"/>
        <v>3.92</v>
      </c>
      <c r="O179">
        <f t="shared" si="8"/>
        <v>4.1599999999999993</v>
      </c>
    </row>
    <row r="180" spans="1:15" ht="15" customHeight="1" x14ac:dyDescent="0.3">
      <c r="A180" t="s">
        <v>376</v>
      </c>
      <c r="B180" t="s">
        <v>377</v>
      </c>
      <c r="C180">
        <v>3.82</v>
      </c>
      <c r="D180">
        <v>4.29</v>
      </c>
      <c r="E180">
        <v>3.84</v>
      </c>
      <c r="F180">
        <v>3.96</v>
      </c>
      <c r="G180">
        <v>4.2</v>
      </c>
      <c r="H180">
        <v>4.25</v>
      </c>
      <c r="I180">
        <v>4.4400000000000004</v>
      </c>
      <c r="J180">
        <v>3.88</v>
      </c>
      <c r="K180">
        <v>3.89</v>
      </c>
      <c r="L180">
        <v>4.1399999999999997</v>
      </c>
      <c r="M180">
        <f t="shared" si="6"/>
        <v>4.0220000000000002</v>
      </c>
      <c r="N180">
        <f t="shared" si="7"/>
        <v>4.0199999999999996</v>
      </c>
      <c r="O180">
        <f t="shared" si="8"/>
        <v>4.12</v>
      </c>
    </row>
    <row r="181" spans="1:15" ht="15" customHeight="1" x14ac:dyDescent="0.3">
      <c r="A181" t="s">
        <v>378</v>
      </c>
      <c r="B181" t="s">
        <v>379</v>
      </c>
      <c r="C181">
        <v>3.61</v>
      </c>
      <c r="D181">
        <v>4.47</v>
      </c>
      <c r="E181">
        <v>3.58</v>
      </c>
      <c r="F181">
        <v>4.05</v>
      </c>
      <c r="G181">
        <v>3.95</v>
      </c>
      <c r="H181">
        <v>3.82</v>
      </c>
      <c r="I181">
        <v>4.41</v>
      </c>
      <c r="J181">
        <v>3.3</v>
      </c>
      <c r="K181">
        <v>3.82</v>
      </c>
      <c r="L181">
        <v>3.76</v>
      </c>
      <c r="M181">
        <f t="shared" si="6"/>
        <v>3.9319999999999999</v>
      </c>
      <c r="N181">
        <f t="shared" si="7"/>
        <v>3.93</v>
      </c>
      <c r="O181">
        <f t="shared" si="8"/>
        <v>3.8220000000000001</v>
      </c>
    </row>
    <row r="182" spans="1:15" ht="15" customHeight="1" x14ac:dyDescent="0.3">
      <c r="A182" t="s">
        <v>380</v>
      </c>
      <c r="B182" t="s">
        <v>381</v>
      </c>
      <c r="C182">
        <v>4.3</v>
      </c>
      <c r="D182">
        <v>4.5</v>
      </c>
      <c r="E182" t="s">
        <v>211</v>
      </c>
      <c r="F182">
        <v>4.0999999999999996</v>
      </c>
      <c r="G182">
        <v>3.61</v>
      </c>
      <c r="H182">
        <v>3.93</v>
      </c>
      <c r="I182">
        <v>4.13</v>
      </c>
      <c r="J182">
        <v>4.08</v>
      </c>
      <c r="K182">
        <v>4.49</v>
      </c>
      <c r="L182">
        <v>3.42</v>
      </c>
      <c r="M182">
        <f t="shared" si="6"/>
        <v>4.1275000000000004</v>
      </c>
      <c r="N182">
        <f t="shared" si="7"/>
        <v>4.13</v>
      </c>
      <c r="O182">
        <f t="shared" si="8"/>
        <v>4.0100000000000007</v>
      </c>
    </row>
    <row r="183" spans="1:15" ht="15" customHeight="1" x14ac:dyDescent="0.3">
      <c r="A183" t="s">
        <v>382</v>
      </c>
      <c r="B183" t="s">
        <v>2213</v>
      </c>
      <c r="C183">
        <v>3.53</v>
      </c>
      <c r="D183">
        <v>4.37</v>
      </c>
      <c r="E183">
        <v>4.1100000000000003</v>
      </c>
      <c r="F183">
        <v>4.55</v>
      </c>
      <c r="G183">
        <v>4.43</v>
      </c>
      <c r="H183">
        <v>4.07</v>
      </c>
      <c r="I183">
        <v>3.74</v>
      </c>
      <c r="J183">
        <v>4.37</v>
      </c>
      <c r="K183">
        <v>3.83</v>
      </c>
      <c r="L183">
        <v>3.67</v>
      </c>
      <c r="M183">
        <f t="shared" si="6"/>
        <v>4.1980000000000004</v>
      </c>
      <c r="N183">
        <f t="shared" si="7"/>
        <v>4.2</v>
      </c>
      <c r="O183">
        <f t="shared" si="8"/>
        <v>3.9359999999999999</v>
      </c>
    </row>
    <row r="184" spans="1:15" ht="15" customHeight="1" x14ac:dyDescent="0.3">
      <c r="A184" t="s">
        <v>384</v>
      </c>
      <c r="B184" t="s">
        <v>2214</v>
      </c>
      <c r="C184">
        <v>4.4400000000000004</v>
      </c>
      <c r="D184">
        <v>4.09</v>
      </c>
      <c r="E184">
        <v>4</v>
      </c>
      <c r="F184">
        <v>4.08</v>
      </c>
      <c r="G184">
        <v>3.98</v>
      </c>
      <c r="H184">
        <v>3.66</v>
      </c>
      <c r="I184">
        <v>3.96</v>
      </c>
      <c r="J184">
        <v>4.42</v>
      </c>
      <c r="K184">
        <v>3.94</v>
      </c>
      <c r="L184">
        <v>3.73</v>
      </c>
      <c r="M184">
        <f t="shared" si="6"/>
        <v>4.1180000000000003</v>
      </c>
      <c r="N184">
        <f t="shared" si="7"/>
        <v>4.12</v>
      </c>
      <c r="O184">
        <f t="shared" si="8"/>
        <v>3.9419999999999993</v>
      </c>
    </row>
    <row r="185" spans="1:15" ht="15" customHeight="1" x14ac:dyDescent="0.3">
      <c r="A185" t="s">
        <v>386</v>
      </c>
      <c r="B185" t="s">
        <v>387</v>
      </c>
      <c r="C185">
        <v>4.3899999999999997</v>
      </c>
      <c r="D185">
        <v>3.86</v>
      </c>
      <c r="E185">
        <v>4.08</v>
      </c>
      <c r="F185">
        <v>4.49</v>
      </c>
      <c r="G185">
        <v>4.05</v>
      </c>
      <c r="H185">
        <v>4.3499999999999996</v>
      </c>
      <c r="I185">
        <v>4.09</v>
      </c>
      <c r="J185">
        <v>3.93</v>
      </c>
      <c r="K185">
        <v>4.3899999999999997</v>
      </c>
      <c r="L185">
        <v>3.96</v>
      </c>
      <c r="M185">
        <f t="shared" si="6"/>
        <v>4.1740000000000004</v>
      </c>
      <c r="N185">
        <f t="shared" si="7"/>
        <v>4.17</v>
      </c>
      <c r="O185">
        <f t="shared" si="8"/>
        <v>4.1440000000000001</v>
      </c>
    </row>
    <row r="186" spans="1:15" ht="15" customHeight="1" x14ac:dyDescent="0.3">
      <c r="A186" t="s">
        <v>388</v>
      </c>
      <c r="B186" t="s">
        <v>389</v>
      </c>
      <c r="C186">
        <v>3.86</v>
      </c>
      <c r="D186">
        <v>4.62</v>
      </c>
      <c r="E186">
        <v>4.92</v>
      </c>
      <c r="F186">
        <v>4.53</v>
      </c>
      <c r="G186">
        <v>4</v>
      </c>
      <c r="H186">
        <v>3.98</v>
      </c>
      <c r="I186">
        <v>3.79</v>
      </c>
      <c r="J186">
        <v>4.22</v>
      </c>
      <c r="K186">
        <v>3.6</v>
      </c>
      <c r="L186">
        <v>4.12</v>
      </c>
      <c r="M186">
        <f t="shared" si="6"/>
        <v>4.3860000000000001</v>
      </c>
      <c r="N186">
        <f t="shared" si="7"/>
        <v>4.3899999999999997</v>
      </c>
      <c r="O186">
        <f t="shared" si="8"/>
        <v>3.9419999999999993</v>
      </c>
    </row>
    <row r="187" spans="1:15" ht="15" customHeight="1" x14ac:dyDescent="0.3">
      <c r="A187" t="s">
        <v>390</v>
      </c>
      <c r="B187" t="s">
        <v>2215</v>
      </c>
      <c r="C187">
        <v>3.71</v>
      </c>
      <c r="D187">
        <v>4.05</v>
      </c>
      <c r="E187">
        <v>4.1399999999999997</v>
      </c>
      <c r="F187" t="s">
        <v>211</v>
      </c>
      <c r="G187">
        <v>4.1399999999999997</v>
      </c>
      <c r="H187">
        <v>3.94</v>
      </c>
      <c r="I187">
        <v>3.96</v>
      </c>
      <c r="J187">
        <v>4.03</v>
      </c>
      <c r="K187">
        <v>4.2</v>
      </c>
      <c r="L187">
        <v>4.68</v>
      </c>
      <c r="M187">
        <f t="shared" si="6"/>
        <v>4.01</v>
      </c>
      <c r="N187">
        <f t="shared" si="7"/>
        <v>4.01</v>
      </c>
      <c r="O187">
        <f t="shared" si="8"/>
        <v>4.1619999999999999</v>
      </c>
    </row>
    <row r="188" spans="1:15" ht="15" customHeight="1" x14ac:dyDescent="0.3">
      <c r="A188" t="s">
        <v>392</v>
      </c>
      <c r="B188" t="s">
        <v>393</v>
      </c>
      <c r="C188">
        <v>3.95</v>
      </c>
      <c r="D188">
        <v>4.7699999999999996</v>
      </c>
      <c r="E188">
        <v>3.95</v>
      </c>
      <c r="F188">
        <v>3.81</v>
      </c>
      <c r="G188" t="s">
        <v>211</v>
      </c>
      <c r="H188">
        <v>3.92</v>
      </c>
      <c r="I188">
        <v>4.32</v>
      </c>
      <c r="J188">
        <v>4.6100000000000003</v>
      </c>
      <c r="K188">
        <v>4.2699999999999996</v>
      </c>
      <c r="L188">
        <v>4.07</v>
      </c>
      <c r="M188">
        <f t="shared" si="6"/>
        <v>4.1199999999999992</v>
      </c>
      <c r="N188">
        <f t="shared" si="7"/>
        <v>4.12</v>
      </c>
      <c r="O188">
        <f t="shared" si="8"/>
        <v>4.2380000000000004</v>
      </c>
    </row>
    <row r="189" spans="1:15" ht="15" customHeight="1" x14ac:dyDescent="0.3">
      <c r="A189" t="s">
        <v>394</v>
      </c>
      <c r="B189" t="s">
        <v>2216</v>
      </c>
      <c r="C189">
        <v>4.29</v>
      </c>
      <c r="D189">
        <v>3.93</v>
      </c>
      <c r="E189">
        <v>3.67</v>
      </c>
      <c r="F189">
        <v>3.89</v>
      </c>
      <c r="G189">
        <v>4.33</v>
      </c>
      <c r="H189">
        <v>3.66</v>
      </c>
      <c r="I189">
        <v>3.75</v>
      </c>
      <c r="J189">
        <v>3.97</v>
      </c>
      <c r="K189">
        <v>4.01</v>
      </c>
      <c r="L189">
        <v>3.49</v>
      </c>
      <c r="M189">
        <f t="shared" si="6"/>
        <v>4.0220000000000002</v>
      </c>
      <c r="N189">
        <f t="shared" si="7"/>
        <v>4.0199999999999996</v>
      </c>
      <c r="O189">
        <f t="shared" si="8"/>
        <v>3.7760000000000007</v>
      </c>
    </row>
    <row r="190" spans="1:15" ht="15" customHeight="1" x14ac:dyDescent="0.3">
      <c r="A190" t="s">
        <v>396</v>
      </c>
      <c r="B190" t="s">
        <v>2217</v>
      </c>
      <c r="C190">
        <v>4.04</v>
      </c>
      <c r="D190">
        <v>3.76</v>
      </c>
      <c r="E190">
        <v>4.24</v>
      </c>
      <c r="F190">
        <v>4.18</v>
      </c>
      <c r="G190">
        <v>4.4400000000000004</v>
      </c>
      <c r="H190">
        <v>4.25</v>
      </c>
      <c r="I190">
        <v>3.72</v>
      </c>
      <c r="J190">
        <v>3.77</v>
      </c>
      <c r="K190">
        <v>4.33</v>
      </c>
      <c r="L190">
        <v>3.99</v>
      </c>
      <c r="M190">
        <f t="shared" si="6"/>
        <v>4.1319999999999997</v>
      </c>
      <c r="N190">
        <f t="shared" si="7"/>
        <v>4.13</v>
      </c>
      <c r="O190">
        <f t="shared" si="8"/>
        <v>4.0120000000000005</v>
      </c>
    </row>
    <row r="191" spans="1:15" ht="15" customHeight="1" x14ac:dyDescent="0.3">
      <c r="A191" t="s">
        <v>398</v>
      </c>
      <c r="B191" t="s">
        <v>2218</v>
      </c>
      <c r="C191">
        <v>3.75</v>
      </c>
      <c r="D191">
        <v>4.07</v>
      </c>
      <c r="E191">
        <v>4.37</v>
      </c>
      <c r="F191">
        <v>3.93</v>
      </c>
      <c r="G191">
        <v>3.85</v>
      </c>
      <c r="H191">
        <v>3.62</v>
      </c>
      <c r="I191">
        <v>4.43</v>
      </c>
      <c r="J191">
        <v>4.28</v>
      </c>
      <c r="K191">
        <v>4.2</v>
      </c>
      <c r="L191">
        <v>3.57</v>
      </c>
      <c r="M191">
        <f t="shared" si="6"/>
        <v>3.9940000000000007</v>
      </c>
      <c r="N191">
        <f t="shared" si="7"/>
        <v>3.99</v>
      </c>
      <c r="O191">
        <f t="shared" si="8"/>
        <v>4.0200000000000005</v>
      </c>
    </row>
    <row r="192" spans="1:15" ht="15" customHeight="1" x14ac:dyDescent="0.3">
      <c r="A192" t="s">
        <v>400</v>
      </c>
      <c r="B192" t="s">
        <v>2219</v>
      </c>
      <c r="C192">
        <v>4.34</v>
      </c>
      <c r="D192">
        <v>4.47</v>
      </c>
      <c r="E192">
        <v>3.7</v>
      </c>
      <c r="F192">
        <v>3.66</v>
      </c>
      <c r="G192">
        <v>3.99</v>
      </c>
      <c r="H192">
        <v>4.1900000000000004</v>
      </c>
      <c r="I192">
        <v>4.32</v>
      </c>
      <c r="J192">
        <v>4.0599999999999996</v>
      </c>
      <c r="K192">
        <v>3.89</v>
      </c>
      <c r="L192">
        <v>4.25</v>
      </c>
      <c r="M192">
        <f t="shared" si="6"/>
        <v>4.0319999999999991</v>
      </c>
      <c r="N192">
        <f t="shared" si="7"/>
        <v>4.03</v>
      </c>
      <c r="O192">
        <f t="shared" si="8"/>
        <v>4.1420000000000003</v>
      </c>
    </row>
    <row r="193" spans="1:15" ht="15" customHeight="1" x14ac:dyDescent="0.3">
      <c r="A193" t="s">
        <v>402</v>
      </c>
      <c r="B193" t="s">
        <v>2220</v>
      </c>
      <c r="C193">
        <v>4.18</v>
      </c>
      <c r="D193">
        <v>4.37</v>
      </c>
      <c r="E193">
        <v>3.74</v>
      </c>
      <c r="F193">
        <v>3.94</v>
      </c>
      <c r="G193">
        <v>4.3499999999999996</v>
      </c>
      <c r="H193">
        <v>4.0999999999999996</v>
      </c>
      <c r="I193">
        <v>4.41</v>
      </c>
      <c r="J193">
        <v>4.29</v>
      </c>
      <c r="K193">
        <v>3.91</v>
      </c>
      <c r="L193">
        <v>4.33</v>
      </c>
      <c r="M193">
        <f t="shared" si="6"/>
        <v>4.1159999999999997</v>
      </c>
      <c r="N193">
        <f t="shared" si="7"/>
        <v>4.12</v>
      </c>
      <c r="O193">
        <f t="shared" si="8"/>
        <v>4.2080000000000002</v>
      </c>
    </row>
    <row r="194" spans="1:15" ht="15" customHeight="1" x14ac:dyDescent="0.3">
      <c r="A194" t="s">
        <v>404</v>
      </c>
      <c r="B194" t="s">
        <v>2221</v>
      </c>
      <c r="C194">
        <v>3.95</v>
      </c>
      <c r="D194">
        <v>4.1399999999999997</v>
      </c>
      <c r="E194">
        <v>4.6100000000000003</v>
      </c>
      <c r="F194">
        <v>3.65</v>
      </c>
      <c r="G194">
        <v>4.46</v>
      </c>
      <c r="H194">
        <v>3.99</v>
      </c>
      <c r="I194">
        <v>4.2</v>
      </c>
      <c r="J194">
        <v>4.32</v>
      </c>
      <c r="K194">
        <v>4.22</v>
      </c>
      <c r="L194">
        <v>4.26</v>
      </c>
      <c r="M194">
        <f t="shared" ref="M194:M257" si="9">AVERAGE(C194:G194)</f>
        <v>4.1619999999999999</v>
      </c>
      <c r="N194">
        <f t="shared" ref="N194:N257" si="10">ROUND(M194,2)</f>
        <v>4.16</v>
      </c>
      <c r="O194">
        <f t="shared" ref="O194:O257" si="11">AVERAGE(H194:L194)</f>
        <v>4.1980000000000004</v>
      </c>
    </row>
    <row r="195" spans="1:15" ht="15" customHeight="1" x14ac:dyDescent="0.3">
      <c r="A195" t="s">
        <v>406</v>
      </c>
      <c r="B195" t="s">
        <v>2222</v>
      </c>
      <c r="C195">
        <v>4.37</v>
      </c>
      <c r="D195">
        <v>4.18</v>
      </c>
      <c r="E195">
        <v>3.73</v>
      </c>
      <c r="F195">
        <v>4.2300000000000004</v>
      </c>
      <c r="G195">
        <v>4.2699999999999996</v>
      </c>
      <c r="H195">
        <v>4.16</v>
      </c>
      <c r="I195">
        <v>4.0599999999999996</v>
      </c>
      <c r="J195">
        <v>4.5</v>
      </c>
      <c r="K195">
        <v>3.87</v>
      </c>
      <c r="L195">
        <v>3.93</v>
      </c>
      <c r="M195">
        <f t="shared" si="9"/>
        <v>4.1560000000000006</v>
      </c>
      <c r="N195">
        <f t="shared" si="10"/>
        <v>4.16</v>
      </c>
      <c r="O195">
        <f t="shared" si="11"/>
        <v>4.1040000000000001</v>
      </c>
    </row>
    <row r="196" spans="1:15" ht="15" customHeight="1" x14ac:dyDescent="0.3">
      <c r="A196" t="s">
        <v>408</v>
      </c>
      <c r="B196" t="s">
        <v>2223</v>
      </c>
      <c r="C196">
        <v>3.79</v>
      </c>
      <c r="D196">
        <v>4.78</v>
      </c>
      <c r="E196">
        <v>3.83</v>
      </c>
      <c r="F196">
        <v>4.4400000000000004</v>
      </c>
      <c r="G196">
        <v>4.1500000000000004</v>
      </c>
      <c r="H196">
        <v>3.78</v>
      </c>
      <c r="I196">
        <v>3.75</v>
      </c>
      <c r="J196">
        <v>4.5599999999999996</v>
      </c>
      <c r="K196">
        <v>4.5999999999999996</v>
      </c>
      <c r="L196">
        <v>3.38</v>
      </c>
      <c r="M196">
        <f t="shared" si="9"/>
        <v>4.1980000000000004</v>
      </c>
      <c r="N196">
        <f t="shared" si="10"/>
        <v>4.2</v>
      </c>
      <c r="O196">
        <f t="shared" si="11"/>
        <v>4.0139999999999993</v>
      </c>
    </row>
    <row r="197" spans="1:15" ht="15" customHeight="1" x14ac:dyDescent="0.3">
      <c r="A197" t="s">
        <v>410</v>
      </c>
      <c r="B197" t="s">
        <v>411</v>
      </c>
      <c r="C197">
        <v>3.72</v>
      </c>
      <c r="D197">
        <v>4.75</v>
      </c>
      <c r="E197">
        <v>4.13</v>
      </c>
      <c r="F197">
        <v>4.3099999999999996</v>
      </c>
      <c r="G197" t="s">
        <v>211</v>
      </c>
      <c r="H197">
        <v>3.86</v>
      </c>
      <c r="I197">
        <v>3.92</v>
      </c>
      <c r="J197">
        <v>4.53</v>
      </c>
      <c r="K197">
        <v>3.63</v>
      </c>
      <c r="L197">
        <v>4.07</v>
      </c>
      <c r="M197">
        <f t="shared" si="9"/>
        <v>4.2275</v>
      </c>
      <c r="N197">
        <f t="shared" si="10"/>
        <v>4.2300000000000004</v>
      </c>
      <c r="O197">
        <f t="shared" si="11"/>
        <v>4.0019999999999998</v>
      </c>
    </row>
    <row r="198" spans="1:15" ht="15" customHeight="1" x14ac:dyDescent="0.3">
      <c r="A198" t="s">
        <v>412</v>
      </c>
      <c r="B198" t="s">
        <v>2224</v>
      </c>
      <c r="C198">
        <v>3.63</v>
      </c>
      <c r="D198">
        <v>4.46</v>
      </c>
      <c r="E198">
        <v>3.93</v>
      </c>
      <c r="F198">
        <v>4.1500000000000004</v>
      </c>
      <c r="G198">
        <v>3.66</v>
      </c>
      <c r="H198">
        <v>3.88</v>
      </c>
      <c r="I198">
        <v>3.59</v>
      </c>
      <c r="J198">
        <v>3.91</v>
      </c>
      <c r="K198">
        <v>3.3</v>
      </c>
      <c r="L198">
        <v>3.8</v>
      </c>
      <c r="M198">
        <f t="shared" si="9"/>
        <v>3.9660000000000002</v>
      </c>
      <c r="N198">
        <f t="shared" si="10"/>
        <v>3.97</v>
      </c>
      <c r="O198">
        <f t="shared" si="11"/>
        <v>3.6960000000000002</v>
      </c>
    </row>
    <row r="199" spans="1:15" ht="15" customHeight="1" x14ac:dyDescent="0.3">
      <c r="A199" t="s">
        <v>414</v>
      </c>
      <c r="B199" t="s">
        <v>415</v>
      </c>
      <c r="C199">
        <v>3.8</v>
      </c>
      <c r="D199">
        <v>4.1500000000000004</v>
      </c>
      <c r="E199">
        <v>3.84</v>
      </c>
      <c r="F199">
        <v>3.5</v>
      </c>
      <c r="G199">
        <v>4.1399999999999997</v>
      </c>
      <c r="H199">
        <v>3.74</v>
      </c>
      <c r="I199">
        <v>3.6</v>
      </c>
      <c r="J199">
        <v>4.05</v>
      </c>
      <c r="K199">
        <v>4.07</v>
      </c>
      <c r="L199">
        <v>4.5199999999999996</v>
      </c>
      <c r="M199">
        <f t="shared" si="9"/>
        <v>3.8860000000000001</v>
      </c>
      <c r="N199">
        <f t="shared" si="10"/>
        <v>3.89</v>
      </c>
      <c r="O199">
        <f t="shared" si="11"/>
        <v>3.996</v>
      </c>
    </row>
    <row r="200" spans="1:15" ht="15" customHeight="1" x14ac:dyDescent="0.3">
      <c r="A200" t="s">
        <v>416</v>
      </c>
      <c r="B200" t="s">
        <v>417</v>
      </c>
      <c r="C200">
        <v>4.92</v>
      </c>
      <c r="D200">
        <v>4.49</v>
      </c>
      <c r="E200">
        <v>3.73</v>
      </c>
      <c r="F200">
        <v>4.09</v>
      </c>
      <c r="G200">
        <v>3.33</v>
      </c>
      <c r="H200">
        <v>4.0199999999999996</v>
      </c>
      <c r="I200">
        <v>3.91</v>
      </c>
      <c r="J200">
        <v>3.68</v>
      </c>
      <c r="K200">
        <v>4.13</v>
      </c>
      <c r="L200" t="s">
        <v>211</v>
      </c>
      <c r="M200">
        <f t="shared" si="9"/>
        <v>4.1120000000000001</v>
      </c>
      <c r="N200">
        <f t="shared" si="10"/>
        <v>4.1100000000000003</v>
      </c>
      <c r="O200">
        <f t="shared" si="11"/>
        <v>3.9349999999999996</v>
      </c>
    </row>
    <row r="201" spans="1:15" ht="15" customHeight="1" x14ac:dyDescent="0.3">
      <c r="A201" t="s">
        <v>418</v>
      </c>
      <c r="B201" t="s">
        <v>2225</v>
      </c>
      <c r="C201">
        <v>4.24</v>
      </c>
      <c r="D201">
        <v>4.2</v>
      </c>
      <c r="E201">
        <v>3.95</v>
      </c>
      <c r="F201">
        <v>3.88</v>
      </c>
      <c r="G201">
        <v>3.74</v>
      </c>
      <c r="H201">
        <v>3.78</v>
      </c>
      <c r="I201">
        <v>3.77</v>
      </c>
      <c r="J201">
        <v>3.69</v>
      </c>
      <c r="K201">
        <v>4.33</v>
      </c>
      <c r="L201">
        <v>3.99</v>
      </c>
      <c r="M201">
        <f t="shared" si="9"/>
        <v>4.0019999999999998</v>
      </c>
      <c r="N201">
        <f t="shared" si="10"/>
        <v>4</v>
      </c>
      <c r="O201">
        <f t="shared" si="11"/>
        <v>3.9120000000000004</v>
      </c>
    </row>
    <row r="202" spans="1:15" ht="15" customHeight="1" x14ac:dyDescent="0.3">
      <c r="A202" t="s">
        <v>420</v>
      </c>
      <c r="B202" t="s">
        <v>421</v>
      </c>
      <c r="C202">
        <v>4.3</v>
      </c>
      <c r="D202">
        <v>4.07</v>
      </c>
      <c r="E202">
        <v>3.66</v>
      </c>
      <c r="F202">
        <v>4.0199999999999996</v>
      </c>
      <c r="G202">
        <v>3.68</v>
      </c>
      <c r="H202" t="s">
        <v>211</v>
      </c>
      <c r="I202">
        <v>3.75</v>
      </c>
      <c r="J202">
        <v>4.16</v>
      </c>
      <c r="K202">
        <v>4.1100000000000003</v>
      </c>
      <c r="L202">
        <v>3.63</v>
      </c>
      <c r="M202">
        <f t="shared" si="9"/>
        <v>3.9460000000000002</v>
      </c>
      <c r="N202">
        <f t="shared" si="10"/>
        <v>3.95</v>
      </c>
      <c r="O202">
        <f t="shared" si="11"/>
        <v>3.9124999999999996</v>
      </c>
    </row>
    <row r="203" spans="1:15" ht="15" customHeight="1" x14ac:dyDescent="0.3">
      <c r="A203" t="s">
        <v>422</v>
      </c>
      <c r="B203" t="s">
        <v>2226</v>
      </c>
      <c r="C203">
        <v>4.01</v>
      </c>
      <c r="D203">
        <v>4.1100000000000003</v>
      </c>
      <c r="E203">
        <v>4.3099999999999996</v>
      </c>
      <c r="F203">
        <v>4.25</v>
      </c>
      <c r="G203">
        <v>4.2</v>
      </c>
      <c r="H203">
        <v>4.01</v>
      </c>
      <c r="I203">
        <v>4.21</v>
      </c>
      <c r="J203">
        <v>3.99</v>
      </c>
      <c r="K203">
        <v>3.92</v>
      </c>
      <c r="L203">
        <v>4.38</v>
      </c>
      <c r="M203">
        <f t="shared" si="9"/>
        <v>4.1760000000000002</v>
      </c>
      <c r="N203">
        <f t="shared" si="10"/>
        <v>4.18</v>
      </c>
      <c r="O203">
        <f t="shared" si="11"/>
        <v>4.1019999999999994</v>
      </c>
    </row>
    <row r="204" spans="1:15" ht="15" customHeight="1" x14ac:dyDescent="0.3">
      <c r="A204" t="s">
        <v>424</v>
      </c>
      <c r="B204" t="s">
        <v>425</v>
      </c>
      <c r="C204">
        <v>3.69</v>
      </c>
      <c r="D204">
        <v>4.09</v>
      </c>
      <c r="E204">
        <v>3.59</v>
      </c>
      <c r="F204">
        <v>4.24</v>
      </c>
      <c r="G204">
        <v>3.94</v>
      </c>
      <c r="H204">
        <v>4.3</v>
      </c>
      <c r="I204">
        <v>4.1100000000000003</v>
      </c>
      <c r="J204">
        <v>3.9</v>
      </c>
      <c r="K204">
        <v>4.32</v>
      </c>
      <c r="L204">
        <v>3.67</v>
      </c>
      <c r="M204">
        <f t="shared" si="9"/>
        <v>3.91</v>
      </c>
      <c r="N204">
        <f t="shared" si="10"/>
        <v>3.91</v>
      </c>
      <c r="O204">
        <f t="shared" si="11"/>
        <v>4.0600000000000005</v>
      </c>
    </row>
    <row r="205" spans="1:15" ht="15" customHeight="1" x14ac:dyDescent="0.3">
      <c r="A205" t="s">
        <v>426</v>
      </c>
      <c r="B205" t="s">
        <v>2227</v>
      </c>
      <c r="C205">
        <v>3.65</v>
      </c>
      <c r="D205">
        <v>4.01</v>
      </c>
      <c r="E205">
        <v>3.89</v>
      </c>
      <c r="F205">
        <v>4.34</v>
      </c>
      <c r="G205">
        <v>3.49</v>
      </c>
      <c r="H205">
        <v>4.1900000000000004</v>
      </c>
      <c r="I205">
        <v>3.91</v>
      </c>
      <c r="J205">
        <v>3.9</v>
      </c>
      <c r="K205">
        <v>3.87</v>
      </c>
      <c r="L205">
        <v>3.78</v>
      </c>
      <c r="M205">
        <f t="shared" si="9"/>
        <v>3.8760000000000003</v>
      </c>
      <c r="N205">
        <f t="shared" si="10"/>
        <v>3.88</v>
      </c>
      <c r="O205">
        <f t="shared" si="11"/>
        <v>3.9300000000000006</v>
      </c>
    </row>
    <row r="206" spans="1:15" ht="15" customHeight="1" x14ac:dyDescent="0.3">
      <c r="A206" t="s">
        <v>428</v>
      </c>
      <c r="B206" t="s">
        <v>429</v>
      </c>
      <c r="C206">
        <v>3.73</v>
      </c>
      <c r="D206">
        <v>4.16</v>
      </c>
      <c r="E206">
        <v>4.2699999999999996</v>
      </c>
      <c r="F206">
        <v>4.0599999999999996</v>
      </c>
      <c r="G206" t="s">
        <v>211</v>
      </c>
      <c r="H206">
        <v>4.54</v>
      </c>
      <c r="I206">
        <v>4.17</v>
      </c>
      <c r="J206">
        <v>3.65</v>
      </c>
      <c r="K206" t="s">
        <v>211</v>
      </c>
      <c r="L206">
        <v>3.67</v>
      </c>
      <c r="M206">
        <f t="shared" si="9"/>
        <v>4.0549999999999997</v>
      </c>
      <c r="N206">
        <f t="shared" si="10"/>
        <v>4.0599999999999996</v>
      </c>
      <c r="O206">
        <f t="shared" si="11"/>
        <v>4.0075000000000003</v>
      </c>
    </row>
    <row r="207" spans="1:15" ht="15" customHeight="1" x14ac:dyDescent="0.3">
      <c r="A207" t="s">
        <v>430</v>
      </c>
      <c r="B207" t="s">
        <v>2228</v>
      </c>
      <c r="C207">
        <v>4.0999999999999996</v>
      </c>
      <c r="D207">
        <v>4.2</v>
      </c>
      <c r="E207">
        <v>3.87</v>
      </c>
      <c r="F207">
        <v>3.72</v>
      </c>
      <c r="G207">
        <v>4.32</v>
      </c>
      <c r="H207">
        <v>3.99</v>
      </c>
      <c r="I207">
        <v>3.81</v>
      </c>
      <c r="J207">
        <v>4.26</v>
      </c>
      <c r="K207">
        <v>4.2699999999999996</v>
      </c>
      <c r="L207">
        <v>4.25</v>
      </c>
      <c r="M207">
        <f t="shared" si="9"/>
        <v>4.0419999999999998</v>
      </c>
      <c r="N207">
        <f t="shared" si="10"/>
        <v>4.04</v>
      </c>
      <c r="O207">
        <f t="shared" si="11"/>
        <v>4.1159999999999997</v>
      </c>
    </row>
    <row r="208" spans="1:15" ht="15" customHeight="1" x14ac:dyDescent="0.3">
      <c r="A208" t="s">
        <v>432</v>
      </c>
      <c r="B208" t="s">
        <v>433</v>
      </c>
      <c r="C208">
        <v>4.25</v>
      </c>
      <c r="D208">
        <v>3.59</v>
      </c>
      <c r="E208">
        <v>3.92</v>
      </c>
      <c r="F208">
        <v>4.47</v>
      </c>
      <c r="G208">
        <v>4.2</v>
      </c>
      <c r="H208">
        <v>4.1399999999999997</v>
      </c>
      <c r="I208">
        <v>4.25</v>
      </c>
      <c r="J208">
        <v>4.2300000000000004</v>
      </c>
      <c r="K208">
        <v>4.25</v>
      </c>
      <c r="L208">
        <v>4.5</v>
      </c>
      <c r="M208">
        <f t="shared" si="9"/>
        <v>4.0860000000000003</v>
      </c>
      <c r="N208">
        <f t="shared" si="10"/>
        <v>4.09</v>
      </c>
      <c r="O208">
        <f t="shared" si="11"/>
        <v>4.274</v>
      </c>
    </row>
    <row r="209" spans="1:15" ht="15" customHeight="1" x14ac:dyDescent="0.3">
      <c r="A209" t="s">
        <v>434</v>
      </c>
      <c r="B209" t="s">
        <v>435</v>
      </c>
      <c r="C209">
        <v>3.9</v>
      </c>
      <c r="D209">
        <v>4.1399999999999997</v>
      </c>
      <c r="E209">
        <v>3.9</v>
      </c>
      <c r="F209">
        <v>4.1900000000000004</v>
      </c>
      <c r="G209">
        <v>3.73</v>
      </c>
      <c r="H209">
        <v>3.68</v>
      </c>
      <c r="I209">
        <v>3.21</v>
      </c>
      <c r="J209">
        <v>2.96</v>
      </c>
      <c r="K209">
        <v>3.7</v>
      </c>
      <c r="L209">
        <v>3.92</v>
      </c>
      <c r="M209">
        <f t="shared" si="9"/>
        <v>3.972</v>
      </c>
      <c r="N209">
        <f t="shared" si="10"/>
        <v>3.97</v>
      </c>
      <c r="O209">
        <f t="shared" si="11"/>
        <v>3.4939999999999998</v>
      </c>
    </row>
    <row r="210" spans="1:15" ht="15" customHeight="1" x14ac:dyDescent="0.3">
      <c r="A210" t="s">
        <v>436</v>
      </c>
      <c r="B210" t="s">
        <v>2229</v>
      </c>
      <c r="C210">
        <v>3.91</v>
      </c>
      <c r="D210" t="s">
        <v>438</v>
      </c>
      <c r="E210">
        <v>4.33</v>
      </c>
      <c r="F210">
        <v>4.1500000000000004</v>
      </c>
      <c r="G210">
        <v>4.22</v>
      </c>
      <c r="H210">
        <v>4.0599999999999996</v>
      </c>
      <c r="I210">
        <v>4.38</v>
      </c>
      <c r="J210">
        <v>3.29</v>
      </c>
      <c r="K210">
        <v>3.68</v>
      </c>
      <c r="L210">
        <v>4.04</v>
      </c>
      <c r="M210">
        <f t="shared" si="9"/>
        <v>4.1524999999999999</v>
      </c>
      <c r="N210">
        <f t="shared" si="10"/>
        <v>4.1500000000000004</v>
      </c>
      <c r="O210">
        <f t="shared" si="11"/>
        <v>3.8899999999999997</v>
      </c>
    </row>
    <row r="211" spans="1:15" ht="15" customHeight="1" x14ac:dyDescent="0.3">
      <c r="A211" t="s">
        <v>439</v>
      </c>
      <c r="B211" t="s">
        <v>2230</v>
      </c>
      <c r="C211">
        <v>3.96</v>
      </c>
      <c r="D211">
        <v>3.71</v>
      </c>
      <c r="E211">
        <v>4.26</v>
      </c>
      <c r="F211">
        <v>4.41</v>
      </c>
      <c r="G211">
        <v>4.1100000000000003</v>
      </c>
      <c r="H211">
        <v>3.83</v>
      </c>
      <c r="I211">
        <v>4.2699999999999996</v>
      </c>
      <c r="J211">
        <v>4.0999999999999996</v>
      </c>
      <c r="K211">
        <v>3.92</v>
      </c>
      <c r="L211">
        <v>4.59</v>
      </c>
      <c r="M211">
        <f t="shared" si="9"/>
        <v>4.09</v>
      </c>
      <c r="N211">
        <f t="shared" si="10"/>
        <v>4.09</v>
      </c>
      <c r="O211">
        <f t="shared" si="11"/>
        <v>4.1419999999999995</v>
      </c>
    </row>
    <row r="212" spans="1:15" ht="15" customHeight="1" x14ac:dyDescent="0.3">
      <c r="A212" t="s">
        <v>441</v>
      </c>
      <c r="B212" t="s">
        <v>2231</v>
      </c>
      <c r="C212">
        <v>3.9</v>
      </c>
      <c r="D212">
        <v>4</v>
      </c>
      <c r="E212">
        <v>4.47</v>
      </c>
      <c r="F212">
        <v>4.41</v>
      </c>
      <c r="G212">
        <v>4.1900000000000004</v>
      </c>
      <c r="H212">
        <v>3.78</v>
      </c>
      <c r="I212">
        <v>4.09</v>
      </c>
      <c r="J212">
        <v>3.97</v>
      </c>
      <c r="K212" t="s">
        <v>211</v>
      </c>
      <c r="L212">
        <v>3.66</v>
      </c>
      <c r="M212">
        <f t="shared" si="9"/>
        <v>4.1940000000000008</v>
      </c>
      <c r="N212">
        <f t="shared" si="10"/>
        <v>4.1900000000000004</v>
      </c>
      <c r="O212">
        <f t="shared" si="11"/>
        <v>3.875</v>
      </c>
    </row>
    <row r="213" spans="1:15" ht="15" customHeight="1" x14ac:dyDescent="0.3">
      <c r="A213" t="s">
        <v>443</v>
      </c>
      <c r="B213" t="s">
        <v>2232</v>
      </c>
      <c r="C213">
        <v>4.01</v>
      </c>
      <c r="D213">
        <v>3.59</v>
      </c>
      <c r="E213">
        <v>4.0599999999999996</v>
      </c>
      <c r="F213">
        <v>4.7</v>
      </c>
      <c r="G213" t="s">
        <v>445</v>
      </c>
      <c r="H213">
        <v>4.0999999999999996</v>
      </c>
      <c r="I213">
        <v>4.1399999999999997</v>
      </c>
      <c r="J213">
        <v>3.95</v>
      </c>
      <c r="K213">
        <v>4.16</v>
      </c>
      <c r="L213">
        <v>3.93</v>
      </c>
      <c r="M213">
        <f t="shared" si="9"/>
        <v>4.09</v>
      </c>
      <c r="N213">
        <f t="shared" si="10"/>
        <v>4.09</v>
      </c>
      <c r="O213">
        <f t="shared" si="11"/>
        <v>4.0559999999999992</v>
      </c>
    </row>
    <row r="214" spans="1:15" ht="15" customHeight="1" x14ac:dyDescent="0.3">
      <c r="A214" t="s">
        <v>446</v>
      </c>
      <c r="B214" t="s">
        <v>447</v>
      </c>
      <c r="C214">
        <v>4.21</v>
      </c>
      <c r="D214">
        <v>3.65</v>
      </c>
      <c r="E214">
        <v>3.75</v>
      </c>
      <c r="F214">
        <v>4.46</v>
      </c>
      <c r="G214">
        <v>3.92</v>
      </c>
      <c r="H214">
        <v>3.91</v>
      </c>
      <c r="I214">
        <v>4.1900000000000004</v>
      </c>
      <c r="J214">
        <v>4.22</v>
      </c>
      <c r="K214">
        <v>4.08</v>
      </c>
      <c r="L214">
        <v>4.16</v>
      </c>
      <c r="M214">
        <f t="shared" si="9"/>
        <v>3.9980000000000002</v>
      </c>
      <c r="N214">
        <f t="shared" si="10"/>
        <v>4</v>
      </c>
      <c r="O214">
        <f t="shared" si="11"/>
        <v>4.1120000000000001</v>
      </c>
    </row>
    <row r="215" spans="1:15" ht="15" customHeight="1" x14ac:dyDescent="0.3">
      <c r="A215" t="s">
        <v>448</v>
      </c>
      <c r="B215" t="s">
        <v>449</v>
      </c>
      <c r="C215">
        <v>3.97</v>
      </c>
      <c r="D215">
        <v>4.4400000000000004</v>
      </c>
      <c r="E215">
        <v>3.83</v>
      </c>
      <c r="F215">
        <v>4.5</v>
      </c>
      <c r="G215">
        <v>3.99</v>
      </c>
      <c r="H215">
        <v>4.29</v>
      </c>
      <c r="I215">
        <v>4.63</v>
      </c>
      <c r="J215">
        <v>3.33</v>
      </c>
      <c r="K215">
        <v>3.99</v>
      </c>
      <c r="L215">
        <v>3.92</v>
      </c>
      <c r="M215">
        <f t="shared" si="9"/>
        <v>4.1460000000000008</v>
      </c>
      <c r="N215">
        <f t="shared" si="10"/>
        <v>4.1500000000000004</v>
      </c>
      <c r="O215">
        <f t="shared" si="11"/>
        <v>4.0320000000000009</v>
      </c>
    </row>
    <row r="216" spans="1:15" ht="15" customHeight="1" x14ac:dyDescent="0.3">
      <c r="A216" t="s">
        <v>450</v>
      </c>
      <c r="B216" t="s">
        <v>451</v>
      </c>
      <c r="C216">
        <v>4.6900000000000004</v>
      </c>
      <c r="D216">
        <v>4.0199999999999996</v>
      </c>
      <c r="E216">
        <v>4.5</v>
      </c>
      <c r="F216">
        <v>4.51</v>
      </c>
      <c r="G216">
        <v>4.05</v>
      </c>
      <c r="H216">
        <v>4.55</v>
      </c>
      <c r="I216">
        <v>4.3099999999999996</v>
      </c>
      <c r="J216">
        <v>3.57</v>
      </c>
      <c r="K216">
        <v>3.88</v>
      </c>
      <c r="L216">
        <v>3.72</v>
      </c>
      <c r="M216">
        <f t="shared" si="9"/>
        <v>4.3540000000000001</v>
      </c>
      <c r="N216">
        <f t="shared" si="10"/>
        <v>4.3499999999999996</v>
      </c>
      <c r="O216">
        <f t="shared" si="11"/>
        <v>4.0059999999999993</v>
      </c>
    </row>
    <row r="217" spans="1:15" ht="15" customHeight="1" x14ac:dyDescent="0.3">
      <c r="A217" t="s">
        <v>452</v>
      </c>
      <c r="B217" t="s">
        <v>2233</v>
      </c>
      <c r="C217">
        <v>3.83</v>
      </c>
      <c r="D217">
        <v>3.83</v>
      </c>
      <c r="E217">
        <v>4.5599999999999996</v>
      </c>
      <c r="F217">
        <v>4.3099999999999996</v>
      </c>
      <c r="G217">
        <v>4.09</v>
      </c>
      <c r="H217">
        <v>3.73</v>
      </c>
      <c r="I217">
        <v>4.05</v>
      </c>
      <c r="J217">
        <v>3.56</v>
      </c>
      <c r="K217">
        <v>4.3</v>
      </c>
      <c r="L217">
        <v>3.8</v>
      </c>
      <c r="M217">
        <f t="shared" si="9"/>
        <v>4.1239999999999997</v>
      </c>
      <c r="N217">
        <f t="shared" si="10"/>
        <v>4.12</v>
      </c>
      <c r="O217">
        <f t="shared" si="11"/>
        <v>3.8880000000000003</v>
      </c>
    </row>
    <row r="218" spans="1:15" ht="15" customHeight="1" x14ac:dyDescent="0.3">
      <c r="A218" t="s">
        <v>454</v>
      </c>
      <c r="B218" t="s">
        <v>2234</v>
      </c>
      <c r="C218">
        <v>3.49</v>
      </c>
      <c r="D218">
        <v>3.73</v>
      </c>
      <c r="E218">
        <v>4.13</v>
      </c>
      <c r="F218">
        <v>3.93</v>
      </c>
      <c r="G218">
        <v>4.5</v>
      </c>
      <c r="H218">
        <v>3.97</v>
      </c>
      <c r="I218">
        <v>3.85</v>
      </c>
      <c r="J218">
        <v>3.46</v>
      </c>
      <c r="K218">
        <v>4.1399999999999997</v>
      </c>
      <c r="L218">
        <v>3.74</v>
      </c>
      <c r="M218">
        <f t="shared" si="9"/>
        <v>3.9560000000000004</v>
      </c>
      <c r="N218">
        <f t="shared" si="10"/>
        <v>3.96</v>
      </c>
      <c r="O218">
        <f t="shared" si="11"/>
        <v>3.8320000000000007</v>
      </c>
    </row>
    <row r="219" spans="1:15" ht="15" customHeight="1" x14ac:dyDescent="0.3">
      <c r="A219" t="s">
        <v>456</v>
      </c>
      <c r="B219" t="s">
        <v>2235</v>
      </c>
      <c r="C219">
        <v>3.77</v>
      </c>
      <c r="D219">
        <v>4.0599999999999996</v>
      </c>
      <c r="E219">
        <v>3.97</v>
      </c>
      <c r="F219">
        <v>4.4400000000000004</v>
      </c>
      <c r="G219" t="s">
        <v>211</v>
      </c>
      <c r="H219">
        <v>4.51</v>
      </c>
      <c r="I219">
        <v>4.21</v>
      </c>
      <c r="J219">
        <v>3.39</v>
      </c>
      <c r="K219">
        <v>4.0599999999999996</v>
      </c>
      <c r="L219">
        <v>3.95</v>
      </c>
      <c r="M219">
        <f t="shared" si="9"/>
        <v>4.0600000000000005</v>
      </c>
      <c r="N219">
        <f t="shared" si="10"/>
        <v>4.0599999999999996</v>
      </c>
      <c r="O219">
        <f t="shared" si="11"/>
        <v>4.0239999999999991</v>
      </c>
    </row>
    <row r="220" spans="1:15" ht="15" customHeight="1" x14ac:dyDescent="0.3">
      <c r="A220" t="s">
        <v>458</v>
      </c>
      <c r="B220" t="s">
        <v>2236</v>
      </c>
      <c r="C220">
        <v>4.5</v>
      </c>
      <c r="D220">
        <v>4.49</v>
      </c>
      <c r="E220">
        <v>4.04</v>
      </c>
      <c r="F220">
        <v>4.05</v>
      </c>
      <c r="G220">
        <v>4.26</v>
      </c>
      <c r="H220">
        <v>3.99</v>
      </c>
      <c r="I220">
        <v>3.99</v>
      </c>
      <c r="J220">
        <v>3.89</v>
      </c>
      <c r="K220">
        <v>3.94</v>
      </c>
      <c r="L220">
        <v>3.9</v>
      </c>
      <c r="M220">
        <f t="shared" si="9"/>
        <v>4.2680000000000007</v>
      </c>
      <c r="N220">
        <f t="shared" si="10"/>
        <v>4.2699999999999996</v>
      </c>
      <c r="O220">
        <f t="shared" si="11"/>
        <v>3.9420000000000002</v>
      </c>
    </row>
    <row r="221" spans="1:15" ht="15" customHeight="1" x14ac:dyDescent="0.3">
      <c r="A221" t="s">
        <v>460</v>
      </c>
      <c r="B221" t="s">
        <v>2237</v>
      </c>
      <c r="C221" t="s">
        <v>211</v>
      </c>
      <c r="D221">
        <v>3.85</v>
      </c>
      <c r="E221">
        <v>3.57</v>
      </c>
      <c r="F221">
        <v>4.55</v>
      </c>
      <c r="G221">
        <v>4.21</v>
      </c>
      <c r="H221">
        <v>4.33</v>
      </c>
      <c r="I221">
        <v>3.88</v>
      </c>
      <c r="J221">
        <v>4.5199999999999996</v>
      </c>
      <c r="K221">
        <v>4.0999999999999996</v>
      </c>
      <c r="L221">
        <v>4.51</v>
      </c>
      <c r="M221">
        <f t="shared" si="9"/>
        <v>4.0449999999999999</v>
      </c>
      <c r="N221">
        <f t="shared" si="10"/>
        <v>4.05</v>
      </c>
      <c r="O221">
        <f t="shared" si="11"/>
        <v>4.2679999999999989</v>
      </c>
    </row>
    <row r="222" spans="1:15" ht="15" customHeight="1" x14ac:dyDescent="0.3">
      <c r="A222" t="s">
        <v>462</v>
      </c>
      <c r="B222" t="s">
        <v>463</v>
      </c>
      <c r="C222">
        <v>4.08</v>
      </c>
      <c r="D222">
        <v>4.18</v>
      </c>
      <c r="E222">
        <v>3.73</v>
      </c>
      <c r="F222">
        <v>3.83</v>
      </c>
      <c r="G222">
        <v>4.01</v>
      </c>
      <c r="H222">
        <v>4.0599999999999996</v>
      </c>
      <c r="I222">
        <v>3.96</v>
      </c>
      <c r="J222">
        <v>4.18</v>
      </c>
      <c r="K222">
        <v>4.3600000000000003</v>
      </c>
      <c r="L222">
        <v>3.67</v>
      </c>
      <c r="M222">
        <f t="shared" si="9"/>
        <v>3.9659999999999997</v>
      </c>
      <c r="N222">
        <f t="shared" si="10"/>
        <v>3.97</v>
      </c>
      <c r="O222">
        <f t="shared" si="11"/>
        <v>4.0459999999999994</v>
      </c>
    </row>
    <row r="223" spans="1:15" ht="15" customHeight="1" x14ac:dyDescent="0.3">
      <c r="A223" t="s">
        <v>464</v>
      </c>
      <c r="B223" t="s">
        <v>2238</v>
      </c>
      <c r="C223">
        <v>4.07</v>
      </c>
      <c r="D223">
        <v>4.1900000000000004</v>
      </c>
      <c r="E223">
        <v>4.0999999999999996</v>
      </c>
      <c r="F223">
        <v>3.91</v>
      </c>
      <c r="G223">
        <v>3.87</v>
      </c>
      <c r="H223">
        <v>4.25</v>
      </c>
      <c r="I223">
        <v>3.62</v>
      </c>
      <c r="J223">
        <v>4.4400000000000004</v>
      </c>
      <c r="K223">
        <v>4.37</v>
      </c>
      <c r="L223">
        <v>3.72</v>
      </c>
      <c r="M223">
        <f t="shared" si="9"/>
        <v>4.0280000000000005</v>
      </c>
      <c r="N223">
        <f t="shared" si="10"/>
        <v>4.03</v>
      </c>
      <c r="O223">
        <f t="shared" si="11"/>
        <v>4.08</v>
      </c>
    </row>
    <row r="224" spans="1:15" ht="15" customHeight="1" x14ac:dyDescent="0.3">
      <c r="A224" t="s">
        <v>466</v>
      </c>
      <c r="B224" t="s">
        <v>467</v>
      </c>
      <c r="C224">
        <v>4.01</v>
      </c>
      <c r="D224">
        <v>4.04</v>
      </c>
      <c r="E224">
        <v>3.85</v>
      </c>
      <c r="F224">
        <v>3.77</v>
      </c>
      <c r="G224">
        <v>3.97</v>
      </c>
      <c r="H224">
        <v>3.61</v>
      </c>
      <c r="I224">
        <v>4.24</v>
      </c>
      <c r="J224">
        <v>4.32</v>
      </c>
      <c r="K224">
        <v>3.8</v>
      </c>
      <c r="L224">
        <v>3.47</v>
      </c>
      <c r="M224">
        <f t="shared" si="9"/>
        <v>3.9279999999999999</v>
      </c>
      <c r="N224">
        <f t="shared" si="10"/>
        <v>3.93</v>
      </c>
      <c r="O224">
        <f t="shared" si="11"/>
        <v>3.8879999999999995</v>
      </c>
    </row>
    <row r="225" spans="1:15" ht="15" customHeight="1" x14ac:dyDescent="0.3">
      <c r="A225" t="s">
        <v>468</v>
      </c>
      <c r="B225" t="s">
        <v>2239</v>
      </c>
      <c r="C225">
        <v>4.1500000000000004</v>
      </c>
      <c r="D225">
        <v>4.18</v>
      </c>
      <c r="E225">
        <v>4.01</v>
      </c>
      <c r="F225">
        <v>3.75</v>
      </c>
      <c r="G225" t="s">
        <v>211</v>
      </c>
      <c r="H225">
        <v>4.29</v>
      </c>
      <c r="I225">
        <v>4.0599999999999996</v>
      </c>
      <c r="J225">
        <v>4.51</v>
      </c>
      <c r="K225">
        <v>4.05</v>
      </c>
      <c r="L225">
        <v>4.4800000000000004</v>
      </c>
      <c r="M225">
        <f t="shared" si="9"/>
        <v>4.0225</v>
      </c>
      <c r="N225">
        <f t="shared" si="10"/>
        <v>4.0199999999999996</v>
      </c>
      <c r="O225">
        <f t="shared" si="11"/>
        <v>4.2780000000000005</v>
      </c>
    </row>
    <row r="226" spans="1:15" ht="15" customHeight="1" x14ac:dyDescent="0.3">
      <c r="A226" t="s">
        <v>470</v>
      </c>
      <c r="B226" t="s">
        <v>471</v>
      </c>
      <c r="C226">
        <v>4.1399999999999997</v>
      </c>
      <c r="D226" t="s">
        <v>211</v>
      </c>
      <c r="E226">
        <v>4.32</v>
      </c>
      <c r="F226">
        <v>3.67</v>
      </c>
      <c r="G226">
        <v>3.93</v>
      </c>
      <c r="H226">
        <v>4.42</v>
      </c>
      <c r="I226">
        <v>3.52</v>
      </c>
      <c r="J226">
        <v>4.0199999999999996</v>
      </c>
      <c r="K226">
        <v>4.0199999999999996</v>
      </c>
      <c r="L226">
        <v>4.1500000000000004</v>
      </c>
      <c r="M226">
        <f t="shared" si="9"/>
        <v>4.0150000000000006</v>
      </c>
      <c r="N226">
        <f t="shared" si="10"/>
        <v>4.0199999999999996</v>
      </c>
      <c r="O226">
        <f t="shared" si="11"/>
        <v>4.0259999999999998</v>
      </c>
    </row>
    <row r="227" spans="1:15" ht="15" customHeight="1" x14ac:dyDescent="0.3">
      <c r="A227" t="s">
        <v>472</v>
      </c>
      <c r="B227" t="s">
        <v>2240</v>
      </c>
      <c r="C227">
        <v>3.87</v>
      </c>
      <c r="D227">
        <v>4.21</v>
      </c>
      <c r="E227">
        <v>3.97</v>
      </c>
      <c r="F227">
        <v>3.96</v>
      </c>
      <c r="G227">
        <v>4.09</v>
      </c>
      <c r="H227">
        <v>4.0199999999999996</v>
      </c>
      <c r="I227">
        <v>3.87</v>
      </c>
      <c r="J227">
        <v>4.26</v>
      </c>
      <c r="K227">
        <v>3.59</v>
      </c>
      <c r="L227">
        <v>4.45</v>
      </c>
      <c r="M227">
        <f t="shared" si="9"/>
        <v>4.0200000000000005</v>
      </c>
      <c r="N227">
        <f t="shared" si="10"/>
        <v>4.0199999999999996</v>
      </c>
      <c r="O227">
        <f t="shared" si="11"/>
        <v>4.0379999999999994</v>
      </c>
    </row>
    <row r="228" spans="1:15" ht="15" customHeight="1" x14ac:dyDescent="0.3">
      <c r="A228" t="s">
        <v>474</v>
      </c>
      <c r="B228" t="s">
        <v>2241</v>
      </c>
      <c r="C228">
        <v>3.86</v>
      </c>
      <c r="D228">
        <v>3.99</v>
      </c>
      <c r="E228">
        <v>3.12</v>
      </c>
      <c r="F228">
        <v>4.22</v>
      </c>
      <c r="G228">
        <v>4.43</v>
      </c>
      <c r="H228">
        <v>4.24</v>
      </c>
      <c r="I228">
        <v>4.2699999999999996</v>
      </c>
      <c r="J228">
        <v>4.07</v>
      </c>
      <c r="K228">
        <v>4.74</v>
      </c>
      <c r="L228">
        <v>3.69</v>
      </c>
      <c r="M228">
        <f t="shared" si="9"/>
        <v>3.9239999999999995</v>
      </c>
      <c r="N228">
        <f t="shared" si="10"/>
        <v>3.92</v>
      </c>
      <c r="O228">
        <f t="shared" si="11"/>
        <v>4.202</v>
      </c>
    </row>
    <row r="229" spans="1:15" ht="15" customHeight="1" x14ac:dyDescent="0.3">
      <c r="A229" t="s">
        <v>476</v>
      </c>
      <c r="B229" t="s">
        <v>477</v>
      </c>
      <c r="C229">
        <v>3.94</v>
      </c>
      <c r="D229">
        <v>4.54</v>
      </c>
      <c r="E229">
        <v>4.09</v>
      </c>
      <c r="F229">
        <v>3.72</v>
      </c>
      <c r="G229">
        <v>3.68</v>
      </c>
      <c r="H229">
        <v>4.3099999999999996</v>
      </c>
      <c r="I229">
        <v>3.87</v>
      </c>
      <c r="J229">
        <v>4.01</v>
      </c>
      <c r="K229">
        <v>4.16</v>
      </c>
      <c r="L229">
        <v>4.12</v>
      </c>
      <c r="M229">
        <f t="shared" si="9"/>
        <v>3.9939999999999998</v>
      </c>
      <c r="N229">
        <f t="shared" si="10"/>
        <v>3.99</v>
      </c>
      <c r="O229">
        <f t="shared" si="11"/>
        <v>4.0940000000000003</v>
      </c>
    </row>
    <row r="230" spans="1:15" ht="15" customHeight="1" x14ac:dyDescent="0.3">
      <c r="A230" t="s">
        <v>478</v>
      </c>
      <c r="B230" t="s">
        <v>479</v>
      </c>
      <c r="C230">
        <v>3.74</v>
      </c>
      <c r="D230">
        <v>3.98</v>
      </c>
      <c r="E230">
        <v>3.65</v>
      </c>
      <c r="F230">
        <v>3.6</v>
      </c>
      <c r="G230">
        <v>4</v>
      </c>
      <c r="H230">
        <v>3.94</v>
      </c>
      <c r="I230">
        <v>3.89</v>
      </c>
      <c r="J230">
        <v>3.56</v>
      </c>
      <c r="K230">
        <v>4.1100000000000003</v>
      </c>
      <c r="L230">
        <v>3.96</v>
      </c>
      <c r="M230">
        <f t="shared" si="9"/>
        <v>3.7939999999999996</v>
      </c>
      <c r="N230">
        <f t="shared" si="10"/>
        <v>3.79</v>
      </c>
      <c r="O230">
        <f t="shared" si="11"/>
        <v>3.8920000000000003</v>
      </c>
    </row>
    <row r="231" spans="1:15" ht="15" customHeight="1" x14ac:dyDescent="0.3">
      <c r="A231" t="s">
        <v>480</v>
      </c>
      <c r="B231" t="s">
        <v>2242</v>
      </c>
      <c r="C231">
        <v>4.38</v>
      </c>
      <c r="D231">
        <v>4.34</v>
      </c>
      <c r="E231">
        <v>4.5</v>
      </c>
      <c r="F231">
        <v>4.21</v>
      </c>
      <c r="G231">
        <v>3.94</v>
      </c>
      <c r="H231">
        <v>3.88</v>
      </c>
      <c r="I231">
        <v>4.22</v>
      </c>
      <c r="J231">
        <v>4.0599999999999996</v>
      </c>
      <c r="K231">
        <v>4.42</v>
      </c>
      <c r="L231">
        <v>4.08</v>
      </c>
      <c r="M231">
        <f t="shared" si="9"/>
        <v>4.274</v>
      </c>
      <c r="N231">
        <f t="shared" si="10"/>
        <v>4.2699999999999996</v>
      </c>
      <c r="O231">
        <f t="shared" si="11"/>
        <v>4.1319999999999997</v>
      </c>
    </row>
    <row r="232" spans="1:15" ht="15" customHeight="1" x14ac:dyDescent="0.3">
      <c r="A232" t="s">
        <v>482</v>
      </c>
      <c r="B232" t="s">
        <v>483</v>
      </c>
      <c r="C232">
        <v>3.46</v>
      </c>
      <c r="D232">
        <v>3.99</v>
      </c>
      <c r="E232">
        <v>4.03</v>
      </c>
      <c r="F232">
        <v>4.3600000000000003</v>
      </c>
      <c r="G232">
        <v>4.05</v>
      </c>
      <c r="H232">
        <v>3.4</v>
      </c>
      <c r="I232">
        <v>4.03</v>
      </c>
      <c r="J232">
        <v>3.89</v>
      </c>
      <c r="K232">
        <v>4.28</v>
      </c>
      <c r="L232">
        <v>3.88</v>
      </c>
      <c r="M232">
        <f t="shared" si="9"/>
        <v>3.9780000000000002</v>
      </c>
      <c r="N232">
        <f t="shared" si="10"/>
        <v>3.98</v>
      </c>
      <c r="O232">
        <f t="shared" si="11"/>
        <v>3.8959999999999999</v>
      </c>
    </row>
    <row r="233" spans="1:15" ht="15" customHeight="1" x14ac:dyDescent="0.3">
      <c r="A233" t="s">
        <v>484</v>
      </c>
      <c r="B233" t="s">
        <v>2243</v>
      </c>
      <c r="C233">
        <v>3.8</v>
      </c>
      <c r="D233">
        <v>4.01</v>
      </c>
      <c r="E233">
        <v>4.49</v>
      </c>
      <c r="F233">
        <v>3.98</v>
      </c>
      <c r="G233">
        <v>3.67</v>
      </c>
      <c r="H233">
        <v>4.0599999999999996</v>
      </c>
      <c r="I233">
        <v>4.6500000000000004</v>
      </c>
      <c r="J233">
        <v>4.2699999999999996</v>
      </c>
      <c r="K233">
        <v>4.1399999999999997</v>
      </c>
      <c r="L233">
        <v>4.21</v>
      </c>
      <c r="M233">
        <f t="shared" si="9"/>
        <v>3.9900000000000007</v>
      </c>
      <c r="N233">
        <f t="shared" si="10"/>
        <v>3.99</v>
      </c>
      <c r="O233">
        <f t="shared" si="11"/>
        <v>4.266</v>
      </c>
    </row>
    <row r="234" spans="1:15" ht="15" customHeight="1" x14ac:dyDescent="0.3">
      <c r="A234" t="s">
        <v>486</v>
      </c>
      <c r="B234" t="s">
        <v>2244</v>
      </c>
      <c r="C234">
        <v>4.0999999999999996</v>
      </c>
      <c r="D234">
        <v>4.43</v>
      </c>
      <c r="E234">
        <v>4.66</v>
      </c>
      <c r="F234">
        <v>4.22</v>
      </c>
      <c r="G234">
        <v>4.0599999999999996</v>
      </c>
      <c r="H234">
        <v>4.41</v>
      </c>
      <c r="I234">
        <v>3.91</v>
      </c>
      <c r="J234">
        <v>4.17</v>
      </c>
      <c r="K234">
        <v>4.62</v>
      </c>
      <c r="L234">
        <v>3.79</v>
      </c>
      <c r="M234">
        <f t="shared" si="9"/>
        <v>4.2939999999999996</v>
      </c>
      <c r="N234">
        <f t="shared" si="10"/>
        <v>4.29</v>
      </c>
      <c r="O234">
        <f t="shared" si="11"/>
        <v>4.18</v>
      </c>
    </row>
    <row r="235" spans="1:15" ht="15" customHeight="1" x14ac:dyDescent="0.3">
      <c r="A235" t="s">
        <v>488</v>
      </c>
      <c r="B235" t="s">
        <v>489</v>
      </c>
      <c r="C235">
        <v>4.09</v>
      </c>
      <c r="D235">
        <v>4.29</v>
      </c>
      <c r="E235">
        <v>4.29</v>
      </c>
      <c r="F235">
        <v>3.91</v>
      </c>
      <c r="G235">
        <v>4.24</v>
      </c>
      <c r="H235">
        <v>3.68</v>
      </c>
      <c r="I235">
        <v>4.4000000000000004</v>
      </c>
      <c r="J235">
        <v>4.38</v>
      </c>
      <c r="K235">
        <v>4.2699999999999996</v>
      </c>
      <c r="L235">
        <v>4.12</v>
      </c>
      <c r="M235">
        <f t="shared" si="9"/>
        <v>4.1639999999999997</v>
      </c>
      <c r="N235">
        <f t="shared" si="10"/>
        <v>4.16</v>
      </c>
      <c r="O235">
        <f t="shared" si="11"/>
        <v>4.17</v>
      </c>
    </row>
    <row r="236" spans="1:15" ht="15" customHeight="1" x14ac:dyDescent="0.3">
      <c r="A236" t="s">
        <v>490</v>
      </c>
      <c r="B236" t="s">
        <v>2245</v>
      </c>
      <c r="C236">
        <v>4.17</v>
      </c>
      <c r="D236">
        <v>4.0199999999999996</v>
      </c>
      <c r="E236">
        <v>3.8</v>
      </c>
      <c r="F236">
        <v>4.1100000000000003</v>
      </c>
      <c r="G236">
        <v>4.21</v>
      </c>
      <c r="H236">
        <v>3.81</v>
      </c>
      <c r="I236">
        <v>4.01</v>
      </c>
      <c r="J236">
        <v>4.04</v>
      </c>
      <c r="K236">
        <v>4.18</v>
      </c>
      <c r="L236">
        <v>4.4400000000000004</v>
      </c>
      <c r="M236">
        <f t="shared" si="9"/>
        <v>4.0619999999999994</v>
      </c>
      <c r="N236">
        <f t="shared" si="10"/>
        <v>4.0599999999999996</v>
      </c>
      <c r="O236">
        <f t="shared" si="11"/>
        <v>4.0960000000000001</v>
      </c>
    </row>
    <row r="237" spans="1:15" ht="15" customHeight="1" x14ac:dyDescent="0.3">
      <c r="A237" t="s">
        <v>492</v>
      </c>
      <c r="B237" t="s">
        <v>493</v>
      </c>
      <c r="C237">
        <v>3.63</v>
      </c>
      <c r="D237">
        <v>4.1500000000000004</v>
      </c>
      <c r="E237">
        <v>3.5</v>
      </c>
      <c r="F237">
        <v>4.07</v>
      </c>
      <c r="G237">
        <v>4.28</v>
      </c>
      <c r="H237">
        <v>4.7</v>
      </c>
      <c r="I237">
        <v>4.07</v>
      </c>
      <c r="J237">
        <v>3.81</v>
      </c>
      <c r="K237">
        <v>4.38</v>
      </c>
      <c r="L237">
        <v>4.0599999999999996</v>
      </c>
      <c r="M237">
        <f t="shared" si="9"/>
        <v>3.9260000000000006</v>
      </c>
      <c r="N237">
        <f t="shared" si="10"/>
        <v>3.93</v>
      </c>
      <c r="O237">
        <f t="shared" si="11"/>
        <v>4.2039999999999997</v>
      </c>
    </row>
    <row r="238" spans="1:15" ht="15" customHeight="1" x14ac:dyDescent="0.3">
      <c r="A238" t="s">
        <v>494</v>
      </c>
      <c r="B238" t="s">
        <v>2246</v>
      </c>
      <c r="C238">
        <v>3.7</v>
      </c>
      <c r="D238">
        <v>4.55</v>
      </c>
      <c r="E238">
        <v>4.6100000000000003</v>
      </c>
      <c r="F238">
        <v>3.5</v>
      </c>
      <c r="G238">
        <v>4.5199999999999996</v>
      </c>
      <c r="H238">
        <v>4.05</v>
      </c>
      <c r="I238">
        <v>4.3499999999999996</v>
      </c>
      <c r="J238">
        <v>3.63</v>
      </c>
      <c r="K238">
        <v>4.3600000000000003</v>
      </c>
      <c r="L238">
        <v>4.29</v>
      </c>
      <c r="M238">
        <f t="shared" si="9"/>
        <v>4.1760000000000002</v>
      </c>
      <c r="N238">
        <f t="shared" si="10"/>
        <v>4.18</v>
      </c>
      <c r="O238">
        <f t="shared" si="11"/>
        <v>4.1359999999999992</v>
      </c>
    </row>
    <row r="239" spans="1:15" ht="15" customHeight="1" x14ac:dyDescent="0.3">
      <c r="A239" t="s">
        <v>496</v>
      </c>
      <c r="B239" t="s">
        <v>2247</v>
      </c>
      <c r="C239">
        <v>3.94</v>
      </c>
      <c r="D239">
        <v>4.0599999999999996</v>
      </c>
      <c r="E239">
        <v>4.55</v>
      </c>
      <c r="F239" t="s">
        <v>211</v>
      </c>
      <c r="G239">
        <v>4.6500000000000004</v>
      </c>
      <c r="H239">
        <v>4.45</v>
      </c>
      <c r="I239">
        <v>4.3600000000000003</v>
      </c>
      <c r="J239">
        <v>3.82</v>
      </c>
      <c r="K239">
        <v>3.96</v>
      </c>
      <c r="L239">
        <v>3.76</v>
      </c>
      <c r="M239">
        <f t="shared" si="9"/>
        <v>4.3000000000000007</v>
      </c>
      <c r="N239">
        <f t="shared" si="10"/>
        <v>4.3</v>
      </c>
      <c r="O239">
        <f t="shared" si="11"/>
        <v>4.07</v>
      </c>
    </row>
    <row r="240" spans="1:15" ht="15" customHeight="1" x14ac:dyDescent="0.3">
      <c r="A240" t="s">
        <v>498</v>
      </c>
      <c r="B240" t="s">
        <v>2248</v>
      </c>
      <c r="C240">
        <v>3.59</v>
      </c>
      <c r="D240">
        <v>4.03</v>
      </c>
      <c r="E240">
        <v>3.71</v>
      </c>
      <c r="F240">
        <v>4.3099999999999996</v>
      </c>
      <c r="G240">
        <v>4.49</v>
      </c>
      <c r="H240">
        <v>4.2300000000000004</v>
      </c>
      <c r="I240">
        <v>4.2300000000000004</v>
      </c>
      <c r="J240">
        <v>4.24</v>
      </c>
      <c r="K240">
        <v>4.4800000000000004</v>
      </c>
      <c r="L240">
        <v>3.46</v>
      </c>
      <c r="M240">
        <f t="shared" si="9"/>
        <v>4.0260000000000007</v>
      </c>
      <c r="N240">
        <f t="shared" si="10"/>
        <v>4.03</v>
      </c>
      <c r="O240">
        <f t="shared" si="11"/>
        <v>4.1280000000000001</v>
      </c>
    </row>
    <row r="241" spans="1:15" ht="15" customHeight="1" x14ac:dyDescent="0.3">
      <c r="A241" t="s">
        <v>500</v>
      </c>
      <c r="B241" t="s">
        <v>2249</v>
      </c>
      <c r="C241">
        <v>3.94</v>
      </c>
      <c r="D241">
        <v>4.28</v>
      </c>
      <c r="E241">
        <v>4.24</v>
      </c>
      <c r="F241">
        <v>4.1500000000000004</v>
      </c>
      <c r="G241">
        <v>4.13</v>
      </c>
      <c r="H241">
        <v>3.63</v>
      </c>
      <c r="I241">
        <v>4.16</v>
      </c>
      <c r="J241">
        <v>4.21</v>
      </c>
      <c r="K241">
        <v>3.73</v>
      </c>
      <c r="L241">
        <v>4.12</v>
      </c>
      <c r="M241">
        <f t="shared" si="9"/>
        <v>4.1479999999999997</v>
      </c>
      <c r="N241">
        <f t="shared" si="10"/>
        <v>4.1500000000000004</v>
      </c>
      <c r="O241">
        <f t="shared" si="11"/>
        <v>3.97</v>
      </c>
    </row>
    <row r="242" spans="1:15" ht="15" customHeight="1" x14ac:dyDescent="0.3">
      <c r="A242" t="s">
        <v>502</v>
      </c>
      <c r="B242" t="s">
        <v>2250</v>
      </c>
      <c r="C242">
        <v>4.26</v>
      </c>
      <c r="D242">
        <v>4</v>
      </c>
      <c r="E242">
        <v>3.96</v>
      </c>
      <c r="F242">
        <v>4.28</v>
      </c>
      <c r="G242">
        <v>4.1900000000000004</v>
      </c>
      <c r="H242">
        <v>4.18</v>
      </c>
      <c r="I242">
        <v>3.82</v>
      </c>
      <c r="J242">
        <v>3.5</v>
      </c>
      <c r="K242">
        <v>4.0199999999999996</v>
      </c>
      <c r="L242">
        <v>3.96</v>
      </c>
      <c r="M242">
        <f t="shared" si="9"/>
        <v>4.1379999999999999</v>
      </c>
      <c r="N242">
        <f t="shared" si="10"/>
        <v>4.1399999999999997</v>
      </c>
      <c r="O242">
        <f t="shared" si="11"/>
        <v>3.8959999999999999</v>
      </c>
    </row>
    <row r="243" spans="1:15" ht="15" customHeight="1" x14ac:dyDescent="0.3">
      <c r="A243" t="s">
        <v>504</v>
      </c>
      <c r="B243" t="s">
        <v>2251</v>
      </c>
      <c r="C243">
        <v>4.25</v>
      </c>
      <c r="D243">
        <v>4.18</v>
      </c>
      <c r="E243">
        <v>3.81</v>
      </c>
      <c r="F243">
        <v>4.3499999999999996</v>
      </c>
      <c r="G243">
        <v>3.94</v>
      </c>
      <c r="H243">
        <v>3.83</v>
      </c>
      <c r="I243">
        <v>4.13</v>
      </c>
      <c r="J243">
        <v>4.05</v>
      </c>
      <c r="K243">
        <v>3.76</v>
      </c>
      <c r="L243">
        <v>4.25</v>
      </c>
      <c r="M243">
        <f t="shared" si="9"/>
        <v>4.1059999999999999</v>
      </c>
      <c r="N243">
        <f t="shared" si="10"/>
        <v>4.1100000000000003</v>
      </c>
      <c r="O243">
        <f t="shared" si="11"/>
        <v>4.0039999999999996</v>
      </c>
    </row>
    <row r="244" spans="1:15" ht="15" customHeight="1" x14ac:dyDescent="0.3">
      <c r="A244" t="s">
        <v>506</v>
      </c>
      <c r="B244" t="s">
        <v>507</v>
      </c>
      <c r="C244">
        <v>4.17</v>
      </c>
      <c r="D244">
        <v>4.13</v>
      </c>
      <c r="E244">
        <v>4.09</v>
      </c>
      <c r="F244">
        <v>3.89</v>
      </c>
      <c r="G244">
        <v>4.57</v>
      </c>
      <c r="H244">
        <v>4.26</v>
      </c>
      <c r="I244">
        <v>4.09</v>
      </c>
      <c r="J244">
        <v>4.26</v>
      </c>
      <c r="K244">
        <v>3.65</v>
      </c>
      <c r="L244">
        <v>4.33</v>
      </c>
      <c r="M244">
        <f t="shared" si="9"/>
        <v>4.17</v>
      </c>
      <c r="N244">
        <f t="shared" si="10"/>
        <v>4.17</v>
      </c>
      <c r="O244">
        <f t="shared" si="11"/>
        <v>4.1179999999999994</v>
      </c>
    </row>
    <row r="245" spans="1:15" ht="15" customHeight="1" x14ac:dyDescent="0.3">
      <c r="A245" t="s">
        <v>508</v>
      </c>
      <c r="B245" t="s">
        <v>2252</v>
      </c>
      <c r="C245">
        <v>4.16</v>
      </c>
      <c r="D245">
        <v>3.99</v>
      </c>
      <c r="E245">
        <v>4.26</v>
      </c>
      <c r="F245">
        <v>4.05</v>
      </c>
      <c r="G245">
        <v>3.7</v>
      </c>
      <c r="H245">
        <v>3.59</v>
      </c>
      <c r="I245">
        <v>4.57</v>
      </c>
      <c r="J245">
        <v>4.3899999999999997</v>
      </c>
      <c r="K245">
        <v>4.1100000000000003</v>
      </c>
      <c r="L245">
        <v>3.9</v>
      </c>
      <c r="M245">
        <f t="shared" si="9"/>
        <v>4.032</v>
      </c>
      <c r="N245">
        <f t="shared" si="10"/>
        <v>4.03</v>
      </c>
      <c r="O245">
        <f t="shared" si="11"/>
        <v>4.1120000000000001</v>
      </c>
    </row>
    <row r="246" spans="1:15" ht="15" customHeight="1" x14ac:dyDescent="0.3">
      <c r="A246" t="s">
        <v>510</v>
      </c>
      <c r="B246" t="s">
        <v>2253</v>
      </c>
      <c r="C246">
        <v>4.26</v>
      </c>
      <c r="D246">
        <v>4.41</v>
      </c>
      <c r="E246">
        <v>4.1900000000000004</v>
      </c>
      <c r="F246">
        <v>3.76</v>
      </c>
      <c r="G246">
        <v>4.53</v>
      </c>
      <c r="H246">
        <v>4.1399999999999997</v>
      </c>
      <c r="I246">
        <v>4.1500000000000004</v>
      </c>
      <c r="J246">
        <v>4.25</v>
      </c>
      <c r="K246">
        <v>4.1500000000000004</v>
      </c>
      <c r="L246">
        <v>4.29</v>
      </c>
      <c r="M246">
        <f t="shared" si="9"/>
        <v>4.2299999999999995</v>
      </c>
      <c r="N246">
        <f t="shared" si="10"/>
        <v>4.2300000000000004</v>
      </c>
      <c r="O246">
        <f t="shared" si="11"/>
        <v>4.1959999999999997</v>
      </c>
    </row>
    <row r="247" spans="1:15" ht="15" customHeight="1" x14ac:dyDescent="0.3">
      <c r="A247" t="s">
        <v>512</v>
      </c>
      <c r="B247" t="s">
        <v>2254</v>
      </c>
      <c r="C247">
        <v>3.72</v>
      </c>
      <c r="D247">
        <v>3.76</v>
      </c>
      <c r="E247">
        <v>3.82</v>
      </c>
      <c r="F247">
        <v>3.75</v>
      </c>
      <c r="G247">
        <v>4.32</v>
      </c>
      <c r="H247">
        <v>3.8</v>
      </c>
      <c r="I247">
        <v>4.32</v>
      </c>
      <c r="J247">
        <v>4.21</v>
      </c>
      <c r="K247">
        <v>3.65</v>
      </c>
      <c r="L247">
        <v>4.2699999999999996</v>
      </c>
      <c r="M247">
        <f t="shared" si="9"/>
        <v>3.8740000000000001</v>
      </c>
      <c r="N247">
        <f t="shared" si="10"/>
        <v>3.87</v>
      </c>
      <c r="O247">
        <f t="shared" si="11"/>
        <v>4.05</v>
      </c>
    </row>
    <row r="248" spans="1:15" ht="15" customHeight="1" x14ac:dyDescent="0.3">
      <c r="A248" t="s">
        <v>514</v>
      </c>
      <c r="B248" t="s">
        <v>2255</v>
      </c>
      <c r="C248">
        <v>3.66</v>
      </c>
      <c r="D248" t="s">
        <v>211</v>
      </c>
      <c r="E248">
        <v>4.32</v>
      </c>
      <c r="F248">
        <v>3.12</v>
      </c>
      <c r="G248">
        <v>4.1100000000000003</v>
      </c>
      <c r="H248">
        <v>3.75</v>
      </c>
      <c r="I248">
        <v>3.7</v>
      </c>
      <c r="J248">
        <v>3.95</v>
      </c>
      <c r="K248">
        <v>4.37</v>
      </c>
      <c r="L248">
        <v>3.85</v>
      </c>
      <c r="M248">
        <f t="shared" si="9"/>
        <v>3.8025000000000002</v>
      </c>
      <c r="N248">
        <f t="shared" si="10"/>
        <v>3.8</v>
      </c>
      <c r="O248">
        <f t="shared" si="11"/>
        <v>3.9240000000000004</v>
      </c>
    </row>
    <row r="249" spans="1:15" ht="15" customHeight="1" x14ac:dyDescent="0.3">
      <c r="A249" t="s">
        <v>516</v>
      </c>
      <c r="B249" t="s">
        <v>2256</v>
      </c>
      <c r="C249">
        <v>4.17</v>
      </c>
      <c r="D249">
        <v>4.3</v>
      </c>
      <c r="E249">
        <v>4.18</v>
      </c>
      <c r="F249">
        <v>4.72</v>
      </c>
      <c r="G249">
        <v>4.07</v>
      </c>
      <c r="H249">
        <v>3.94</v>
      </c>
      <c r="I249">
        <v>4.4400000000000004</v>
      </c>
      <c r="J249">
        <v>4.03</v>
      </c>
      <c r="K249">
        <v>4.18</v>
      </c>
      <c r="L249">
        <v>2.8</v>
      </c>
      <c r="M249">
        <f t="shared" si="9"/>
        <v>4.2879999999999994</v>
      </c>
      <c r="N249">
        <f t="shared" si="10"/>
        <v>4.29</v>
      </c>
      <c r="O249">
        <f t="shared" si="11"/>
        <v>3.8780000000000001</v>
      </c>
    </row>
    <row r="250" spans="1:15" ht="15" customHeight="1" x14ac:dyDescent="0.3">
      <c r="A250" t="s">
        <v>518</v>
      </c>
      <c r="B250" t="s">
        <v>519</v>
      </c>
      <c r="C250">
        <v>4.05</v>
      </c>
      <c r="D250">
        <v>4.29</v>
      </c>
      <c r="E250">
        <v>3.5</v>
      </c>
      <c r="F250">
        <v>3.93</v>
      </c>
      <c r="G250">
        <v>4.01</v>
      </c>
      <c r="H250">
        <v>3.51</v>
      </c>
      <c r="I250">
        <v>4.45</v>
      </c>
      <c r="J250">
        <v>3.92</v>
      </c>
      <c r="K250">
        <v>4.37</v>
      </c>
      <c r="L250">
        <v>4.0199999999999996</v>
      </c>
      <c r="M250">
        <f t="shared" si="9"/>
        <v>3.9560000000000004</v>
      </c>
      <c r="N250">
        <f t="shared" si="10"/>
        <v>3.96</v>
      </c>
      <c r="O250">
        <f t="shared" si="11"/>
        <v>4.0540000000000003</v>
      </c>
    </row>
    <row r="251" spans="1:15" ht="15" customHeight="1" x14ac:dyDescent="0.3">
      <c r="A251" t="s">
        <v>520</v>
      </c>
      <c r="B251" t="s">
        <v>2257</v>
      </c>
      <c r="C251">
        <v>4.07</v>
      </c>
      <c r="D251">
        <v>4.33</v>
      </c>
      <c r="E251">
        <v>4.03</v>
      </c>
      <c r="F251">
        <v>3.75</v>
      </c>
      <c r="G251">
        <v>3.63</v>
      </c>
      <c r="H251">
        <v>3.78</v>
      </c>
      <c r="I251">
        <v>3.8</v>
      </c>
      <c r="J251">
        <v>4.38</v>
      </c>
      <c r="K251">
        <v>4.54</v>
      </c>
      <c r="L251">
        <v>4.66</v>
      </c>
      <c r="M251">
        <f t="shared" si="9"/>
        <v>3.9619999999999997</v>
      </c>
      <c r="N251">
        <f t="shared" si="10"/>
        <v>3.96</v>
      </c>
      <c r="O251">
        <f t="shared" si="11"/>
        <v>4.2320000000000002</v>
      </c>
    </row>
    <row r="252" spans="1:15" ht="15" customHeight="1" x14ac:dyDescent="0.3">
      <c r="A252" t="s">
        <v>522</v>
      </c>
      <c r="B252" t="s">
        <v>2258</v>
      </c>
      <c r="C252">
        <v>3.92</v>
      </c>
      <c r="D252">
        <v>4.4000000000000004</v>
      </c>
      <c r="E252">
        <v>4.25</v>
      </c>
      <c r="F252">
        <v>4.18</v>
      </c>
      <c r="G252">
        <v>4.13</v>
      </c>
      <c r="H252">
        <v>4.43</v>
      </c>
      <c r="I252">
        <v>4.7699999999999996</v>
      </c>
      <c r="J252">
        <v>4.05</v>
      </c>
      <c r="K252">
        <v>4.0999999999999996</v>
      </c>
      <c r="L252">
        <v>4.21</v>
      </c>
      <c r="M252">
        <f t="shared" si="9"/>
        <v>4.1760000000000002</v>
      </c>
      <c r="N252">
        <f t="shared" si="10"/>
        <v>4.18</v>
      </c>
      <c r="O252">
        <f t="shared" si="11"/>
        <v>4.3120000000000003</v>
      </c>
    </row>
    <row r="253" spans="1:15" ht="15" customHeight="1" x14ac:dyDescent="0.3">
      <c r="A253" t="s">
        <v>524</v>
      </c>
      <c r="B253" t="s">
        <v>2259</v>
      </c>
      <c r="C253">
        <v>4.22</v>
      </c>
      <c r="D253">
        <v>4.12</v>
      </c>
      <c r="E253">
        <v>4</v>
      </c>
      <c r="F253">
        <v>3.88</v>
      </c>
      <c r="G253">
        <v>4.3499999999999996</v>
      </c>
      <c r="H253">
        <v>4.3</v>
      </c>
      <c r="I253">
        <v>3.97</v>
      </c>
      <c r="J253" t="s">
        <v>211</v>
      </c>
      <c r="K253">
        <v>3.92</v>
      </c>
      <c r="L253">
        <v>3.6</v>
      </c>
      <c r="M253">
        <f t="shared" si="9"/>
        <v>4.1139999999999999</v>
      </c>
      <c r="N253">
        <f t="shared" si="10"/>
        <v>4.1100000000000003</v>
      </c>
      <c r="O253">
        <f t="shared" si="11"/>
        <v>3.9474999999999998</v>
      </c>
    </row>
    <row r="254" spans="1:15" ht="15" customHeight="1" x14ac:dyDescent="0.3">
      <c r="A254" t="s">
        <v>526</v>
      </c>
      <c r="B254" t="s">
        <v>2260</v>
      </c>
      <c r="C254">
        <v>3.9</v>
      </c>
      <c r="D254">
        <v>4.29</v>
      </c>
      <c r="E254">
        <v>4.5599999999999996</v>
      </c>
      <c r="F254">
        <v>3.97</v>
      </c>
      <c r="G254">
        <v>3.63</v>
      </c>
      <c r="H254">
        <v>4.2300000000000004</v>
      </c>
      <c r="I254">
        <v>3.77</v>
      </c>
      <c r="J254">
        <v>4.07</v>
      </c>
      <c r="K254">
        <v>3.94</v>
      </c>
      <c r="L254">
        <v>3.65</v>
      </c>
      <c r="M254">
        <f t="shared" si="9"/>
        <v>4.0699999999999994</v>
      </c>
      <c r="N254">
        <f t="shared" si="10"/>
        <v>4.07</v>
      </c>
      <c r="O254">
        <f t="shared" si="11"/>
        <v>3.9319999999999999</v>
      </c>
    </row>
    <row r="255" spans="1:15" ht="15" customHeight="1" x14ac:dyDescent="0.3">
      <c r="A255" t="s">
        <v>528</v>
      </c>
      <c r="B255" t="s">
        <v>2261</v>
      </c>
      <c r="C255">
        <v>4.12</v>
      </c>
      <c r="D255">
        <v>4.47</v>
      </c>
      <c r="E255">
        <v>4.17</v>
      </c>
      <c r="F255">
        <v>4.29</v>
      </c>
      <c r="G255">
        <v>3.99</v>
      </c>
      <c r="H255">
        <v>3.9</v>
      </c>
      <c r="I255">
        <v>3.95</v>
      </c>
      <c r="J255">
        <v>3.28</v>
      </c>
      <c r="K255">
        <v>4.3499999999999996</v>
      </c>
      <c r="L255">
        <v>3.95</v>
      </c>
      <c r="M255">
        <f t="shared" si="9"/>
        <v>4.2080000000000002</v>
      </c>
      <c r="N255">
        <f t="shared" si="10"/>
        <v>4.21</v>
      </c>
      <c r="O255">
        <f t="shared" si="11"/>
        <v>3.8860000000000001</v>
      </c>
    </row>
    <row r="256" spans="1:15" ht="15" customHeight="1" x14ac:dyDescent="0.3">
      <c r="A256" t="s">
        <v>530</v>
      </c>
      <c r="B256" t="s">
        <v>2262</v>
      </c>
      <c r="C256">
        <v>4.17</v>
      </c>
      <c r="D256">
        <v>4.3</v>
      </c>
      <c r="E256" t="s">
        <v>211</v>
      </c>
      <c r="F256">
        <v>3.64</v>
      </c>
      <c r="G256">
        <v>3.95</v>
      </c>
      <c r="H256">
        <v>3.93</v>
      </c>
      <c r="I256">
        <v>3.76</v>
      </c>
      <c r="J256">
        <v>4.0599999999999996</v>
      </c>
      <c r="K256">
        <v>4.3099999999999996</v>
      </c>
      <c r="L256">
        <v>4.1900000000000004</v>
      </c>
      <c r="M256">
        <f t="shared" si="9"/>
        <v>4.0149999999999997</v>
      </c>
      <c r="N256">
        <f t="shared" si="10"/>
        <v>4.0199999999999996</v>
      </c>
      <c r="O256">
        <f t="shared" si="11"/>
        <v>4.05</v>
      </c>
    </row>
    <row r="257" spans="1:15" ht="15" customHeight="1" x14ac:dyDescent="0.3">
      <c r="A257" t="s">
        <v>532</v>
      </c>
      <c r="B257" t="s">
        <v>2263</v>
      </c>
      <c r="C257">
        <v>3.51</v>
      </c>
      <c r="D257">
        <v>3.43</v>
      </c>
      <c r="E257">
        <v>4.26</v>
      </c>
      <c r="F257">
        <v>3.62</v>
      </c>
      <c r="G257">
        <v>4.01</v>
      </c>
      <c r="H257">
        <v>3.76</v>
      </c>
      <c r="I257">
        <v>4.2699999999999996</v>
      </c>
      <c r="J257">
        <v>4.07</v>
      </c>
      <c r="K257">
        <v>3.95</v>
      </c>
      <c r="L257">
        <v>3.77</v>
      </c>
      <c r="M257">
        <f t="shared" si="9"/>
        <v>3.7659999999999996</v>
      </c>
      <c r="N257">
        <f t="shared" si="10"/>
        <v>3.77</v>
      </c>
      <c r="O257">
        <f t="shared" si="11"/>
        <v>3.964</v>
      </c>
    </row>
    <row r="258" spans="1:15" ht="15" customHeight="1" x14ac:dyDescent="0.3">
      <c r="A258" t="s">
        <v>534</v>
      </c>
      <c r="B258" t="s">
        <v>535</v>
      </c>
      <c r="C258" t="s">
        <v>211</v>
      </c>
      <c r="D258">
        <v>4.1500000000000004</v>
      </c>
      <c r="E258">
        <v>3.88</v>
      </c>
      <c r="F258">
        <v>4.1399999999999997</v>
      </c>
      <c r="G258">
        <v>3.48</v>
      </c>
      <c r="H258">
        <v>4.3899999999999997</v>
      </c>
      <c r="I258">
        <v>3.87</v>
      </c>
      <c r="J258">
        <v>4.3</v>
      </c>
      <c r="K258">
        <v>4.32</v>
      </c>
      <c r="L258">
        <v>3.55</v>
      </c>
      <c r="M258">
        <f t="shared" ref="M258:M321" si="12">AVERAGE(C258:G258)</f>
        <v>3.9125000000000005</v>
      </c>
      <c r="N258">
        <f t="shared" ref="N258:N321" si="13">ROUND(M258,2)</f>
        <v>3.91</v>
      </c>
      <c r="O258">
        <f t="shared" ref="O258:O321" si="14">AVERAGE(H258:L258)</f>
        <v>4.0860000000000003</v>
      </c>
    </row>
    <row r="259" spans="1:15" ht="15" customHeight="1" x14ac:dyDescent="0.3">
      <c r="A259" t="s">
        <v>536</v>
      </c>
      <c r="B259" t="s">
        <v>537</v>
      </c>
      <c r="C259">
        <v>4.12</v>
      </c>
      <c r="D259">
        <v>4.16</v>
      </c>
      <c r="E259">
        <v>4.2</v>
      </c>
      <c r="F259">
        <v>3.83</v>
      </c>
      <c r="G259">
        <v>3.72</v>
      </c>
      <c r="H259">
        <v>4.7699999999999996</v>
      </c>
      <c r="I259">
        <v>4.22</v>
      </c>
      <c r="J259">
        <v>4.1399999999999997</v>
      </c>
      <c r="K259">
        <v>3.68</v>
      </c>
      <c r="L259">
        <v>4.42</v>
      </c>
      <c r="M259">
        <f t="shared" si="12"/>
        <v>4.0060000000000002</v>
      </c>
      <c r="N259">
        <f t="shared" si="13"/>
        <v>4.01</v>
      </c>
      <c r="O259">
        <f t="shared" si="14"/>
        <v>4.2459999999999996</v>
      </c>
    </row>
    <row r="260" spans="1:15" ht="15" customHeight="1" x14ac:dyDescent="0.3">
      <c r="A260" t="s">
        <v>538</v>
      </c>
      <c r="B260" t="s">
        <v>539</v>
      </c>
      <c r="C260">
        <v>3.56</v>
      </c>
      <c r="D260">
        <v>4.84</v>
      </c>
      <c r="E260">
        <v>4.4400000000000004</v>
      </c>
      <c r="F260">
        <v>3.74</v>
      </c>
      <c r="G260">
        <v>3.63</v>
      </c>
      <c r="H260">
        <v>4.24</v>
      </c>
      <c r="I260">
        <v>3.78</v>
      </c>
      <c r="J260">
        <v>3.84</v>
      </c>
      <c r="K260">
        <v>4.32</v>
      </c>
      <c r="L260">
        <v>4.1399999999999997</v>
      </c>
      <c r="M260">
        <f t="shared" si="12"/>
        <v>4.0419999999999998</v>
      </c>
      <c r="N260">
        <f t="shared" si="13"/>
        <v>4.04</v>
      </c>
      <c r="O260">
        <f t="shared" si="14"/>
        <v>4.0640000000000001</v>
      </c>
    </row>
    <row r="261" spans="1:15" ht="15" customHeight="1" x14ac:dyDescent="0.3">
      <c r="A261" t="s">
        <v>540</v>
      </c>
      <c r="B261" t="s">
        <v>541</v>
      </c>
      <c r="C261">
        <v>3.88</v>
      </c>
      <c r="D261">
        <v>3.57</v>
      </c>
      <c r="E261">
        <v>4.0199999999999996</v>
      </c>
      <c r="F261">
        <v>3.8</v>
      </c>
      <c r="G261">
        <v>4</v>
      </c>
      <c r="H261">
        <v>4.28</v>
      </c>
      <c r="I261">
        <v>4.45</v>
      </c>
      <c r="J261">
        <v>4.18</v>
      </c>
      <c r="K261">
        <v>4.1500000000000004</v>
      </c>
      <c r="L261">
        <v>3.89</v>
      </c>
      <c r="M261">
        <f t="shared" si="12"/>
        <v>3.8540000000000001</v>
      </c>
      <c r="N261">
        <f t="shared" si="13"/>
        <v>3.85</v>
      </c>
      <c r="O261">
        <f t="shared" si="14"/>
        <v>4.1900000000000004</v>
      </c>
    </row>
    <row r="262" spans="1:15" ht="15" customHeight="1" x14ac:dyDescent="0.3">
      <c r="A262" t="s">
        <v>542</v>
      </c>
      <c r="B262" t="s">
        <v>543</v>
      </c>
      <c r="C262">
        <v>3.81</v>
      </c>
      <c r="D262">
        <v>4.17</v>
      </c>
      <c r="E262">
        <v>3.82</v>
      </c>
      <c r="F262">
        <v>3.68</v>
      </c>
      <c r="G262">
        <v>4.07</v>
      </c>
      <c r="H262">
        <v>4.12</v>
      </c>
      <c r="I262">
        <v>4.18</v>
      </c>
      <c r="J262">
        <v>4.28</v>
      </c>
      <c r="K262">
        <v>4.59</v>
      </c>
      <c r="L262">
        <v>4.3499999999999996</v>
      </c>
      <c r="M262">
        <f t="shared" si="12"/>
        <v>3.91</v>
      </c>
      <c r="N262">
        <f t="shared" si="13"/>
        <v>3.91</v>
      </c>
      <c r="O262">
        <f t="shared" si="14"/>
        <v>4.3040000000000003</v>
      </c>
    </row>
    <row r="263" spans="1:15" ht="15" customHeight="1" x14ac:dyDescent="0.3">
      <c r="A263" t="s">
        <v>544</v>
      </c>
      <c r="B263" t="s">
        <v>545</v>
      </c>
      <c r="C263">
        <v>3.38</v>
      </c>
      <c r="D263">
        <v>4.17</v>
      </c>
      <c r="E263">
        <v>4.01</v>
      </c>
      <c r="F263">
        <v>4.51</v>
      </c>
      <c r="G263">
        <v>3.82</v>
      </c>
      <c r="H263">
        <v>4.25</v>
      </c>
      <c r="I263">
        <v>3.9</v>
      </c>
      <c r="J263">
        <v>4.1900000000000004</v>
      </c>
      <c r="K263">
        <v>4.38</v>
      </c>
      <c r="L263">
        <v>4.1500000000000004</v>
      </c>
      <c r="M263">
        <f t="shared" si="12"/>
        <v>3.9780000000000002</v>
      </c>
      <c r="N263">
        <f t="shared" si="13"/>
        <v>3.98</v>
      </c>
      <c r="O263">
        <f t="shared" si="14"/>
        <v>4.1739999999999995</v>
      </c>
    </row>
    <row r="264" spans="1:15" ht="15" customHeight="1" x14ac:dyDescent="0.3">
      <c r="A264" t="s">
        <v>546</v>
      </c>
      <c r="B264" t="s">
        <v>2264</v>
      </c>
      <c r="C264">
        <v>4.26</v>
      </c>
      <c r="D264">
        <v>3.7</v>
      </c>
      <c r="E264">
        <v>4.34</v>
      </c>
      <c r="F264">
        <v>4.45</v>
      </c>
      <c r="G264" t="s">
        <v>548</v>
      </c>
      <c r="H264">
        <v>4.32</v>
      </c>
      <c r="I264">
        <v>4.17</v>
      </c>
      <c r="J264">
        <v>3.74</v>
      </c>
      <c r="K264">
        <v>4.0599999999999996</v>
      </c>
      <c r="L264">
        <v>3.82</v>
      </c>
      <c r="M264">
        <f t="shared" si="12"/>
        <v>4.1875</v>
      </c>
      <c r="N264">
        <f t="shared" si="13"/>
        <v>4.1900000000000004</v>
      </c>
      <c r="O264">
        <f t="shared" si="14"/>
        <v>4.0220000000000002</v>
      </c>
    </row>
    <row r="265" spans="1:15" ht="15" customHeight="1" x14ac:dyDescent="0.3">
      <c r="A265" t="s">
        <v>549</v>
      </c>
      <c r="B265" t="s">
        <v>550</v>
      </c>
      <c r="C265">
        <v>4.1900000000000004</v>
      </c>
      <c r="D265">
        <v>3.75</v>
      </c>
      <c r="E265">
        <v>3.42</v>
      </c>
      <c r="F265">
        <v>3.91</v>
      </c>
      <c r="G265">
        <v>3.4</v>
      </c>
      <c r="H265">
        <v>4.1500000000000004</v>
      </c>
      <c r="I265">
        <v>3.92</v>
      </c>
      <c r="J265">
        <v>4.07</v>
      </c>
      <c r="K265">
        <v>4.46</v>
      </c>
      <c r="L265">
        <v>3.76</v>
      </c>
      <c r="M265">
        <f t="shared" si="12"/>
        <v>3.7339999999999995</v>
      </c>
      <c r="N265">
        <f t="shared" si="13"/>
        <v>3.73</v>
      </c>
      <c r="O265">
        <f t="shared" si="14"/>
        <v>4.0720000000000001</v>
      </c>
    </row>
    <row r="266" spans="1:15" ht="15" customHeight="1" x14ac:dyDescent="0.3">
      <c r="A266" t="s">
        <v>551</v>
      </c>
      <c r="B266" t="s">
        <v>552</v>
      </c>
      <c r="C266">
        <v>4.2</v>
      </c>
      <c r="D266">
        <v>3.59</v>
      </c>
      <c r="E266">
        <v>3.93</v>
      </c>
      <c r="F266">
        <v>3.94</v>
      </c>
      <c r="G266">
        <v>4.0599999999999996</v>
      </c>
      <c r="H266">
        <v>3.85</v>
      </c>
      <c r="I266">
        <v>4.9000000000000004</v>
      </c>
      <c r="J266">
        <v>3.97</v>
      </c>
      <c r="K266">
        <v>4.1100000000000003</v>
      </c>
      <c r="L266">
        <v>3.89</v>
      </c>
      <c r="M266">
        <f t="shared" si="12"/>
        <v>3.944</v>
      </c>
      <c r="N266">
        <f t="shared" si="13"/>
        <v>3.94</v>
      </c>
      <c r="O266">
        <f t="shared" si="14"/>
        <v>4.1440000000000001</v>
      </c>
    </row>
    <row r="267" spans="1:15" ht="15" customHeight="1" x14ac:dyDescent="0.3">
      <c r="A267" t="s">
        <v>553</v>
      </c>
      <c r="B267" t="s">
        <v>2265</v>
      </c>
      <c r="C267">
        <v>4.5</v>
      </c>
      <c r="D267">
        <v>4.04</v>
      </c>
      <c r="E267">
        <v>4.17</v>
      </c>
      <c r="F267">
        <v>3.84</v>
      </c>
      <c r="G267">
        <v>4.6500000000000004</v>
      </c>
      <c r="H267">
        <v>3.67</v>
      </c>
      <c r="I267">
        <v>4.34</v>
      </c>
      <c r="J267">
        <v>4.18</v>
      </c>
      <c r="K267">
        <v>3.82</v>
      </c>
      <c r="L267">
        <v>4.22</v>
      </c>
      <c r="M267">
        <f t="shared" si="12"/>
        <v>4.2399999999999993</v>
      </c>
      <c r="N267">
        <f t="shared" si="13"/>
        <v>4.24</v>
      </c>
      <c r="O267">
        <f t="shared" si="14"/>
        <v>4.0459999999999994</v>
      </c>
    </row>
    <row r="268" spans="1:15" ht="15" customHeight="1" x14ac:dyDescent="0.3">
      <c r="A268" t="s">
        <v>555</v>
      </c>
      <c r="B268" t="s">
        <v>2266</v>
      </c>
      <c r="C268">
        <v>3.42</v>
      </c>
      <c r="D268">
        <v>4.22</v>
      </c>
      <c r="E268">
        <v>4.1500000000000004</v>
      </c>
      <c r="F268">
        <v>3.61</v>
      </c>
      <c r="G268">
        <v>3.72</v>
      </c>
      <c r="H268">
        <v>4</v>
      </c>
      <c r="I268">
        <v>3.89</v>
      </c>
      <c r="J268">
        <v>4.1399999999999997</v>
      </c>
      <c r="K268">
        <v>3.59</v>
      </c>
      <c r="L268">
        <v>3.77</v>
      </c>
      <c r="M268">
        <f t="shared" si="12"/>
        <v>3.8239999999999994</v>
      </c>
      <c r="N268">
        <f t="shared" si="13"/>
        <v>3.82</v>
      </c>
      <c r="O268">
        <f t="shared" si="14"/>
        <v>3.8780000000000001</v>
      </c>
    </row>
    <row r="269" spans="1:15" ht="15" customHeight="1" x14ac:dyDescent="0.3">
      <c r="A269" t="s">
        <v>557</v>
      </c>
      <c r="B269" t="s">
        <v>2267</v>
      </c>
      <c r="C269" t="s">
        <v>559</v>
      </c>
      <c r="D269">
        <v>3.99</v>
      </c>
      <c r="E269">
        <v>3.96</v>
      </c>
      <c r="F269">
        <v>4.4400000000000004</v>
      </c>
      <c r="G269">
        <v>3.87</v>
      </c>
      <c r="H269">
        <v>4.32</v>
      </c>
      <c r="I269">
        <v>3.78</v>
      </c>
      <c r="J269">
        <v>4.3</v>
      </c>
      <c r="K269">
        <v>3.98</v>
      </c>
      <c r="L269">
        <v>3.99</v>
      </c>
      <c r="M269">
        <f t="shared" si="12"/>
        <v>4.0650000000000004</v>
      </c>
      <c r="N269">
        <f t="shared" si="13"/>
        <v>4.07</v>
      </c>
      <c r="O269">
        <f t="shared" si="14"/>
        <v>4.0739999999999998</v>
      </c>
    </row>
    <row r="270" spans="1:15" ht="15" customHeight="1" x14ac:dyDescent="0.3">
      <c r="A270" t="s">
        <v>560</v>
      </c>
      <c r="B270" t="s">
        <v>2268</v>
      </c>
      <c r="C270" t="s">
        <v>211</v>
      </c>
      <c r="D270">
        <v>4.3899999999999997</v>
      </c>
      <c r="E270">
        <v>4.0199999999999996</v>
      </c>
      <c r="F270">
        <v>3.97</v>
      </c>
      <c r="G270">
        <v>4.2699999999999996</v>
      </c>
      <c r="H270">
        <v>3.87</v>
      </c>
      <c r="I270">
        <v>4.09</v>
      </c>
      <c r="J270">
        <v>4.58</v>
      </c>
      <c r="K270">
        <v>4.6500000000000004</v>
      </c>
      <c r="L270">
        <v>3.72</v>
      </c>
      <c r="M270">
        <f t="shared" si="12"/>
        <v>4.1624999999999996</v>
      </c>
      <c r="N270">
        <f t="shared" si="13"/>
        <v>4.16</v>
      </c>
      <c r="O270">
        <f t="shared" si="14"/>
        <v>4.1819999999999995</v>
      </c>
    </row>
    <row r="271" spans="1:15" ht="15" customHeight="1" x14ac:dyDescent="0.3">
      <c r="A271" t="s">
        <v>562</v>
      </c>
      <c r="B271" t="s">
        <v>2269</v>
      </c>
      <c r="C271">
        <v>4.16</v>
      </c>
      <c r="D271">
        <v>3.8</v>
      </c>
      <c r="E271">
        <v>3.98</v>
      </c>
      <c r="F271">
        <v>4.42</v>
      </c>
      <c r="G271">
        <v>4</v>
      </c>
      <c r="H271">
        <v>3.91</v>
      </c>
      <c r="I271">
        <v>4.17</v>
      </c>
      <c r="J271">
        <v>3.92</v>
      </c>
      <c r="K271">
        <v>4.3899999999999997</v>
      </c>
      <c r="L271">
        <v>3.99</v>
      </c>
      <c r="M271">
        <f t="shared" si="12"/>
        <v>4.0720000000000001</v>
      </c>
      <c r="N271">
        <f t="shared" si="13"/>
        <v>4.07</v>
      </c>
      <c r="O271">
        <f t="shared" si="14"/>
        <v>4.0760000000000005</v>
      </c>
    </row>
    <row r="272" spans="1:15" ht="15" customHeight="1" x14ac:dyDescent="0.3">
      <c r="A272" t="s">
        <v>564</v>
      </c>
      <c r="B272" t="s">
        <v>565</v>
      </c>
      <c r="C272">
        <v>3.99</v>
      </c>
      <c r="D272">
        <v>3.62</v>
      </c>
      <c r="E272">
        <v>4.34</v>
      </c>
      <c r="F272">
        <v>4.2300000000000004</v>
      </c>
      <c r="G272">
        <v>4.33</v>
      </c>
      <c r="H272">
        <v>3.88</v>
      </c>
      <c r="I272">
        <v>3.67</v>
      </c>
      <c r="J272">
        <v>4.09</v>
      </c>
      <c r="K272">
        <v>3.97</v>
      </c>
      <c r="L272">
        <v>4.13</v>
      </c>
      <c r="M272">
        <f t="shared" si="12"/>
        <v>4.1019999999999994</v>
      </c>
      <c r="N272">
        <f t="shared" si="13"/>
        <v>4.0999999999999996</v>
      </c>
      <c r="O272">
        <f t="shared" si="14"/>
        <v>3.9480000000000004</v>
      </c>
    </row>
    <row r="273" spans="1:15" ht="15" customHeight="1" x14ac:dyDescent="0.3">
      <c r="A273" t="s">
        <v>566</v>
      </c>
      <c r="B273" t="s">
        <v>2270</v>
      </c>
      <c r="C273">
        <v>3.91</v>
      </c>
      <c r="D273">
        <v>4.4000000000000004</v>
      </c>
      <c r="E273">
        <v>4.46</v>
      </c>
      <c r="F273">
        <v>4.5199999999999996</v>
      </c>
      <c r="G273">
        <v>4.1100000000000003</v>
      </c>
      <c r="H273">
        <v>4</v>
      </c>
      <c r="I273">
        <v>4.26</v>
      </c>
      <c r="J273">
        <v>4.62</v>
      </c>
      <c r="K273">
        <v>4.18</v>
      </c>
      <c r="L273">
        <v>3.84</v>
      </c>
      <c r="M273">
        <f t="shared" si="12"/>
        <v>4.2799999999999994</v>
      </c>
      <c r="N273">
        <f t="shared" si="13"/>
        <v>4.28</v>
      </c>
      <c r="O273">
        <f t="shared" si="14"/>
        <v>4.18</v>
      </c>
    </row>
    <row r="274" spans="1:15" ht="15" customHeight="1" x14ac:dyDescent="0.3">
      <c r="A274" t="s">
        <v>568</v>
      </c>
      <c r="B274" t="s">
        <v>2271</v>
      </c>
      <c r="C274">
        <v>4.4800000000000004</v>
      </c>
      <c r="D274">
        <v>3.8</v>
      </c>
      <c r="E274">
        <v>3.96</v>
      </c>
      <c r="F274">
        <v>4.6399999999999997</v>
      </c>
      <c r="G274">
        <v>3.6</v>
      </c>
      <c r="H274">
        <v>4.04</v>
      </c>
      <c r="I274">
        <v>4.1100000000000003</v>
      </c>
      <c r="J274">
        <v>4.1100000000000003</v>
      </c>
      <c r="K274">
        <v>3.75</v>
      </c>
      <c r="L274">
        <v>4.3600000000000003</v>
      </c>
      <c r="M274">
        <f t="shared" si="12"/>
        <v>4.096000000000001</v>
      </c>
      <c r="N274">
        <f t="shared" si="13"/>
        <v>4.0999999999999996</v>
      </c>
      <c r="O274">
        <f t="shared" si="14"/>
        <v>4.0739999999999998</v>
      </c>
    </row>
    <row r="275" spans="1:15" ht="15" customHeight="1" x14ac:dyDescent="0.3">
      <c r="A275" t="s">
        <v>570</v>
      </c>
      <c r="B275" t="s">
        <v>2272</v>
      </c>
      <c r="C275">
        <v>3.8</v>
      </c>
      <c r="D275">
        <v>3.9</v>
      </c>
      <c r="E275">
        <v>4.4000000000000004</v>
      </c>
      <c r="F275">
        <v>4.63</v>
      </c>
      <c r="G275">
        <v>4.05</v>
      </c>
      <c r="H275">
        <v>3.56</v>
      </c>
      <c r="I275">
        <v>3.98</v>
      </c>
      <c r="J275">
        <v>4.3600000000000003</v>
      </c>
      <c r="K275">
        <v>4.2699999999999996</v>
      </c>
      <c r="L275">
        <v>4.41</v>
      </c>
      <c r="M275">
        <f t="shared" si="12"/>
        <v>4.1560000000000006</v>
      </c>
      <c r="N275">
        <f t="shared" si="13"/>
        <v>4.16</v>
      </c>
      <c r="O275">
        <f t="shared" si="14"/>
        <v>4.1160000000000005</v>
      </c>
    </row>
    <row r="276" spans="1:15" ht="15" customHeight="1" x14ac:dyDescent="0.3">
      <c r="A276" t="s">
        <v>572</v>
      </c>
      <c r="B276" t="s">
        <v>2273</v>
      </c>
      <c r="C276">
        <v>3.76</v>
      </c>
      <c r="D276">
        <v>3.67</v>
      </c>
      <c r="E276">
        <v>4.01</v>
      </c>
      <c r="F276">
        <v>4.38</v>
      </c>
      <c r="G276">
        <v>4.5999999999999996</v>
      </c>
      <c r="H276">
        <v>4.12</v>
      </c>
      <c r="I276">
        <v>4.05</v>
      </c>
      <c r="J276">
        <v>4.01</v>
      </c>
      <c r="K276">
        <v>4.4400000000000004</v>
      </c>
      <c r="L276">
        <v>3.81</v>
      </c>
      <c r="M276">
        <f t="shared" si="12"/>
        <v>4.0840000000000005</v>
      </c>
      <c r="N276">
        <f t="shared" si="13"/>
        <v>4.08</v>
      </c>
      <c r="O276">
        <f t="shared" si="14"/>
        <v>4.0860000000000003</v>
      </c>
    </row>
    <row r="277" spans="1:15" ht="15" customHeight="1" x14ac:dyDescent="0.3">
      <c r="A277" t="s">
        <v>574</v>
      </c>
      <c r="B277" t="s">
        <v>2274</v>
      </c>
      <c r="C277" t="s">
        <v>211</v>
      </c>
      <c r="D277">
        <v>4.4800000000000004</v>
      </c>
      <c r="E277">
        <v>4.5199999999999996</v>
      </c>
      <c r="F277">
        <v>3.87</v>
      </c>
      <c r="G277">
        <v>3.99</v>
      </c>
      <c r="H277">
        <v>3.8</v>
      </c>
      <c r="I277">
        <v>4.55</v>
      </c>
      <c r="J277">
        <v>3.67</v>
      </c>
      <c r="K277">
        <v>3.83</v>
      </c>
      <c r="L277">
        <v>4.1100000000000003</v>
      </c>
      <c r="M277">
        <f t="shared" si="12"/>
        <v>4.2149999999999999</v>
      </c>
      <c r="N277">
        <f t="shared" si="13"/>
        <v>4.22</v>
      </c>
      <c r="O277">
        <f t="shared" si="14"/>
        <v>3.992</v>
      </c>
    </row>
    <row r="278" spans="1:15" ht="15" customHeight="1" x14ac:dyDescent="0.3">
      <c r="A278" t="s">
        <v>576</v>
      </c>
      <c r="B278" t="s">
        <v>2275</v>
      </c>
      <c r="C278">
        <v>4.1900000000000004</v>
      </c>
      <c r="D278">
        <v>3.76</v>
      </c>
      <c r="E278" t="s">
        <v>211</v>
      </c>
      <c r="F278">
        <v>4.28</v>
      </c>
      <c r="G278">
        <v>3.73</v>
      </c>
      <c r="H278">
        <v>3.52</v>
      </c>
      <c r="I278">
        <v>3.72</v>
      </c>
      <c r="J278">
        <v>4.38</v>
      </c>
      <c r="K278">
        <v>3.84</v>
      </c>
      <c r="L278">
        <v>3.88</v>
      </c>
      <c r="M278">
        <f t="shared" si="12"/>
        <v>3.99</v>
      </c>
      <c r="N278">
        <f t="shared" si="13"/>
        <v>3.99</v>
      </c>
      <c r="O278">
        <f t="shared" si="14"/>
        <v>3.8679999999999999</v>
      </c>
    </row>
    <row r="279" spans="1:15" ht="15" customHeight="1" x14ac:dyDescent="0.3">
      <c r="A279" t="s">
        <v>578</v>
      </c>
      <c r="B279" t="s">
        <v>2276</v>
      </c>
      <c r="C279">
        <v>4.93</v>
      </c>
      <c r="D279">
        <v>4.42</v>
      </c>
      <c r="E279">
        <v>3.65</v>
      </c>
      <c r="F279">
        <v>3.56</v>
      </c>
      <c r="G279">
        <v>4.01</v>
      </c>
      <c r="H279" t="s">
        <v>211</v>
      </c>
      <c r="I279">
        <v>4.26</v>
      </c>
      <c r="J279">
        <v>3.88</v>
      </c>
      <c r="K279">
        <v>4.37</v>
      </c>
      <c r="L279">
        <v>4.49</v>
      </c>
      <c r="M279">
        <f t="shared" si="12"/>
        <v>4.1139999999999999</v>
      </c>
      <c r="N279">
        <f t="shared" si="13"/>
        <v>4.1100000000000003</v>
      </c>
      <c r="O279">
        <f t="shared" si="14"/>
        <v>4.25</v>
      </c>
    </row>
    <row r="280" spans="1:15" ht="15" customHeight="1" x14ac:dyDescent="0.3">
      <c r="A280" t="s">
        <v>580</v>
      </c>
      <c r="B280" t="s">
        <v>581</v>
      </c>
      <c r="C280" t="s">
        <v>211</v>
      </c>
      <c r="D280">
        <v>3.64</v>
      </c>
      <c r="E280">
        <v>3.97</v>
      </c>
      <c r="F280">
        <v>3.59</v>
      </c>
      <c r="G280">
        <v>4.3</v>
      </c>
      <c r="H280">
        <v>4.05</v>
      </c>
      <c r="I280">
        <v>3.77</v>
      </c>
      <c r="J280">
        <v>4.21</v>
      </c>
      <c r="K280">
        <v>4.54</v>
      </c>
      <c r="L280">
        <v>4.16</v>
      </c>
      <c r="M280">
        <f t="shared" si="12"/>
        <v>3.875</v>
      </c>
      <c r="N280">
        <f t="shared" si="13"/>
        <v>3.88</v>
      </c>
      <c r="O280">
        <f t="shared" si="14"/>
        <v>4.1459999999999999</v>
      </c>
    </row>
    <row r="281" spans="1:15" ht="15" customHeight="1" x14ac:dyDescent="0.3">
      <c r="A281" t="s">
        <v>582</v>
      </c>
      <c r="B281" t="s">
        <v>2277</v>
      </c>
      <c r="C281">
        <v>3.77</v>
      </c>
      <c r="D281">
        <v>4.47</v>
      </c>
      <c r="E281">
        <v>3.87</v>
      </c>
      <c r="F281">
        <v>3.63</v>
      </c>
      <c r="G281">
        <v>3.3</v>
      </c>
      <c r="H281">
        <v>4.17</v>
      </c>
      <c r="I281">
        <v>3.88</v>
      </c>
      <c r="J281">
        <v>4.26</v>
      </c>
      <c r="K281">
        <v>4.28</v>
      </c>
      <c r="L281">
        <v>4.46</v>
      </c>
      <c r="M281">
        <f t="shared" si="12"/>
        <v>3.8079999999999998</v>
      </c>
      <c r="N281">
        <f t="shared" si="13"/>
        <v>3.81</v>
      </c>
      <c r="O281">
        <f t="shared" si="14"/>
        <v>4.21</v>
      </c>
    </row>
    <row r="282" spans="1:15" ht="15" customHeight="1" x14ac:dyDescent="0.3">
      <c r="A282" t="s">
        <v>584</v>
      </c>
      <c r="B282" t="s">
        <v>2278</v>
      </c>
      <c r="C282">
        <v>3.95</v>
      </c>
      <c r="D282">
        <v>4.4000000000000004</v>
      </c>
      <c r="E282">
        <v>4.0199999999999996</v>
      </c>
      <c r="F282">
        <v>3.54</v>
      </c>
      <c r="G282">
        <v>3.39</v>
      </c>
      <c r="H282">
        <v>3.79</v>
      </c>
      <c r="I282">
        <v>4.7</v>
      </c>
      <c r="J282">
        <v>3.83</v>
      </c>
      <c r="K282">
        <v>3.92</v>
      </c>
      <c r="L282">
        <v>3.86</v>
      </c>
      <c r="M282">
        <f t="shared" si="12"/>
        <v>3.8600000000000003</v>
      </c>
      <c r="N282">
        <f t="shared" si="13"/>
        <v>3.86</v>
      </c>
      <c r="O282">
        <f t="shared" si="14"/>
        <v>4.0200000000000005</v>
      </c>
    </row>
    <row r="283" spans="1:15" ht="15" customHeight="1" x14ac:dyDescent="0.3">
      <c r="A283" t="s">
        <v>586</v>
      </c>
      <c r="B283" t="s">
        <v>2279</v>
      </c>
      <c r="C283">
        <v>3.46</v>
      </c>
      <c r="D283">
        <v>4.37</v>
      </c>
      <c r="E283">
        <v>3.76</v>
      </c>
      <c r="F283">
        <v>4.3600000000000003</v>
      </c>
      <c r="G283">
        <v>3.89</v>
      </c>
      <c r="H283">
        <v>4.09</v>
      </c>
      <c r="I283">
        <v>4.4800000000000004</v>
      </c>
      <c r="J283">
        <v>4.2</v>
      </c>
      <c r="K283">
        <v>3.66</v>
      </c>
      <c r="L283">
        <v>3.83</v>
      </c>
      <c r="M283">
        <f t="shared" si="12"/>
        <v>3.968</v>
      </c>
      <c r="N283">
        <f t="shared" si="13"/>
        <v>3.97</v>
      </c>
      <c r="O283">
        <f t="shared" si="14"/>
        <v>4.0519999999999996</v>
      </c>
    </row>
    <row r="284" spans="1:15" ht="15" customHeight="1" x14ac:dyDescent="0.3">
      <c r="A284" t="s">
        <v>588</v>
      </c>
      <c r="B284" t="s">
        <v>2280</v>
      </c>
      <c r="C284">
        <v>3.41</v>
      </c>
      <c r="D284">
        <v>4.05</v>
      </c>
      <c r="E284">
        <v>3.85</v>
      </c>
      <c r="F284">
        <v>4.2300000000000004</v>
      </c>
      <c r="G284">
        <v>4.6399999999999997</v>
      </c>
      <c r="H284">
        <v>4.26</v>
      </c>
      <c r="I284">
        <v>4.1900000000000004</v>
      </c>
      <c r="J284">
        <v>4.21</v>
      </c>
      <c r="K284">
        <v>3.7</v>
      </c>
      <c r="L284">
        <v>4.2699999999999996</v>
      </c>
      <c r="M284">
        <f t="shared" si="12"/>
        <v>4.0359999999999996</v>
      </c>
      <c r="N284">
        <f t="shared" si="13"/>
        <v>4.04</v>
      </c>
      <c r="O284">
        <f t="shared" si="14"/>
        <v>4.1259999999999994</v>
      </c>
    </row>
    <row r="285" spans="1:15" ht="15" customHeight="1" x14ac:dyDescent="0.3">
      <c r="A285" t="s">
        <v>590</v>
      </c>
      <c r="B285" t="s">
        <v>2281</v>
      </c>
      <c r="C285">
        <v>3.84</v>
      </c>
      <c r="D285">
        <v>4.51</v>
      </c>
      <c r="E285">
        <v>4.12</v>
      </c>
      <c r="F285">
        <v>3.69</v>
      </c>
      <c r="G285">
        <v>3.91</v>
      </c>
      <c r="H285">
        <v>3.9</v>
      </c>
      <c r="I285">
        <v>4.03</v>
      </c>
      <c r="J285">
        <v>4.03</v>
      </c>
      <c r="K285">
        <v>3.97</v>
      </c>
      <c r="L285">
        <v>4.59</v>
      </c>
      <c r="M285">
        <f t="shared" si="12"/>
        <v>4.0140000000000002</v>
      </c>
      <c r="N285">
        <f t="shared" si="13"/>
        <v>4.01</v>
      </c>
      <c r="O285">
        <f t="shared" si="14"/>
        <v>4.104000000000001</v>
      </c>
    </row>
    <row r="286" spans="1:15" ht="15" customHeight="1" x14ac:dyDescent="0.3">
      <c r="A286" t="s">
        <v>592</v>
      </c>
      <c r="B286" t="s">
        <v>2282</v>
      </c>
      <c r="C286">
        <v>3.51</v>
      </c>
      <c r="D286">
        <v>4.09</v>
      </c>
      <c r="E286">
        <v>4.43</v>
      </c>
      <c r="F286">
        <v>4.28</v>
      </c>
      <c r="G286">
        <v>3.83</v>
      </c>
      <c r="H286">
        <v>3.81</v>
      </c>
      <c r="I286">
        <v>4.3600000000000003</v>
      </c>
      <c r="J286">
        <v>3.98</v>
      </c>
      <c r="K286">
        <v>4.26</v>
      </c>
      <c r="L286">
        <v>4.0999999999999996</v>
      </c>
      <c r="M286">
        <f t="shared" si="12"/>
        <v>4.0280000000000005</v>
      </c>
      <c r="N286">
        <f t="shared" si="13"/>
        <v>4.03</v>
      </c>
      <c r="O286">
        <f t="shared" si="14"/>
        <v>4.1019999999999994</v>
      </c>
    </row>
    <row r="287" spans="1:15" ht="15" customHeight="1" x14ac:dyDescent="0.3">
      <c r="A287" t="s">
        <v>594</v>
      </c>
      <c r="B287" t="s">
        <v>2283</v>
      </c>
      <c r="C287">
        <v>4.47</v>
      </c>
      <c r="D287">
        <v>3.71</v>
      </c>
      <c r="E287">
        <v>3.99</v>
      </c>
      <c r="F287">
        <v>4.04</v>
      </c>
      <c r="G287">
        <v>4.57</v>
      </c>
      <c r="H287">
        <v>4.0599999999999996</v>
      </c>
      <c r="I287" t="s">
        <v>211</v>
      </c>
      <c r="J287">
        <v>4.7</v>
      </c>
      <c r="K287">
        <v>3.99</v>
      </c>
      <c r="L287">
        <v>4.1900000000000004</v>
      </c>
      <c r="M287">
        <f t="shared" si="12"/>
        <v>4.1560000000000006</v>
      </c>
      <c r="N287">
        <f t="shared" si="13"/>
        <v>4.16</v>
      </c>
      <c r="O287">
        <f t="shared" si="14"/>
        <v>4.2350000000000003</v>
      </c>
    </row>
    <row r="288" spans="1:15" ht="15" customHeight="1" x14ac:dyDescent="0.3">
      <c r="A288" t="s">
        <v>596</v>
      </c>
      <c r="B288" t="s">
        <v>2284</v>
      </c>
      <c r="C288">
        <v>4.3499999999999996</v>
      </c>
      <c r="D288">
        <v>4.57</v>
      </c>
      <c r="E288">
        <v>3.97</v>
      </c>
      <c r="F288">
        <v>4.3</v>
      </c>
      <c r="G288">
        <v>3.99</v>
      </c>
      <c r="H288">
        <v>3.62</v>
      </c>
      <c r="I288">
        <v>3.7</v>
      </c>
      <c r="J288">
        <v>4.62</v>
      </c>
      <c r="K288">
        <v>4.34</v>
      </c>
      <c r="L288">
        <v>4.04</v>
      </c>
      <c r="M288">
        <f t="shared" si="12"/>
        <v>4.2359999999999998</v>
      </c>
      <c r="N288">
        <f t="shared" si="13"/>
        <v>4.24</v>
      </c>
      <c r="O288">
        <f t="shared" si="14"/>
        <v>4.0640000000000001</v>
      </c>
    </row>
    <row r="289" spans="1:15" ht="15" customHeight="1" x14ac:dyDescent="0.3">
      <c r="A289" t="s">
        <v>598</v>
      </c>
      <c r="B289" t="s">
        <v>599</v>
      </c>
      <c r="C289">
        <v>4.05</v>
      </c>
      <c r="D289">
        <v>3.86</v>
      </c>
      <c r="E289">
        <v>4.54</v>
      </c>
      <c r="F289">
        <v>3.73</v>
      </c>
      <c r="G289">
        <v>4.28</v>
      </c>
      <c r="H289">
        <v>4.08</v>
      </c>
      <c r="I289">
        <v>4.2699999999999996</v>
      </c>
      <c r="J289">
        <v>4.03</v>
      </c>
      <c r="K289">
        <v>4.43</v>
      </c>
      <c r="L289">
        <v>4.0999999999999996</v>
      </c>
      <c r="M289">
        <f t="shared" si="12"/>
        <v>4.0920000000000005</v>
      </c>
      <c r="N289">
        <f t="shared" si="13"/>
        <v>4.09</v>
      </c>
      <c r="O289">
        <f t="shared" si="14"/>
        <v>4.1819999999999995</v>
      </c>
    </row>
    <row r="290" spans="1:15" ht="15" customHeight="1" x14ac:dyDescent="0.3">
      <c r="A290" t="s">
        <v>600</v>
      </c>
      <c r="B290" t="s">
        <v>2285</v>
      </c>
      <c r="C290" t="s">
        <v>211</v>
      </c>
      <c r="D290">
        <v>3.5</v>
      </c>
      <c r="E290">
        <v>3.73</v>
      </c>
      <c r="F290">
        <v>4.37</v>
      </c>
      <c r="G290">
        <v>4.1100000000000003</v>
      </c>
      <c r="H290">
        <v>3.61</v>
      </c>
      <c r="I290">
        <v>3.97</v>
      </c>
      <c r="J290">
        <v>3.99</v>
      </c>
      <c r="K290">
        <v>4.5199999999999996</v>
      </c>
      <c r="L290">
        <v>4.43</v>
      </c>
      <c r="M290">
        <f t="shared" si="12"/>
        <v>3.9275000000000002</v>
      </c>
      <c r="N290">
        <f t="shared" si="13"/>
        <v>3.93</v>
      </c>
      <c r="O290">
        <f t="shared" si="14"/>
        <v>4.1040000000000001</v>
      </c>
    </row>
    <row r="291" spans="1:15" ht="15" customHeight="1" x14ac:dyDescent="0.3">
      <c r="A291" t="s">
        <v>602</v>
      </c>
      <c r="B291" t="s">
        <v>2286</v>
      </c>
      <c r="C291">
        <v>3.78</v>
      </c>
      <c r="D291">
        <v>4.21</v>
      </c>
      <c r="E291">
        <v>3.7</v>
      </c>
      <c r="F291">
        <v>3.94</v>
      </c>
      <c r="G291">
        <v>4.33</v>
      </c>
      <c r="H291">
        <v>4.45</v>
      </c>
      <c r="I291">
        <v>3.86</v>
      </c>
      <c r="J291">
        <v>3.85</v>
      </c>
      <c r="K291">
        <v>3.8</v>
      </c>
      <c r="L291">
        <v>3.65</v>
      </c>
      <c r="M291">
        <f t="shared" si="12"/>
        <v>3.992</v>
      </c>
      <c r="N291">
        <f t="shared" si="13"/>
        <v>3.99</v>
      </c>
      <c r="O291">
        <f t="shared" si="14"/>
        <v>3.9219999999999997</v>
      </c>
    </row>
    <row r="292" spans="1:15" ht="15" customHeight="1" x14ac:dyDescent="0.3">
      <c r="A292" t="s">
        <v>604</v>
      </c>
      <c r="B292" t="s">
        <v>605</v>
      </c>
      <c r="C292">
        <v>3.45</v>
      </c>
      <c r="D292">
        <v>4.38</v>
      </c>
      <c r="E292">
        <v>3.61</v>
      </c>
      <c r="F292">
        <v>4.0199999999999996</v>
      </c>
      <c r="G292">
        <v>3.94</v>
      </c>
      <c r="H292">
        <v>4.5999999999999996</v>
      </c>
      <c r="I292">
        <v>3.61</v>
      </c>
      <c r="J292">
        <v>4.0599999999999996</v>
      </c>
      <c r="K292">
        <v>4.16</v>
      </c>
      <c r="L292">
        <v>3.46</v>
      </c>
      <c r="M292">
        <f t="shared" si="12"/>
        <v>3.88</v>
      </c>
      <c r="N292">
        <f t="shared" si="13"/>
        <v>3.88</v>
      </c>
      <c r="O292">
        <f t="shared" si="14"/>
        <v>3.9780000000000002</v>
      </c>
    </row>
    <row r="293" spans="1:15" ht="15" customHeight="1" x14ac:dyDescent="0.3">
      <c r="A293" t="s">
        <v>606</v>
      </c>
      <c r="B293" t="s">
        <v>2287</v>
      </c>
      <c r="C293">
        <v>3.97</v>
      </c>
      <c r="D293">
        <v>3.79</v>
      </c>
      <c r="E293">
        <v>4.41</v>
      </c>
      <c r="F293">
        <v>4.1399999999999997</v>
      </c>
      <c r="G293">
        <v>4.25</v>
      </c>
      <c r="H293">
        <v>4.7699999999999996</v>
      </c>
      <c r="I293" t="s">
        <v>211</v>
      </c>
      <c r="J293">
        <v>4.07</v>
      </c>
      <c r="K293">
        <v>3.72</v>
      </c>
      <c r="L293">
        <v>3.44</v>
      </c>
      <c r="M293">
        <f t="shared" si="12"/>
        <v>4.1120000000000001</v>
      </c>
      <c r="N293">
        <f t="shared" si="13"/>
        <v>4.1100000000000003</v>
      </c>
      <c r="O293">
        <f t="shared" si="14"/>
        <v>4</v>
      </c>
    </row>
    <row r="294" spans="1:15" ht="15" customHeight="1" x14ac:dyDescent="0.3">
      <c r="A294" t="s">
        <v>608</v>
      </c>
      <c r="B294" t="s">
        <v>609</v>
      </c>
      <c r="C294">
        <v>4.13</v>
      </c>
      <c r="D294">
        <v>4.16</v>
      </c>
      <c r="E294">
        <v>3.54</v>
      </c>
      <c r="F294">
        <v>4.01</v>
      </c>
      <c r="G294">
        <v>4.25</v>
      </c>
      <c r="H294">
        <v>4.2</v>
      </c>
      <c r="I294">
        <v>4.16</v>
      </c>
      <c r="J294">
        <v>5</v>
      </c>
      <c r="K294">
        <v>3.95</v>
      </c>
      <c r="L294">
        <v>4.3899999999999997</v>
      </c>
      <c r="M294">
        <f t="shared" si="12"/>
        <v>4.0179999999999989</v>
      </c>
      <c r="N294">
        <f t="shared" si="13"/>
        <v>4.0199999999999996</v>
      </c>
      <c r="O294">
        <f t="shared" si="14"/>
        <v>4.34</v>
      </c>
    </row>
    <row r="295" spans="1:15" ht="15" customHeight="1" x14ac:dyDescent="0.3">
      <c r="A295" t="s">
        <v>610</v>
      </c>
      <c r="B295" t="s">
        <v>611</v>
      </c>
      <c r="C295">
        <v>4.49</v>
      </c>
      <c r="D295">
        <v>3.61</v>
      </c>
      <c r="E295">
        <v>3.74</v>
      </c>
      <c r="F295">
        <v>4.42</v>
      </c>
      <c r="G295">
        <v>3.91</v>
      </c>
      <c r="H295">
        <v>4.12</v>
      </c>
      <c r="I295">
        <v>4.45</v>
      </c>
      <c r="J295">
        <v>3.51</v>
      </c>
      <c r="K295">
        <v>4.22</v>
      </c>
      <c r="L295">
        <v>4.0599999999999996</v>
      </c>
      <c r="M295">
        <f t="shared" si="12"/>
        <v>4.0339999999999998</v>
      </c>
      <c r="N295">
        <f t="shared" si="13"/>
        <v>4.03</v>
      </c>
      <c r="O295">
        <f t="shared" si="14"/>
        <v>4.0720000000000001</v>
      </c>
    </row>
    <row r="296" spans="1:15" ht="15" customHeight="1" x14ac:dyDescent="0.3">
      <c r="A296" t="s">
        <v>612</v>
      </c>
      <c r="B296" t="s">
        <v>2288</v>
      </c>
      <c r="C296">
        <v>3.84</v>
      </c>
      <c r="D296">
        <v>4.32</v>
      </c>
      <c r="E296">
        <v>3.58</v>
      </c>
      <c r="F296">
        <v>3.59</v>
      </c>
      <c r="G296">
        <v>4.54</v>
      </c>
      <c r="H296">
        <v>4.37</v>
      </c>
      <c r="I296">
        <v>4.18</v>
      </c>
      <c r="J296">
        <v>4.3499999999999996</v>
      </c>
      <c r="K296">
        <v>4.3</v>
      </c>
      <c r="L296" t="s">
        <v>211</v>
      </c>
      <c r="M296">
        <f t="shared" si="12"/>
        <v>3.9740000000000002</v>
      </c>
      <c r="N296">
        <f t="shared" si="13"/>
        <v>3.97</v>
      </c>
      <c r="O296">
        <f t="shared" si="14"/>
        <v>4.3</v>
      </c>
    </row>
    <row r="297" spans="1:15" ht="15" customHeight="1" x14ac:dyDescent="0.3">
      <c r="A297" t="s">
        <v>614</v>
      </c>
      <c r="B297" t="s">
        <v>2289</v>
      </c>
      <c r="C297">
        <v>4.1900000000000004</v>
      </c>
      <c r="D297">
        <v>3.61</v>
      </c>
      <c r="E297">
        <v>4.0999999999999996</v>
      </c>
      <c r="F297">
        <v>3.9</v>
      </c>
      <c r="G297">
        <v>4.01</v>
      </c>
      <c r="H297">
        <v>3.95</v>
      </c>
      <c r="I297">
        <v>4.2300000000000004</v>
      </c>
      <c r="J297">
        <v>3.98</v>
      </c>
      <c r="K297">
        <v>3.68</v>
      </c>
      <c r="L297">
        <v>4.2699999999999996</v>
      </c>
      <c r="M297">
        <f t="shared" si="12"/>
        <v>3.9620000000000006</v>
      </c>
      <c r="N297">
        <f t="shared" si="13"/>
        <v>3.96</v>
      </c>
      <c r="O297">
        <f t="shared" si="14"/>
        <v>4.0220000000000002</v>
      </c>
    </row>
    <row r="298" spans="1:15" ht="15" customHeight="1" x14ac:dyDescent="0.3">
      <c r="A298" t="s">
        <v>616</v>
      </c>
      <c r="B298" t="s">
        <v>2290</v>
      </c>
      <c r="C298">
        <v>4.18</v>
      </c>
      <c r="D298">
        <v>4.33</v>
      </c>
      <c r="E298">
        <v>4</v>
      </c>
      <c r="F298">
        <v>4.1100000000000003</v>
      </c>
      <c r="G298">
        <v>3.81</v>
      </c>
      <c r="H298">
        <v>3.49</v>
      </c>
      <c r="I298" t="s">
        <v>211</v>
      </c>
      <c r="J298" t="s">
        <v>211</v>
      </c>
      <c r="K298">
        <v>4.1900000000000004</v>
      </c>
      <c r="L298">
        <v>3.97</v>
      </c>
      <c r="M298">
        <f t="shared" si="12"/>
        <v>4.0860000000000003</v>
      </c>
      <c r="N298">
        <f t="shared" si="13"/>
        <v>4.09</v>
      </c>
      <c r="O298">
        <f t="shared" si="14"/>
        <v>3.8833333333333333</v>
      </c>
    </row>
    <row r="299" spans="1:15" ht="15" customHeight="1" x14ac:dyDescent="0.3">
      <c r="A299" t="s">
        <v>618</v>
      </c>
      <c r="B299" t="s">
        <v>619</v>
      </c>
      <c r="C299">
        <v>4.29</v>
      </c>
      <c r="D299">
        <v>4.12</v>
      </c>
      <c r="E299">
        <v>3.85</v>
      </c>
      <c r="F299">
        <v>4.51</v>
      </c>
      <c r="G299">
        <v>3.81</v>
      </c>
      <c r="H299">
        <v>3.56</v>
      </c>
      <c r="I299">
        <v>3.68</v>
      </c>
      <c r="J299">
        <v>3.86</v>
      </c>
      <c r="K299">
        <v>4.5199999999999996</v>
      </c>
      <c r="L299">
        <v>3.98</v>
      </c>
      <c r="M299">
        <f t="shared" si="12"/>
        <v>4.1159999999999997</v>
      </c>
      <c r="N299">
        <f t="shared" si="13"/>
        <v>4.12</v>
      </c>
      <c r="O299">
        <f t="shared" si="14"/>
        <v>3.9199999999999995</v>
      </c>
    </row>
    <row r="300" spans="1:15" ht="15" customHeight="1" x14ac:dyDescent="0.3">
      <c r="A300" t="s">
        <v>620</v>
      </c>
      <c r="B300" t="s">
        <v>2291</v>
      </c>
      <c r="C300">
        <v>3.56</v>
      </c>
      <c r="D300">
        <v>3.98</v>
      </c>
      <c r="E300">
        <v>4.4400000000000004</v>
      </c>
      <c r="F300">
        <v>4.32</v>
      </c>
      <c r="G300">
        <v>4.05</v>
      </c>
      <c r="H300">
        <v>4.34</v>
      </c>
      <c r="I300">
        <v>3.91</v>
      </c>
      <c r="J300">
        <v>3.77</v>
      </c>
      <c r="K300">
        <v>4.2699999999999996</v>
      </c>
      <c r="L300">
        <v>3.7</v>
      </c>
      <c r="M300">
        <f t="shared" si="12"/>
        <v>4.07</v>
      </c>
      <c r="N300">
        <f t="shared" si="13"/>
        <v>4.07</v>
      </c>
      <c r="O300">
        <f t="shared" si="14"/>
        <v>3.9979999999999998</v>
      </c>
    </row>
    <row r="301" spans="1:15" ht="15" customHeight="1" x14ac:dyDescent="0.3">
      <c r="A301" t="s">
        <v>622</v>
      </c>
      <c r="B301" t="s">
        <v>2292</v>
      </c>
      <c r="C301">
        <v>4.79</v>
      </c>
      <c r="D301">
        <v>4.0999999999999996</v>
      </c>
      <c r="E301">
        <v>3.69</v>
      </c>
      <c r="F301">
        <v>4.04</v>
      </c>
      <c r="G301">
        <v>3.86</v>
      </c>
      <c r="H301">
        <v>4.0599999999999996</v>
      </c>
      <c r="I301">
        <v>4.05</v>
      </c>
      <c r="J301">
        <v>3.77</v>
      </c>
      <c r="K301">
        <v>3.92</v>
      </c>
      <c r="L301">
        <v>4.28</v>
      </c>
      <c r="M301">
        <f t="shared" si="12"/>
        <v>4.0960000000000001</v>
      </c>
      <c r="N301">
        <f t="shared" si="13"/>
        <v>4.0999999999999996</v>
      </c>
      <c r="O301">
        <f t="shared" si="14"/>
        <v>4.016</v>
      </c>
    </row>
    <row r="302" spans="1:15" ht="15" customHeight="1" x14ac:dyDescent="0.3">
      <c r="A302" t="s">
        <v>624</v>
      </c>
      <c r="B302" t="s">
        <v>2293</v>
      </c>
      <c r="C302">
        <v>3.75</v>
      </c>
      <c r="D302">
        <v>3.95</v>
      </c>
      <c r="E302">
        <v>4.0999999999999996</v>
      </c>
      <c r="F302">
        <v>3.93</v>
      </c>
      <c r="G302">
        <v>3.66</v>
      </c>
      <c r="H302">
        <v>4.1900000000000004</v>
      </c>
      <c r="I302">
        <v>4.37</v>
      </c>
      <c r="J302">
        <v>4.25</v>
      </c>
      <c r="K302">
        <v>3.69</v>
      </c>
      <c r="L302">
        <v>4.87</v>
      </c>
      <c r="M302">
        <f t="shared" si="12"/>
        <v>3.8780000000000001</v>
      </c>
      <c r="N302">
        <f t="shared" si="13"/>
        <v>3.88</v>
      </c>
      <c r="O302">
        <f t="shared" si="14"/>
        <v>4.274</v>
      </c>
    </row>
    <row r="303" spans="1:15" ht="15" customHeight="1" x14ac:dyDescent="0.3">
      <c r="A303" t="s">
        <v>626</v>
      </c>
      <c r="B303" t="s">
        <v>627</v>
      </c>
      <c r="C303">
        <v>3.98</v>
      </c>
      <c r="D303">
        <v>4.0999999999999996</v>
      </c>
      <c r="E303">
        <v>3.48</v>
      </c>
      <c r="F303">
        <v>3.87</v>
      </c>
      <c r="G303">
        <v>4.26</v>
      </c>
      <c r="H303">
        <v>3.26</v>
      </c>
      <c r="I303">
        <v>3.61</v>
      </c>
      <c r="J303">
        <v>3.54</v>
      </c>
      <c r="K303">
        <v>3.62</v>
      </c>
      <c r="L303">
        <v>3.87</v>
      </c>
      <c r="M303">
        <f t="shared" si="12"/>
        <v>3.9379999999999997</v>
      </c>
      <c r="N303">
        <f t="shared" si="13"/>
        <v>3.94</v>
      </c>
      <c r="O303">
        <f t="shared" si="14"/>
        <v>3.5800000000000005</v>
      </c>
    </row>
    <row r="304" spans="1:15" ht="15" customHeight="1" x14ac:dyDescent="0.3">
      <c r="A304" t="s">
        <v>628</v>
      </c>
      <c r="B304" t="s">
        <v>2294</v>
      </c>
      <c r="C304">
        <v>3.98</v>
      </c>
      <c r="D304">
        <v>4.13</v>
      </c>
      <c r="E304">
        <v>4.1100000000000003</v>
      </c>
      <c r="F304">
        <v>4.4000000000000004</v>
      </c>
      <c r="G304">
        <v>3.64</v>
      </c>
      <c r="H304">
        <v>3.89</v>
      </c>
      <c r="I304">
        <v>3.59</v>
      </c>
      <c r="J304">
        <v>4.13</v>
      </c>
      <c r="K304" t="s">
        <v>211</v>
      </c>
      <c r="L304">
        <v>3.9</v>
      </c>
      <c r="M304">
        <f t="shared" si="12"/>
        <v>4.0519999999999996</v>
      </c>
      <c r="N304">
        <f t="shared" si="13"/>
        <v>4.05</v>
      </c>
      <c r="O304">
        <f t="shared" si="14"/>
        <v>3.8774999999999999</v>
      </c>
    </row>
    <row r="305" spans="1:15" ht="15" customHeight="1" x14ac:dyDescent="0.3">
      <c r="A305" t="s">
        <v>630</v>
      </c>
      <c r="B305" t="s">
        <v>2295</v>
      </c>
      <c r="C305">
        <v>3.72</v>
      </c>
      <c r="D305">
        <v>4.5599999999999996</v>
      </c>
      <c r="E305">
        <v>4.3099999999999996</v>
      </c>
      <c r="F305">
        <v>3.99</v>
      </c>
      <c r="G305">
        <v>3.56</v>
      </c>
      <c r="H305">
        <v>3.98</v>
      </c>
      <c r="I305">
        <v>4.2300000000000004</v>
      </c>
      <c r="J305">
        <v>4.0999999999999996</v>
      </c>
      <c r="K305">
        <v>4.37</v>
      </c>
      <c r="L305">
        <v>4.4400000000000004</v>
      </c>
      <c r="M305">
        <f t="shared" si="12"/>
        <v>4.0279999999999996</v>
      </c>
      <c r="N305">
        <f t="shared" si="13"/>
        <v>4.03</v>
      </c>
      <c r="O305">
        <f t="shared" si="14"/>
        <v>4.2240000000000002</v>
      </c>
    </row>
    <row r="306" spans="1:15" ht="15" customHeight="1" x14ac:dyDescent="0.3">
      <c r="A306" t="s">
        <v>632</v>
      </c>
      <c r="B306" t="s">
        <v>633</v>
      </c>
      <c r="C306">
        <v>4.04</v>
      </c>
      <c r="D306">
        <v>4.26</v>
      </c>
      <c r="E306">
        <v>4.5</v>
      </c>
      <c r="F306">
        <v>4.4800000000000004</v>
      </c>
      <c r="G306">
        <v>4.18</v>
      </c>
      <c r="H306">
        <v>4.63</v>
      </c>
      <c r="I306">
        <v>4.16</v>
      </c>
      <c r="J306">
        <v>4.32</v>
      </c>
      <c r="K306">
        <v>4.05</v>
      </c>
      <c r="L306">
        <v>3.95</v>
      </c>
      <c r="M306">
        <f t="shared" si="12"/>
        <v>4.2919999999999998</v>
      </c>
      <c r="N306">
        <f t="shared" si="13"/>
        <v>4.29</v>
      </c>
      <c r="O306">
        <f t="shared" si="14"/>
        <v>4.2219999999999995</v>
      </c>
    </row>
    <row r="307" spans="1:15" ht="15" customHeight="1" x14ac:dyDescent="0.3">
      <c r="A307" t="s">
        <v>634</v>
      </c>
      <c r="B307" t="s">
        <v>635</v>
      </c>
      <c r="C307">
        <v>4.0999999999999996</v>
      </c>
      <c r="D307" t="s">
        <v>211</v>
      </c>
      <c r="E307">
        <v>3.61</v>
      </c>
      <c r="F307">
        <v>3.38</v>
      </c>
      <c r="G307">
        <v>4.3</v>
      </c>
      <c r="H307">
        <v>4.33</v>
      </c>
      <c r="I307">
        <v>3.95</v>
      </c>
      <c r="J307">
        <v>4.03</v>
      </c>
      <c r="K307">
        <v>4.6100000000000003</v>
      </c>
      <c r="L307">
        <v>3.81</v>
      </c>
      <c r="M307">
        <f t="shared" si="12"/>
        <v>3.8475000000000001</v>
      </c>
      <c r="N307">
        <f t="shared" si="13"/>
        <v>3.85</v>
      </c>
      <c r="O307">
        <f t="shared" si="14"/>
        <v>4.1459999999999999</v>
      </c>
    </row>
    <row r="308" spans="1:15" ht="15" customHeight="1" x14ac:dyDescent="0.3">
      <c r="A308" t="s">
        <v>636</v>
      </c>
      <c r="B308" t="s">
        <v>2296</v>
      </c>
      <c r="C308">
        <v>4.1900000000000004</v>
      </c>
      <c r="D308">
        <v>3.36</v>
      </c>
      <c r="E308">
        <v>3.98</v>
      </c>
      <c r="F308">
        <v>3.87</v>
      </c>
      <c r="G308">
        <v>4.1100000000000003</v>
      </c>
      <c r="H308">
        <v>3.91</v>
      </c>
      <c r="I308">
        <v>3.81</v>
      </c>
      <c r="J308">
        <v>3.68</v>
      </c>
      <c r="K308">
        <v>3.76</v>
      </c>
      <c r="L308">
        <v>4.6399999999999997</v>
      </c>
      <c r="M308">
        <f t="shared" si="12"/>
        <v>3.9020000000000001</v>
      </c>
      <c r="N308">
        <f t="shared" si="13"/>
        <v>3.9</v>
      </c>
      <c r="O308">
        <f t="shared" si="14"/>
        <v>3.96</v>
      </c>
    </row>
    <row r="309" spans="1:15" ht="15" customHeight="1" x14ac:dyDescent="0.3">
      <c r="A309" t="s">
        <v>638</v>
      </c>
      <c r="B309" t="s">
        <v>2297</v>
      </c>
      <c r="C309">
        <v>3.93</v>
      </c>
      <c r="D309">
        <v>4.8600000000000003</v>
      </c>
      <c r="E309">
        <v>4.4000000000000004</v>
      </c>
      <c r="F309">
        <v>3.99</v>
      </c>
      <c r="G309">
        <v>4.2699999999999996</v>
      </c>
      <c r="H309">
        <v>4.3</v>
      </c>
      <c r="I309">
        <v>3.89</v>
      </c>
      <c r="J309">
        <v>3.54</v>
      </c>
      <c r="K309" t="s">
        <v>211</v>
      </c>
      <c r="L309">
        <v>4.5199999999999996</v>
      </c>
      <c r="M309">
        <f t="shared" si="12"/>
        <v>4.29</v>
      </c>
      <c r="N309">
        <f t="shared" si="13"/>
        <v>4.29</v>
      </c>
      <c r="O309">
        <f t="shared" si="14"/>
        <v>4.0625</v>
      </c>
    </row>
    <row r="310" spans="1:15" ht="15" customHeight="1" x14ac:dyDescent="0.3">
      <c r="A310" t="s">
        <v>640</v>
      </c>
      <c r="B310" t="s">
        <v>641</v>
      </c>
      <c r="C310">
        <v>4.1900000000000004</v>
      </c>
      <c r="D310">
        <v>4.4800000000000004</v>
      </c>
      <c r="E310">
        <v>3.98</v>
      </c>
      <c r="F310">
        <v>4.34</v>
      </c>
      <c r="G310">
        <v>3.63</v>
      </c>
      <c r="H310">
        <v>3.25</v>
      </c>
      <c r="I310">
        <v>3.58</v>
      </c>
      <c r="J310">
        <v>3.4</v>
      </c>
      <c r="K310">
        <v>3.56</v>
      </c>
      <c r="L310">
        <v>4.04</v>
      </c>
      <c r="M310">
        <f t="shared" si="12"/>
        <v>4.1240000000000006</v>
      </c>
      <c r="N310">
        <f t="shared" si="13"/>
        <v>4.12</v>
      </c>
      <c r="O310">
        <f t="shared" si="14"/>
        <v>3.5660000000000003</v>
      </c>
    </row>
    <row r="311" spans="1:15" ht="15" customHeight="1" x14ac:dyDescent="0.3">
      <c r="A311" t="s">
        <v>642</v>
      </c>
      <c r="B311" t="s">
        <v>2298</v>
      </c>
      <c r="C311">
        <v>4.08</v>
      </c>
      <c r="D311">
        <v>3.64</v>
      </c>
      <c r="E311">
        <v>3.39</v>
      </c>
      <c r="F311">
        <v>3.67</v>
      </c>
      <c r="G311">
        <v>3.93</v>
      </c>
      <c r="H311">
        <v>3.59</v>
      </c>
      <c r="I311">
        <v>4.3600000000000003</v>
      </c>
      <c r="J311">
        <v>3.81</v>
      </c>
      <c r="K311">
        <v>4.29</v>
      </c>
      <c r="L311">
        <v>3.82</v>
      </c>
      <c r="M311">
        <f t="shared" si="12"/>
        <v>3.742</v>
      </c>
      <c r="N311">
        <f t="shared" si="13"/>
        <v>3.74</v>
      </c>
      <c r="O311">
        <f t="shared" si="14"/>
        <v>3.9740000000000002</v>
      </c>
    </row>
    <row r="312" spans="1:15" ht="15" customHeight="1" x14ac:dyDescent="0.3">
      <c r="A312" t="s">
        <v>644</v>
      </c>
      <c r="B312" t="s">
        <v>645</v>
      </c>
      <c r="C312">
        <v>4.3</v>
      </c>
      <c r="D312">
        <v>4.24</v>
      </c>
      <c r="E312">
        <v>4.1500000000000004</v>
      </c>
      <c r="F312">
        <v>4.09</v>
      </c>
      <c r="G312">
        <v>3.99</v>
      </c>
      <c r="H312">
        <v>4.6100000000000003</v>
      </c>
      <c r="I312">
        <v>4.53</v>
      </c>
      <c r="J312">
        <v>4</v>
      </c>
      <c r="K312">
        <v>4.12</v>
      </c>
      <c r="L312">
        <v>4.1399999999999997</v>
      </c>
      <c r="M312">
        <f t="shared" si="12"/>
        <v>4.1540000000000008</v>
      </c>
      <c r="N312">
        <f t="shared" si="13"/>
        <v>4.1500000000000004</v>
      </c>
      <c r="O312">
        <f t="shared" si="14"/>
        <v>4.28</v>
      </c>
    </row>
    <row r="313" spans="1:15" ht="15" customHeight="1" x14ac:dyDescent="0.3">
      <c r="A313" t="s">
        <v>646</v>
      </c>
      <c r="B313" t="s">
        <v>2299</v>
      </c>
      <c r="C313">
        <v>4.05</v>
      </c>
      <c r="D313">
        <v>3.97</v>
      </c>
      <c r="E313">
        <v>4.1100000000000003</v>
      </c>
      <c r="F313">
        <v>3.91</v>
      </c>
      <c r="G313">
        <v>4.4000000000000004</v>
      </c>
      <c r="H313">
        <v>3.66</v>
      </c>
      <c r="I313">
        <v>4.4000000000000004</v>
      </c>
      <c r="J313">
        <v>3.65</v>
      </c>
      <c r="K313">
        <v>3.83</v>
      </c>
      <c r="L313">
        <v>3.96</v>
      </c>
      <c r="M313">
        <f t="shared" si="12"/>
        <v>4.0879999999999992</v>
      </c>
      <c r="N313">
        <f t="shared" si="13"/>
        <v>4.09</v>
      </c>
      <c r="O313">
        <f t="shared" si="14"/>
        <v>3.9</v>
      </c>
    </row>
    <row r="314" spans="1:15" ht="15" customHeight="1" x14ac:dyDescent="0.3">
      <c r="A314" t="s">
        <v>648</v>
      </c>
      <c r="B314" t="s">
        <v>649</v>
      </c>
      <c r="C314">
        <v>4.33</v>
      </c>
      <c r="D314">
        <v>3.91</v>
      </c>
      <c r="E314">
        <v>4.8899999999999997</v>
      </c>
      <c r="F314">
        <v>3.82</v>
      </c>
      <c r="G314">
        <v>3.89</v>
      </c>
      <c r="H314">
        <v>4.42</v>
      </c>
      <c r="I314">
        <v>4.29</v>
      </c>
      <c r="J314">
        <v>4.07</v>
      </c>
      <c r="K314">
        <v>3.64</v>
      </c>
      <c r="L314">
        <v>3.67</v>
      </c>
      <c r="M314">
        <f t="shared" si="12"/>
        <v>4.1680000000000001</v>
      </c>
      <c r="N314">
        <f t="shared" si="13"/>
        <v>4.17</v>
      </c>
      <c r="O314">
        <f t="shared" si="14"/>
        <v>4.0180000000000007</v>
      </c>
    </row>
    <row r="315" spans="1:15" ht="15" customHeight="1" x14ac:dyDescent="0.3">
      <c r="A315" t="s">
        <v>650</v>
      </c>
      <c r="B315" t="s">
        <v>2300</v>
      </c>
      <c r="C315">
        <v>4.47</v>
      </c>
      <c r="D315">
        <v>3.79</v>
      </c>
      <c r="E315">
        <v>3.73</v>
      </c>
      <c r="F315">
        <v>3.62</v>
      </c>
      <c r="G315">
        <v>3.63</v>
      </c>
      <c r="H315">
        <v>3.92</v>
      </c>
      <c r="I315">
        <v>4.1900000000000004</v>
      </c>
      <c r="J315">
        <v>3.24</v>
      </c>
      <c r="K315">
        <v>4</v>
      </c>
      <c r="L315">
        <v>4.24</v>
      </c>
      <c r="M315">
        <f t="shared" si="12"/>
        <v>3.8479999999999999</v>
      </c>
      <c r="N315">
        <f t="shared" si="13"/>
        <v>3.85</v>
      </c>
      <c r="O315">
        <f t="shared" si="14"/>
        <v>3.9180000000000001</v>
      </c>
    </row>
    <row r="316" spans="1:15" ht="15" customHeight="1" x14ac:dyDescent="0.3">
      <c r="A316" t="s">
        <v>652</v>
      </c>
      <c r="B316" t="s">
        <v>653</v>
      </c>
      <c r="C316">
        <v>4.5599999999999996</v>
      </c>
      <c r="D316">
        <v>3.93</v>
      </c>
      <c r="E316">
        <v>4.12</v>
      </c>
      <c r="F316">
        <v>4.1100000000000003</v>
      </c>
      <c r="G316">
        <v>4</v>
      </c>
      <c r="H316">
        <v>4.3</v>
      </c>
      <c r="I316">
        <v>4.38</v>
      </c>
      <c r="J316">
        <v>4.57</v>
      </c>
      <c r="K316">
        <v>4.41</v>
      </c>
      <c r="L316">
        <v>4.0599999999999996</v>
      </c>
      <c r="M316">
        <f t="shared" si="12"/>
        <v>4.1440000000000001</v>
      </c>
      <c r="N316">
        <f t="shared" si="13"/>
        <v>4.1399999999999997</v>
      </c>
      <c r="O316">
        <f t="shared" si="14"/>
        <v>4.3439999999999994</v>
      </c>
    </row>
    <row r="317" spans="1:15" ht="15" customHeight="1" x14ac:dyDescent="0.3">
      <c r="A317" t="s">
        <v>654</v>
      </c>
      <c r="B317" t="s">
        <v>2301</v>
      </c>
      <c r="C317">
        <v>4.21</v>
      </c>
      <c r="D317">
        <v>4.28</v>
      </c>
      <c r="E317">
        <v>4.76</v>
      </c>
      <c r="F317">
        <v>4.28</v>
      </c>
      <c r="G317">
        <v>3.7</v>
      </c>
      <c r="H317">
        <v>3.74</v>
      </c>
      <c r="I317">
        <v>3.63</v>
      </c>
      <c r="J317">
        <v>4.07</v>
      </c>
      <c r="K317" t="s">
        <v>211</v>
      </c>
      <c r="L317">
        <v>4.49</v>
      </c>
      <c r="M317">
        <f t="shared" si="12"/>
        <v>4.2460000000000004</v>
      </c>
      <c r="N317">
        <f t="shared" si="13"/>
        <v>4.25</v>
      </c>
      <c r="O317">
        <f t="shared" si="14"/>
        <v>3.9825000000000004</v>
      </c>
    </row>
    <row r="318" spans="1:15" ht="15" customHeight="1" x14ac:dyDescent="0.3">
      <c r="A318" t="s">
        <v>656</v>
      </c>
      <c r="B318" t="s">
        <v>2302</v>
      </c>
      <c r="C318">
        <v>4.09</v>
      </c>
      <c r="D318">
        <v>4.25</v>
      </c>
      <c r="E318">
        <v>4.4000000000000004</v>
      </c>
      <c r="F318">
        <v>4.21</v>
      </c>
      <c r="G318">
        <v>3.71</v>
      </c>
      <c r="H318">
        <v>4.25</v>
      </c>
      <c r="I318">
        <v>4.24</v>
      </c>
      <c r="J318">
        <v>4.17</v>
      </c>
      <c r="K318">
        <v>4.12</v>
      </c>
      <c r="L318">
        <v>4.33</v>
      </c>
      <c r="M318">
        <f t="shared" si="12"/>
        <v>4.1319999999999997</v>
      </c>
      <c r="N318">
        <f t="shared" si="13"/>
        <v>4.13</v>
      </c>
      <c r="O318">
        <f t="shared" si="14"/>
        <v>4.2219999999999995</v>
      </c>
    </row>
    <row r="319" spans="1:15" ht="15" customHeight="1" x14ac:dyDescent="0.3">
      <c r="A319" t="s">
        <v>658</v>
      </c>
      <c r="B319" t="s">
        <v>659</v>
      </c>
      <c r="C319">
        <v>4.16</v>
      </c>
      <c r="D319">
        <v>4.57</v>
      </c>
      <c r="E319">
        <v>2.99</v>
      </c>
      <c r="F319">
        <v>3.84</v>
      </c>
      <c r="G319">
        <v>4.45</v>
      </c>
      <c r="H319">
        <v>3.24</v>
      </c>
      <c r="I319">
        <v>4.53</v>
      </c>
      <c r="J319">
        <v>4.08</v>
      </c>
      <c r="K319">
        <v>3.4</v>
      </c>
      <c r="L319">
        <v>4.28</v>
      </c>
      <c r="M319">
        <f t="shared" si="12"/>
        <v>4.0020000000000007</v>
      </c>
      <c r="N319">
        <f t="shared" si="13"/>
        <v>4</v>
      </c>
      <c r="O319">
        <f t="shared" si="14"/>
        <v>3.9060000000000001</v>
      </c>
    </row>
    <row r="320" spans="1:15" ht="15" customHeight="1" x14ac:dyDescent="0.3">
      <c r="A320" t="s">
        <v>660</v>
      </c>
      <c r="B320" t="s">
        <v>2303</v>
      </c>
      <c r="C320">
        <v>4.5199999999999996</v>
      </c>
      <c r="D320">
        <v>3.93</v>
      </c>
      <c r="E320">
        <v>3.74</v>
      </c>
      <c r="F320">
        <v>4.6900000000000004</v>
      </c>
      <c r="G320">
        <v>4.3499999999999996</v>
      </c>
      <c r="H320">
        <v>3.94</v>
      </c>
      <c r="I320">
        <v>3.8</v>
      </c>
      <c r="J320">
        <v>3.98</v>
      </c>
      <c r="K320">
        <v>4.55</v>
      </c>
      <c r="L320">
        <v>3.74</v>
      </c>
      <c r="M320">
        <f t="shared" si="12"/>
        <v>4.2459999999999996</v>
      </c>
      <c r="N320">
        <f t="shared" si="13"/>
        <v>4.25</v>
      </c>
      <c r="O320">
        <f t="shared" si="14"/>
        <v>4.0019999999999998</v>
      </c>
    </row>
    <row r="321" spans="1:15" ht="15" customHeight="1" x14ac:dyDescent="0.3">
      <c r="A321" t="s">
        <v>662</v>
      </c>
      <c r="B321" t="s">
        <v>2304</v>
      </c>
      <c r="C321">
        <v>4.16</v>
      </c>
      <c r="D321">
        <v>3.72</v>
      </c>
      <c r="E321">
        <v>4.71</v>
      </c>
      <c r="F321">
        <v>4.24</v>
      </c>
      <c r="G321">
        <v>4.1900000000000004</v>
      </c>
      <c r="H321">
        <v>4.41</v>
      </c>
      <c r="I321">
        <v>4.2300000000000004</v>
      </c>
      <c r="J321">
        <v>3.99</v>
      </c>
      <c r="K321">
        <v>4.43</v>
      </c>
      <c r="L321">
        <v>3.94</v>
      </c>
      <c r="M321">
        <f t="shared" si="12"/>
        <v>4.2039999999999997</v>
      </c>
      <c r="N321">
        <f t="shared" si="13"/>
        <v>4.2</v>
      </c>
      <c r="O321">
        <f t="shared" si="14"/>
        <v>4.2000000000000011</v>
      </c>
    </row>
    <row r="322" spans="1:15" ht="15" customHeight="1" x14ac:dyDescent="0.3">
      <c r="A322" t="s">
        <v>664</v>
      </c>
      <c r="B322" t="s">
        <v>2305</v>
      </c>
      <c r="C322">
        <v>4.16</v>
      </c>
      <c r="D322">
        <v>4.49</v>
      </c>
      <c r="E322">
        <v>4.16</v>
      </c>
      <c r="F322">
        <v>4.5199999999999996</v>
      </c>
      <c r="G322">
        <v>4.16</v>
      </c>
      <c r="H322">
        <v>3.86</v>
      </c>
      <c r="I322">
        <v>4.3600000000000003</v>
      </c>
      <c r="J322">
        <v>3.47</v>
      </c>
      <c r="K322">
        <v>4.03</v>
      </c>
      <c r="L322">
        <v>3.71</v>
      </c>
      <c r="M322">
        <f t="shared" ref="M322:M385" si="15">AVERAGE(C322:G322)</f>
        <v>4.298</v>
      </c>
      <c r="N322">
        <f t="shared" ref="N322:N385" si="16">ROUND(M322,2)</f>
        <v>4.3</v>
      </c>
      <c r="O322">
        <f t="shared" ref="O322:O385" si="17">AVERAGE(H322:L322)</f>
        <v>3.8860000000000006</v>
      </c>
    </row>
    <row r="323" spans="1:15" ht="15" customHeight="1" x14ac:dyDescent="0.3">
      <c r="A323" t="s">
        <v>666</v>
      </c>
      <c r="B323" t="s">
        <v>2306</v>
      </c>
      <c r="C323">
        <v>4.55</v>
      </c>
      <c r="D323">
        <v>4.13</v>
      </c>
      <c r="E323">
        <v>4.17</v>
      </c>
      <c r="F323">
        <v>4.08</v>
      </c>
      <c r="G323">
        <v>4.16</v>
      </c>
      <c r="H323">
        <v>4.2699999999999996</v>
      </c>
      <c r="I323">
        <v>4.59</v>
      </c>
      <c r="J323">
        <v>4.3</v>
      </c>
      <c r="K323">
        <v>4.33</v>
      </c>
      <c r="L323">
        <v>3.88</v>
      </c>
      <c r="M323">
        <f t="shared" si="15"/>
        <v>4.218</v>
      </c>
      <c r="N323">
        <f t="shared" si="16"/>
        <v>4.22</v>
      </c>
      <c r="O323">
        <f t="shared" si="17"/>
        <v>4.274</v>
      </c>
    </row>
    <row r="324" spans="1:15" ht="15" customHeight="1" x14ac:dyDescent="0.3">
      <c r="A324" t="s">
        <v>668</v>
      </c>
      <c r="B324" t="s">
        <v>2307</v>
      </c>
      <c r="C324">
        <v>4</v>
      </c>
      <c r="D324">
        <v>4.07</v>
      </c>
      <c r="E324">
        <v>3.87</v>
      </c>
      <c r="F324">
        <v>3.7</v>
      </c>
      <c r="G324">
        <v>3.77</v>
      </c>
      <c r="H324">
        <v>3.71</v>
      </c>
      <c r="I324">
        <v>4.07</v>
      </c>
      <c r="J324">
        <v>3.63</v>
      </c>
      <c r="K324">
        <v>4.01</v>
      </c>
      <c r="L324">
        <v>3.93</v>
      </c>
      <c r="M324">
        <f t="shared" si="15"/>
        <v>3.8820000000000001</v>
      </c>
      <c r="N324">
        <f t="shared" si="16"/>
        <v>3.88</v>
      </c>
      <c r="O324">
        <f t="shared" si="17"/>
        <v>3.87</v>
      </c>
    </row>
    <row r="325" spans="1:15" ht="15" customHeight="1" x14ac:dyDescent="0.3">
      <c r="A325" t="s">
        <v>670</v>
      </c>
      <c r="B325" t="s">
        <v>671</v>
      </c>
      <c r="C325">
        <v>3.93</v>
      </c>
      <c r="D325">
        <v>4.5199999999999996</v>
      </c>
      <c r="E325">
        <v>3.85</v>
      </c>
      <c r="F325">
        <v>3.89</v>
      </c>
      <c r="G325">
        <v>4.33</v>
      </c>
      <c r="H325">
        <v>3.91</v>
      </c>
      <c r="I325">
        <v>4.09</v>
      </c>
      <c r="J325">
        <v>3.98</v>
      </c>
      <c r="K325">
        <v>4.18</v>
      </c>
      <c r="L325">
        <v>4.24</v>
      </c>
      <c r="M325">
        <f t="shared" si="15"/>
        <v>4.1039999999999992</v>
      </c>
      <c r="N325">
        <f t="shared" si="16"/>
        <v>4.0999999999999996</v>
      </c>
      <c r="O325">
        <f t="shared" si="17"/>
        <v>4.08</v>
      </c>
    </row>
    <row r="326" spans="1:15" ht="15" customHeight="1" x14ac:dyDescent="0.3">
      <c r="A326" t="s">
        <v>672</v>
      </c>
      <c r="B326" t="s">
        <v>2308</v>
      </c>
      <c r="C326">
        <v>3.92</v>
      </c>
      <c r="D326">
        <v>4.49</v>
      </c>
      <c r="E326">
        <v>3.85</v>
      </c>
      <c r="F326">
        <v>4.6900000000000004</v>
      </c>
      <c r="G326">
        <v>4.68</v>
      </c>
      <c r="H326">
        <v>3.91</v>
      </c>
      <c r="I326">
        <v>3.57</v>
      </c>
      <c r="J326">
        <v>3.41</v>
      </c>
      <c r="K326">
        <v>4.7</v>
      </c>
      <c r="L326">
        <v>4.0999999999999996</v>
      </c>
      <c r="M326">
        <f t="shared" si="15"/>
        <v>4.3259999999999996</v>
      </c>
      <c r="N326">
        <f t="shared" si="16"/>
        <v>4.33</v>
      </c>
      <c r="O326">
        <f t="shared" si="17"/>
        <v>3.9379999999999997</v>
      </c>
    </row>
    <row r="327" spans="1:15" ht="15" customHeight="1" x14ac:dyDescent="0.3">
      <c r="A327" t="s">
        <v>674</v>
      </c>
      <c r="B327" t="s">
        <v>2309</v>
      </c>
      <c r="C327">
        <v>4.45</v>
      </c>
      <c r="D327">
        <v>4.16</v>
      </c>
      <c r="E327">
        <v>3.73</v>
      </c>
      <c r="F327">
        <v>4.3</v>
      </c>
      <c r="G327">
        <v>4.24</v>
      </c>
      <c r="H327">
        <v>4.16</v>
      </c>
      <c r="I327">
        <v>4.0199999999999996</v>
      </c>
      <c r="J327">
        <v>3.54</v>
      </c>
      <c r="K327">
        <v>4.22</v>
      </c>
      <c r="L327">
        <v>4.7300000000000004</v>
      </c>
      <c r="M327">
        <f t="shared" si="15"/>
        <v>4.1760000000000002</v>
      </c>
      <c r="N327">
        <f t="shared" si="16"/>
        <v>4.18</v>
      </c>
      <c r="O327">
        <f t="shared" si="17"/>
        <v>4.1339999999999995</v>
      </c>
    </row>
    <row r="328" spans="1:15" ht="15" customHeight="1" x14ac:dyDescent="0.3">
      <c r="A328" t="s">
        <v>676</v>
      </c>
      <c r="B328" t="s">
        <v>2310</v>
      </c>
      <c r="C328">
        <v>4.17</v>
      </c>
      <c r="D328" t="s">
        <v>211</v>
      </c>
      <c r="E328" t="s">
        <v>211</v>
      </c>
      <c r="F328">
        <v>3.87</v>
      </c>
      <c r="G328">
        <v>4.29</v>
      </c>
      <c r="H328" t="s">
        <v>211</v>
      </c>
      <c r="I328">
        <v>4.42</v>
      </c>
      <c r="J328">
        <v>3.55</v>
      </c>
      <c r="K328">
        <v>4.99</v>
      </c>
      <c r="L328">
        <v>3.63</v>
      </c>
      <c r="M328">
        <f t="shared" si="15"/>
        <v>4.1099999999999994</v>
      </c>
      <c r="N328">
        <f t="shared" si="16"/>
        <v>4.1100000000000003</v>
      </c>
      <c r="O328">
        <f t="shared" si="17"/>
        <v>4.1475</v>
      </c>
    </row>
    <row r="329" spans="1:15" ht="15" customHeight="1" x14ac:dyDescent="0.3">
      <c r="A329" t="s">
        <v>678</v>
      </c>
      <c r="B329" t="s">
        <v>2311</v>
      </c>
      <c r="C329">
        <v>4.0199999999999996</v>
      </c>
      <c r="D329">
        <v>4.17</v>
      </c>
      <c r="E329">
        <v>4.47</v>
      </c>
      <c r="F329">
        <v>4.3499999999999996</v>
      </c>
      <c r="G329">
        <v>3.76</v>
      </c>
      <c r="H329">
        <v>4.07</v>
      </c>
      <c r="I329">
        <v>4.37</v>
      </c>
      <c r="J329">
        <v>4.3899999999999997</v>
      </c>
      <c r="K329">
        <v>4.41</v>
      </c>
      <c r="L329">
        <v>4.3099999999999996</v>
      </c>
      <c r="M329">
        <f t="shared" si="15"/>
        <v>4.153999999999999</v>
      </c>
      <c r="N329">
        <f t="shared" si="16"/>
        <v>4.1500000000000004</v>
      </c>
      <c r="O329">
        <f t="shared" si="17"/>
        <v>4.3100000000000005</v>
      </c>
    </row>
    <row r="330" spans="1:15" ht="15" customHeight="1" x14ac:dyDescent="0.3">
      <c r="A330" t="s">
        <v>680</v>
      </c>
      <c r="B330" t="s">
        <v>2312</v>
      </c>
      <c r="C330">
        <v>3.77</v>
      </c>
      <c r="D330">
        <v>4.08</v>
      </c>
      <c r="E330">
        <v>3.78</v>
      </c>
      <c r="F330">
        <v>3.64</v>
      </c>
      <c r="G330">
        <v>4.29</v>
      </c>
      <c r="H330">
        <v>4.3899999999999997</v>
      </c>
      <c r="I330">
        <v>4.34</v>
      </c>
      <c r="J330">
        <v>3.29</v>
      </c>
      <c r="K330">
        <v>4.1900000000000004</v>
      </c>
      <c r="L330">
        <v>4.29</v>
      </c>
      <c r="M330">
        <f t="shared" si="15"/>
        <v>3.9119999999999999</v>
      </c>
      <c r="N330">
        <f t="shared" si="16"/>
        <v>3.91</v>
      </c>
      <c r="O330">
        <f t="shared" si="17"/>
        <v>4.0999999999999996</v>
      </c>
    </row>
    <row r="331" spans="1:15" ht="15" customHeight="1" x14ac:dyDescent="0.3">
      <c r="A331" t="s">
        <v>682</v>
      </c>
      <c r="B331" t="s">
        <v>2313</v>
      </c>
      <c r="C331">
        <v>4</v>
      </c>
      <c r="D331">
        <v>4.3499999999999996</v>
      </c>
      <c r="E331">
        <v>3.93</v>
      </c>
      <c r="F331">
        <v>3.79</v>
      </c>
      <c r="G331">
        <v>3.71</v>
      </c>
      <c r="H331">
        <v>4.09</v>
      </c>
      <c r="I331">
        <v>4.1100000000000003</v>
      </c>
      <c r="J331">
        <v>3.68</v>
      </c>
      <c r="K331">
        <v>4.41</v>
      </c>
      <c r="L331">
        <v>4.34</v>
      </c>
      <c r="M331">
        <f t="shared" si="15"/>
        <v>3.9560000000000004</v>
      </c>
      <c r="N331">
        <f t="shared" si="16"/>
        <v>3.96</v>
      </c>
      <c r="O331">
        <f t="shared" si="17"/>
        <v>4.1259999999999994</v>
      </c>
    </row>
    <row r="332" spans="1:15" ht="15" customHeight="1" x14ac:dyDescent="0.3">
      <c r="A332" t="s">
        <v>684</v>
      </c>
      <c r="B332" t="s">
        <v>2314</v>
      </c>
      <c r="C332">
        <v>4.16</v>
      </c>
      <c r="D332">
        <v>3.91</v>
      </c>
      <c r="E332">
        <v>3.81</v>
      </c>
      <c r="F332">
        <v>3.99</v>
      </c>
      <c r="G332">
        <v>4.1500000000000004</v>
      </c>
      <c r="H332">
        <v>3.97</v>
      </c>
      <c r="I332">
        <v>4.1100000000000003</v>
      </c>
      <c r="J332">
        <v>4.08</v>
      </c>
      <c r="K332">
        <v>3.97</v>
      </c>
      <c r="L332">
        <v>4.05</v>
      </c>
      <c r="M332">
        <f t="shared" si="15"/>
        <v>4.0040000000000004</v>
      </c>
      <c r="N332">
        <f t="shared" si="16"/>
        <v>4</v>
      </c>
      <c r="O332">
        <f t="shared" si="17"/>
        <v>4.0359999999999996</v>
      </c>
    </row>
    <row r="333" spans="1:15" ht="15" customHeight="1" x14ac:dyDescent="0.3">
      <c r="A333" t="s">
        <v>686</v>
      </c>
      <c r="B333" t="s">
        <v>2315</v>
      </c>
      <c r="C333">
        <v>4.08</v>
      </c>
      <c r="D333">
        <v>3.83</v>
      </c>
      <c r="E333" t="s">
        <v>211</v>
      </c>
      <c r="F333">
        <v>4.1100000000000003</v>
      </c>
      <c r="G333">
        <v>4.3600000000000003</v>
      </c>
      <c r="H333">
        <v>3.8</v>
      </c>
      <c r="I333">
        <v>3.95</v>
      </c>
      <c r="J333">
        <v>3.9</v>
      </c>
      <c r="K333">
        <v>3.52</v>
      </c>
      <c r="L333">
        <v>4.47</v>
      </c>
      <c r="M333">
        <f t="shared" si="15"/>
        <v>4.0949999999999998</v>
      </c>
      <c r="N333">
        <f t="shared" si="16"/>
        <v>4.0999999999999996</v>
      </c>
      <c r="O333">
        <f t="shared" si="17"/>
        <v>3.9279999999999999</v>
      </c>
    </row>
    <row r="334" spans="1:15" ht="15" customHeight="1" x14ac:dyDescent="0.3">
      <c r="A334" t="s">
        <v>688</v>
      </c>
      <c r="B334" t="s">
        <v>2316</v>
      </c>
      <c r="C334">
        <v>4.3</v>
      </c>
      <c r="D334">
        <v>4.33</v>
      </c>
      <c r="E334">
        <v>4.3099999999999996</v>
      </c>
      <c r="F334">
        <v>4.21</v>
      </c>
      <c r="G334">
        <v>4.29</v>
      </c>
      <c r="H334">
        <v>4.07</v>
      </c>
      <c r="I334">
        <v>4.93</v>
      </c>
      <c r="J334">
        <v>3.85</v>
      </c>
      <c r="K334">
        <v>3.83</v>
      </c>
      <c r="L334">
        <v>3.56</v>
      </c>
      <c r="M334">
        <f t="shared" si="15"/>
        <v>4.2879999999999994</v>
      </c>
      <c r="N334">
        <f t="shared" si="16"/>
        <v>4.29</v>
      </c>
      <c r="O334">
        <f t="shared" si="17"/>
        <v>4.048</v>
      </c>
    </row>
    <row r="335" spans="1:15" ht="15" customHeight="1" x14ac:dyDescent="0.3">
      <c r="A335" t="s">
        <v>690</v>
      </c>
      <c r="B335" t="s">
        <v>2317</v>
      </c>
      <c r="C335">
        <v>4.2699999999999996</v>
      </c>
      <c r="D335">
        <v>4.4000000000000004</v>
      </c>
      <c r="E335">
        <v>3.46</v>
      </c>
      <c r="F335">
        <v>3.79</v>
      </c>
      <c r="G335" t="s">
        <v>211</v>
      </c>
      <c r="H335">
        <v>4.46</v>
      </c>
      <c r="I335">
        <v>4.1399999999999997</v>
      </c>
      <c r="J335">
        <v>4.0199999999999996</v>
      </c>
      <c r="K335" t="s">
        <v>211</v>
      </c>
      <c r="L335">
        <v>3.82</v>
      </c>
      <c r="M335">
        <f t="shared" si="15"/>
        <v>3.9799999999999995</v>
      </c>
      <c r="N335">
        <f t="shared" si="16"/>
        <v>3.98</v>
      </c>
      <c r="O335">
        <f t="shared" si="17"/>
        <v>4.1099999999999994</v>
      </c>
    </row>
    <row r="336" spans="1:15" ht="15" customHeight="1" x14ac:dyDescent="0.3">
      <c r="A336" t="s">
        <v>692</v>
      </c>
      <c r="B336" t="s">
        <v>2318</v>
      </c>
      <c r="C336">
        <v>4.0999999999999996</v>
      </c>
      <c r="D336">
        <v>4.5199999999999996</v>
      </c>
      <c r="E336">
        <v>3.49</v>
      </c>
      <c r="F336">
        <v>3.99</v>
      </c>
      <c r="G336">
        <v>3.5</v>
      </c>
      <c r="H336">
        <v>4.51</v>
      </c>
      <c r="I336">
        <v>4.12</v>
      </c>
      <c r="J336">
        <v>3.99</v>
      </c>
      <c r="K336">
        <v>3.96</v>
      </c>
      <c r="L336">
        <v>3.93</v>
      </c>
      <c r="M336">
        <f t="shared" si="15"/>
        <v>3.9200000000000004</v>
      </c>
      <c r="N336">
        <f t="shared" si="16"/>
        <v>3.92</v>
      </c>
      <c r="O336">
        <f t="shared" si="17"/>
        <v>4.1019999999999994</v>
      </c>
    </row>
    <row r="337" spans="1:15" ht="15" customHeight="1" x14ac:dyDescent="0.3">
      <c r="A337" t="s">
        <v>694</v>
      </c>
      <c r="B337" t="s">
        <v>2319</v>
      </c>
      <c r="C337">
        <v>4.18</v>
      </c>
      <c r="D337">
        <v>3.83</v>
      </c>
      <c r="E337">
        <v>3.86</v>
      </c>
      <c r="F337">
        <v>4</v>
      </c>
      <c r="G337">
        <v>3.88</v>
      </c>
      <c r="H337">
        <v>3.8</v>
      </c>
      <c r="I337">
        <v>3.7</v>
      </c>
      <c r="J337">
        <v>3.55</v>
      </c>
      <c r="K337">
        <v>3.74</v>
      </c>
      <c r="L337">
        <v>4.0199999999999996</v>
      </c>
      <c r="M337">
        <f t="shared" si="15"/>
        <v>3.95</v>
      </c>
      <c r="N337">
        <f t="shared" si="16"/>
        <v>3.95</v>
      </c>
      <c r="O337">
        <f t="shared" si="17"/>
        <v>3.7620000000000005</v>
      </c>
    </row>
    <row r="338" spans="1:15" ht="15" customHeight="1" x14ac:dyDescent="0.3">
      <c r="A338" t="s">
        <v>696</v>
      </c>
      <c r="B338" t="s">
        <v>2320</v>
      </c>
      <c r="C338">
        <v>3.56</v>
      </c>
      <c r="D338">
        <v>4.38</v>
      </c>
      <c r="E338">
        <v>3.73</v>
      </c>
      <c r="F338">
        <v>4.5199999999999996</v>
      </c>
      <c r="G338">
        <v>4.08</v>
      </c>
      <c r="H338">
        <v>4.03</v>
      </c>
      <c r="I338">
        <v>4.3</v>
      </c>
      <c r="J338">
        <v>3.82</v>
      </c>
      <c r="K338">
        <v>4.0999999999999996</v>
      </c>
      <c r="L338">
        <v>4.43</v>
      </c>
      <c r="M338">
        <f t="shared" si="15"/>
        <v>4.0539999999999994</v>
      </c>
      <c r="N338">
        <f t="shared" si="16"/>
        <v>4.05</v>
      </c>
      <c r="O338">
        <f t="shared" si="17"/>
        <v>4.1360000000000001</v>
      </c>
    </row>
    <row r="339" spans="1:15" ht="15" customHeight="1" x14ac:dyDescent="0.3">
      <c r="A339" t="s">
        <v>698</v>
      </c>
      <c r="B339" t="s">
        <v>2321</v>
      </c>
      <c r="C339">
        <v>4.16</v>
      </c>
      <c r="D339">
        <v>4.2</v>
      </c>
      <c r="E339">
        <v>3.58</v>
      </c>
      <c r="F339" t="s">
        <v>211</v>
      </c>
      <c r="G339">
        <v>3.87</v>
      </c>
      <c r="H339">
        <v>3.77</v>
      </c>
      <c r="I339">
        <v>3.97</v>
      </c>
      <c r="J339">
        <v>4.1900000000000004</v>
      </c>
      <c r="K339">
        <v>3.88</v>
      </c>
      <c r="L339">
        <v>3.72</v>
      </c>
      <c r="M339">
        <f t="shared" si="15"/>
        <v>3.9524999999999997</v>
      </c>
      <c r="N339">
        <f t="shared" si="16"/>
        <v>3.95</v>
      </c>
      <c r="O339">
        <f t="shared" si="17"/>
        <v>3.9059999999999997</v>
      </c>
    </row>
    <row r="340" spans="1:15" ht="15" customHeight="1" x14ac:dyDescent="0.3">
      <c r="A340" t="s">
        <v>700</v>
      </c>
      <c r="B340" t="s">
        <v>2322</v>
      </c>
      <c r="C340">
        <v>3.85</v>
      </c>
      <c r="D340">
        <v>3.79</v>
      </c>
      <c r="E340">
        <v>4.0599999999999996</v>
      </c>
      <c r="F340">
        <v>4.22</v>
      </c>
      <c r="G340">
        <v>3.91</v>
      </c>
      <c r="H340">
        <v>3.96</v>
      </c>
      <c r="I340">
        <v>3.38</v>
      </c>
      <c r="J340">
        <v>4</v>
      </c>
      <c r="K340">
        <v>4.17</v>
      </c>
      <c r="L340">
        <v>4.2</v>
      </c>
      <c r="M340">
        <f t="shared" si="15"/>
        <v>3.9659999999999997</v>
      </c>
      <c r="N340">
        <f t="shared" si="16"/>
        <v>3.97</v>
      </c>
      <c r="O340">
        <f t="shared" si="17"/>
        <v>3.9420000000000002</v>
      </c>
    </row>
    <row r="341" spans="1:15" ht="15" customHeight="1" x14ac:dyDescent="0.3">
      <c r="A341" t="s">
        <v>702</v>
      </c>
      <c r="B341" t="s">
        <v>2323</v>
      </c>
      <c r="C341">
        <v>4.47</v>
      </c>
      <c r="D341">
        <v>3.94</v>
      </c>
      <c r="E341">
        <v>3.99</v>
      </c>
      <c r="F341">
        <v>4.03</v>
      </c>
      <c r="G341">
        <v>3.96</v>
      </c>
      <c r="H341">
        <v>3.59</v>
      </c>
      <c r="I341">
        <v>4.0199999999999996</v>
      </c>
      <c r="J341">
        <v>4.18</v>
      </c>
      <c r="K341">
        <v>3.1</v>
      </c>
      <c r="L341">
        <v>4.37</v>
      </c>
      <c r="M341">
        <f t="shared" si="15"/>
        <v>4.0780000000000003</v>
      </c>
      <c r="N341">
        <f t="shared" si="16"/>
        <v>4.08</v>
      </c>
      <c r="O341">
        <f t="shared" si="17"/>
        <v>3.8519999999999994</v>
      </c>
    </row>
    <row r="342" spans="1:15" ht="15" customHeight="1" x14ac:dyDescent="0.3">
      <c r="A342" t="s">
        <v>704</v>
      </c>
      <c r="B342" t="s">
        <v>2324</v>
      </c>
      <c r="C342">
        <v>4.1100000000000003</v>
      </c>
      <c r="D342">
        <v>4.37</v>
      </c>
      <c r="E342">
        <v>4.3099999999999996</v>
      </c>
      <c r="F342">
        <v>4.38</v>
      </c>
      <c r="G342">
        <v>4.0999999999999996</v>
      </c>
      <c r="H342">
        <v>3.61</v>
      </c>
      <c r="I342">
        <v>3.86</v>
      </c>
      <c r="J342">
        <v>4.04</v>
      </c>
      <c r="K342">
        <v>3.77</v>
      </c>
      <c r="L342">
        <v>3.38</v>
      </c>
      <c r="M342">
        <f t="shared" si="15"/>
        <v>4.2539999999999996</v>
      </c>
      <c r="N342">
        <f t="shared" si="16"/>
        <v>4.25</v>
      </c>
      <c r="O342">
        <f t="shared" si="17"/>
        <v>3.7320000000000002</v>
      </c>
    </row>
    <row r="343" spans="1:15" ht="15" customHeight="1" x14ac:dyDescent="0.3">
      <c r="A343" t="s">
        <v>706</v>
      </c>
      <c r="B343" t="s">
        <v>2325</v>
      </c>
      <c r="C343">
        <v>4.09</v>
      </c>
      <c r="D343">
        <v>4.3600000000000003</v>
      </c>
      <c r="E343">
        <v>4.22</v>
      </c>
      <c r="F343">
        <v>4.1900000000000004</v>
      </c>
      <c r="G343">
        <v>4.29</v>
      </c>
      <c r="H343">
        <v>3.76</v>
      </c>
      <c r="I343">
        <v>3.89</v>
      </c>
      <c r="J343">
        <v>4.1399999999999997</v>
      </c>
      <c r="K343">
        <v>4.3499999999999996</v>
      </c>
      <c r="L343">
        <v>4.26</v>
      </c>
      <c r="M343">
        <f t="shared" si="15"/>
        <v>4.2299999999999995</v>
      </c>
      <c r="N343">
        <f t="shared" si="16"/>
        <v>4.2300000000000004</v>
      </c>
      <c r="O343">
        <f t="shared" si="17"/>
        <v>4.08</v>
      </c>
    </row>
    <row r="344" spans="1:15" ht="15" customHeight="1" x14ac:dyDescent="0.3">
      <c r="A344" t="s">
        <v>708</v>
      </c>
      <c r="B344" t="s">
        <v>2326</v>
      </c>
      <c r="C344">
        <v>4.33</v>
      </c>
      <c r="D344">
        <v>3.78</v>
      </c>
      <c r="E344">
        <v>4.05</v>
      </c>
      <c r="F344">
        <v>3.91</v>
      </c>
      <c r="G344">
        <v>3.68</v>
      </c>
      <c r="H344">
        <v>3.47</v>
      </c>
      <c r="I344">
        <v>4.03</v>
      </c>
      <c r="J344">
        <v>4.05</v>
      </c>
      <c r="K344">
        <v>4.5</v>
      </c>
      <c r="L344">
        <v>3.87</v>
      </c>
      <c r="M344">
        <f t="shared" si="15"/>
        <v>3.95</v>
      </c>
      <c r="N344">
        <f t="shared" si="16"/>
        <v>3.95</v>
      </c>
      <c r="O344">
        <f t="shared" si="17"/>
        <v>3.9840000000000004</v>
      </c>
    </row>
    <row r="345" spans="1:15" ht="15" customHeight="1" x14ac:dyDescent="0.3">
      <c r="A345" t="s">
        <v>710</v>
      </c>
      <c r="B345" t="s">
        <v>711</v>
      </c>
      <c r="C345">
        <v>3.48</v>
      </c>
      <c r="D345">
        <v>4.3600000000000003</v>
      </c>
      <c r="E345">
        <v>3.94</v>
      </c>
      <c r="F345">
        <v>3.73</v>
      </c>
      <c r="G345">
        <v>4.3899999999999997</v>
      </c>
      <c r="H345">
        <v>3.91</v>
      </c>
      <c r="I345">
        <v>4.08</v>
      </c>
      <c r="J345">
        <v>3.75</v>
      </c>
      <c r="K345">
        <v>4.29</v>
      </c>
      <c r="L345">
        <v>3.39</v>
      </c>
      <c r="M345">
        <f t="shared" si="15"/>
        <v>3.9799999999999995</v>
      </c>
      <c r="N345">
        <f t="shared" si="16"/>
        <v>3.98</v>
      </c>
      <c r="O345">
        <f t="shared" si="17"/>
        <v>3.8840000000000003</v>
      </c>
    </row>
    <row r="346" spans="1:15" ht="15" customHeight="1" x14ac:dyDescent="0.3">
      <c r="A346" t="s">
        <v>712</v>
      </c>
      <c r="B346" t="s">
        <v>713</v>
      </c>
      <c r="C346">
        <v>3.83</v>
      </c>
      <c r="D346">
        <v>4.16</v>
      </c>
      <c r="E346">
        <v>4.12</v>
      </c>
      <c r="F346">
        <v>3.35</v>
      </c>
      <c r="G346">
        <v>4.42</v>
      </c>
      <c r="H346">
        <v>4.2699999999999996</v>
      </c>
      <c r="I346">
        <v>3.81</v>
      </c>
      <c r="J346">
        <v>3.98</v>
      </c>
      <c r="K346">
        <v>4.58</v>
      </c>
      <c r="L346">
        <v>4.07</v>
      </c>
      <c r="M346">
        <f t="shared" si="15"/>
        <v>3.976</v>
      </c>
      <c r="N346">
        <f t="shared" si="16"/>
        <v>3.98</v>
      </c>
      <c r="O346">
        <f t="shared" si="17"/>
        <v>4.1420000000000003</v>
      </c>
    </row>
    <row r="347" spans="1:15" ht="15" customHeight="1" x14ac:dyDescent="0.3">
      <c r="A347" t="s">
        <v>714</v>
      </c>
      <c r="B347" t="s">
        <v>715</v>
      </c>
      <c r="C347">
        <v>4.08</v>
      </c>
      <c r="D347">
        <v>4.08</v>
      </c>
      <c r="E347">
        <v>3.77</v>
      </c>
      <c r="F347" t="s">
        <v>211</v>
      </c>
      <c r="G347">
        <v>3.93</v>
      </c>
      <c r="H347">
        <v>4.33</v>
      </c>
      <c r="I347">
        <v>4.3099999999999996</v>
      </c>
      <c r="J347">
        <v>4.43</v>
      </c>
      <c r="K347">
        <v>4.04</v>
      </c>
      <c r="L347">
        <v>4.68</v>
      </c>
      <c r="M347">
        <f t="shared" si="15"/>
        <v>3.9649999999999999</v>
      </c>
      <c r="N347">
        <f t="shared" si="16"/>
        <v>3.97</v>
      </c>
      <c r="O347">
        <f t="shared" si="17"/>
        <v>4.3579999999999997</v>
      </c>
    </row>
    <row r="348" spans="1:15" ht="15" customHeight="1" x14ac:dyDescent="0.3">
      <c r="A348" t="s">
        <v>716</v>
      </c>
      <c r="B348" t="s">
        <v>2327</v>
      </c>
      <c r="C348">
        <v>3.29</v>
      </c>
      <c r="D348">
        <v>3.41</v>
      </c>
      <c r="E348">
        <v>3.88</v>
      </c>
      <c r="F348">
        <v>4.18</v>
      </c>
      <c r="G348">
        <v>3.66</v>
      </c>
      <c r="H348">
        <v>3.92</v>
      </c>
      <c r="I348">
        <v>4.2300000000000004</v>
      </c>
      <c r="J348">
        <v>4.42</v>
      </c>
      <c r="K348">
        <v>3.1</v>
      </c>
      <c r="L348">
        <v>4.1500000000000004</v>
      </c>
      <c r="M348">
        <f t="shared" si="15"/>
        <v>3.6840000000000002</v>
      </c>
      <c r="N348">
        <f t="shared" si="16"/>
        <v>3.68</v>
      </c>
      <c r="O348">
        <f t="shared" si="17"/>
        <v>3.964</v>
      </c>
    </row>
    <row r="349" spans="1:15" ht="15" customHeight="1" x14ac:dyDescent="0.3">
      <c r="A349" t="s">
        <v>718</v>
      </c>
      <c r="B349" t="s">
        <v>2328</v>
      </c>
      <c r="C349">
        <v>4.0999999999999996</v>
      </c>
      <c r="D349">
        <v>3.73</v>
      </c>
      <c r="E349">
        <v>4.46</v>
      </c>
      <c r="F349">
        <v>4.54</v>
      </c>
      <c r="G349">
        <v>4.22</v>
      </c>
      <c r="H349">
        <v>4.21</v>
      </c>
      <c r="I349" t="s">
        <v>211</v>
      </c>
      <c r="J349">
        <v>3.29</v>
      </c>
      <c r="K349" t="s">
        <v>211</v>
      </c>
      <c r="L349">
        <v>4.2699999999999996</v>
      </c>
      <c r="M349">
        <f t="shared" si="15"/>
        <v>4.2099999999999991</v>
      </c>
      <c r="N349">
        <f t="shared" si="16"/>
        <v>4.21</v>
      </c>
      <c r="O349">
        <f t="shared" si="17"/>
        <v>3.9233333333333333</v>
      </c>
    </row>
    <row r="350" spans="1:15" ht="15" customHeight="1" x14ac:dyDescent="0.3">
      <c r="A350" t="s">
        <v>720</v>
      </c>
      <c r="B350" t="s">
        <v>2329</v>
      </c>
      <c r="C350">
        <v>4.49</v>
      </c>
      <c r="D350">
        <v>4.75</v>
      </c>
      <c r="E350">
        <v>4.1900000000000004</v>
      </c>
      <c r="F350">
        <v>4.05</v>
      </c>
      <c r="G350">
        <v>4.5</v>
      </c>
      <c r="H350" t="s">
        <v>211</v>
      </c>
      <c r="I350">
        <v>3.94</v>
      </c>
      <c r="J350">
        <v>4.0999999999999996</v>
      </c>
      <c r="K350">
        <v>4.07</v>
      </c>
      <c r="L350">
        <v>4.18</v>
      </c>
      <c r="M350">
        <f t="shared" si="15"/>
        <v>4.3959999999999999</v>
      </c>
      <c r="N350">
        <f t="shared" si="16"/>
        <v>4.4000000000000004</v>
      </c>
      <c r="O350">
        <f t="shared" si="17"/>
        <v>4.0724999999999998</v>
      </c>
    </row>
    <row r="351" spans="1:15" ht="15" customHeight="1" x14ac:dyDescent="0.3">
      <c r="A351" t="s">
        <v>722</v>
      </c>
      <c r="B351" t="s">
        <v>2330</v>
      </c>
      <c r="C351">
        <v>4.34</v>
      </c>
      <c r="D351">
        <v>3.91</v>
      </c>
      <c r="E351">
        <v>3.9</v>
      </c>
      <c r="F351">
        <v>3.83</v>
      </c>
      <c r="G351">
        <v>4.16</v>
      </c>
      <c r="H351">
        <v>4.0199999999999996</v>
      </c>
      <c r="I351">
        <v>4.08</v>
      </c>
      <c r="J351">
        <v>3.85</v>
      </c>
      <c r="K351">
        <v>4</v>
      </c>
      <c r="L351">
        <v>4.05</v>
      </c>
      <c r="M351">
        <f t="shared" si="15"/>
        <v>4.0280000000000005</v>
      </c>
      <c r="N351">
        <f t="shared" si="16"/>
        <v>4.03</v>
      </c>
      <c r="O351">
        <f t="shared" si="17"/>
        <v>4</v>
      </c>
    </row>
    <row r="352" spans="1:15" ht="15" customHeight="1" x14ac:dyDescent="0.3">
      <c r="A352" t="s">
        <v>724</v>
      </c>
      <c r="B352" t="s">
        <v>2331</v>
      </c>
      <c r="C352">
        <v>4.24</v>
      </c>
      <c r="D352">
        <v>4.58</v>
      </c>
      <c r="E352">
        <v>3.56</v>
      </c>
      <c r="F352">
        <v>4.0199999999999996</v>
      </c>
      <c r="G352">
        <v>3.69</v>
      </c>
      <c r="H352">
        <v>3.73</v>
      </c>
      <c r="I352">
        <v>3.75</v>
      </c>
      <c r="J352">
        <v>4.41</v>
      </c>
      <c r="K352">
        <v>4.18</v>
      </c>
      <c r="L352">
        <v>4.03</v>
      </c>
      <c r="M352">
        <f t="shared" si="15"/>
        <v>4.0179999999999998</v>
      </c>
      <c r="N352">
        <f t="shared" si="16"/>
        <v>4.0199999999999996</v>
      </c>
      <c r="O352">
        <f t="shared" si="17"/>
        <v>4.0200000000000005</v>
      </c>
    </row>
    <row r="353" spans="1:15" ht="15" customHeight="1" x14ac:dyDescent="0.3">
      <c r="A353" t="s">
        <v>726</v>
      </c>
      <c r="B353" t="s">
        <v>2332</v>
      </c>
      <c r="C353">
        <v>3.86</v>
      </c>
      <c r="D353">
        <v>4.3099999999999996</v>
      </c>
      <c r="E353">
        <v>3.72</v>
      </c>
      <c r="F353">
        <v>3.85</v>
      </c>
      <c r="G353">
        <v>4.04</v>
      </c>
      <c r="H353">
        <v>3.93</v>
      </c>
      <c r="I353">
        <v>4.2699999999999996</v>
      </c>
      <c r="J353">
        <v>4.1900000000000004</v>
      </c>
      <c r="K353">
        <v>4.3899999999999997</v>
      </c>
      <c r="L353">
        <v>3.43</v>
      </c>
      <c r="M353">
        <f t="shared" si="15"/>
        <v>3.9560000000000004</v>
      </c>
      <c r="N353">
        <f t="shared" si="16"/>
        <v>3.96</v>
      </c>
      <c r="O353">
        <f t="shared" si="17"/>
        <v>4.0419999999999998</v>
      </c>
    </row>
    <row r="354" spans="1:15" ht="15" customHeight="1" x14ac:dyDescent="0.3">
      <c r="A354" t="s">
        <v>728</v>
      </c>
      <c r="B354" t="s">
        <v>2333</v>
      </c>
      <c r="C354">
        <v>4.3</v>
      </c>
      <c r="D354">
        <v>3.99</v>
      </c>
      <c r="E354">
        <v>3.88</v>
      </c>
      <c r="F354">
        <v>3.92</v>
      </c>
      <c r="G354">
        <v>4.43</v>
      </c>
      <c r="H354">
        <v>3.87</v>
      </c>
      <c r="I354">
        <v>4.03</v>
      </c>
      <c r="J354">
        <v>4.38</v>
      </c>
      <c r="K354">
        <v>4.1500000000000004</v>
      </c>
      <c r="L354">
        <v>4.13</v>
      </c>
      <c r="M354">
        <f t="shared" si="15"/>
        <v>4.1039999999999992</v>
      </c>
      <c r="N354">
        <f t="shared" si="16"/>
        <v>4.0999999999999996</v>
      </c>
      <c r="O354">
        <f t="shared" si="17"/>
        <v>4.1120000000000001</v>
      </c>
    </row>
    <row r="355" spans="1:15" ht="15" customHeight="1" x14ac:dyDescent="0.3">
      <c r="A355" t="s">
        <v>730</v>
      </c>
      <c r="B355" t="s">
        <v>2334</v>
      </c>
      <c r="C355">
        <v>4.5999999999999996</v>
      </c>
      <c r="D355">
        <v>3.86</v>
      </c>
      <c r="E355">
        <v>4.68</v>
      </c>
      <c r="F355">
        <v>3.87</v>
      </c>
      <c r="G355">
        <v>4.21</v>
      </c>
      <c r="H355">
        <v>3.66</v>
      </c>
      <c r="I355">
        <v>3.76</v>
      </c>
      <c r="J355">
        <v>3.27</v>
      </c>
      <c r="K355">
        <v>3.54</v>
      </c>
      <c r="L355">
        <v>3.84</v>
      </c>
      <c r="M355">
        <f t="shared" si="15"/>
        <v>4.2439999999999998</v>
      </c>
      <c r="N355">
        <f t="shared" si="16"/>
        <v>4.24</v>
      </c>
      <c r="O355">
        <f t="shared" si="17"/>
        <v>3.6139999999999999</v>
      </c>
    </row>
    <row r="356" spans="1:15" ht="15" customHeight="1" x14ac:dyDescent="0.3">
      <c r="A356" t="s">
        <v>732</v>
      </c>
      <c r="B356" t="s">
        <v>733</v>
      </c>
      <c r="C356">
        <v>3.77</v>
      </c>
      <c r="D356">
        <v>3.43</v>
      </c>
      <c r="E356">
        <v>4.29</v>
      </c>
      <c r="F356">
        <v>3.77</v>
      </c>
      <c r="G356">
        <v>4.03</v>
      </c>
      <c r="H356">
        <v>4.3600000000000003</v>
      </c>
      <c r="I356">
        <v>4.0999999999999996</v>
      </c>
      <c r="J356">
        <v>3.83</v>
      </c>
      <c r="K356">
        <v>3.88</v>
      </c>
      <c r="L356">
        <v>3.5</v>
      </c>
      <c r="M356">
        <f t="shared" si="15"/>
        <v>3.8579999999999997</v>
      </c>
      <c r="N356">
        <f t="shared" si="16"/>
        <v>3.86</v>
      </c>
      <c r="O356">
        <f t="shared" si="17"/>
        <v>3.9340000000000002</v>
      </c>
    </row>
    <row r="357" spans="1:15" ht="15" customHeight="1" x14ac:dyDescent="0.3">
      <c r="A357" t="s">
        <v>734</v>
      </c>
      <c r="B357" t="s">
        <v>735</v>
      </c>
      <c r="C357">
        <v>4.01</v>
      </c>
      <c r="D357">
        <v>4.05</v>
      </c>
      <c r="E357">
        <v>4.17</v>
      </c>
      <c r="F357">
        <v>3.84</v>
      </c>
      <c r="G357">
        <v>4.45</v>
      </c>
      <c r="H357">
        <v>4.3099999999999996</v>
      </c>
      <c r="I357">
        <v>4.0999999999999996</v>
      </c>
      <c r="J357" t="s">
        <v>736</v>
      </c>
      <c r="K357">
        <v>4.38</v>
      </c>
      <c r="L357">
        <v>3.9</v>
      </c>
      <c r="M357">
        <f t="shared" si="15"/>
        <v>4.1040000000000001</v>
      </c>
      <c r="N357">
        <f t="shared" si="16"/>
        <v>4.0999999999999996</v>
      </c>
      <c r="O357">
        <f t="shared" si="17"/>
        <v>4.1724999999999994</v>
      </c>
    </row>
    <row r="358" spans="1:15" ht="15" customHeight="1" x14ac:dyDescent="0.3">
      <c r="A358" t="s">
        <v>737</v>
      </c>
      <c r="B358" t="s">
        <v>2335</v>
      </c>
      <c r="C358">
        <v>4.25</v>
      </c>
      <c r="D358">
        <v>3.89</v>
      </c>
      <c r="E358">
        <v>4.51</v>
      </c>
      <c r="F358">
        <v>3.89</v>
      </c>
      <c r="G358">
        <v>4.37</v>
      </c>
      <c r="H358">
        <v>3.85</v>
      </c>
      <c r="I358">
        <v>4.21</v>
      </c>
      <c r="J358" t="s">
        <v>739</v>
      </c>
      <c r="K358">
        <v>4.2</v>
      </c>
      <c r="L358">
        <v>3.89</v>
      </c>
      <c r="M358">
        <f t="shared" si="15"/>
        <v>4.1820000000000004</v>
      </c>
      <c r="N358">
        <f t="shared" si="16"/>
        <v>4.18</v>
      </c>
      <c r="O358">
        <f t="shared" si="17"/>
        <v>4.0375000000000005</v>
      </c>
    </row>
    <row r="359" spans="1:15" ht="15" customHeight="1" x14ac:dyDescent="0.3">
      <c r="A359" t="s">
        <v>740</v>
      </c>
      <c r="B359" t="s">
        <v>741</v>
      </c>
      <c r="C359">
        <v>4.2</v>
      </c>
      <c r="D359">
        <v>3.79</v>
      </c>
      <c r="E359">
        <v>4.08</v>
      </c>
      <c r="F359">
        <v>3.89</v>
      </c>
      <c r="G359">
        <v>4.75</v>
      </c>
      <c r="H359">
        <v>4.43</v>
      </c>
      <c r="I359">
        <v>4.01</v>
      </c>
      <c r="J359">
        <v>4.05</v>
      </c>
      <c r="K359">
        <v>4.55</v>
      </c>
      <c r="L359">
        <v>3.42</v>
      </c>
      <c r="M359">
        <f t="shared" si="15"/>
        <v>4.1420000000000003</v>
      </c>
      <c r="N359">
        <f t="shared" si="16"/>
        <v>4.1399999999999997</v>
      </c>
      <c r="O359">
        <f t="shared" si="17"/>
        <v>4.0920000000000005</v>
      </c>
    </row>
    <row r="360" spans="1:15" ht="15" customHeight="1" x14ac:dyDescent="0.3">
      <c r="A360" t="s">
        <v>742</v>
      </c>
      <c r="B360" t="s">
        <v>2336</v>
      </c>
      <c r="C360">
        <v>3.78</v>
      </c>
      <c r="D360">
        <v>3.79</v>
      </c>
      <c r="E360">
        <v>4.7300000000000004</v>
      </c>
      <c r="F360">
        <v>3.99</v>
      </c>
      <c r="G360">
        <v>4.3</v>
      </c>
      <c r="H360">
        <v>3.78</v>
      </c>
      <c r="I360">
        <v>4.76</v>
      </c>
      <c r="J360">
        <v>3.98</v>
      </c>
      <c r="K360">
        <v>4.01</v>
      </c>
      <c r="L360">
        <v>4.2699999999999996</v>
      </c>
      <c r="M360">
        <f t="shared" si="15"/>
        <v>4.1180000000000003</v>
      </c>
      <c r="N360">
        <f t="shared" si="16"/>
        <v>4.12</v>
      </c>
      <c r="O360">
        <f t="shared" si="17"/>
        <v>4.16</v>
      </c>
    </row>
    <row r="361" spans="1:15" ht="15" customHeight="1" x14ac:dyDescent="0.3">
      <c r="A361" t="s">
        <v>744</v>
      </c>
      <c r="B361" t="s">
        <v>745</v>
      </c>
      <c r="C361">
        <v>4.59</v>
      </c>
      <c r="D361">
        <v>4.24</v>
      </c>
      <c r="E361">
        <v>3.65</v>
      </c>
      <c r="F361">
        <v>4.0999999999999996</v>
      </c>
      <c r="G361">
        <v>3.73</v>
      </c>
      <c r="H361">
        <v>4.05</v>
      </c>
      <c r="I361">
        <v>3.97</v>
      </c>
      <c r="J361">
        <v>3.87</v>
      </c>
      <c r="K361">
        <v>4.54</v>
      </c>
      <c r="L361">
        <v>3.98</v>
      </c>
      <c r="M361">
        <f t="shared" si="15"/>
        <v>4.0619999999999994</v>
      </c>
      <c r="N361">
        <f t="shared" si="16"/>
        <v>4.0599999999999996</v>
      </c>
      <c r="O361">
        <f t="shared" si="17"/>
        <v>4.0819999999999999</v>
      </c>
    </row>
    <row r="362" spans="1:15" ht="15" customHeight="1" x14ac:dyDescent="0.3">
      <c r="A362" t="s">
        <v>746</v>
      </c>
      <c r="B362" t="s">
        <v>747</v>
      </c>
      <c r="C362">
        <v>4.03</v>
      </c>
      <c r="D362">
        <v>4</v>
      </c>
      <c r="E362">
        <v>4.1500000000000004</v>
      </c>
      <c r="F362">
        <v>4.46</v>
      </c>
      <c r="G362">
        <v>3.85</v>
      </c>
      <c r="H362">
        <v>4.4400000000000004</v>
      </c>
      <c r="I362">
        <v>4.03</v>
      </c>
      <c r="J362">
        <v>4.45</v>
      </c>
      <c r="K362">
        <v>4.08</v>
      </c>
      <c r="L362">
        <v>4.41</v>
      </c>
      <c r="M362">
        <f t="shared" si="15"/>
        <v>4.0980000000000008</v>
      </c>
      <c r="N362">
        <f t="shared" si="16"/>
        <v>4.0999999999999996</v>
      </c>
      <c r="O362">
        <f t="shared" si="17"/>
        <v>4.282</v>
      </c>
    </row>
    <row r="363" spans="1:15" ht="15" customHeight="1" x14ac:dyDescent="0.3">
      <c r="A363" t="s">
        <v>748</v>
      </c>
      <c r="B363" t="s">
        <v>2337</v>
      </c>
      <c r="C363">
        <v>3.8</v>
      </c>
      <c r="D363">
        <v>4.33</v>
      </c>
      <c r="E363">
        <v>4.17</v>
      </c>
      <c r="F363">
        <v>4.53</v>
      </c>
      <c r="G363">
        <v>3.61</v>
      </c>
      <c r="H363">
        <v>4.5</v>
      </c>
      <c r="I363">
        <v>4.01</v>
      </c>
      <c r="J363">
        <v>4.25</v>
      </c>
      <c r="K363">
        <v>4.33</v>
      </c>
      <c r="L363">
        <v>4.3600000000000003</v>
      </c>
      <c r="M363">
        <f t="shared" si="15"/>
        <v>4.0879999999999992</v>
      </c>
      <c r="N363">
        <f t="shared" si="16"/>
        <v>4.09</v>
      </c>
      <c r="O363">
        <f t="shared" si="17"/>
        <v>4.29</v>
      </c>
    </row>
    <row r="364" spans="1:15" ht="15" customHeight="1" x14ac:dyDescent="0.3">
      <c r="A364" t="s">
        <v>750</v>
      </c>
      <c r="B364" t="s">
        <v>2338</v>
      </c>
      <c r="C364">
        <v>3.94</v>
      </c>
      <c r="D364">
        <v>3.48</v>
      </c>
      <c r="E364">
        <v>3.46</v>
      </c>
      <c r="F364">
        <v>3.84</v>
      </c>
      <c r="G364">
        <v>4.24</v>
      </c>
      <c r="H364">
        <v>4.59</v>
      </c>
      <c r="I364">
        <v>4.0199999999999996</v>
      </c>
      <c r="J364">
        <v>3.69</v>
      </c>
      <c r="K364">
        <v>4.38</v>
      </c>
      <c r="L364">
        <v>4.07</v>
      </c>
      <c r="M364">
        <f t="shared" si="15"/>
        <v>3.7920000000000003</v>
      </c>
      <c r="N364">
        <f t="shared" si="16"/>
        <v>3.79</v>
      </c>
      <c r="O364">
        <f t="shared" si="17"/>
        <v>4.1500000000000004</v>
      </c>
    </row>
    <row r="365" spans="1:15" ht="15" customHeight="1" x14ac:dyDescent="0.3">
      <c r="A365" t="s">
        <v>752</v>
      </c>
      <c r="B365" t="s">
        <v>2339</v>
      </c>
      <c r="C365">
        <v>3.78</v>
      </c>
      <c r="D365">
        <v>3.99</v>
      </c>
      <c r="E365" t="s">
        <v>211</v>
      </c>
      <c r="F365">
        <v>4.07</v>
      </c>
      <c r="G365">
        <v>4.1100000000000003</v>
      </c>
      <c r="H365">
        <v>3.97</v>
      </c>
      <c r="I365">
        <v>4.21</v>
      </c>
      <c r="J365">
        <v>4.16</v>
      </c>
      <c r="K365">
        <v>4.0999999999999996</v>
      </c>
      <c r="L365">
        <v>4.29</v>
      </c>
      <c r="M365">
        <f t="shared" si="15"/>
        <v>3.9874999999999998</v>
      </c>
      <c r="N365">
        <f t="shared" si="16"/>
        <v>3.99</v>
      </c>
      <c r="O365">
        <f t="shared" si="17"/>
        <v>4.145999999999999</v>
      </c>
    </row>
    <row r="366" spans="1:15" ht="15" customHeight="1" x14ac:dyDescent="0.3">
      <c r="A366" t="s">
        <v>754</v>
      </c>
      <c r="B366" t="s">
        <v>755</v>
      </c>
      <c r="C366">
        <v>4.04</v>
      </c>
      <c r="D366">
        <v>3.8</v>
      </c>
      <c r="E366">
        <v>3.79</v>
      </c>
      <c r="F366" t="s">
        <v>211</v>
      </c>
      <c r="G366">
        <v>4.16</v>
      </c>
      <c r="H366">
        <v>3.78</v>
      </c>
      <c r="I366">
        <v>3.8</v>
      </c>
      <c r="J366">
        <v>4.21</v>
      </c>
      <c r="K366">
        <v>3.86</v>
      </c>
      <c r="L366">
        <v>3.66</v>
      </c>
      <c r="M366">
        <f t="shared" si="15"/>
        <v>3.9474999999999998</v>
      </c>
      <c r="N366">
        <f t="shared" si="16"/>
        <v>3.95</v>
      </c>
      <c r="O366">
        <f t="shared" si="17"/>
        <v>3.8619999999999997</v>
      </c>
    </row>
    <row r="367" spans="1:15" ht="15" customHeight="1" x14ac:dyDescent="0.3">
      <c r="A367" t="s">
        <v>756</v>
      </c>
      <c r="B367" t="s">
        <v>2340</v>
      </c>
      <c r="C367">
        <v>4.3</v>
      </c>
      <c r="D367">
        <v>4.55</v>
      </c>
      <c r="E367">
        <v>3.76</v>
      </c>
      <c r="F367">
        <v>4.43</v>
      </c>
      <c r="G367">
        <v>3.53</v>
      </c>
      <c r="H367">
        <v>4.09</v>
      </c>
      <c r="I367">
        <v>4.29</v>
      </c>
      <c r="J367">
        <v>3.85</v>
      </c>
      <c r="K367">
        <v>3.95</v>
      </c>
      <c r="L367">
        <v>4.49</v>
      </c>
      <c r="M367">
        <f t="shared" si="15"/>
        <v>4.1139999999999999</v>
      </c>
      <c r="N367">
        <f t="shared" si="16"/>
        <v>4.1100000000000003</v>
      </c>
      <c r="O367">
        <f t="shared" si="17"/>
        <v>4.1340000000000003</v>
      </c>
    </row>
    <row r="368" spans="1:15" ht="15" customHeight="1" x14ac:dyDescent="0.3">
      <c r="A368" t="s">
        <v>758</v>
      </c>
      <c r="B368" t="s">
        <v>2341</v>
      </c>
      <c r="C368">
        <v>3.58</v>
      </c>
      <c r="D368">
        <v>3.48</v>
      </c>
      <c r="E368">
        <v>3.66</v>
      </c>
      <c r="F368">
        <v>4.26</v>
      </c>
      <c r="G368">
        <v>3.47</v>
      </c>
      <c r="H368">
        <v>4.4400000000000004</v>
      </c>
      <c r="I368">
        <v>4.3099999999999996</v>
      </c>
      <c r="J368">
        <v>4.1900000000000004</v>
      </c>
      <c r="K368">
        <v>3.87</v>
      </c>
      <c r="L368">
        <v>4.4800000000000004</v>
      </c>
      <c r="M368">
        <f t="shared" si="15"/>
        <v>3.69</v>
      </c>
      <c r="N368">
        <f t="shared" si="16"/>
        <v>3.69</v>
      </c>
      <c r="O368">
        <f t="shared" si="17"/>
        <v>4.2580000000000009</v>
      </c>
    </row>
    <row r="369" spans="1:15" ht="15" customHeight="1" x14ac:dyDescent="0.3">
      <c r="A369" t="s">
        <v>760</v>
      </c>
      <c r="B369" t="s">
        <v>2342</v>
      </c>
      <c r="C369">
        <v>4</v>
      </c>
      <c r="D369">
        <v>4.3899999999999997</v>
      </c>
      <c r="E369">
        <v>4.25</v>
      </c>
      <c r="F369">
        <v>3.82</v>
      </c>
      <c r="G369">
        <v>3.34</v>
      </c>
      <c r="H369">
        <v>3.62</v>
      </c>
      <c r="I369" t="s">
        <v>211</v>
      </c>
      <c r="J369">
        <v>4.1500000000000004</v>
      </c>
      <c r="K369">
        <v>4.5599999999999996</v>
      </c>
      <c r="L369">
        <v>4.12</v>
      </c>
      <c r="M369">
        <f t="shared" si="15"/>
        <v>3.96</v>
      </c>
      <c r="N369">
        <f t="shared" si="16"/>
        <v>3.96</v>
      </c>
      <c r="O369">
        <f t="shared" si="17"/>
        <v>4.1124999999999998</v>
      </c>
    </row>
    <row r="370" spans="1:15" ht="15" customHeight="1" x14ac:dyDescent="0.3">
      <c r="A370" t="s">
        <v>762</v>
      </c>
      <c r="B370" t="s">
        <v>2343</v>
      </c>
      <c r="C370">
        <v>4.13</v>
      </c>
      <c r="D370">
        <v>4.3600000000000003</v>
      </c>
      <c r="E370">
        <v>4.67</v>
      </c>
      <c r="F370">
        <v>4.47</v>
      </c>
      <c r="G370">
        <v>3.95</v>
      </c>
      <c r="H370">
        <v>4.07</v>
      </c>
      <c r="I370">
        <v>4.0999999999999996</v>
      </c>
      <c r="J370">
        <v>3.66</v>
      </c>
      <c r="K370">
        <v>4.2</v>
      </c>
      <c r="L370">
        <v>4.05</v>
      </c>
      <c r="M370">
        <f t="shared" si="15"/>
        <v>4.3159999999999998</v>
      </c>
      <c r="N370">
        <f t="shared" si="16"/>
        <v>4.32</v>
      </c>
      <c r="O370">
        <f t="shared" si="17"/>
        <v>4.016</v>
      </c>
    </row>
    <row r="371" spans="1:15" ht="15" customHeight="1" x14ac:dyDescent="0.3">
      <c r="A371" t="s">
        <v>764</v>
      </c>
      <c r="B371" t="s">
        <v>765</v>
      </c>
      <c r="C371">
        <v>4.6900000000000004</v>
      </c>
      <c r="D371">
        <v>4.42</v>
      </c>
      <c r="E371">
        <v>3.87</v>
      </c>
      <c r="F371">
        <v>4.2</v>
      </c>
      <c r="G371">
        <v>4.0199999999999996</v>
      </c>
      <c r="H371">
        <v>3.7</v>
      </c>
      <c r="I371">
        <v>4.32</v>
      </c>
      <c r="J371">
        <v>4.33</v>
      </c>
      <c r="K371">
        <v>4.09</v>
      </c>
      <c r="L371">
        <v>4.13</v>
      </c>
      <c r="M371">
        <f t="shared" si="15"/>
        <v>4.24</v>
      </c>
      <c r="N371">
        <f t="shared" si="16"/>
        <v>4.24</v>
      </c>
      <c r="O371">
        <f t="shared" si="17"/>
        <v>4.113999999999999</v>
      </c>
    </row>
    <row r="372" spans="1:15" ht="15" customHeight="1" x14ac:dyDescent="0.3">
      <c r="A372" t="s">
        <v>766</v>
      </c>
      <c r="B372" t="s">
        <v>2344</v>
      </c>
      <c r="C372">
        <v>4.29</v>
      </c>
      <c r="D372">
        <v>3.78</v>
      </c>
      <c r="E372" t="s">
        <v>211</v>
      </c>
      <c r="F372">
        <v>3.51</v>
      </c>
      <c r="G372" t="s">
        <v>211</v>
      </c>
      <c r="H372">
        <v>4</v>
      </c>
      <c r="I372">
        <v>4.43</v>
      </c>
      <c r="J372">
        <v>3.92</v>
      </c>
      <c r="K372">
        <v>3.75</v>
      </c>
      <c r="L372">
        <v>3.86</v>
      </c>
      <c r="M372">
        <f t="shared" si="15"/>
        <v>3.86</v>
      </c>
      <c r="N372">
        <f t="shared" si="16"/>
        <v>3.86</v>
      </c>
      <c r="O372">
        <f t="shared" si="17"/>
        <v>3.992</v>
      </c>
    </row>
    <row r="373" spans="1:15" ht="15" customHeight="1" x14ac:dyDescent="0.3">
      <c r="A373" t="s">
        <v>768</v>
      </c>
      <c r="B373" t="s">
        <v>2345</v>
      </c>
      <c r="C373">
        <v>3.6</v>
      </c>
      <c r="D373">
        <v>3.98</v>
      </c>
      <c r="E373">
        <v>3.94</v>
      </c>
      <c r="F373">
        <v>4.33</v>
      </c>
      <c r="G373">
        <v>3.49</v>
      </c>
      <c r="H373">
        <v>3.91</v>
      </c>
      <c r="I373">
        <v>3.76</v>
      </c>
      <c r="J373">
        <v>4.16</v>
      </c>
      <c r="K373">
        <v>4.03</v>
      </c>
      <c r="L373">
        <v>4.32</v>
      </c>
      <c r="M373">
        <f t="shared" si="15"/>
        <v>3.8679999999999999</v>
      </c>
      <c r="N373">
        <f t="shared" si="16"/>
        <v>3.87</v>
      </c>
      <c r="O373">
        <f t="shared" si="17"/>
        <v>4.0359999999999996</v>
      </c>
    </row>
    <row r="374" spans="1:15" ht="15" customHeight="1" x14ac:dyDescent="0.3">
      <c r="A374" t="s">
        <v>770</v>
      </c>
      <c r="B374" t="s">
        <v>2346</v>
      </c>
      <c r="C374">
        <v>4.3</v>
      </c>
      <c r="D374">
        <v>3.48</v>
      </c>
      <c r="E374">
        <v>3.85</v>
      </c>
      <c r="F374">
        <v>4.3499999999999996</v>
      </c>
      <c r="G374">
        <v>4.7699999999999996</v>
      </c>
      <c r="H374">
        <v>4.09</v>
      </c>
      <c r="I374">
        <v>4.3899999999999997</v>
      </c>
      <c r="J374">
        <v>3.93</v>
      </c>
      <c r="K374">
        <v>4.3899999999999997</v>
      </c>
      <c r="L374">
        <v>4.07</v>
      </c>
      <c r="M374">
        <f t="shared" si="15"/>
        <v>4.1500000000000004</v>
      </c>
      <c r="N374">
        <f t="shared" si="16"/>
        <v>4.1500000000000004</v>
      </c>
      <c r="O374">
        <f t="shared" si="17"/>
        <v>4.1740000000000004</v>
      </c>
    </row>
    <row r="375" spans="1:15" ht="15" customHeight="1" x14ac:dyDescent="0.3">
      <c r="A375" t="s">
        <v>772</v>
      </c>
      <c r="B375" t="s">
        <v>2347</v>
      </c>
      <c r="C375">
        <v>4.17</v>
      </c>
      <c r="D375">
        <v>3.66</v>
      </c>
      <c r="E375">
        <v>4.3</v>
      </c>
      <c r="F375">
        <v>4.66</v>
      </c>
      <c r="G375">
        <v>3.83</v>
      </c>
      <c r="H375">
        <v>4.1399999999999997</v>
      </c>
      <c r="I375">
        <v>3.95</v>
      </c>
      <c r="J375">
        <v>3.6</v>
      </c>
      <c r="K375">
        <v>4.16</v>
      </c>
      <c r="L375">
        <v>3.85</v>
      </c>
      <c r="M375">
        <f t="shared" si="15"/>
        <v>4.1239999999999997</v>
      </c>
      <c r="N375">
        <f t="shared" si="16"/>
        <v>4.12</v>
      </c>
      <c r="O375">
        <f t="shared" si="17"/>
        <v>3.94</v>
      </c>
    </row>
    <row r="376" spans="1:15" ht="15" customHeight="1" x14ac:dyDescent="0.3">
      <c r="A376" t="s">
        <v>774</v>
      </c>
      <c r="B376" t="s">
        <v>2348</v>
      </c>
      <c r="C376">
        <v>3.78</v>
      </c>
      <c r="D376">
        <v>3.78</v>
      </c>
      <c r="E376">
        <v>4.1900000000000004</v>
      </c>
      <c r="F376">
        <v>3.63</v>
      </c>
      <c r="G376">
        <v>3.96</v>
      </c>
      <c r="H376">
        <v>3.81</v>
      </c>
      <c r="I376">
        <v>3.82</v>
      </c>
      <c r="J376">
        <v>3.73</v>
      </c>
      <c r="K376">
        <v>4.03</v>
      </c>
      <c r="L376">
        <v>4.26</v>
      </c>
      <c r="M376">
        <f t="shared" si="15"/>
        <v>3.8679999999999999</v>
      </c>
      <c r="N376">
        <f t="shared" si="16"/>
        <v>3.87</v>
      </c>
      <c r="O376">
        <f t="shared" si="17"/>
        <v>3.9299999999999997</v>
      </c>
    </row>
    <row r="377" spans="1:15" ht="15" customHeight="1" x14ac:dyDescent="0.3">
      <c r="A377" t="s">
        <v>776</v>
      </c>
      <c r="B377" t="s">
        <v>777</v>
      </c>
      <c r="C377">
        <v>4.1500000000000004</v>
      </c>
      <c r="D377">
        <v>4.17</v>
      </c>
      <c r="E377">
        <v>3.71</v>
      </c>
      <c r="F377">
        <v>4.1500000000000004</v>
      </c>
      <c r="G377">
        <v>3.94</v>
      </c>
      <c r="H377">
        <v>3.7</v>
      </c>
      <c r="I377">
        <v>3.97</v>
      </c>
      <c r="J377">
        <v>4.22</v>
      </c>
      <c r="K377">
        <v>4.12</v>
      </c>
      <c r="L377">
        <v>4.04</v>
      </c>
      <c r="M377">
        <f t="shared" si="15"/>
        <v>4.024</v>
      </c>
      <c r="N377">
        <f t="shared" si="16"/>
        <v>4.0199999999999996</v>
      </c>
      <c r="O377">
        <f t="shared" si="17"/>
        <v>4.01</v>
      </c>
    </row>
    <row r="378" spans="1:15" ht="15" customHeight="1" x14ac:dyDescent="0.3">
      <c r="A378" t="s">
        <v>778</v>
      </c>
      <c r="B378" t="s">
        <v>2349</v>
      </c>
      <c r="C378">
        <v>3.99</v>
      </c>
      <c r="D378">
        <v>4.55</v>
      </c>
      <c r="E378">
        <v>4.0199999999999996</v>
      </c>
      <c r="F378">
        <v>3.82</v>
      </c>
      <c r="G378">
        <v>4.2699999999999996</v>
      </c>
      <c r="H378">
        <v>4.3499999999999996</v>
      </c>
      <c r="I378">
        <v>3.9</v>
      </c>
      <c r="J378">
        <v>4.28</v>
      </c>
      <c r="K378">
        <v>4.3899999999999997</v>
      </c>
      <c r="L378">
        <v>2.98</v>
      </c>
      <c r="M378">
        <f t="shared" si="15"/>
        <v>4.13</v>
      </c>
      <c r="N378">
        <f t="shared" si="16"/>
        <v>4.13</v>
      </c>
      <c r="O378">
        <f t="shared" si="17"/>
        <v>3.9800000000000004</v>
      </c>
    </row>
    <row r="379" spans="1:15" ht="15" customHeight="1" x14ac:dyDescent="0.3">
      <c r="A379" t="s">
        <v>780</v>
      </c>
      <c r="B379" t="s">
        <v>781</v>
      </c>
      <c r="C379">
        <v>3.75</v>
      </c>
      <c r="D379">
        <v>4.59</v>
      </c>
      <c r="E379">
        <v>4.1500000000000004</v>
      </c>
      <c r="F379">
        <v>4.0199999999999996</v>
      </c>
      <c r="G379">
        <v>4.07</v>
      </c>
      <c r="H379">
        <v>3.93</v>
      </c>
      <c r="I379">
        <v>3.84</v>
      </c>
      <c r="J379">
        <v>4.09</v>
      </c>
      <c r="K379">
        <v>4.37</v>
      </c>
      <c r="L379">
        <v>3.55</v>
      </c>
      <c r="M379">
        <f t="shared" si="15"/>
        <v>4.1159999999999997</v>
      </c>
      <c r="N379">
        <f t="shared" si="16"/>
        <v>4.12</v>
      </c>
      <c r="O379">
        <f t="shared" si="17"/>
        <v>3.9560000000000004</v>
      </c>
    </row>
    <row r="380" spans="1:15" ht="15" customHeight="1" x14ac:dyDescent="0.3">
      <c r="A380" t="s">
        <v>782</v>
      </c>
      <c r="B380" t="s">
        <v>783</v>
      </c>
      <c r="C380">
        <v>4.55</v>
      </c>
      <c r="D380">
        <v>3.97</v>
      </c>
      <c r="E380">
        <v>3.4</v>
      </c>
      <c r="F380">
        <v>4.63</v>
      </c>
      <c r="G380">
        <v>4.07</v>
      </c>
      <c r="H380">
        <v>5.08</v>
      </c>
      <c r="I380">
        <v>4.21</v>
      </c>
      <c r="J380">
        <v>4.55</v>
      </c>
      <c r="K380">
        <v>4.4400000000000004</v>
      </c>
      <c r="L380">
        <v>4.3099999999999996</v>
      </c>
      <c r="M380">
        <f t="shared" si="15"/>
        <v>4.1240000000000006</v>
      </c>
      <c r="N380">
        <f t="shared" si="16"/>
        <v>4.12</v>
      </c>
      <c r="O380">
        <f t="shared" si="17"/>
        <v>4.5179999999999998</v>
      </c>
    </row>
    <row r="381" spans="1:15" ht="15" customHeight="1" x14ac:dyDescent="0.3">
      <c r="A381" t="s">
        <v>784</v>
      </c>
      <c r="B381" t="s">
        <v>785</v>
      </c>
      <c r="C381">
        <v>3.42</v>
      </c>
      <c r="D381">
        <v>4.57</v>
      </c>
      <c r="E381">
        <v>4.22</v>
      </c>
      <c r="F381">
        <v>3.98</v>
      </c>
      <c r="G381">
        <v>3.98</v>
      </c>
      <c r="H381">
        <v>3.53</v>
      </c>
      <c r="I381">
        <v>3.89</v>
      </c>
      <c r="J381">
        <v>4</v>
      </c>
      <c r="K381">
        <v>3.78</v>
      </c>
      <c r="L381">
        <v>4.08</v>
      </c>
      <c r="M381">
        <f t="shared" si="15"/>
        <v>4.0340000000000007</v>
      </c>
      <c r="N381">
        <f t="shared" si="16"/>
        <v>4.03</v>
      </c>
      <c r="O381">
        <f t="shared" si="17"/>
        <v>3.8560000000000003</v>
      </c>
    </row>
    <row r="382" spans="1:15" ht="15" customHeight="1" x14ac:dyDescent="0.3">
      <c r="A382" t="s">
        <v>786</v>
      </c>
      <c r="B382" t="s">
        <v>2350</v>
      </c>
      <c r="C382">
        <v>4.2</v>
      </c>
      <c r="D382">
        <v>3.88</v>
      </c>
      <c r="E382">
        <v>4.3899999999999997</v>
      </c>
      <c r="F382">
        <v>4.3499999999999996</v>
      </c>
      <c r="G382">
        <v>3.96</v>
      </c>
      <c r="H382">
        <v>4.22</v>
      </c>
      <c r="I382">
        <v>4.0199999999999996</v>
      </c>
      <c r="J382">
        <v>4.21</v>
      </c>
      <c r="K382">
        <v>4.0599999999999996</v>
      </c>
      <c r="L382">
        <v>4.01</v>
      </c>
      <c r="M382">
        <f t="shared" si="15"/>
        <v>4.1560000000000006</v>
      </c>
      <c r="N382">
        <f t="shared" si="16"/>
        <v>4.16</v>
      </c>
      <c r="O382">
        <f t="shared" si="17"/>
        <v>4.1039999999999992</v>
      </c>
    </row>
    <row r="383" spans="1:15" ht="15" customHeight="1" x14ac:dyDescent="0.3">
      <c r="A383" t="s">
        <v>788</v>
      </c>
      <c r="B383" t="s">
        <v>2351</v>
      </c>
      <c r="C383">
        <v>3.98</v>
      </c>
      <c r="D383" t="s">
        <v>211</v>
      </c>
      <c r="E383">
        <v>4.08</v>
      </c>
      <c r="F383">
        <v>3.81</v>
      </c>
      <c r="G383">
        <v>3.56</v>
      </c>
      <c r="H383">
        <v>4.05</v>
      </c>
      <c r="I383">
        <v>3.6</v>
      </c>
      <c r="J383">
        <v>4.7699999999999996</v>
      </c>
      <c r="K383">
        <v>4.0599999999999996</v>
      </c>
      <c r="L383">
        <v>3.94</v>
      </c>
      <c r="M383">
        <f t="shared" si="15"/>
        <v>3.8575000000000004</v>
      </c>
      <c r="N383">
        <f t="shared" si="16"/>
        <v>3.86</v>
      </c>
      <c r="O383">
        <f t="shared" si="17"/>
        <v>4.0840000000000005</v>
      </c>
    </row>
    <row r="384" spans="1:15" ht="15" customHeight="1" x14ac:dyDescent="0.3">
      <c r="A384" t="s">
        <v>790</v>
      </c>
      <c r="B384" t="s">
        <v>2352</v>
      </c>
      <c r="C384">
        <v>3.88</v>
      </c>
      <c r="D384">
        <v>3.51</v>
      </c>
      <c r="E384">
        <v>4.21</v>
      </c>
      <c r="F384">
        <v>4.22</v>
      </c>
      <c r="G384">
        <v>4.6100000000000003</v>
      </c>
      <c r="H384">
        <v>3.99</v>
      </c>
      <c r="I384">
        <v>4.07</v>
      </c>
      <c r="J384">
        <v>3.47</v>
      </c>
      <c r="K384">
        <v>3.86</v>
      </c>
      <c r="L384">
        <v>4.13</v>
      </c>
      <c r="M384">
        <f t="shared" si="15"/>
        <v>4.0860000000000003</v>
      </c>
      <c r="N384">
        <f t="shared" si="16"/>
        <v>4.09</v>
      </c>
      <c r="O384">
        <f t="shared" si="17"/>
        <v>3.9039999999999999</v>
      </c>
    </row>
    <row r="385" spans="1:15" ht="15" customHeight="1" x14ac:dyDescent="0.3">
      <c r="A385" t="s">
        <v>792</v>
      </c>
      <c r="B385" t="s">
        <v>2353</v>
      </c>
      <c r="C385">
        <v>4.01</v>
      </c>
      <c r="D385">
        <v>3.81</v>
      </c>
      <c r="E385">
        <v>4.54</v>
      </c>
      <c r="F385">
        <v>4.17</v>
      </c>
      <c r="G385">
        <v>3.68</v>
      </c>
      <c r="H385">
        <v>3.9</v>
      </c>
      <c r="I385">
        <v>3.64</v>
      </c>
      <c r="J385">
        <v>4.08</v>
      </c>
      <c r="K385">
        <v>3.78</v>
      </c>
      <c r="L385">
        <v>3.97</v>
      </c>
      <c r="M385">
        <f t="shared" si="15"/>
        <v>4.0419999999999998</v>
      </c>
      <c r="N385">
        <f t="shared" si="16"/>
        <v>4.04</v>
      </c>
      <c r="O385">
        <f t="shared" si="17"/>
        <v>3.8740000000000001</v>
      </c>
    </row>
    <row r="386" spans="1:15" ht="15" customHeight="1" x14ac:dyDescent="0.3">
      <c r="A386" t="s">
        <v>794</v>
      </c>
      <c r="B386" t="s">
        <v>2354</v>
      </c>
      <c r="C386">
        <v>4.34</v>
      </c>
      <c r="D386">
        <v>3.73</v>
      </c>
      <c r="E386">
        <v>4.17</v>
      </c>
      <c r="F386">
        <v>3.9</v>
      </c>
      <c r="G386">
        <v>3.71</v>
      </c>
      <c r="H386">
        <v>3.98</v>
      </c>
      <c r="I386">
        <v>4.22</v>
      </c>
      <c r="J386">
        <v>3.69</v>
      </c>
      <c r="K386">
        <v>3.52</v>
      </c>
      <c r="L386">
        <v>4.21</v>
      </c>
      <c r="M386">
        <f t="shared" ref="M386:M449" si="18">AVERAGE(C386:G386)</f>
        <v>3.97</v>
      </c>
      <c r="N386">
        <f t="shared" ref="N386:N449" si="19">ROUND(M386,2)</f>
        <v>3.97</v>
      </c>
      <c r="O386">
        <f t="shared" ref="O386:O449" si="20">AVERAGE(H386:L386)</f>
        <v>3.9239999999999995</v>
      </c>
    </row>
    <row r="387" spans="1:15" ht="15" customHeight="1" x14ac:dyDescent="0.3">
      <c r="A387" t="s">
        <v>796</v>
      </c>
      <c r="B387" t="s">
        <v>2355</v>
      </c>
      <c r="C387">
        <v>3.98</v>
      </c>
      <c r="D387">
        <v>3.39</v>
      </c>
      <c r="E387">
        <v>3.83</v>
      </c>
      <c r="F387">
        <v>3.84</v>
      </c>
      <c r="G387">
        <v>3.85</v>
      </c>
      <c r="H387">
        <v>3.86</v>
      </c>
      <c r="I387">
        <v>4.82</v>
      </c>
      <c r="J387">
        <v>4.37</v>
      </c>
      <c r="K387">
        <v>4.1399999999999997</v>
      </c>
      <c r="L387">
        <v>3.86</v>
      </c>
      <c r="M387">
        <f t="shared" si="18"/>
        <v>3.778</v>
      </c>
      <c r="N387">
        <f t="shared" si="19"/>
        <v>3.78</v>
      </c>
      <c r="O387">
        <f t="shared" si="20"/>
        <v>4.21</v>
      </c>
    </row>
    <row r="388" spans="1:15" ht="15" customHeight="1" x14ac:dyDescent="0.3">
      <c r="A388" t="s">
        <v>798</v>
      </c>
      <c r="B388" t="s">
        <v>2356</v>
      </c>
      <c r="C388">
        <v>3.84</v>
      </c>
      <c r="D388">
        <v>3.87</v>
      </c>
      <c r="E388">
        <v>3.95</v>
      </c>
      <c r="F388">
        <v>3.93</v>
      </c>
      <c r="G388">
        <v>3.93</v>
      </c>
      <c r="H388">
        <v>4.03</v>
      </c>
      <c r="I388">
        <v>4.1399999999999997</v>
      </c>
      <c r="J388">
        <v>3.9</v>
      </c>
      <c r="K388">
        <v>4.2</v>
      </c>
      <c r="L388">
        <v>3.9</v>
      </c>
      <c r="M388">
        <f t="shared" si="18"/>
        <v>3.9039999999999999</v>
      </c>
      <c r="N388">
        <f t="shared" si="19"/>
        <v>3.9</v>
      </c>
      <c r="O388">
        <f t="shared" si="20"/>
        <v>4.0339999999999998</v>
      </c>
    </row>
    <row r="389" spans="1:15" ht="15" customHeight="1" x14ac:dyDescent="0.3">
      <c r="A389" t="s">
        <v>800</v>
      </c>
      <c r="B389" t="s">
        <v>801</v>
      </c>
      <c r="C389">
        <v>4.3899999999999997</v>
      </c>
      <c r="D389">
        <v>4.29</v>
      </c>
      <c r="E389">
        <v>4.29</v>
      </c>
      <c r="F389">
        <v>3.65</v>
      </c>
      <c r="G389">
        <v>3.56</v>
      </c>
      <c r="H389">
        <v>3.97</v>
      </c>
      <c r="I389">
        <v>4.04</v>
      </c>
      <c r="J389">
        <v>4.3600000000000003</v>
      </c>
      <c r="K389">
        <v>3.95</v>
      </c>
      <c r="L389">
        <v>3.97</v>
      </c>
      <c r="M389">
        <f t="shared" si="18"/>
        <v>4.0359999999999996</v>
      </c>
      <c r="N389">
        <f t="shared" si="19"/>
        <v>4.04</v>
      </c>
      <c r="O389">
        <f t="shared" si="20"/>
        <v>4.0579999999999998</v>
      </c>
    </row>
    <row r="390" spans="1:15" ht="15" customHeight="1" x14ac:dyDescent="0.3">
      <c r="A390" t="s">
        <v>802</v>
      </c>
      <c r="B390" t="s">
        <v>2357</v>
      </c>
      <c r="C390">
        <v>4.59</v>
      </c>
      <c r="D390">
        <v>3.79</v>
      </c>
      <c r="E390">
        <v>3.6</v>
      </c>
      <c r="F390" t="s">
        <v>211</v>
      </c>
      <c r="G390">
        <v>3.71</v>
      </c>
      <c r="H390">
        <v>4.45</v>
      </c>
      <c r="I390">
        <v>4.51</v>
      </c>
      <c r="J390">
        <v>3.67</v>
      </c>
      <c r="K390">
        <v>4.08</v>
      </c>
      <c r="L390">
        <v>3.94</v>
      </c>
      <c r="M390">
        <f t="shared" si="18"/>
        <v>3.9224999999999994</v>
      </c>
      <c r="N390">
        <f t="shared" si="19"/>
        <v>3.92</v>
      </c>
      <c r="O390">
        <f t="shared" si="20"/>
        <v>4.1300000000000008</v>
      </c>
    </row>
    <row r="391" spans="1:15" ht="15" customHeight="1" x14ac:dyDescent="0.3">
      <c r="A391" t="s">
        <v>804</v>
      </c>
      <c r="B391" t="s">
        <v>2358</v>
      </c>
      <c r="C391">
        <v>3.54</v>
      </c>
      <c r="D391">
        <v>3.96</v>
      </c>
      <c r="E391">
        <v>4.12</v>
      </c>
      <c r="F391">
        <v>3.94</v>
      </c>
      <c r="G391">
        <v>4.13</v>
      </c>
      <c r="H391">
        <v>4.43</v>
      </c>
      <c r="I391">
        <v>4.24</v>
      </c>
      <c r="J391">
        <v>4.1900000000000004</v>
      </c>
      <c r="K391">
        <v>3.89</v>
      </c>
      <c r="L391">
        <v>4.1900000000000004</v>
      </c>
      <c r="M391">
        <f t="shared" si="18"/>
        <v>3.9380000000000002</v>
      </c>
      <c r="N391">
        <f t="shared" si="19"/>
        <v>3.94</v>
      </c>
      <c r="O391">
        <f t="shared" si="20"/>
        <v>4.1880000000000006</v>
      </c>
    </row>
    <row r="392" spans="1:15" ht="15" customHeight="1" x14ac:dyDescent="0.3">
      <c r="A392" t="s">
        <v>806</v>
      </c>
      <c r="B392" t="s">
        <v>2359</v>
      </c>
      <c r="C392">
        <v>3.67</v>
      </c>
      <c r="D392">
        <v>3.9</v>
      </c>
      <c r="E392">
        <v>4.04</v>
      </c>
      <c r="F392">
        <v>3.5</v>
      </c>
      <c r="G392">
        <v>3.62</v>
      </c>
      <c r="H392">
        <v>3.83</v>
      </c>
      <c r="I392">
        <v>3.95</v>
      </c>
      <c r="J392">
        <v>3.73</v>
      </c>
      <c r="K392">
        <v>4.5</v>
      </c>
      <c r="L392">
        <v>4.4000000000000004</v>
      </c>
      <c r="M392">
        <f t="shared" si="18"/>
        <v>3.746</v>
      </c>
      <c r="N392">
        <f t="shared" si="19"/>
        <v>3.75</v>
      </c>
      <c r="O392">
        <f t="shared" si="20"/>
        <v>4.081999999999999</v>
      </c>
    </row>
    <row r="393" spans="1:15" ht="15" customHeight="1" x14ac:dyDescent="0.3">
      <c r="A393" t="s">
        <v>808</v>
      </c>
      <c r="B393" t="s">
        <v>2360</v>
      </c>
      <c r="C393">
        <v>3.58</v>
      </c>
      <c r="D393">
        <v>4.04</v>
      </c>
      <c r="E393">
        <v>3.63</v>
      </c>
      <c r="F393">
        <v>3.96</v>
      </c>
      <c r="G393">
        <v>4.68</v>
      </c>
      <c r="H393">
        <v>3.77</v>
      </c>
      <c r="I393">
        <v>3.02</v>
      </c>
      <c r="J393">
        <v>3.71</v>
      </c>
      <c r="K393">
        <v>4.24</v>
      </c>
      <c r="L393">
        <v>3.78</v>
      </c>
      <c r="M393">
        <f t="shared" si="18"/>
        <v>3.9780000000000002</v>
      </c>
      <c r="N393">
        <f t="shared" si="19"/>
        <v>3.98</v>
      </c>
      <c r="O393">
        <f t="shared" si="20"/>
        <v>3.7039999999999997</v>
      </c>
    </row>
    <row r="394" spans="1:15" ht="15" customHeight="1" x14ac:dyDescent="0.3">
      <c r="A394" t="s">
        <v>810</v>
      </c>
      <c r="B394" t="s">
        <v>811</v>
      </c>
      <c r="C394">
        <v>3.73</v>
      </c>
      <c r="D394">
        <v>3.79</v>
      </c>
      <c r="E394">
        <v>4.17</v>
      </c>
      <c r="F394">
        <v>4.58</v>
      </c>
      <c r="G394">
        <v>4.2699999999999996</v>
      </c>
      <c r="H394">
        <v>3.94</v>
      </c>
      <c r="I394">
        <v>4.3899999999999997</v>
      </c>
      <c r="J394">
        <v>3.97</v>
      </c>
      <c r="K394">
        <v>3.64</v>
      </c>
      <c r="L394">
        <v>4.3600000000000003</v>
      </c>
      <c r="M394">
        <f t="shared" si="18"/>
        <v>4.1079999999999997</v>
      </c>
      <c r="N394">
        <f t="shared" si="19"/>
        <v>4.1100000000000003</v>
      </c>
      <c r="O394">
        <f t="shared" si="20"/>
        <v>4.0600000000000005</v>
      </c>
    </row>
    <row r="395" spans="1:15" ht="15" customHeight="1" x14ac:dyDescent="0.3">
      <c r="A395" t="s">
        <v>812</v>
      </c>
      <c r="B395" t="s">
        <v>2361</v>
      </c>
      <c r="C395">
        <v>3.04</v>
      </c>
      <c r="D395">
        <v>3.94</v>
      </c>
      <c r="E395">
        <v>3.96</v>
      </c>
      <c r="F395">
        <v>4.3099999999999996</v>
      </c>
      <c r="G395">
        <v>4.16</v>
      </c>
      <c r="H395" t="s">
        <v>211</v>
      </c>
      <c r="I395">
        <v>4.6399999999999997</v>
      </c>
      <c r="J395">
        <v>4.13</v>
      </c>
      <c r="K395">
        <v>3.95</v>
      </c>
      <c r="L395">
        <v>3.81</v>
      </c>
      <c r="M395">
        <f t="shared" si="18"/>
        <v>3.8820000000000001</v>
      </c>
      <c r="N395">
        <f t="shared" si="19"/>
        <v>3.88</v>
      </c>
      <c r="O395">
        <f t="shared" si="20"/>
        <v>4.1324999999999994</v>
      </c>
    </row>
    <row r="396" spans="1:15" ht="15" customHeight="1" x14ac:dyDescent="0.3">
      <c r="A396" t="s">
        <v>814</v>
      </c>
      <c r="B396" t="s">
        <v>2362</v>
      </c>
      <c r="C396">
        <v>3.37</v>
      </c>
      <c r="D396">
        <v>3.8</v>
      </c>
      <c r="E396">
        <v>4.0999999999999996</v>
      </c>
      <c r="F396">
        <v>4.12</v>
      </c>
      <c r="G396">
        <v>3.94</v>
      </c>
      <c r="H396">
        <v>4.1900000000000004</v>
      </c>
      <c r="I396">
        <v>3.77</v>
      </c>
      <c r="J396">
        <v>4.3600000000000003</v>
      </c>
      <c r="K396">
        <v>4.1100000000000003</v>
      </c>
      <c r="L396">
        <v>4.63</v>
      </c>
      <c r="M396">
        <f t="shared" si="18"/>
        <v>3.8660000000000005</v>
      </c>
      <c r="N396">
        <f t="shared" si="19"/>
        <v>3.87</v>
      </c>
      <c r="O396">
        <f t="shared" si="20"/>
        <v>4.2119999999999997</v>
      </c>
    </row>
    <row r="397" spans="1:15" ht="15" customHeight="1" x14ac:dyDescent="0.3">
      <c r="A397" t="s">
        <v>816</v>
      </c>
      <c r="B397" t="s">
        <v>817</v>
      </c>
      <c r="C397">
        <v>3.85</v>
      </c>
      <c r="D397">
        <v>3.96</v>
      </c>
      <c r="E397">
        <v>4.3</v>
      </c>
      <c r="F397">
        <v>4.18</v>
      </c>
      <c r="G397">
        <v>3.68</v>
      </c>
      <c r="H397">
        <v>4.09</v>
      </c>
      <c r="I397">
        <v>4.45</v>
      </c>
      <c r="J397">
        <v>3.75</v>
      </c>
      <c r="K397">
        <v>4.1100000000000003</v>
      </c>
      <c r="L397">
        <v>3.92</v>
      </c>
      <c r="M397">
        <f t="shared" si="18"/>
        <v>3.9939999999999998</v>
      </c>
      <c r="N397">
        <f t="shared" si="19"/>
        <v>3.99</v>
      </c>
      <c r="O397">
        <f t="shared" si="20"/>
        <v>4.0640000000000001</v>
      </c>
    </row>
    <row r="398" spans="1:15" ht="15" customHeight="1" x14ac:dyDescent="0.3">
      <c r="A398" t="s">
        <v>818</v>
      </c>
      <c r="B398" t="s">
        <v>2363</v>
      </c>
      <c r="C398">
        <v>4</v>
      </c>
      <c r="D398">
        <v>3.63</v>
      </c>
      <c r="E398">
        <v>4.1500000000000004</v>
      </c>
      <c r="F398">
        <v>4.0999999999999996</v>
      </c>
      <c r="G398">
        <v>4.09</v>
      </c>
      <c r="H398">
        <v>3.76</v>
      </c>
      <c r="I398">
        <v>4.1900000000000004</v>
      </c>
      <c r="J398">
        <v>3.75</v>
      </c>
      <c r="K398">
        <v>4.49</v>
      </c>
      <c r="L398">
        <v>3.57</v>
      </c>
      <c r="M398">
        <f t="shared" si="18"/>
        <v>3.9939999999999998</v>
      </c>
      <c r="N398">
        <f t="shared" si="19"/>
        <v>3.99</v>
      </c>
      <c r="O398">
        <f t="shared" si="20"/>
        <v>3.9519999999999995</v>
      </c>
    </row>
    <row r="399" spans="1:15" ht="15" customHeight="1" x14ac:dyDescent="0.3">
      <c r="A399" t="s">
        <v>820</v>
      </c>
      <c r="B399" t="s">
        <v>821</v>
      </c>
      <c r="C399">
        <v>3.75</v>
      </c>
      <c r="D399">
        <v>3.71</v>
      </c>
      <c r="E399">
        <v>4.42</v>
      </c>
      <c r="F399">
        <v>4.18</v>
      </c>
      <c r="G399">
        <v>3.88</v>
      </c>
      <c r="H399">
        <v>4.42</v>
      </c>
      <c r="I399">
        <v>3.82</v>
      </c>
      <c r="J399">
        <v>4.49</v>
      </c>
      <c r="K399">
        <v>4.32</v>
      </c>
      <c r="L399">
        <v>4.4400000000000004</v>
      </c>
      <c r="M399">
        <f t="shared" si="18"/>
        <v>3.9879999999999995</v>
      </c>
      <c r="N399">
        <f t="shared" si="19"/>
        <v>3.99</v>
      </c>
      <c r="O399">
        <f t="shared" si="20"/>
        <v>4.298</v>
      </c>
    </row>
    <row r="400" spans="1:15" ht="15" customHeight="1" x14ac:dyDescent="0.3">
      <c r="A400" t="s">
        <v>822</v>
      </c>
      <c r="B400" t="s">
        <v>823</v>
      </c>
      <c r="C400">
        <v>4.0599999999999996</v>
      </c>
      <c r="D400">
        <v>3.63</v>
      </c>
      <c r="E400">
        <v>4.34</v>
      </c>
      <c r="F400">
        <v>4.2300000000000004</v>
      </c>
      <c r="G400">
        <v>4.09</v>
      </c>
      <c r="H400">
        <v>3.87</v>
      </c>
      <c r="I400">
        <v>3.86</v>
      </c>
      <c r="J400">
        <v>4.3600000000000003</v>
      </c>
      <c r="K400">
        <v>4.04</v>
      </c>
      <c r="L400">
        <v>3.65</v>
      </c>
      <c r="M400">
        <f t="shared" si="18"/>
        <v>4.0699999999999994</v>
      </c>
      <c r="N400">
        <f t="shared" si="19"/>
        <v>4.07</v>
      </c>
      <c r="O400">
        <f t="shared" si="20"/>
        <v>3.9559999999999995</v>
      </c>
    </row>
    <row r="401" spans="1:15" ht="15" customHeight="1" x14ac:dyDescent="0.3">
      <c r="A401" t="s">
        <v>824</v>
      </c>
      <c r="B401" t="s">
        <v>2364</v>
      </c>
      <c r="C401">
        <v>3.78</v>
      </c>
      <c r="D401">
        <v>4.25</v>
      </c>
      <c r="E401">
        <v>3.88</v>
      </c>
      <c r="F401">
        <v>3.54</v>
      </c>
      <c r="G401">
        <v>3.84</v>
      </c>
      <c r="H401">
        <v>4.08</v>
      </c>
      <c r="I401">
        <v>3.72</v>
      </c>
      <c r="J401">
        <v>4.3</v>
      </c>
      <c r="K401">
        <v>3.04</v>
      </c>
      <c r="L401">
        <v>3.64</v>
      </c>
      <c r="M401">
        <f t="shared" si="18"/>
        <v>3.8579999999999997</v>
      </c>
      <c r="N401">
        <f t="shared" si="19"/>
        <v>3.86</v>
      </c>
      <c r="O401">
        <f t="shared" si="20"/>
        <v>3.7560000000000002</v>
      </c>
    </row>
    <row r="402" spans="1:15" ht="15" customHeight="1" x14ac:dyDescent="0.3">
      <c r="A402" t="s">
        <v>826</v>
      </c>
      <c r="B402" t="s">
        <v>2365</v>
      </c>
      <c r="C402">
        <v>4.0199999999999996</v>
      </c>
      <c r="D402">
        <v>4.3899999999999997</v>
      </c>
      <c r="E402">
        <v>3.88</v>
      </c>
      <c r="F402">
        <v>3.67</v>
      </c>
      <c r="G402">
        <v>4.3</v>
      </c>
      <c r="H402">
        <v>4.26</v>
      </c>
      <c r="I402">
        <v>3.91</v>
      </c>
      <c r="J402">
        <v>4.21</v>
      </c>
      <c r="K402">
        <v>3.79</v>
      </c>
      <c r="L402">
        <v>4.4400000000000004</v>
      </c>
      <c r="M402">
        <f t="shared" si="18"/>
        <v>4.0519999999999996</v>
      </c>
      <c r="N402">
        <f t="shared" si="19"/>
        <v>4.05</v>
      </c>
      <c r="O402">
        <f t="shared" si="20"/>
        <v>4.1219999999999999</v>
      </c>
    </row>
    <row r="403" spans="1:15" ht="15" customHeight="1" x14ac:dyDescent="0.3">
      <c r="A403" t="s">
        <v>828</v>
      </c>
      <c r="B403" t="s">
        <v>2366</v>
      </c>
      <c r="C403">
        <v>4.49</v>
      </c>
      <c r="D403">
        <v>4.0199999999999996</v>
      </c>
      <c r="E403">
        <v>4.4000000000000004</v>
      </c>
      <c r="F403">
        <v>4.03</v>
      </c>
      <c r="G403">
        <v>4.1100000000000003</v>
      </c>
      <c r="H403">
        <v>4.13</v>
      </c>
      <c r="I403" t="s">
        <v>211</v>
      </c>
      <c r="J403">
        <v>3.86</v>
      </c>
      <c r="K403">
        <v>3.67</v>
      </c>
      <c r="L403">
        <v>4.43</v>
      </c>
      <c r="M403">
        <f t="shared" si="18"/>
        <v>4.21</v>
      </c>
      <c r="N403">
        <f t="shared" si="19"/>
        <v>4.21</v>
      </c>
      <c r="O403">
        <f t="shared" si="20"/>
        <v>4.0225</v>
      </c>
    </row>
    <row r="404" spans="1:15" ht="15" customHeight="1" x14ac:dyDescent="0.3">
      <c r="A404" t="s">
        <v>830</v>
      </c>
      <c r="B404" t="s">
        <v>2367</v>
      </c>
      <c r="C404">
        <v>4.03</v>
      </c>
      <c r="D404">
        <v>3.81</v>
      </c>
      <c r="E404">
        <v>3.92</v>
      </c>
      <c r="F404">
        <v>3.93</v>
      </c>
      <c r="G404">
        <v>4.18</v>
      </c>
      <c r="H404">
        <v>3.82</v>
      </c>
      <c r="I404">
        <v>3.73</v>
      </c>
      <c r="J404">
        <v>4.53</v>
      </c>
      <c r="K404">
        <v>3.93</v>
      </c>
      <c r="L404">
        <v>4.3899999999999997</v>
      </c>
      <c r="M404">
        <f t="shared" si="18"/>
        <v>3.9739999999999993</v>
      </c>
      <c r="N404">
        <f t="shared" si="19"/>
        <v>3.97</v>
      </c>
      <c r="O404">
        <f t="shared" si="20"/>
        <v>4.08</v>
      </c>
    </row>
    <row r="405" spans="1:15" ht="15" customHeight="1" x14ac:dyDescent="0.3">
      <c r="A405" t="s">
        <v>832</v>
      </c>
      <c r="B405" t="s">
        <v>833</v>
      </c>
      <c r="C405">
        <v>4.04</v>
      </c>
      <c r="D405">
        <v>3.83</v>
      </c>
      <c r="E405">
        <v>3.54</v>
      </c>
      <c r="F405">
        <v>3.9</v>
      </c>
      <c r="G405">
        <v>3.62</v>
      </c>
      <c r="H405">
        <v>3.92</v>
      </c>
      <c r="I405">
        <v>4.54</v>
      </c>
      <c r="J405">
        <v>4.03</v>
      </c>
      <c r="K405">
        <v>3.9</v>
      </c>
      <c r="L405">
        <v>3.78</v>
      </c>
      <c r="M405">
        <f t="shared" si="18"/>
        <v>3.786</v>
      </c>
      <c r="N405">
        <f t="shared" si="19"/>
        <v>3.79</v>
      </c>
      <c r="O405">
        <f t="shared" si="20"/>
        <v>4.0340000000000007</v>
      </c>
    </row>
    <row r="406" spans="1:15" ht="15" customHeight="1" x14ac:dyDescent="0.3">
      <c r="A406" t="s">
        <v>834</v>
      </c>
      <c r="B406" t="s">
        <v>835</v>
      </c>
      <c r="C406" t="s">
        <v>211</v>
      </c>
      <c r="D406">
        <v>4.16</v>
      </c>
      <c r="E406">
        <v>4.2</v>
      </c>
      <c r="F406">
        <v>4.5199999999999996</v>
      </c>
      <c r="G406">
        <v>4</v>
      </c>
      <c r="H406">
        <v>4.4000000000000004</v>
      </c>
      <c r="I406">
        <v>4.16</v>
      </c>
      <c r="J406">
        <v>4.01</v>
      </c>
      <c r="K406">
        <v>3.8</v>
      </c>
      <c r="L406">
        <v>3.65</v>
      </c>
      <c r="M406">
        <f t="shared" si="18"/>
        <v>4.22</v>
      </c>
      <c r="N406">
        <f t="shared" si="19"/>
        <v>4.22</v>
      </c>
      <c r="O406">
        <f t="shared" si="20"/>
        <v>4.0039999999999996</v>
      </c>
    </row>
    <row r="407" spans="1:15" ht="15" customHeight="1" x14ac:dyDescent="0.3">
      <c r="A407" t="s">
        <v>836</v>
      </c>
      <c r="B407" t="s">
        <v>2368</v>
      </c>
      <c r="C407">
        <v>4.6900000000000004</v>
      </c>
      <c r="D407">
        <v>4.13</v>
      </c>
      <c r="E407">
        <v>3.91</v>
      </c>
      <c r="F407">
        <v>3.86</v>
      </c>
      <c r="G407">
        <v>3.41</v>
      </c>
      <c r="H407">
        <v>4.6500000000000004</v>
      </c>
      <c r="I407">
        <v>4.28</v>
      </c>
      <c r="J407">
        <v>4.21</v>
      </c>
      <c r="K407">
        <v>4.3099999999999996</v>
      </c>
      <c r="L407">
        <v>3.76</v>
      </c>
      <c r="M407">
        <f t="shared" si="18"/>
        <v>4</v>
      </c>
      <c r="N407">
        <f t="shared" si="19"/>
        <v>4</v>
      </c>
      <c r="O407">
        <f t="shared" si="20"/>
        <v>4.242</v>
      </c>
    </row>
    <row r="408" spans="1:15" ht="15" customHeight="1" x14ac:dyDescent="0.3">
      <c r="A408" t="s">
        <v>838</v>
      </c>
      <c r="B408" t="s">
        <v>2369</v>
      </c>
      <c r="C408" t="s">
        <v>211</v>
      </c>
      <c r="D408">
        <v>4.05</v>
      </c>
      <c r="E408">
        <v>4.1100000000000003</v>
      </c>
      <c r="F408">
        <v>4.0199999999999996</v>
      </c>
      <c r="G408">
        <v>4.0599999999999996</v>
      </c>
      <c r="H408">
        <v>4.4400000000000004</v>
      </c>
      <c r="I408">
        <v>3.89</v>
      </c>
      <c r="J408">
        <v>4.33</v>
      </c>
      <c r="K408">
        <v>4.21</v>
      </c>
      <c r="L408">
        <v>4.3</v>
      </c>
      <c r="M408">
        <f t="shared" si="18"/>
        <v>4.0599999999999996</v>
      </c>
      <c r="N408">
        <f t="shared" si="19"/>
        <v>4.0599999999999996</v>
      </c>
      <c r="O408">
        <f t="shared" si="20"/>
        <v>4.234</v>
      </c>
    </row>
    <row r="409" spans="1:15" ht="15" customHeight="1" x14ac:dyDescent="0.3">
      <c r="A409" t="s">
        <v>840</v>
      </c>
      <c r="B409" t="s">
        <v>2370</v>
      </c>
      <c r="C409">
        <v>3.88</v>
      </c>
      <c r="D409">
        <v>3.88</v>
      </c>
      <c r="E409">
        <v>4.42</v>
      </c>
      <c r="F409">
        <v>4</v>
      </c>
      <c r="G409">
        <v>4.22</v>
      </c>
      <c r="H409">
        <v>3.63</v>
      </c>
      <c r="I409" t="s">
        <v>211</v>
      </c>
      <c r="J409" t="s">
        <v>211</v>
      </c>
      <c r="K409">
        <v>4.08</v>
      </c>
      <c r="L409">
        <v>3.98</v>
      </c>
      <c r="M409">
        <f t="shared" si="18"/>
        <v>4.08</v>
      </c>
      <c r="N409">
        <f t="shared" si="19"/>
        <v>4.08</v>
      </c>
      <c r="O409">
        <f t="shared" si="20"/>
        <v>3.8966666666666665</v>
      </c>
    </row>
    <row r="410" spans="1:15" ht="15" customHeight="1" x14ac:dyDescent="0.3">
      <c r="A410" t="s">
        <v>842</v>
      </c>
      <c r="B410" t="s">
        <v>843</v>
      </c>
      <c r="C410">
        <v>4.09</v>
      </c>
      <c r="D410">
        <v>4.34</v>
      </c>
      <c r="E410">
        <v>3.91</v>
      </c>
      <c r="F410">
        <v>4.16</v>
      </c>
      <c r="G410">
        <v>4</v>
      </c>
      <c r="H410">
        <v>3.66</v>
      </c>
      <c r="I410" t="s">
        <v>211</v>
      </c>
      <c r="J410">
        <v>3.47</v>
      </c>
      <c r="K410">
        <v>3.92</v>
      </c>
      <c r="L410">
        <v>3.74</v>
      </c>
      <c r="M410">
        <f t="shared" si="18"/>
        <v>4.0999999999999996</v>
      </c>
      <c r="N410">
        <f t="shared" si="19"/>
        <v>4.0999999999999996</v>
      </c>
      <c r="O410">
        <f t="shared" si="20"/>
        <v>3.6975000000000002</v>
      </c>
    </row>
    <row r="411" spans="1:15" ht="15" customHeight="1" x14ac:dyDescent="0.3">
      <c r="A411" t="s">
        <v>844</v>
      </c>
      <c r="B411" t="s">
        <v>845</v>
      </c>
      <c r="C411">
        <v>3.8</v>
      </c>
      <c r="D411">
        <v>4.17</v>
      </c>
      <c r="E411">
        <v>3.77</v>
      </c>
      <c r="F411">
        <v>3.84</v>
      </c>
      <c r="G411">
        <v>4.3600000000000003</v>
      </c>
      <c r="H411">
        <v>4.3899999999999997</v>
      </c>
      <c r="I411">
        <v>3.63</v>
      </c>
      <c r="J411">
        <v>3.81</v>
      </c>
      <c r="K411">
        <v>4.0999999999999996</v>
      </c>
      <c r="L411">
        <v>4.22</v>
      </c>
      <c r="M411">
        <f t="shared" si="18"/>
        <v>3.9880000000000004</v>
      </c>
      <c r="N411">
        <f t="shared" si="19"/>
        <v>3.99</v>
      </c>
      <c r="O411">
        <f t="shared" si="20"/>
        <v>4.0299999999999994</v>
      </c>
    </row>
    <row r="412" spans="1:15" ht="15" customHeight="1" x14ac:dyDescent="0.3">
      <c r="A412" t="s">
        <v>846</v>
      </c>
      <c r="B412" t="s">
        <v>2371</v>
      </c>
      <c r="C412">
        <v>3.42</v>
      </c>
      <c r="D412">
        <v>4.3499999999999996</v>
      </c>
      <c r="E412">
        <v>4.1100000000000003</v>
      </c>
      <c r="F412">
        <v>3.59</v>
      </c>
      <c r="G412">
        <v>3.88</v>
      </c>
      <c r="H412">
        <v>3.98</v>
      </c>
      <c r="I412">
        <v>4.41</v>
      </c>
      <c r="J412">
        <v>4.21</v>
      </c>
      <c r="K412">
        <v>4.01</v>
      </c>
      <c r="L412">
        <v>3.85</v>
      </c>
      <c r="M412">
        <f t="shared" si="18"/>
        <v>3.8699999999999997</v>
      </c>
      <c r="N412">
        <f t="shared" si="19"/>
        <v>3.87</v>
      </c>
      <c r="O412">
        <f t="shared" si="20"/>
        <v>4.0920000000000005</v>
      </c>
    </row>
    <row r="413" spans="1:15" ht="15" customHeight="1" x14ac:dyDescent="0.3">
      <c r="A413" t="s">
        <v>848</v>
      </c>
      <c r="B413" t="s">
        <v>2372</v>
      </c>
      <c r="C413">
        <v>4.1100000000000003</v>
      </c>
      <c r="D413">
        <v>3.39</v>
      </c>
      <c r="E413">
        <v>3.77</v>
      </c>
      <c r="F413">
        <v>4.22</v>
      </c>
      <c r="G413">
        <v>3.35</v>
      </c>
      <c r="H413">
        <v>4.3099999999999996</v>
      </c>
      <c r="I413">
        <v>4.6399999999999997</v>
      </c>
      <c r="J413">
        <v>3.59</v>
      </c>
      <c r="K413">
        <v>3.97</v>
      </c>
      <c r="L413">
        <v>4.5999999999999996</v>
      </c>
      <c r="M413">
        <f t="shared" si="18"/>
        <v>3.7679999999999998</v>
      </c>
      <c r="N413">
        <f t="shared" si="19"/>
        <v>3.77</v>
      </c>
      <c r="O413">
        <f t="shared" si="20"/>
        <v>4.2219999999999995</v>
      </c>
    </row>
    <row r="414" spans="1:15" ht="15" customHeight="1" x14ac:dyDescent="0.3">
      <c r="A414" t="s">
        <v>850</v>
      </c>
      <c r="B414" t="s">
        <v>2373</v>
      </c>
      <c r="C414">
        <v>4.2699999999999996</v>
      </c>
      <c r="D414">
        <v>4.55</v>
      </c>
      <c r="E414">
        <v>3.86</v>
      </c>
      <c r="F414">
        <v>3.89</v>
      </c>
      <c r="G414">
        <v>3.84</v>
      </c>
      <c r="H414">
        <v>3.96</v>
      </c>
      <c r="I414">
        <v>4.0999999999999996</v>
      </c>
      <c r="J414">
        <v>4.53</v>
      </c>
      <c r="K414">
        <v>3.74</v>
      </c>
      <c r="L414">
        <v>4.43</v>
      </c>
      <c r="M414">
        <f t="shared" si="18"/>
        <v>4.0819999999999999</v>
      </c>
      <c r="N414">
        <f t="shared" si="19"/>
        <v>4.08</v>
      </c>
      <c r="O414">
        <f t="shared" si="20"/>
        <v>4.1519999999999992</v>
      </c>
    </row>
    <row r="415" spans="1:15" ht="15" customHeight="1" x14ac:dyDescent="0.3">
      <c r="A415" t="s">
        <v>852</v>
      </c>
      <c r="B415" t="s">
        <v>2374</v>
      </c>
      <c r="C415">
        <v>3.61</v>
      </c>
      <c r="D415">
        <v>4.04</v>
      </c>
      <c r="E415">
        <v>3.98</v>
      </c>
      <c r="F415">
        <v>3.75</v>
      </c>
      <c r="G415">
        <v>4.2699999999999996</v>
      </c>
      <c r="H415">
        <v>3.75</v>
      </c>
      <c r="I415">
        <v>4.1900000000000004</v>
      </c>
      <c r="J415">
        <v>4.21</v>
      </c>
      <c r="K415">
        <v>4.58</v>
      </c>
      <c r="L415">
        <v>4.16</v>
      </c>
      <c r="M415">
        <f t="shared" si="18"/>
        <v>3.9299999999999997</v>
      </c>
      <c r="N415">
        <f t="shared" si="19"/>
        <v>3.93</v>
      </c>
      <c r="O415">
        <f t="shared" si="20"/>
        <v>4.1779999999999999</v>
      </c>
    </row>
    <row r="416" spans="1:15" ht="15" customHeight="1" x14ac:dyDescent="0.3">
      <c r="A416" t="s">
        <v>854</v>
      </c>
      <c r="B416" t="s">
        <v>855</v>
      </c>
      <c r="C416">
        <v>4.2699999999999996</v>
      </c>
      <c r="D416">
        <v>3.98</v>
      </c>
      <c r="E416">
        <v>3.95</v>
      </c>
      <c r="F416">
        <v>3.86</v>
      </c>
      <c r="G416">
        <v>4.1100000000000003</v>
      </c>
      <c r="H416">
        <v>4.24</v>
      </c>
      <c r="I416">
        <v>4.38</v>
      </c>
      <c r="J416">
        <v>3.95</v>
      </c>
      <c r="K416">
        <v>3.69</v>
      </c>
      <c r="L416">
        <v>3.72</v>
      </c>
      <c r="M416">
        <f t="shared" si="18"/>
        <v>4.0339999999999998</v>
      </c>
      <c r="N416">
        <f t="shared" si="19"/>
        <v>4.03</v>
      </c>
      <c r="O416">
        <f t="shared" si="20"/>
        <v>3.996</v>
      </c>
    </row>
    <row r="417" spans="1:15" ht="15" customHeight="1" x14ac:dyDescent="0.3">
      <c r="A417" t="s">
        <v>856</v>
      </c>
      <c r="B417" t="s">
        <v>2375</v>
      </c>
      <c r="C417">
        <v>3.55</v>
      </c>
      <c r="D417">
        <v>4.29</v>
      </c>
      <c r="E417" t="s">
        <v>211</v>
      </c>
      <c r="F417">
        <v>3.68</v>
      </c>
      <c r="G417">
        <v>3.99</v>
      </c>
      <c r="H417">
        <v>3.74</v>
      </c>
      <c r="I417">
        <v>4.4400000000000004</v>
      </c>
      <c r="J417">
        <v>3.89</v>
      </c>
      <c r="K417">
        <v>3.6</v>
      </c>
      <c r="L417">
        <v>3.95</v>
      </c>
      <c r="M417">
        <f t="shared" si="18"/>
        <v>3.8774999999999999</v>
      </c>
      <c r="N417">
        <f t="shared" si="19"/>
        <v>3.88</v>
      </c>
      <c r="O417">
        <f t="shared" si="20"/>
        <v>3.9240000000000004</v>
      </c>
    </row>
    <row r="418" spans="1:15" ht="15" customHeight="1" x14ac:dyDescent="0.3">
      <c r="A418" t="s">
        <v>858</v>
      </c>
      <c r="B418" t="s">
        <v>2376</v>
      </c>
      <c r="C418">
        <v>4.32</v>
      </c>
      <c r="D418">
        <v>4.2699999999999996</v>
      </c>
      <c r="E418">
        <v>4.5199999999999996</v>
      </c>
      <c r="F418">
        <v>3.59</v>
      </c>
      <c r="G418">
        <v>4.0599999999999996</v>
      </c>
      <c r="H418">
        <v>4.45</v>
      </c>
      <c r="I418">
        <v>4.1399999999999997</v>
      </c>
      <c r="J418">
        <v>4.04</v>
      </c>
      <c r="K418">
        <v>3.64</v>
      </c>
      <c r="L418">
        <v>4.4000000000000004</v>
      </c>
      <c r="M418">
        <f t="shared" si="18"/>
        <v>4.1519999999999992</v>
      </c>
      <c r="N418">
        <f t="shared" si="19"/>
        <v>4.1500000000000004</v>
      </c>
      <c r="O418">
        <f t="shared" si="20"/>
        <v>4.1340000000000003</v>
      </c>
    </row>
    <row r="419" spans="1:15" ht="15" customHeight="1" x14ac:dyDescent="0.3">
      <c r="A419" t="s">
        <v>860</v>
      </c>
      <c r="B419" t="s">
        <v>2377</v>
      </c>
      <c r="C419">
        <v>3.97</v>
      </c>
      <c r="D419">
        <v>4.3600000000000003</v>
      </c>
      <c r="E419">
        <v>3.85</v>
      </c>
      <c r="F419">
        <v>4.62</v>
      </c>
      <c r="G419">
        <v>3.72</v>
      </c>
      <c r="H419">
        <v>4.13</v>
      </c>
      <c r="I419">
        <v>3.97</v>
      </c>
      <c r="J419">
        <v>3.98</v>
      </c>
      <c r="K419">
        <v>3.87</v>
      </c>
      <c r="L419">
        <v>4.03</v>
      </c>
      <c r="M419">
        <f t="shared" si="18"/>
        <v>4.1040000000000001</v>
      </c>
      <c r="N419">
        <f t="shared" si="19"/>
        <v>4.0999999999999996</v>
      </c>
      <c r="O419">
        <f t="shared" si="20"/>
        <v>3.996</v>
      </c>
    </row>
    <row r="420" spans="1:15" ht="15" customHeight="1" x14ac:dyDescent="0.3">
      <c r="A420" t="s">
        <v>862</v>
      </c>
      <c r="B420" t="s">
        <v>2378</v>
      </c>
      <c r="C420">
        <v>4.0199999999999996</v>
      </c>
      <c r="D420">
        <v>3.9</v>
      </c>
      <c r="E420">
        <v>4.1900000000000004</v>
      </c>
      <c r="F420">
        <v>3.31</v>
      </c>
      <c r="G420">
        <v>3.99</v>
      </c>
      <c r="H420">
        <v>3.89</v>
      </c>
      <c r="I420">
        <v>3.75</v>
      </c>
      <c r="J420">
        <v>4.2300000000000004</v>
      </c>
      <c r="K420">
        <v>4.2300000000000004</v>
      </c>
      <c r="L420">
        <v>4.4400000000000004</v>
      </c>
      <c r="M420">
        <f t="shared" si="18"/>
        <v>3.8820000000000001</v>
      </c>
      <c r="N420">
        <f t="shared" si="19"/>
        <v>3.88</v>
      </c>
      <c r="O420">
        <f t="shared" si="20"/>
        <v>4.1080000000000005</v>
      </c>
    </row>
    <row r="421" spans="1:15" ht="15" customHeight="1" x14ac:dyDescent="0.3">
      <c r="A421" t="s">
        <v>864</v>
      </c>
      <c r="B421" t="s">
        <v>865</v>
      </c>
      <c r="C421">
        <v>4.29</v>
      </c>
      <c r="D421">
        <v>4.2</v>
      </c>
      <c r="E421">
        <v>3.75</v>
      </c>
      <c r="F421">
        <v>3.64</v>
      </c>
      <c r="G421">
        <v>4.32</v>
      </c>
      <c r="H421">
        <v>4.5</v>
      </c>
      <c r="I421">
        <v>4.47</v>
      </c>
      <c r="J421">
        <v>4.32</v>
      </c>
      <c r="K421">
        <v>3.96</v>
      </c>
      <c r="L421">
        <v>3.95</v>
      </c>
      <c r="M421">
        <f t="shared" si="18"/>
        <v>4.0400000000000009</v>
      </c>
      <c r="N421">
        <f t="shared" si="19"/>
        <v>4.04</v>
      </c>
      <c r="O421">
        <f t="shared" si="20"/>
        <v>4.24</v>
      </c>
    </row>
    <row r="422" spans="1:15" ht="15" customHeight="1" x14ac:dyDescent="0.3">
      <c r="A422" t="s">
        <v>866</v>
      </c>
      <c r="B422" t="s">
        <v>867</v>
      </c>
      <c r="C422">
        <v>3.91</v>
      </c>
      <c r="D422">
        <v>3.93</v>
      </c>
      <c r="E422">
        <v>3.96</v>
      </c>
      <c r="F422">
        <v>4.0199999999999996</v>
      </c>
      <c r="G422">
        <v>4.1900000000000004</v>
      </c>
      <c r="H422">
        <v>4.3</v>
      </c>
      <c r="I422">
        <v>4.49</v>
      </c>
      <c r="J422">
        <v>3.59</v>
      </c>
      <c r="K422">
        <v>4.1399999999999997</v>
      </c>
      <c r="L422">
        <v>4.2</v>
      </c>
      <c r="M422">
        <f t="shared" si="18"/>
        <v>4.0020000000000007</v>
      </c>
      <c r="N422">
        <f t="shared" si="19"/>
        <v>4</v>
      </c>
      <c r="O422">
        <f t="shared" si="20"/>
        <v>4.1440000000000001</v>
      </c>
    </row>
    <row r="423" spans="1:15" ht="15" customHeight="1" x14ac:dyDescent="0.3">
      <c r="A423" t="s">
        <v>868</v>
      </c>
      <c r="B423" t="s">
        <v>2379</v>
      </c>
      <c r="C423">
        <v>3.87</v>
      </c>
      <c r="D423">
        <v>4.53</v>
      </c>
      <c r="E423">
        <v>4.3099999999999996</v>
      </c>
      <c r="F423">
        <v>3.99</v>
      </c>
      <c r="G423">
        <v>4.34</v>
      </c>
      <c r="H423">
        <v>4.67</v>
      </c>
      <c r="I423">
        <v>4.08</v>
      </c>
      <c r="J423">
        <v>4.04</v>
      </c>
      <c r="K423">
        <v>4.05</v>
      </c>
      <c r="L423">
        <v>4</v>
      </c>
      <c r="M423">
        <f t="shared" si="18"/>
        <v>4.2080000000000002</v>
      </c>
      <c r="N423">
        <f t="shared" si="19"/>
        <v>4.21</v>
      </c>
      <c r="O423">
        <f t="shared" si="20"/>
        <v>4.1680000000000001</v>
      </c>
    </row>
    <row r="424" spans="1:15" ht="15" customHeight="1" x14ac:dyDescent="0.3">
      <c r="A424" t="s">
        <v>870</v>
      </c>
      <c r="B424" t="s">
        <v>2380</v>
      </c>
      <c r="C424">
        <v>4.0199999999999996</v>
      </c>
      <c r="D424">
        <v>4.04</v>
      </c>
      <c r="E424">
        <v>4.22</v>
      </c>
      <c r="F424">
        <v>3.89</v>
      </c>
      <c r="G424">
        <v>3.74</v>
      </c>
      <c r="H424">
        <v>3.86</v>
      </c>
      <c r="I424">
        <v>3.94</v>
      </c>
      <c r="J424">
        <v>4.12</v>
      </c>
      <c r="K424">
        <v>3.86</v>
      </c>
      <c r="L424">
        <v>3.91</v>
      </c>
      <c r="M424">
        <f t="shared" si="18"/>
        <v>3.9819999999999993</v>
      </c>
      <c r="N424">
        <f t="shared" si="19"/>
        <v>3.98</v>
      </c>
      <c r="O424">
        <f t="shared" si="20"/>
        <v>3.9379999999999997</v>
      </c>
    </row>
    <row r="425" spans="1:15" ht="15" customHeight="1" x14ac:dyDescent="0.3">
      <c r="A425" t="s">
        <v>872</v>
      </c>
      <c r="B425" t="s">
        <v>2381</v>
      </c>
      <c r="C425">
        <v>3.75</v>
      </c>
      <c r="D425">
        <v>3.77</v>
      </c>
      <c r="E425">
        <v>4.0999999999999996</v>
      </c>
      <c r="F425">
        <v>3.96</v>
      </c>
      <c r="G425">
        <v>4.33</v>
      </c>
      <c r="H425">
        <v>4.42</v>
      </c>
      <c r="I425">
        <v>4.66</v>
      </c>
      <c r="J425">
        <v>4.1900000000000004</v>
      </c>
      <c r="K425">
        <v>3.75</v>
      </c>
      <c r="L425">
        <v>3.52</v>
      </c>
      <c r="M425">
        <f t="shared" si="18"/>
        <v>3.9819999999999993</v>
      </c>
      <c r="N425">
        <f t="shared" si="19"/>
        <v>3.98</v>
      </c>
      <c r="O425">
        <f t="shared" si="20"/>
        <v>4.1079999999999997</v>
      </c>
    </row>
    <row r="426" spans="1:15" ht="15" customHeight="1" x14ac:dyDescent="0.3">
      <c r="A426" t="s">
        <v>874</v>
      </c>
      <c r="B426" t="s">
        <v>2382</v>
      </c>
      <c r="C426">
        <v>4.1399999999999997</v>
      </c>
      <c r="D426">
        <v>4</v>
      </c>
      <c r="E426">
        <v>3.88</v>
      </c>
      <c r="F426">
        <v>4.1500000000000004</v>
      </c>
      <c r="G426">
        <v>3.84</v>
      </c>
      <c r="H426">
        <v>3.66</v>
      </c>
      <c r="I426">
        <v>3.9</v>
      </c>
      <c r="J426">
        <v>3.65</v>
      </c>
      <c r="K426">
        <v>4.0999999999999996</v>
      </c>
      <c r="L426">
        <v>3.86</v>
      </c>
      <c r="M426">
        <f t="shared" si="18"/>
        <v>4.0020000000000007</v>
      </c>
      <c r="N426">
        <f t="shared" si="19"/>
        <v>4</v>
      </c>
      <c r="O426">
        <f t="shared" si="20"/>
        <v>3.8340000000000005</v>
      </c>
    </row>
    <row r="427" spans="1:15" ht="15" customHeight="1" x14ac:dyDescent="0.3">
      <c r="A427" t="s">
        <v>876</v>
      </c>
      <c r="B427" t="s">
        <v>2383</v>
      </c>
      <c r="C427">
        <v>4.18</v>
      </c>
      <c r="D427">
        <v>3.99</v>
      </c>
      <c r="E427">
        <v>3.96</v>
      </c>
      <c r="F427">
        <v>4.34</v>
      </c>
      <c r="G427">
        <v>3.96</v>
      </c>
      <c r="H427">
        <v>4.13</v>
      </c>
      <c r="I427">
        <v>3.69</v>
      </c>
      <c r="J427">
        <v>4.2300000000000004</v>
      </c>
      <c r="K427">
        <v>4</v>
      </c>
      <c r="L427">
        <v>4.22</v>
      </c>
      <c r="M427">
        <f t="shared" si="18"/>
        <v>4.0860000000000003</v>
      </c>
      <c r="N427">
        <f t="shared" si="19"/>
        <v>4.09</v>
      </c>
      <c r="O427">
        <f t="shared" si="20"/>
        <v>4.0540000000000003</v>
      </c>
    </row>
    <row r="428" spans="1:15" ht="15" customHeight="1" x14ac:dyDescent="0.3">
      <c r="A428" t="s">
        <v>878</v>
      </c>
      <c r="B428" t="s">
        <v>2384</v>
      </c>
      <c r="C428">
        <v>3.67</v>
      </c>
      <c r="D428">
        <v>3.98</v>
      </c>
      <c r="E428">
        <v>3.9</v>
      </c>
      <c r="F428">
        <v>3.63</v>
      </c>
      <c r="G428">
        <v>4.45</v>
      </c>
      <c r="H428">
        <v>4.38</v>
      </c>
      <c r="I428">
        <v>3.4</v>
      </c>
      <c r="J428">
        <v>3.37</v>
      </c>
      <c r="K428">
        <v>3.56</v>
      </c>
      <c r="L428">
        <v>4.0999999999999996</v>
      </c>
      <c r="M428">
        <f t="shared" si="18"/>
        <v>3.9259999999999997</v>
      </c>
      <c r="N428">
        <f t="shared" si="19"/>
        <v>3.93</v>
      </c>
      <c r="O428">
        <f t="shared" si="20"/>
        <v>3.7619999999999996</v>
      </c>
    </row>
    <row r="429" spans="1:15" ht="15" customHeight="1" x14ac:dyDescent="0.3">
      <c r="A429" t="s">
        <v>880</v>
      </c>
      <c r="B429" t="s">
        <v>2385</v>
      </c>
      <c r="C429">
        <v>3.83</v>
      </c>
      <c r="D429">
        <v>3.87</v>
      </c>
      <c r="E429">
        <v>3.02</v>
      </c>
      <c r="F429">
        <v>3.88</v>
      </c>
      <c r="G429" t="s">
        <v>211</v>
      </c>
      <c r="H429">
        <v>4.18</v>
      </c>
      <c r="I429">
        <v>3.69</v>
      </c>
      <c r="J429">
        <v>3.9</v>
      </c>
      <c r="K429">
        <v>3.8</v>
      </c>
      <c r="L429">
        <v>3.78</v>
      </c>
      <c r="M429">
        <f t="shared" si="18"/>
        <v>3.6500000000000004</v>
      </c>
      <c r="N429">
        <f t="shared" si="19"/>
        <v>3.65</v>
      </c>
      <c r="O429">
        <f t="shared" si="20"/>
        <v>3.87</v>
      </c>
    </row>
    <row r="430" spans="1:15" ht="15" customHeight="1" x14ac:dyDescent="0.3">
      <c r="A430" t="s">
        <v>882</v>
      </c>
      <c r="B430" t="s">
        <v>2386</v>
      </c>
      <c r="C430">
        <v>3.82</v>
      </c>
      <c r="D430" t="s">
        <v>211</v>
      </c>
      <c r="E430">
        <v>4.12</v>
      </c>
      <c r="F430">
        <v>4.05</v>
      </c>
      <c r="G430">
        <v>3.94</v>
      </c>
      <c r="H430">
        <v>3.94</v>
      </c>
      <c r="I430">
        <v>4.38</v>
      </c>
      <c r="J430">
        <v>3.58</v>
      </c>
      <c r="K430">
        <v>4.38</v>
      </c>
      <c r="L430">
        <v>4.05</v>
      </c>
      <c r="M430">
        <f t="shared" si="18"/>
        <v>3.9824999999999995</v>
      </c>
      <c r="N430">
        <f t="shared" si="19"/>
        <v>3.98</v>
      </c>
      <c r="O430">
        <f t="shared" si="20"/>
        <v>4.0660000000000007</v>
      </c>
    </row>
    <row r="431" spans="1:15" ht="15" customHeight="1" x14ac:dyDescent="0.3">
      <c r="A431" t="s">
        <v>884</v>
      </c>
      <c r="B431" t="s">
        <v>2387</v>
      </c>
      <c r="C431">
        <v>3.63</v>
      </c>
      <c r="D431">
        <v>3.88</v>
      </c>
      <c r="E431">
        <v>4.26</v>
      </c>
      <c r="F431">
        <v>4.07</v>
      </c>
      <c r="G431">
        <v>3.94</v>
      </c>
      <c r="H431">
        <v>4.5999999999999996</v>
      </c>
      <c r="I431">
        <v>3.91</v>
      </c>
      <c r="J431">
        <v>4.41</v>
      </c>
      <c r="K431">
        <v>4.03</v>
      </c>
      <c r="L431">
        <v>4.08</v>
      </c>
      <c r="M431">
        <f t="shared" si="18"/>
        <v>3.9560000000000004</v>
      </c>
      <c r="N431">
        <f t="shared" si="19"/>
        <v>3.96</v>
      </c>
      <c r="O431">
        <f t="shared" si="20"/>
        <v>4.2060000000000004</v>
      </c>
    </row>
    <row r="432" spans="1:15" ht="15" customHeight="1" x14ac:dyDescent="0.3">
      <c r="A432" t="s">
        <v>886</v>
      </c>
      <c r="B432" t="s">
        <v>2388</v>
      </c>
      <c r="C432">
        <v>3.72</v>
      </c>
      <c r="D432">
        <v>4.3</v>
      </c>
      <c r="E432">
        <v>4.6399999999999997</v>
      </c>
      <c r="F432">
        <v>3.9</v>
      </c>
      <c r="G432">
        <v>4.26</v>
      </c>
      <c r="H432">
        <v>4.62</v>
      </c>
      <c r="I432">
        <v>4.37</v>
      </c>
      <c r="J432">
        <v>3.88</v>
      </c>
      <c r="K432" t="s">
        <v>211</v>
      </c>
      <c r="L432">
        <v>4.0599999999999996</v>
      </c>
      <c r="M432">
        <f t="shared" si="18"/>
        <v>4.1639999999999997</v>
      </c>
      <c r="N432">
        <f t="shared" si="19"/>
        <v>4.16</v>
      </c>
      <c r="O432">
        <f t="shared" si="20"/>
        <v>4.2324999999999999</v>
      </c>
    </row>
    <row r="433" spans="1:15" ht="15" customHeight="1" x14ac:dyDescent="0.3">
      <c r="A433" t="s">
        <v>888</v>
      </c>
      <c r="B433" t="s">
        <v>2389</v>
      </c>
      <c r="C433" t="s">
        <v>211</v>
      </c>
      <c r="D433">
        <v>4.34</v>
      </c>
      <c r="E433">
        <v>4.5</v>
      </c>
      <c r="F433">
        <v>3.54</v>
      </c>
      <c r="G433">
        <v>3.48</v>
      </c>
      <c r="H433">
        <v>4.1900000000000004</v>
      </c>
      <c r="I433">
        <v>4.1500000000000004</v>
      </c>
      <c r="J433">
        <v>4</v>
      </c>
      <c r="K433">
        <v>3.64</v>
      </c>
      <c r="L433">
        <v>4</v>
      </c>
      <c r="M433">
        <f t="shared" si="18"/>
        <v>3.9649999999999999</v>
      </c>
      <c r="N433">
        <f t="shared" si="19"/>
        <v>3.97</v>
      </c>
      <c r="O433">
        <f t="shared" si="20"/>
        <v>3.996</v>
      </c>
    </row>
    <row r="434" spans="1:15" ht="15" customHeight="1" x14ac:dyDescent="0.3">
      <c r="A434" t="s">
        <v>890</v>
      </c>
      <c r="B434" t="s">
        <v>2390</v>
      </c>
      <c r="C434">
        <v>4.47</v>
      </c>
      <c r="D434">
        <v>4.0999999999999996</v>
      </c>
      <c r="E434">
        <v>3.7</v>
      </c>
      <c r="F434">
        <v>4.67</v>
      </c>
      <c r="G434">
        <v>4.08</v>
      </c>
      <c r="H434">
        <v>3.94</v>
      </c>
      <c r="I434">
        <v>4.41</v>
      </c>
      <c r="J434">
        <v>4.54</v>
      </c>
      <c r="K434">
        <v>3.89</v>
      </c>
      <c r="L434">
        <v>4.3099999999999996</v>
      </c>
      <c r="M434">
        <f t="shared" si="18"/>
        <v>4.2039999999999988</v>
      </c>
      <c r="N434">
        <f t="shared" si="19"/>
        <v>4.2</v>
      </c>
      <c r="O434">
        <f t="shared" si="20"/>
        <v>4.218</v>
      </c>
    </row>
    <row r="435" spans="1:15" ht="15" customHeight="1" x14ac:dyDescent="0.3">
      <c r="A435" t="s">
        <v>892</v>
      </c>
      <c r="B435" t="s">
        <v>2391</v>
      </c>
      <c r="C435">
        <v>3.76</v>
      </c>
      <c r="D435">
        <v>3.91</v>
      </c>
      <c r="E435">
        <v>3.52</v>
      </c>
      <c r="F435">
        <v>3.69</v>
      </c>
      <c r="G435">
        <v>4.05</v>
      </c>
      <c r="H435">
        <v>3.55</v>
      </c>
      <c r="I435">
        <v>4.0199999999999996</v>
      </c>
      <c r="J435">
        <v>4.12</v>
      </c>
      <c r="K435">
        <v>3.73</v>
      </c>
      <c r="L435">
        <v>4.24</v>
      </c>
      <c r="M435">
        <f t="shared" si="18"/>
        <v>3.786</v>
      </c>
      <c r="N435">
        <f t="shared" si="19"/>
        <v>3.79</v>
      </c>
      <c r="O435">
        <f t="shared" si="20"/>
        <v>3.9319999999999999</v>
      </c>
    </row>
    <row r="436" spans="1:15" ht="15" customHeight="1" x14ac:dyDescent="0.3">
      <c r="A436" t="s">
        <v>894</v>
      </c>
      <c r="B436" t="s">
        <v>2392</v>
      </c>
      <c r="C436">
        <v>3.3</v>
      </c>
      <c r="D436">
        <v>4.28</v>
      </c>
      <c r="E436">
        <v>4.1100000000000003</v>
      </c>
      <c r="F436">
        <v>4.32</v>
      </c>
      <c r="G436">
        <v>4.4800000000000004</v>
      </c>
      <c r="H436">
        <v>4.41</v>
      </c>
      <c r="I436">
        <v>4.17</v>
      </c>
      <c r="J436">
        <v>3.35</v>
      </c>
      <c r="K436">
        <v>3.98</v>
      </c>
      <c r="L436">
        <v>4.07</v>
      </c>
      <c r="M436">
        <f t="shared" si="18"/>
        <v>4.0980000000000008</v>
      </c>
      <c r="N436">
        <f t="shared" si="19"/>
        <v>4.0999999999999996</v>
      </c>
      <c r="O436">
        <f t="shared" si="20"/>
        <v>3.996</v>
      </c>
    </row>
    <row r="437" spans="1:15" ht="15" customHeight="1" x14ac:dyDescent="0.3">
      <c r="A437" t="s">
        <v>896</v>
      </c>
      <c r="B437" t="s">
        <v>2393</v>
      </c>
      <c r="C437">
        <v>4.22</v>
      </c>
      <c r="D437" t="s">
        <v>211</v>
      </c>
      <c r="E437">
        <v>3.4</v>
      </c>
      <c r="F437">
        <v>4.12</v>
      </c>
      <c r="G437">
        <v>3.94</v>
      </c>
      <c r="H437">
        <v>4.3099999999999996</v>
      </c>
      <c r="I437">
        <v>4.07</v>
      </c>
      <c r="J437">
        <v>3.91</v>
      </c>
      <c r="K437">
        <v>4.43</v>
      </c>
      <c r="L437">
        <v>4.01</v>
      </c>
      <c r="M437">
        <f t="shared" si="18"/>
        <v>3.9199999999999995</v>
      </c>
      <c r="N437">
        <f t="shared" si="19"/>
        <v>3.92</v>
      </c>
      <c r="O437">
        <f t="shared" si="20"/>
        <v>4.145999999999999</v>
      </c>
    </row>
    <row r="438" spans="1:15" ht="15" customHeight="1" x14ac:dyDescent="0.3">
      <c r="A438" t="s">
        <v>898</v>
      </c>
      <c r="B438" t="s">
        <v>2394</v>
      </c>
      <c r="C438">
        <v>3.99</v>
      </c>
      <c r="D438">
        <v>3.7</v>
      </c>
      <c r="E438">
        <v>3.96</v>
      </c>
      <c r="F438">
        <v>3.67</v>
      </c>
      <c r="G438">
        <v>4.79</v>
      </c>
      <c r="H438">
        <v>4.07</v>
      </c>
      <c r="I438">
        <v>3.88</v>
      </c>
      <c r="J438">
        <v>3.65</v>
      </c>
      <c r="K438">
        <v>4.3600000000000003</v>
      </c>
      <c r="L438">
        <v>4.24</v>
      </c>
      <c r="M438">
        <f t="shared" si="18"/>
        <v>4.0220000000000002</v>
      </c>
      <c r="N438">
        <f t="shared" si="19"/>
        <v>4.0199999999999996</v>
      </c>
      <c r="O438">
        <f t="shared" si="20"/>
        <v>4.0400000000000009</v>
      </c>
    </row>
    <row r="439" spans="1:15" ht="15" customHeight="1" x14ac:dyDescent="0.3">
      <c r="A439" t="s">
        <v>900</v>
      </c>
      <c r="B439" t="s">
        <v>2395</v>
      </c>
      <c r="C439">
        <v>3.58</v>
      </c>
      <c r="D439">
        <v>3.99</v>
      </c>
      <c r="E439">
        <v>3.89</v>
      </c>
      <c r="F439">
        <v>4.4400000000000004</v>
      </c>
      <c r="G439">
        <v>3.79</v>
      </c>
      <c r="H439" t="s">
        <v>211</v>
      </c>
      <c r="I439">
        <v>3.96</v>
      </c>
      <c r="J439">
        <v>4.24</v>
      </c>
      <c r="K439">
        <v>4</v>
      </c>
      <c r="L439">
        <v>4.33</v>
      </c>
      <c r="M439">
        <f t="shared" si="18"/>
        <v>3.9380000000000002</v>
      </c>
      <c r="N439">
        <f t="shared" si="19"/>
        <v>3.94</v>
      </c>
      <c r="O439">
        <f t="shared" si="20"/>
        <v>4.1325000000000003</v>
      </c>
    </row>
    <row r="440" spans="1:15" ht="15" customHeight="1" x14ac:dyDescent="0.3">
      <c r="A440" t="s">
        <v>902</v>
      </c>
      <c r="B440" t="s">
        <v>2396</v>
      </c>
      <c r="C440">
        <v>4.0199999999999996</v>
      </c>
      <c r="D440" t="s">
        <v>211</v>
      </c>
      <c r="E440">
        <v>4.66</v>
      </c>
      <c r="F440">
        <v>4.58</v>
      </c>
      <c r="G440">
        <v>3.91</v>
      </c>
      <c r="H440">
        <v>4</v>
      </c>
      <c r="I440">
        <v>3.66</v>
      </c>
      <c r="J440">
        <v>3.94</v>
      </c>
      <c r="K440" t="s">
        <v>904</v>
      </c>
      <c r="L440">
        <v>4.8099999999999996</v>
      </c>
      <c r="M440">
        <f t="shared" si="18"/>
        <v>4.2925000000000004</v>
      </c>
      <c r="N440">
        <f t="shared" si="19"/>
        <v>4.29</v>
      </c>
      <c r="O440">
        <f t="shared" si="20"/>
        <v>4.1025</v>
      </c>
    </row>
    <row r="441" spans="1:15" ht="15" customHeight="1" x14ac:dyDescent="0.3">
      <c r="A441" t="s">
        <v>905</v>
      </c>
      <c r="B441" t="s">
        <v>2397</v>
      </c>
      <c r="C441">
        <v>4.18</v>
      </c>
      <c r="D441">
        <v>4.29</v>
      </c>
      <c r="E441">
        <v>4.3600000000000003</v>
      </c>
      <c r="F441">
        <v>3.8</v>
      </c>
      <c r="G441">
        <v>4.12</v>
      </c>
      <c r="H441">
        <v>4.07</v>
      </c>
      <c r="I441">
        <v>4.13</v>
      </c>
      <c r="J441">
        <v>3.99</v>
      </c>
      <c r="K441">
        <v>3.95</v>
      </c>
      <c r="L441">
        <v>4.1399999999999997</v>
      </c>
      <c r="M441">
        <f t="shared" si="18"/>
        <v>4.1500000000000004</v>
      </c>
      <c r="N441">
        <f t="shared" si="19"/>
        <v>4.1500000000000004</v>
      </c>
      <c r="O441">
        <f t="shared" si="20"/>
        <v>4.056</v>
      </c>
    </row>
    <row r="442" spans="1:15" ht="15" customHeight="1" x14ac:dyDescent="0.3">
      <c r="A442" t="s">
        <v>907</v>
      </c>
      <c r="B442" t="s">
        <v>2398</v>
      </c>
      <c r="C442">
        <v>3.86</v>
      </c>
      <c r="D442">
        <v>3.4</v>
      </c>
      <c r="E442">
        <v>3.71</v>
      </c>
      <c r="F442">
        <v>3.69</v>
      </c>
      <c r="G442">
        <v>3.77</v>
      </c>
      <c r="H442">
        <v>4.1500000000000004</v>
      </c>
      <c r="I442">
        <v>3.94</v>
      </c>
      <c r="J442">
        <v>4.2300000000000004</v>
      </c>
      <c r="K442">
        <v>4.08</v>
      </c>
      <c r="L442">
        <v>3.47</v>
      </c>
      <c r="M442">
        <f t="shared" si="18"/>
        <v>3.6859999999999999</v>
      </c>
      <c r="N442">
        <f t="shared" si="19"/>
        <v>3.69</v>
      </c>
      <c r="O442">
        <f t="shared" si="20"/>
        <v>3.9739999999999993</v>
      </c>
    </row>
    <row r="443" spans="1:15" ht="15" customHeight="1" x14ac:dyDescent="0.3">
      <c r="A443" t="s">
        <v>909</v>
      </c>
      <c r="B443" t="s">
        <v>2399</v>
      </c>
      <c r="C443">
        <v>3.92</v>
      </c>
      <c r="D443">
        <v>3.99</v>
      </c>
      <c r="E443">
        <v>4.21</v>
      </c>
      <c r="F443">
        <v>3.58</v>
      </c>
      <c r="G443">
        <v>4.28</v>
      </c>
      <c r="H443">
        <v>4.21</v>
      </c>
      <c r="I443">
        <v>3.71</v>
      </c>
      <c r="J443">
        <v>3.62</v>
      </c>
      <c r="K443">
        <v>3.29</v>
      </c>
      <c r="L443">
        <v>4.1900000000000004</v>
      </c>
      <c r="M443">
        <f t="shared" si="18"/>
        <v>3.996</v>
      </c>
      <c r="N443">
        <f t="shared" si="19"/>
        <v>4</v>
      </c>
      <c r="O443">
        <f t="shared" si="20"/>
        <v>3.8039999999999998</v>
      </c>
    </row>
    <row r="444" spans="1:15" ht="15" customHeight="1" x14ac:dyDescent="0.3">
      <c r="A444" t="s">
        <v>911</v>
      </c>
      <c r="B444" t="s">
        <v>2400</v>
      </c>
      <c r="C444">
        <v>4.32</v>
      </c>
      <c r="D444">
        <v>3.88</v>
      </c>
      <c r="E444">
        <v>3.9</v>
      </c>
      <c r="F444">
        <v>3.6</v>
      </c>
      <c r="G444">
        <v>4.21</v>
      </c>
      <c r="H444">
        <v>3.41</v>
      </c>
      <c r="I444">
        <v>3.97</v>
      </c>
      <c r="J444">
        <v>4.07</v>
      </c>
      <c r="K444">
        <v>3.76</v>
      </c>
      <c r="L444">
        <v>4.0999999999999996</v>
      </c>
      <c r="M444">
        <f t="shared" si="18"/>
        <v>3.9820000000000002</v>
      </c>
      <c r="N444">
        <f t="shared" si="19"/>
        <v>3.98</v>
      </c>
      <c r="O444">
        <f t="shared" si="20"/>
        <v>3.8620000000000005</v>
      </c>
    </row>
    <row r="445" spans="1:15" ht="15" customHeight="1" x14ac:dyDescent="0.3">
      <c r="A445" t="s">
        <v>913</v>
      </c>
      <c r="B445" t="s">
        <v>2401</v>
      </c>
      <c r="C445">
        <v>3.99</v>
      </c>
      <c r="D445">
        <v>4.34</v>
      </c>
      <c r="E445">
        <v>3.71</v>
      </c>
      <c r="F445">
        <v>3.88</v>
      </c>
      <c r="G445">
        <v>3.63</v>
      </c>
      <c r="H445">
        <v>4.33</v>
      </c>
      <c r="I445">
        <v>4.37</v>
      </c>
      <c r="J445">
        <v>4.3</v>
      </c>
      <c r="K445">
        <v>4.29</v>
      </c>
      <c r="L445">
        <v>4.17</v>
      </c>
      <c r="M445">
        <f t="shared" si="18"/>
        <v>3.9099999999999993</v>
      </c>
      <c r="N445">
        <f t="shared" si="19"/>
        <v>3.91</v>
      </c>
      <c r="O445">
        <f t="shared" si="20"/>
        <v>4.2919999999999998</v>
      </c>
    </row>
    <row r="446" spans="1:15" ht="15" customHeight="1" x14ac:dyDescent="0.3">
      <c r="A446" t="s">
        <v>915</v>
      </c>
      <c r="B446" t="s">
        <v>916</v>
      </c>
      <c r="C446">
        <v>3.85</v>
      </c>
      <c r="D446">
        <v>3.92</v>
      </c>
      <c r="E446">
        <v>4.0599999999999996</v>
      </c>
      <c r="F446" t="s">
        <v>211</v>
      </c>
      <c r="G446">
        <v>3.93</v>
      </c>
      <c r="H446" t="s">
        <v>211</v>
      </c>
      <c r="I446">
        <v>4.18</v>
      </c>
      <c r="J446">
        <v>4.53</v>
      </c>
      <c r="K446">
        <v>3.24</v>
      </c>
      <c r="L446">
        <v>4.43</v>
      </c>
      <c r="M446">
        <f t="shared" si="18"/>
        <v>3.9399999999999995</v>
      </c>
      <c r="N446">
        <f t="shared" si="19"/>
        <v>3.94</v>
      </c>
      <c r="O446">
        <f t="shared" si="20"/>
        <v>4.0950000000000006</v>
      </c>
    </row>
    <row r="447" spans="1:15" ht="15" customHeight="1" x14ac:dyDescent="0.3">
      <c r="A447" t="s">
        <v>917</v>
      </c>
      <c r="B447" t="s">
        <v>918</v>
      </c>
      <c r="C447">
        <v>3.82</v>
      </c>
      <c r="D447">
        <v>3.99</v>
      </c>
      <c r="E447">
        <v>3.98</v>
      </c>
      <c r="F447">
        <v>3.94</v>
      </c>
      <c r="G447">
        <v>4.43</v>
      </c>
      <c r="H447">
        <v>3.87</v>
      </c>
      <c r="I447">
        <v>3.62</v>
      </c>
      <c r="J447">
        <v>4.09</v>
      </c>
      <c r="K447">
        <v>3.65</v>
      </c>
      <c r="L447">
        <v>4.1399999999999997</v>
      </c>
      <c r="M447">
        <f t="shared" si="18"/>
        <v>4.032</v>
      </c>
      <c r="N447">
        <f t="shared" si="19"/>
        <v>4.03</v>
      </c>
      <c r="O447">
        <f t="shared" si="20"/>
        <v>3.8740000000000001</v>
      </c>
    </row>
    <row r="448" spans="1:15" ht="15" customHeight="1" x14ac:dyDescent="0.3">
      <c r="A448" t="s">
        <v>919</v>
      </c>
      <c r="B448" t="s">
        <v>2402</v>
      </c>
      <c r="C448">
        <v>3.93</v>
      </c>
      <c r="D448">
        <v>4.3600000000000003</v>
      </c>
      <c r="E448">
        <v>3.65</v>
      </c>
      <c r="F448">
        <v>3.77</v>
      </c>
      <c r="G448">
        <v>3.56</v>
      </c>
      <c r="H448">
        <v>3.71</v>
      </c>
      <c r="I448">
        <v>3.83</v>
      </c>
      <c r="J448">
        <v>4.46</v>
      </c>
      <c r="K448" t="s">
        <v>921</v>
      </c>
      <c r="L448">
        <v>4.13</v>
      </c>
      <c r="M448">
        <f t="shared" si="18"/>
        <v>3.8540000000000001</v>
      </c>
      <c r="N448">
        <f t="shared" si="19"/>
        <v>3.85</v>
      </c>
      <c r="O448">
        <f t="shared" si="20"/>
        <v>4.0324999999999998</v>
      </c>
    </row>
    <row r="449" spans="1:15" ht="15" customHeight="1" x14ac:dyDescent="0.3">
      <c r="A449" t="s">
        <v>922</v>
      </c>
      <c r="B449" t="s">
        <v>2403</v>
      </c>
      <c r="C449">
        <v>4.07</v>
      </c>
      <c r="D449">
        <v>3.58</v>
      </c>
      <c r="E449">
        <v>3.8</v>
      </c>
      <c r="F449">
        <v>4.13</v>
      </c>
      <c r="G449">
        <v>3.79</v>
      </c>
      <c r="H449">
        <v>3.82</v>
      </c>
      <c r="I449">
        <v>4.2300000000000004</v>
      </c>
      <c r="J449">
        <v>4.68</v>
      </c>
      <c r="K449">
        <v>3.88</v>
      </c>
      <c r="L449">
        <v>4.59</v>
      </c>
      <c r="M449">
        <f t="shared" si="18"/>
        <v>3.8739999999999997</v>
      </c>
      <c r="N449">
        <f t="shared" si="19"/>
        <v>3.87</v>
      </c>
      <c r="O449">
        <f t="shared" si="20"/>
        <v>4.24</v>
      </c>
    </row>
    <row r="450" spans="1:15" ht="15" customHeight="1" x14ac:dyDescent="0.3">
      <c r="A450" t="s">
        <v>924</v>
      </c>
      <c r="B450" t="s">
        <v>925</v>
      </c>
      <c r="C450">
        <v>3.91</v>
      </c>
      <c r="D450">
        <v>3.35</v>
      </c>
      <c r="E450">
        <v>4.47</v>
      </c>
      <c r="F450">
        <v>4.0199999999999996</v>
      </c>
      <c r="G450">
        <v>3.76</v>
      </c>
      <c r="H450">
        <v>3.8</v>
      </c>
      <c r="I450">
        <v>4.41</v>
      </c>
      <c r="J450">
        <v>3.54</v>
      </c>
      <c r="K450">
        <v>4.6900000000000004</v>
      </c>
      <c r="L450">
        <v>4.3099999999999996</v>
      </c>
      <c r="M450">
        <f t="shared" ref="M450:M513" si="21">AVERAGE(C450:G450)</f>
        <v>3.9019999999999997</v>
      </c>
      <c r="N450">
        <f t="shared" ref="N450:N513" si="22">ROUND(M450,2)</f>
        <v>3.9</v>
      </c>
      <c r="O450">
        <f t="shared" ref="O450:O513" si="23">AVERAGE(H450:L450)</f>
        <v>4.1500000000000004</v>
      </c>
    </row>
    <row r="451" spans="1:15" ht="15" customHeight="1" x14ac:dyDescent="0.3">
      <c r="A451" t="s">
        <v>926</v>
      </c>
      <c r="B451" t="s">
        <v>2404</v>
      </c>
      <c r="C451">
        <v>3.88</v>
      </c>
      <c r="D451">
        <v>3.48</v>
      </c>
      <c r="E451">
        <v>3.65</v>
      </c>
      <c r="F451">
        <v>4.54</v>
      </c>
      <c r="G451">
        <v>4.21</v>
      </c>
      <c r="H451">
        <v>3.87</v>
      </c>
      <c r="I451">
        <v>3.96</v>
      </c>
      <c r="J451">
        <v>3.74</v>
      </c>
      <c r="K451">
        <v>3.92</v>
      </c>
      <c r="L451">
        <v>4.34</v>
      </c>
      <c r="M451">
        <f t="shared" si="21"/>
        <v>3.9520000000000004</v>
      </c>
      <c r="N451">
        <f t="shared" si="22"/>
        <v>3.95</v>
      </c>
      <c r="O451">
        <f t="shared" si="23"/>
        <v>3.9659999999999997</v>
      </c>
    </row>
    <row r="452" spans="1:15" ht="15" customHeight="1" x14ac:dyDescent="0.3">
      <c r="A452" t="s">
        <v>928</v>
      </c>
      <c r="B452" t="s">
        <v>2405</v>
      </c>
      <c r="C452">
        <v>3.6</v>
      </c>
      <c r="D452">
        <v>3.92</v>
      </c>
      <c r="E452">
        <v>3.85</v>
      </c>
      <c r="F452">
        <v>4.08</v>
      </c>
      <c r="G452">
        <v>3.51</v>
      </c>
      <c r="H452">
        <v>4.53</v>
      </c>
      <c r="I452">
        <v>4.1500000000000004</v>
      </c>
      <c r="J452">
        <v>3.89</v>
      </c>
      <c r="K452">
        <v>4.53</v>
      </c>
      <c r="L452">
        <v>4.04</v>
      </c>
      <c r="M452">
        <f t="shared" si="21"/>
        <v>3.7920000000000003</v>
      </c>
      <c r="N452">
        <f t="shared" si="22"/>
        <v>3.79</v>
      </c>
      <c r="O452">
        <f t="shared" si="23"/>
        <v>4.2279999999999998</v>
      </c>
    </row>
    <row r="453" spans="1:15" ht="15" customHeight="1" x14ac:dyDescent="0.3">
      <c r="A453" t="s">
        <v>930</v>
      </c>
      <c r="B453" t="s">
        <v>931</v>
      </c>
      <c r="C453" t="s">
        <v>211</v>
      </c>
      <c r="D453">
        <v>4.07</v>
      </c>
      <c r="E453" t="s">
        <v>211</v>
      </c>
      <c r="F453">
        <v>3.69</v>
      </c>
      <c r="G453">
        <v>3.15</v>
      </c>
      <c r="H453">
        <v>4.43</v>
      </c>
      <c r="I453">
        <v>4.45</v>
      </c>
      <c r="J453">
        <v>4.28</v>
      </c>
      <c r="K453">
        <v>3.75</v>
      </c>
      <c r="L453">
        <v>4.2300000000000004</v>
      </c>
      <c r="M453">
        <f t="shared" si="21"/>
        <v>3.6366666666666667</v>
      </c>
      <c r="N453">
        <f t="shared" si="22"/>
        <v>3.64</v>
      </c>
      <c r="O453">
        <f t="shared" si="23"/>
        <v>4.2279999999999998</v>
      </c>
    </row>
    <row r="454" spans="1:15" ht="15" customHeight="1" x14ac:dyDescent="0.3">
      <c r="A454" t="s">
        <v>932</v>
      </c>
      <c r="B454" t="s">
        <v>2406</v>
      </c>
      <c r="C454">
        <v>3.8</v>
      </c>
      <c r="D454">
        <v>3.8</v>
      </c>
      <c r="E454">
        <v>3.52</v>
      </c>
      <c r="F454">
        <v>4.32</v>
      </c>
      <c r="G454">
        <v>3.88</v>
      </c>
      <c r="H454" t="s">
        <v>211</v>
      </c>
      <c r="I454">
        <v>4.0199999999999996</v>
      </c>
      <c r="J454">
        <v>4.07</v>
      </c>
      <c r="K454">
        <v>3.53</v>
      </c>
      <c r="L454">
        <v>4.0599999999999996</v>
      </c>
      <c r="M454">
        <f t="shared" si="21"/>
        <v>3.8639999999999999</v>
      </c>
      <c r="N454">
        <f t="shared" si="22"/>
        <v>3.86</v>
      </c>
      <c r="O454">
        <f t="shared" si="23"/>
        <v>3.92</v>
      </c>
    </row>
    <row r="455" spans="1:15" ht="15" customHeight="1" x14ac:dyDescent="0.3">
      <c r="A455" t="s">
        <v>934</v>
      </c>
      <c r="B455" t="s">
        <v>2407</v>
      </c>
      <c r="C455">
        <v>3.71</v>
      </c>
      <c r="D455">
        <v>4.26</v>
      </c>
      <c r="E455">
        <v>3.46</v>
      </c>
      <c r="F455">
        <v>4.71</v>
      </c>
      <c r="G455">
        <v>3.6</v>
      </c>
      <c r="H455" t="s">
        <v>211</v>
      </c>
      <c r="I455">
        <v>4.33</v>
      </c>
      <c r="J455">
        <v>4.29</v>
      </c>
      <c r="K455">
        <v>3.99</v>
      </c>
      <c r="L455">
        <v>3.89</v>
      </c>
      <c r="M455">
        <f t="shared" si="21"/>
        <v>3.9480000000000004</v>
      </c>
      <c r="N455">
        <f t="shared" si="22"/>
        <v>3.95</v>
      </c>
      <c r="O455">
        <f t="shared" si="23"/>
        <v>4.125</v>
      </c>
    </row>
    <row r="456" spans="1:15" ht="15" customHeight="1" x14ac:dyDescent="0.3">
      <c r="A456" t="s">
        <v>936</v>
      </c>
      <c r="B456" t="s">
        <v>937</v>
      </c>
      <c r="C456">
        <v>3.92</v>
      </c>
      <c r="D456">
        <v>4.08</v>
      </c>
      <c r="E456">
        <v>4.16</v>
      </c>
      <c r="F456">
        <v>3.96</v>
      </c>
      <c r="G456">
        <v>3.53</v>
      </c>
      <c r="H456">
        <v>4.1399999999999997</v>
      </c>
      <c r="I456">
        <v>4.18</v>
      </c>
      <c r="J456">
        <v>4.0199999999999996</v>
      </c>
      <c r="K456">
        <v>3.67</v>
      </c>
      <c r="L456">
        <v>3.62</v>
      </c>
      <c r="M456">
        <f t="shared" si="21"/>
        <v>3.9300000000000006</v>
      </c>
      <c r="N456">
        <f t="shared" si="22"/>
        <v>3.93</v>
      </c>
      <c r="O456">
        <f t="shared" si="23"/>
        <v>3.9259999999999997</v>
      </c>
    </row>
    <row r="457" spans="1:15" ht="15" customHeight="1" x14ac:dyDescent="0.3">
      <c r="A457" t="s">
        <v>938</v>
      </c>
      <c r="B457" t="s">
        <v>939</v>
      </c>
      <c r="C457">
        <v>4.38</v>
      </c>
      <c r="D457">
        <v>3.82</v>
      </c>
      <c r="E457">
        <v>4.4000000000000004</v>
      </c>
      <c r="F457">
        <v>4.07</v>
      </c>
      <c r="G457">
        <v>4.4000000000000004</v>
      </c>
      <c r="H457">
        <v>3.82</v>
      </c>
      <c r="I457">
        <v>3.9</v>
      </c>
      <c r="J457">
        <v>4.3099999999999996</v>
      </c>
      <c r="K457">
        <v>4.3099999999999996</v>
      </c>
      <c r="L457">
        <v>4.01</v>
      </c>
      <c r="M457">
        <f t="shared" si="21"/>
        <v>4.2140000000000004</v>
      </c>
      <c r="N457">
        <f t="shared" si="22"/>
        <v>4.21</v>
      </c>
      <c r="O457">
        <f t="shared" si="23"/>
        <v>4.07</v>
      </c>
    </row>
    <row r="458" spans="1:15" ht="15" customHeight="1" x14ac:dyDescent="0.3">
      <c r="A458" t="s">
        <v>940</v>
      </c>
      <c r="B458" t="s">
        <v>2408</v>
      </c>
      <c r="C458">
        <v>3.9</v>
      </c>
      <c r="D458">
        <v>3.64</v>
      </c>
      <c r="E458">
        <v>3.86</v>
      </c>
      <c r="F458">
        <v>4.58</v>
      </c>
      <c r="G458">
        <v>4.0199999999999996</v>
      </c>
      <c r="H458">
        <v>4.5</v>
      </c>
      <c r="I458">
        <v>3.68</v>
      </c>
      <c r="J458">
        <v>3.85</v>
      </c>
      <c r="K458">
        <v>3.9</v>
      </c>
      <c r="L458">
        <v>3.83</v>
      </c>
      <c r="M458">
        <f t="shared" si="21"/>
        <v>4</v>
      </c>
      <c r="N458">
        <f t="shared" si="22"/>
        <v>4</v>
      </c>
      <c r="O458">
        <f t="shared" si="23"/>
        <v>3.9519999999999995</v>
      </c>
    </row>
    <row r="459" spans="1:15" ht="15" customHeight="1" x14ac:dyDescent="0.3">
      <c r="A459" t="s">
        <v>942</v>
      </c>
      <c r="B459" t="s">
        <v>943</v>
      </c>
      <c r="C459">
        <v>4.0199999999999996</v>
      </c>
      <c r="D459">
        <v>4.18</v>
      </c>
      <c r="E459">
        <v>3.43</v>
      </c>
      <c r="F459">
        <v>4.03</v>
      </c>
      <c r="G459">
        <v>4.0199999999999996</v>
      </c>
      <c r="H459" t="s">
        <v>211</v>
      </c>
      <c r="I459">
        <v>3.93</v>
      </c>
      <c r="J459">
        <v>4.67</v>
      </c>
      <c r="K459">
        <v>4.21</v>
      </c>
      <c r="L459">
        <v>4.0599999999999996</v>
      </c>
      <c r="M459">
        <f t="shared" si="21"/>
        <v>3.9359999999999999</v>
      </c>
      <c r="N459">
        <f t="shared" si="22"/>
        <v>3.94</v>
      </c>
      <c r="O459">
        <f t="shared" si="23"/>
        <v>4.2174999999999994</v>
      </c>
    </row>
    <row r="460" spans="1:15" ht="15" customHeight="1" x14ac:dyDescent="0.3">
      <c r="A460" t="s">
        <v>944</v>
      </c>
      <c r="B460" t="s">
        <v>945</v>
      </c>
      <c r="C460">
        <v>3.88</v>
      </c>
      <c r="D460">
        <v>3.79</v>
      </c>
      <c r="E460">
        <v>4.3</v>
      </c>
      <c r="F460">
        <v>4.55</v>
      </c>
      <c r="G460">
        <v>4.07</v>
      </c>
      <c r="H460">
        <v>4.25</v>
      </c>
      <c r="I460">
        <v>3.97</v>
      </c>
      <c r="J460">
        <v>4.04</v>
      </c>
      <c r="K460">
        <v>4.88</v>
      </c>
      <c r="L460">
        <v>3.97</v>
      </c>
      <c r="M460">
        <f t="shared" si="21"/>
        <v>4.1180000000000003</v>
      </c>
      <c r="N460">
        <f t="shared" si="22"/>
        <v>4.12</v>
      </c>
      <c r="O460">
        <f t="shared" si="23"/>
        <v>4.2219999999999995</v>
      </c>
    </row>
    <row r="461" spans="1:15" ht="15" customHeight="1" x14ac:dyDescent="0.3">
      <c r="A461" t="s">
        <v>946</v>
      </c>
      <c r="B461" t="s">
        <v>2409</v>
      </c>
      <c r="C461">
        <v>4.33</v>
      </c>
      <c r="D461">
        <v>3.59</v>
      </c>
      <c r="E461">
        <v>3.78</v>
      </c>
      <c r="F461">
        <v>4.21</v>
      </c>
      <c r="G461">
        <v>3.78</v>
      </c>
      <c r="H461">
        <v>3.61</v>
      </c>
      <c r="I461" t="s">
        <v>211</v>
      </c>
      <c r="J461">
        <v>4.41</v>
      </c>
      <c r="K461">
        <v>4.1100000000000003</v>
      </c>
      <c r="L461">
        <v>3.96</v>
      </c>
      <c r="M461">
        <f t="shared" si="21"/>
        <v>3.9380000000000002</v>
      </c>
      <c r="N461">
        <f t="shared" si="22"/>
        <v>3.94</v>
      </c>
      <c r="O461">
        <f t="shared" si="23"/>
        <v>4.0225</v>
      </c>
    </row>
    <row r="462" spans="1:15" ht="15" customHeight="1" x14ac:dyDescent="0.3">
      <c r="A462" t="s">
        <v>948</v>
      </c>
      <c r="B462" t="s">
        <v>2410</v>
      </c>
      <c r="C462">
        <v>4.3899999999999997</v>
      </c>
      <c r="D462">
        <v>4.17</v>
      </c>
      <c r="E462">
        <v>3.69</v>
      </c>
      <c r="F462">
        <v>4.0999999999999996</v>
      </c>
      <c r="G462">
        <v>4.74</v>
      </c>
      <c r="H462">
        <v>3.82</v>
      </c>
      <c r="I462">
        <v>4.0999999999999996</v>
      </c>
      <c r="J462">
        <v>4.53</v>
      </c>
      <c r="K462">
        <v>3.86</v>
      </c>
      <c r="L462">
        <v>4.21</v>
      </c>
      <c r="M462">
        <f t="shared" si="21"/>
        <v>4.2179999999999991</v>
      </c>
      <c r="N462">
        <f t="shared" si="22"/>
        <v>4.22</v>
      </c>
      <c r="O462">
        <f t="shared" si="23"/>
        <v>4.1040000000000001</v>
      </c>
    </row>
    <row r="463" spans="1:15" ht="15" customHeight="1" x14ac:dyDescent="0.3">
      <c r="A463" t="s">
        <v>950</v>
      </c>
      <c r="B463" t="s">
        <v>2411</v>
      </c>
      <c r="C463">
        <v>4.78</v>
      </c>
      <c r="D463">
        <v>4.0999999999999996</v>
      </c>
      <c r="E463">
        <v>3.59</v>
      </c>
      <c r="F463">
        <v>4.2</v>
      </c>
      <c r="G463">
        <v>4.5199999999999996</v>
      </c>
      <c r="H463">
        <v>3.93</v>
      </c>
      <c r="I463">
        <v>4.74</v>
      </c>
      <c r="J463">
        <v>4.2300000000000004</v>
      </c>
      <c r="K463">
        <v>3.53</v>
      </c>
      <c r="L463">
        <v>3.44</v>
      </c>
      <c r="M463">
        <f t="shared" si="21"/>
        <v>4.2379999999999995</v>
      </c>
      <c r="N463">
        <f t="shared" si="22"/>
        <v>4.24</v>
      </c>
      <c r="O463">
        <f t="shared" si="23"/>
        <v>3.9740000000000002</v>
      </c>
    </row>
    <row r="464" spans="1:15" ht="15" customHeight="1" x14ac:dyDescent="0.3">
      <c r="A464" t="s">
        <v>952</v>
      </c>
      <c r="B464" t="s">
        <v>2412</v>
      </c>
      <c r="C464">
        <v>3.92</v>
      </c>
      <c r="D464">
        <v>4.2699999999999996</v>
      </c>
      <c r="E464">
        <v>4.43</v>
      </c>
      <c r="F464">
        <v>4.32</v>
      </c>
      <c r="G464">
        <v>3.62</v>
      </c>
      <c r="H464">
        <v>4.4000000000000004</v>
      </c>
      <c r="I464">
        <v>4.05</v>
      </c>
      <c r="J464">
        <v>3.53</v>
      </c>
      <c r="K464">
        <v>3.87</v>
      </c>
      <c r="L464">
        <v>3.94</v>
      </c>
      <c r="M464">
        <f t="shared" si="21"/>
        <v>4.1120000000000001</v>
      </c>
      <c r="N464">
        <f t="shared" si="22"/>
        <v>4.1100000000000003</v>
      </c>
      <c r="O464">
        <f t="shared" si="23"/>
        <v>3.9579999999999997</v>
      </c>
    </row>
    <row r="465" spans="1:15" ht="15" customHeight="1" x14ac:dyDescent="0.3">
      <c r="A465" t="s">
        <v>954</v>
      </c>
      <c r="B465" t="s">
        <v>2413</v>
      </c>
      <c r="C465">
        <v>4.03</v>
      </c>
      <c r="D465">
        <v>4.09</v>
      </c>
      <c r="E465">
        <v>4.17</v>
      </c>
      <c r="F465">
        <v>4.0599999999999996</v>
      </c>
      <c r="G465">
        <v>3.72</v>
      </c>
      <c r="H465">
        <v>4.26</v>
      </c>
      <c r="I465">
        <v>3.93</v>
      </c>
      <c r="J465">
        <v>3.78</v>
      </c>
      <c r="K465" t="s">
        <v>211</v>
      </c>
      <c r="L465">
        <v>3.81</v>
      </c>
      <c r="M465">
        <f t="shared" si="21"/>
        <v>4.0140000000000002</v>
      </c>
      <c r="N465">
        <f t="shared" si="22"/>
        <v>4.01</v>
      </c>
      <c r="O465">
        <f t="shared" si="23"/>
        <v>3.9449999999999998</v>
      </c>
    </row>
    <row r="466" spans="1:15" ht="15" customHeight="1" x14ac:dyDescent="0.3">
      <c r="A466" t="s">
        <v>956</v>
      </c>
      <c r="B466" t="s">
        <v>957</v>
      </c>
      <c r="C466" t="s">
        <v>211</v>
      </c>
      <c r="D466">
        <v>3.98</v>
      </c>
      <c r="E466">
        <v>3.49</v>
      </c>
      <c r="F466">
        <v>3.67</v>
      </c>
      <c r="G466">
        <v>4.1399999999999997</v>
      </c>
      <c r="H466">
        <v>4.47</v>
      </c>
      <c r="I466">
        <v>4.63</v>
      </c>
      <c r="J466">
        <v>4.6100000000000003</v>
      </c>
      <c r="K466">
        <v>4.42</v>
      </c>
      <c r="L466">
        <v>4.28</v>
      </c>
      <c r="M466">
        <f t="shared" si="21"/>
        <v>3.8200000000000003</v>
      </c>
      <c r="N466">
        <f t="shared" si="22"/>
        <v>3.82</v>
      </c>
      <c r="O466">
        <f t="shared" si="23"/>
        <v>4.4820000000000011</v>
      </c>
    </row>
    <row r="467" spans="1:15" ht="15" customHeight="1" x14ac:dyDescent="0.3">
      <c r="A467" t="s">
        <v>958</v>
      </c>
      <c r="B467" t="s">
        <v>2414</v>
      </c>
      <c r="C467">
        <v>4.4400000000000004</v>
      </c>
      <c r="D467">
        <v>3.75</v>
      </c>
      <c r="E467">
        <v>4.04</v>
      </c>
      <c r="F467">
        <v>4.41</v>
      </c>
      <c r="G467">
        <v>4.47</v>
      </c>
      <c r="H467">
        <v>3.87</v>
      </c>
      <c r="I467">
        <v>4.28</v>
      </c>
      <c r="J467">
        <v>3.93</v>
      </c>
      <c r="K467">
        <v>3.43</v>
      </c>
      <c r="L467">
        <v>4.3600000000000003</v>
      </c>
      <c r="M467">
        <f t="shared" si="21"/>
        <v>4.2219999999999995</v>
      </c>
      <c r="N467">
        <f t="shared" si="22"/>
        <v>4.22</v>
      </c>
      <c r="O467">
        <f t="shared" si="23"/>
        <v>3.9740000000000002</v>
      </c>
    </row>
    <row r="468" spans="1:15" ht="15" customHeight="1" x14ac:dyDescent="0.3">
      <c r="A468" t="s">
        <v>960</v>
      </c>
      <c r="B468" t="s">
        <v>961</v>
      </c>
      <c r="C468">
        <v>4.12</v>
      </c>
      <c r="D468">
        <v>4.16</v>
      </c>
      <c r="E468">
        <v>4.0999999999999996</v>
      </c>
      <c r="F468">
        <v>3.74</v>
      </c>
      <c r="G468">
        <v>3.99</v>
      </c>
      <c r="H468">
        <v>4.1500000000000004</v>
      </c>
      <c r="I468">
        <v>4.29</v>
      </c>
      <c r="J468">
        <v>3.98</v>
      </c>
      <c r="K468">
        <v>3.7</v>
      </c>
      <c r="L468">
        <v>4.1900000000000004</v>
      </c>
      <c r="M468">
        <f t="shared" si="21"/>
        <v>4.0220000000000002</v>
      </c>
      <c r="N468">
        <f t="shared" si="22"/>
        <v>4.0199999999999996</v>
      </c>
      <c r="O468">
        <f t="shared" si="23"/>
        <v>4.0620000000000003</v>
      </c>
    </row>
    <row r="469" spans="1:15" ht="15" customHeight="1" x14ac:dyDescent="0.3">
      <c r="A469" t="s">
        <v>962</v>
      </c>
      <c r="B469" t="s">
        <v>2415</v>
      </c>
      <c r="C469">
        <v>4.21</v>
      </c>
      <c r="D469">
        <v>4.3899999999999997</v>
      </c>
      <c r="E469">
        <v>4.3899999999999997</v>
      </c>
      <c r="F469">
        <v>4.4800000000000004</v>
      </c>
      <c r="G469">
        <v>4.1399999999999997</v>
      </c>
      <c r="H469">
        <v>4.5</v>
      </c>
      <c r="I469">
        <v>4.4800000000000004</v>
      </c>
      <c r="J469">
        <v>3.79</v>
      </c>
      <c r="K469" t="s">
        <v>211</v>
      </c>
      <c r="L469">
        <v>4.13</v>
      </c>
      <c r="M469">
        <f t="shared" si="21"/>
        <v>4.3220000000000001</v>
      </c>
      <c r="N469">
        <f t="shared" si="22"/>
        <v>4.32</v>
      </c>
      <c r="O469">
        <f t="shared" si="23"/>
        <v>4.2249999999999996</v>
      </c>
    </row>
    <row r="470" spans="1:15" ht="15" customHeight="1" x14ac:dyDescent="0.3">
      <c r="A470" t="s">
        <v>964</v>
      </c>
      <c r="B470" t="s">
        <v>2416</v>
      </c>
      <c r="C470">
        <v>4.0599999999999996</v>
      </c>
      <c r="D470">
        <v>3.99</v>
      </c>
      <c r="E470">
        <v>3.58</v>
      </c>
      <c r="F470">
        <v>4.0599999999999996</v>
      </c>
      <c r="G470">
        <v>4.1399999999999997</v>
      </c>
      <c r="H470">
        <v>4.05</v>
      </c>
      <c r="I470">
        <v>3.91</v>
      </c>
      <c r="J470">
        <v>4.17</v>
      </c>
      <c r="K470">
        <v>3.9</v>
      </c>
      <c r="L470">
        <v>4.33</v>
      </c>
      <c r="M470">
        <f t="shared" si="21"/>
        <v>3.9660000000000002</v>
      </c>
      <c r="N470">
        <f t="shared" si="22"/>
        <v>3.97</v>
      </c>
      <c r="O470">
        <f t="shared" si="23"/>
        <v>4.0720000000000001</v>
      </c>
    </row>
    <row r="471" spans="1:15" ht="15" customHeight="1" x14ac:dyDescent="0.3">
      <c r="A471" t="s">
        <v>966</v>
      </c>
      <c r="B471" t="s">
        <v>2417</v>
      </c>
      <c r="C471">
        <v>3.91</v>
      </c>
      <c r="D471">
        <v>3.52</v>
      </c>
      <c r="E471">
        <v>3.73</v>
      </c>
      <c r="F471">
        <v>4.09</v>
      </c>
      <c r="G471">
        <v>3.97</v>
      </c>
      <c r="H471">
        <v>3.47</v>
      </c>
      <c r="I471">
        <v>4.26</v>
      </c>
      <c r="J471">
        <v>4.1500000000000004</v>
      </c>
      <c r="K471">
        <v>3.68</v>
      </c>
      <c r="L471">
        <v>4.37</v>
      </c>
      <c r="M471">
        <f t="shared" si="21"/>
        <v>3.8439999999999999</v>
      </c>
      <c r="N471">
        <f t="shared" si="22"/>
        <v>3.84</v>
      </c>
      <c r="O471">
        <f t="shared" si="23"/>
        <v>3.9859999999999998</v>
      </c>
    </row>
    <row r="472" spans="1:15" ht="15" customHeight="1" x14ac:dyDescent="0.3">
      <c r="A472" t="s">
        <v>968</v>
      </c>
      <c r="B472" t="s">
        <v>2418</v>
      </c>
      <c r="C472">
        <v>3.37</v>
      </c>
      <c r="D472">
        <v>3.74</v>
      </c>
      <c r="E472">
        <v>3.74</v>
      </c>
      <c r="F472">
        <v>4.43</v>
      </c>
      <c r="G472">
        <v>3.68</v>
      </c>
      <c r="H472">
        <v>4.3099999999999996</v>
      </c>
      <c r="I472">
        <v>4.18</v>
      </c>
      <c r="J472">
        <v>4.01</v>
      </c>
      <c r="K472">
        <v>3.25</v>
      </c>
      <c r="L472">
        <v>3.87</v>
      </c>
      <c r="M472">
        <f t="shared" si="21"/>
        <v>3.7920000000000003</v>
      </c>
      <c r="N472">
        <f t="shared" si="22"/>
        <v>3.79</v>
      </c>
      <c r="O472">
        <f t="shared" si="23"/>
        <v>3.9239999999999995</v>
      </c>
    </row>
    <row r="473" spans="1:15" ht="15" customHeight="1" x14ac:dyDescent="0.3">
      <c r="A473" t="s">
        <v>970</v>
      </c>
      <c r="B473" t="s">
        <v>2419</v>
      </c>
      <c r="C473">
        <v>4.07</v>
      </c>
      <c r="D473">
        <v>3.79</v>
      </c>
      <c r="E473">
        <v>4.17</v>
      </c>
      <c r="F473">
        <v>4.4400000000000004</v>
      </c>
      <c r="G473">
        <v>4.51</v>
      </c>
      <c r="H473">
        <v>3.95</v>
      </c>
      <c r="I473">
        <v>3.95</v>
      </c>
      <c r="J473">
        <v>4.3499999999999996</v>
      </c>
      <c r="K473">
        <v>4.43</v>
      </c>
      <c r="L473">
        <v>4.3499999999999996</v>
      </c>
      <c r="M473">
        <f t="shared" si="21"/>
        <v>4.1960000000000006</v>
      </c>
      <c r="N473">
        <f t="shared" si="22"/>
        <v>4.2</v>
      </c>
      <c r="O473">
        <f t="shared" si="23"/>
        <v>4.2060000000000004</v>
      </c>
    </row>
    <row r="474" spans="1:15" ht="15" customHeight="1" x14ac:dyDescent="0.3">
      <c r="A474" t="s">
        <v>972</v>
      </c>
      <c r="B474" t="s">
        <v>973</v>
      </c>
      <c r="C474">
        <v>4.3099999999999996</v>
      </c>
      <c r="D474">
        <v>3.82</v>
      </c>
      <c r="E474">
        <v>4.08</v>
      </c>
      <c r="F474">
        <v>4.13</v>
      </c>
      <c r="G474">
        <v>5.1100000000000003</v>
      </c>
      <c r="H474">
        <v>4.22</v>
      </c>
      <c r="I474">
        <v>4.07</v>
      </c>
      <c r="J474">
        <v>4.37</v>
      </c>
      <c r="K474">
        <v>4.17</v>
      </c>
      <c r="L474">
        <v>3.61</v>
      </c>
      <c r="M474">
        <f t="shared" si="21"/>
        <v>4.29</v>
      </c>
      <c r="N474">
        <f t="shared" si="22"/>
        <v>4.29</v>
      </c>
      <c r="O474">
        <f t="shared" si="23"/>
        <v>4.0879999999999992</v>
      </c>
    </row>
    <row r="475" spans="1:15" ht="15" customHeight="1" x14ac:dyDescent="0.3">
      <c r="A475" t="s">
        <v>974</v>
      </c>
      <c r="B475" t="s">
        <v>975</v>
      </c>
      <c r="C475">
        <v>4.62</v>
      </c>
      <c r="D475">
        <v>3.92</v>
      </c>
      <c r="E475">
        <v>4.1100000000000003</v>
      </c>
      <c r="F475">
        <v>4.04</v>
      </c>
      <c r="G475">
        <v>3.9</v>
      </c>
      <c r="H475">
        <v>4.3</v>
      </c>
      <c r="I475">
        <v>3.99</v>
      </c>
      <c r="J475">
        <v>3.73</v>
      </c>
      <c r="K475">
        <v>4.16</v>
      </c>
      <c r="L475">
        <v>4.5</v>
      </c>
      <c r="M475">
        <f t="shared" si="21"/>
        <v>4.1179999999999994</v>
      </c>
      <c r="N475">
        <f t="shared" si="22"/>
        <v>4.12</v>
      </c>
      <c r="O475">
        <f t="shared" si="23"/>
        <v>4.1360000000000001</v>
      </c>
    </row>
    <row r="476" spans="1:15" ht="15" customHeight="1" x14ac:dyDescent="0.3">
      <c r="A476" t="s">
        <v>976</v>
      </c>
      <c r="B476" t="s">
        <v>2420</v>
      </c>
      <c r="C476">
        <v>4.6500000000000004</v>
      </c>
      <c r="D476">
        <v>3.81</v>
      </c>
      <c r="E476">
        <v>3.54</v>
      </c>
      <c r="F476">
        <v>3.93</v>
      </c>
      <c r="G476">
        <v>4.0599999999999996</v>
      </c>
      <c r="H476">
        <v>4.17</v>
      </c>
      <c r="I476" t="s">
        <v>211</v>
      </c>
      <c r="J476">
        <v>3.68</v>
      </c>
      <c r="K476">
        <v>4.74</v>
      </c>
      <c r="L476">
        <v>4.13</v>
      </c>
      <c r="M476">
        <f t="shared" si="21"/>
        <v>3.9979999999999998</v>
      </c>
      <c r="N476">
        <f t="shared" si="22"/>
        <v>4</v>
      </c>
      <c r="O476">
        <f t="shared" si="23"/>
        <v>4.18</v>
      </c>
    </row>
    <row r="477" spans="1:15" ht="15" customHeight="1" x14ac:dyDescent="0.3">
      <c r="A477" t="s">
        <v>978</v>
      </c>
      <c r="B477" t="s">
        <v>2421</v>
      </c>
      <c r="C477">
        <v>4.07</v>
      </c>
      <c r="D477">
        <v>4.51</v>
      </c>
      <c r="E477">
        <v>4.5</v>
      </c>
      <c r="F477">
        <v>4.09</v>
      </c>
      <c r="G477">
        <v>4.54</v>
      </c>
      <c r="H477">
        <v>3.72</v>
      </c>
      <c r="I477">
        <v>4.41</v>
      </c>
      <c r="J477">
        <v>4.3</v>
      </c>
      <c r="K477">
        <v>4.1100000000000003</v>
      </c>
      <c r="L477">
        <v>3.95</v>
      </c>
      <c r="M477">
        <f t="shared" si="21"/>
        <v>4.3420000000000005</v>
      </c>
      <c r="N477">
        <f t="shared" si="22"/>
        <v>4.34</v>
      </c>
      <c r="O477">
        <f t="shared" si="23"/>
        <v>4.0979999999999999</v>
      </c>
    </row>
    <row r="478" spans="1:15" ht="15" customHeight="1" x14ac:dyDescent="0.3">
      <c r="A478" t="s">
        <v>980</v>
      </c>
      <c r="B478" t="s">
        <v>2422</v>
      </c>
      <c r="C478">
        <v>3.48</v>
      </c>
      <c r="D478">
        <v>4.0599999999999996</v>
      </c>
      <c r="E478">
        <v>4.16</v>
      </c>
      <c r="F478">
        <v>4.62</v>
      </c>
      <c r="G478">
        <v>3.53</v>
      </c>
      <c r="H478">
        <v>4.3099999999999996</v>
      </c>
      <c r="I478">
        <v>4.53</v>
      </c>
      <c r="J478">
        <v>4</v>
      </c>
      <c r="K478">
        <v>3.66</v>
      </c>
      <c r="L478" t="s">
        <v>211</v>
      </c>
      <c r="M478">
        <f t="shared" si="21"/>
        <v>3.97</v>
      </c>
      <c r="N478">
        <f t="shared" si="22"/>
        <v>3.97</v>
      </c>
      <c r="O478">
        <f t="shared" si="23"/>
        <v>4.125</v>
      </c>
    </row>
    <row r="479" spans="1:15" ht="15" customHeight="1" x14ac:dyDescent="0.3">
      <c r="A479" t="s">
        <v>982</v>
      </c>
      <c r="B479" t="s">
        <v>983</v>
      </c>
      <c r="C479">
        <v>4.45</v>
      </c>
      <c r="D479">
        <v>4.51</v>
      </c>
      <c r="E479">
        <v>4.2</v>
      </c>
      <c r="F479">
        <v>3.53</v>
      </c>
      <c r="G479">
        <v>3.81</v>
      </c>
      <c r="H479">
        <v>3.89</v>
      </c>
      <c r="I479">
        <v>4.18</v>
      </c>
      <c r="J479" t="s">
        <v>211</v>
      </c>
      <c r="K479">
        <v>3.62</v>
      </c>
      <c r="L479">
        <v>4.3</v>
      </c>
      <c r="M479">
        <f t="shared" si="21"/>
        <v>4.0999999999999996</v>
      </c>
      <c r="N479">
        <f t="shared" si="22"/>
        <v>4.0999999999999996</v>
      </c>
      <c r="O479">
        <f t="shared" si="23"/>
        <v>3.9975000000000005</v>
      </c>
    </row>
    <row r="480" spans="1:15" ht="15" customHeight="1" x14ac:dyDescent="0.3">
      <c r="A480" t="s">
        <v>984</v>
      </c>
      <c r="B480" t="s">
        <v>2423</v>
      </c>
      <c r="C480">
        <v>3.37</v>
      </c>
      <c r="D480">
        <v>4.32</v>
      </c>
      <c r="E480">
        <v>4.1900000000000004</v>
      </c>
      <c r="F480">
        <v>4.09</v>
      </c>
      <c r="G480">
        <v>4.3</v>
      </c>
      <c r="H480">
        <v>3.69</v>
      </c>
      <c r="I480">
        <v>4.0599999999999996</v>
      </c>
      <c r="J480">
        <v>3.99</v>
      </c>
      <c r="K480">
        <v>4.01</v>
      </c>
      <c r="L480">
        <v>4.05</v>
      </c>
      <c r="M480">
        <f t="shared" si="21"/>
        <v>4.0540000000000003</v>
      </c>
      <c r="N480">
        <f t="shared" si="22"/>
        <v>4.05</v>
      </c>
      <c r="O480">
        <f t="shared" si="23"/>
        <v>3.96</v>
      </c>
    </row>
    <row r="481" spans="1:15" ht="15" customHeight="1" x14ac:dyDescent="0.3">
      <c r="A481" t="s">
        <v>986</v>
      </c>
      <c r="B481" t="s">
        <v>987</v>
      </c>
      <c r="C481">
        <v>3.93</v>
      </c>
      <c r="D481">
        <v>3.64</v>
      </c>
      <c r="E481">
        <v>3.95</v>
      </c>
      <c r="F481">
        <v>4.53</v>
      </c>
      <c r="G481">
        <v>4.1500000000000004</v>
      </c>
      <c r="H481">
        <v>3.7</v>
      </c>
      <c r="I481">
        <v>4.17</v>
      </c>
      <c r="J481">
        <v>4.18</v>
      </c>
      <c r="K481">
        <v>4</v>
      </c>
      <c r="L481">
        <v>4.4000000000000004</v>
      </c>
      <c r="M481">
        <f t="shared" si="21"/>
        <v>4.0400000000000009</v>
      </c>
      <c r="N481">
        <f t="shared" si="22"/>
        <v>4.04</v>
      </c>
      <c r="O481">
        <f t="shared" si="23"/>
        <v>4.0900000000000007</v>
      </c>
    </row>
    <row r="482" spans="1:15" ht="15" customHeight="1" x14ac:dyDescent="0.3">
      <c r="A482" t="s">
        <v>988</v>
      </c>
      <c r="B482" t="s">
        <v>2424</v>
      </c>
      <c r="C482">
        <v>3.98</v>
      </c>
      <c r="D482">
        <v>3.99</v>
      </c>
      <c r="E482">
        <v>4.21</v>
      </c>
      <c r="F482">
        <v>4.3899999999999997</v>
      </c>
      <c r="G482">
        <v>4.4800000000000004</v>
      </c>
      <c r="H482">
        <v>3.91</v>
      </c>
      <c r="I482">
        <v>4.1100000000000003</v>
      </c>
      <c r="J482">
        <v>3.76</v>
      </c>
      <c r="K482">
        <v>4.28</v>
      </c>
      <c r="L482">
        <v>4.0599999999999996</v>
      </c>
      <c r="M482">
        <f t="shared" si="21"/>
        <v>4.21</v>
      </c>
      <c r="N482">
        <f t="shared" si="22"/>
        <v>4.21</v>
      </c>
      <c r="O482">
        <f t="shared" si="23"/>
        <v>4.0239999999999991</v>
      </c>
    </row>
    <row r="483" spans="1:15" ht="15" customHeight="1" x14ac:dyDescent="0.3">
      <c r="A483" t="s">
        <v>990</v>
      </c>
      <c r="B483" t="s">
        <v>2425</v>
      </c>
      <c r="C483">
        <v>4.49</v>
      </c>
      <c r="D483">
        <v>3.99</v>
      </c>
      <c r="E483">
        <v>4.66</v>
      </c>
      <c r="F483" t="s">
        <v>211</v>
      </c>
      <c r="G483">
        <v>3.69</v>
      </c>
      <c r="H483">
        <v>4.03</v>
      </c>
      <c r="I483">
        <v>3.9</v>
      </c>
      <c r="J483">
        <v>3.89</v>
      </c>
      <c r="K483">
        <v>4.2</v>
      </c>
      <c r="L483">
        <v>4.0999999999999996</v>
      </c>
      <c r="M483">
        <f t="shared" si="21"/>
        <v>4.2075000000000005</v>
      </c>
      <c r="N483">
        <f t="shared" si="22"/>
        <v>4.21</v>
      </c>
      <c r="O483">
        <f t="shared" si="23"/>
        <v>4.0239999999999991</v>
      </c>
    </row>
    <row r="484" spans="1:15" ht="15" customHeight="1" x14ac:dyDescent="0.3">
      <c r="A484" t="s">
        <v>992</v>
      </c>
      <c r="B484" t="s">
        <v>2426</v>
      </c>
      <c r="C484">
        <v>3.86</v>
      </c>
      <c r="D484">
        <v>4.05</v>
      </c>
      <c r="E484">
        <v>4.1399999999999997</v>
      </c>
      <c r="F484">
        <v>4</v>
      </c>
      <c r="G484">
        <v>3.91</v>
      </c>
      <c r="H484">
        <v>4.22</v>
      </c>
      <c r="I484">
        <v>4.05</v>
      </c>
      <c r="J484">
        <v>4.49</v>
      </c>
      <c r="K484">
        <v>4.32</v>
      </c>
      <c r="L484">
        <v>3.83</v>
      </c>
      <c r="M484">
        <f t="shared" si="21"/>
        <v>3.992</v>
      </c>
      <c r="N484">
        <f t="shared" si="22"/>
        <v>3.99</v>
      </c>
      <c r="O484">
        <f t="shared" si="23"/>
        <v>4.1819999999999995</v>
      </c>
    </row>
    <row r="485" spans="1:15" ht="15" customHeight="1" x14ac:dyDescent="0.3">
      <c r="A485" t="s">
        <v>994</v>
      </c>
      <c r="B485" t="s">
        <v>995</v>
      </c>
      <c r="C485">
        <v>4.2300000000000004</v>
      </c>
      <c r="D485">
        <v>3.96</v>
      </c>
      <c r="E485">
        <v>4.13</v>
      </c>
      <c r="F485">
        <v>3.69</v>
      </c>
      <c r="G485" t="s">
        <v>211</v>
      </c>
      <c r="H485">
        <v>4.5</v>
      </c>
      <c r="I485">
        <v>3.97</v>
      </c>
      <c r="J485">
        <v>3.63</v>
      </c>
      <c r="K485">
        <v>3.95</v>
      </c>
      <c r="L485">
        <v>4.24</v>
      </c>
      <c r="M485">
        <f t="shared" si="21"/>
        <v>4.0025000000000004</v>
      </c>
      <c r="N485">
        <f t="shared" si="22"/>
        <v>4</v>
      </c>
      <c r="O485">
        <f t="shared" si="23"/>
        <v>4.0579999999999998</v>
      </c>
    </row>
    <row r="486" spans="1:15" ht="15" customHeight="1" x14ac:dyDescent="0.3">
      <c r="A486" t="s">
        <v>996</v>
      </c>
      <c r="B486" t="s">
        <v>997</v>
      </c>
      <c r="C486">
        <v>4.0999999999999996</v>
      </c>
      <c r="D486">
        <v>3.77</v>
      </c>
      <c r="E486">
        <v>4.4800000000000004</v>
      </c>
      <c r="F486">
        <v>4.3499999999999996</v>
      </c>
      <c r="G486">
        <v>4.26</v>
      </c>
      <c r="H486">
        <v>3.82</v>
      </c>
      <c r="I486">
        <v>4.12</v>
      </c>
      <c r="J486">
        <v>4.41</v>
      </c>
      <c r="K486">
        <v>3.38</v>
      </c>
      <c r="L486" t="s">
        <v>211</v>
      </c>
      <c r="M486">
        <f t="shared" si="21"/>
        <v>4.1920000000000002</v>
      </c>
      <c r="N486">
        <f t="shared" si="22"/>
        <v>4.1900000000000004</v>
      </c>
      <c r="O486">
        <f t="shared" si="23"/>
        <v>3.9325000000000001</v>
      </c>
    </row>
    <row r="487" spans="1:15" ht="15" customHeight="1" x14ac:dyDescent="0.3">
      <c r="A487" t="s">
        <v>998</v>
      </c>
      <c r="B487" t="s">
        <v>999</v>
      </c>
      <c r="C487">
        <v>4.37</v>
      </c>
      <c r="D487" t="s">
        <v>211</v>
      </c>
      <c r="E487">
        <v>3.92</v>
      </c>
      <c r="F487">
        <v>4.16</v>
      </c>
      <c r="G487">
        <v>3.96</v>
      </c>
      <c r="H487" t="s">
        <v>211</v>
      </c>
      <c r="I487">
        <v>4.26</v>
      </c>
      <c r="J487">
        <v>4.0199999999999996</v>
      </c>
      <c r="K487">
        <v>4.3899999999999997</v>
      </c>
      <c r="L487">
        <v>4.4000000000000004</v>
      </c>
      <c r="M487">
        <f t="shared" si="21"/>
        <v>4.1025</v>
      </c>
      <c r="N487">
        <f t="shared" si="22"/>
        <v>4.0999999999999996</v>
      </c>
      <c r="O487">
        <f t="shared" si="23"/>
        <v>4.2675000000000001</v>
      </c>
    </row>
    <row r="488" spans="1:15" ht="15" customHeight="1" x14ac:dyDescent="0.3">
      <c r="A488" t="s">
        <v>1000</v>
      </c>
      <c r="B488" t="s">
        <v>2427</v>
      </c>
      <c r="C488">
        <v>4.46</v>
      </c>
      <c r="D488">
        <v>4.5199999999999996</v>
      </c>
      <c r="E488">
        <v>3.86</v>
      </c>
      <c r="F488">
        <v>4.0999999999999996</v>
      </c>
      <c r="G488">
        <v>3.68</v>
      </c>
      <c r="H488">
        <v>4.6100000000000003</v>
      </c>
      <c r="I488">
        <v>3.6</v>
      </c>
      <c r="J488">
        <v>3.71</v>
      </c>
      <c r="K488">
        <v>3.77</v>
      </c>
      <c r="L488">
        <v>3.71</v>
      </c>
      <c r="M488">
        <f t="shared" si="21"/>
        <v>4.1239999999999997</v>
      </c>
      <c r="N488">
        <f t="shared" si="22"/>
        <v>4.12</v>
      </c>
      <c r="O488">
        <f t="shared" si="23"/>
        <v>3.8800000000000003</v>
      </c>
    </row>
    <row r="489" spans="1:15" ht="15" customHeight="1" x14ac:dyDescent="0.3">
      <c r="A489" t="s">
        <v>1002</v>
      </c>
      <c r="B489" t="s">
        <v>1003</v>
      </c>
      <c r="C489">
        <v>4.59</v>
      </c>
      <c r="D489">
        <v>4.38</v>
      </c>
      <c r="E489">
        <v>3</v>
      </c>
      <c r="F489">
        <v>4.12</v>
      </c>
      <c r="G489">
        <v>3.54</v>
      </c>
      <c r="H489">
        <v>3.72</v>
      </c>
      <c r="I489">
        <v>3.96</v>
      </c>
      <c r="J489">
        <v>4.5599999999999996</v>
      </c>
      <c r="K489">
        <v>4.03</v>
      </c>
      <c r="L489">
        <v>3.81</v>
      </c>
      <c r="M489">
        <f t="shared" si="21"/>
        <v>3.9259999999999997</v>
      </c>
      <c r="N489">
        <f t="shared" si="22"/>
        <v>3.93</v>
      </c>
      <c r="O489">
        <f t="shared" si="23"/>
        <v>4.016</v>
      </c>
    </row>
    <row r="490" spans="1:15" ht="15" customHeight="1" x14ac:dyDescent="0.3">
      <c r="A490" t="s">
        <v>1004</v>
      </c>
      <c r="B490" t="s">
        <v>2428</v>
      </c>
      <c r="C490">
        <v>3.46</v>
      </c>
      <c r="D490" t="s">
        <v>1006</v>
      </c>
      <c r="E490">
        <v>3.9</v>
      </c>
      <c r="F490">
        <v>3.95</v>
      </c>
      <c r="G490">
        <v>4.0199999999999996</v>
      </c>
      <c r="H490">
        <v>4.04</v>
      </c>
      <c r="I490">
        <v>4.1399999999999997</v>
      </c>
      <c r="J490">
        <v>4.04</v>
      </c>
      <c r="K490">
        <v>3.51</v>
      </c>
      <c r="L490">
        <v>4.1500000000000004</v>
      </c>
      <c r="M490">
        <f t="shared" si="21"/>
        <v>3.8324999999999996</v>
      </c>
      <c r="N490">
        <f t="shared" si="22"/>
        <v>3.83</v>
      </c>
      <c r="O490">
        <f t="shared" si="23"/>
        <v>3.976</v>
      </c>
    </row>
    <row r="491" spans="1:15" ht="15" customHeight="1" x14ac:dyDescent="0.3">
      <c r="A491" t="s">
        <v>1007</v>
      </c>
      <c r="B491" t="s">
        <v>2429</v>
      </c>
      <c r="C491">
        <v>3.69</v>
      </c>
      <c r="D491">
        <v>3.98</v>
      </c>
      <c r="E491" t="s">
        <v>211</v>
      </c>
      <c r="F491">
        <v>3.48</v>
      </c>
      <c r="G491">
        <v>3.82</v>
      </c>
      <c r="H491">
        <v>4.12</v>
      </c>
      <c r="I491">
        <v>4</v>
      </c>
      <c r="J491">
        <v>4.03</v>
      </c>
      <c r="K491">
        <v>3.96</v>
      </c>
      <c r="L491">
        <v>3.27</v>
      </c>
      <c r="M491">
        <f t="shared" si="21"/>
        <v>3.7425000000000002</v>
      </c>
      <c r="N491">
        <f t="shared" si="22"/>
        <v>3.74</v>
      </c>
      <c r="O491">
        <f t="shared" si="23"/>
        <v>3.8760000000000003</v>
      </c>
    </row>
    <row r="492" spans="1:15" ht="15" customHeight="1" x14ac:dyDescent="0.3">
      <c r="A492" t="s">
        <v>1009</v>
      </c>
      <c r="B492" t="s">
        <v>2430</v>
      </c>
      <c r="C492">
        <v>3.92</v>
      </c>
      <c r="D492">
        <v>4.49</v>
      </c>
      <c r="E492" t="s">
        <v>211</v>
      </c>
      <c r="F492">
        <v>4.25</v>
      </c>
      <c r="G492">
        <v>3.88</v>
      </c>
      <c r="H492" t="s">
        <v>211</v>
      </c>
      <c r="I492">
        <v>4.38</v>
      </c>
      <c r="J492">
        <v>3.64</v>
      </c>
      <c r="K492">
        <v>4.4000000000000004</v>
      </c>
      <c r="L492">
        <v>4.0999999999999996</v>
      </c>
      <c r="M492">
        <f t="shared" si="21"/>
        <v>4.1349999999999998</v>
      </c>
      <c r="N492">
        <f t="shared" si="22"/>
        <v>4.1399999999999997</v>
      </c>
      <c r="O492">
        <f t="shared" si="23"/>
        <v>4.13</v>
      </c>
    </row>
    <row r="493" spans="1:15" ht="15" customHeight="1" x14ac:dyDescent="0.3">
      <c r="A493" t="s">
        <v>1011</v>
      </c>
      <c r="B493" t="s">
        <v>2431</v>
      </c>
      <c r="C493">
        <v>4.3099999999999996</v>
      </c>
      <c r="D493">
        <v>4.6399999999999997</v>
      </c>
      <c r="E493">
        <v>3.7</v>
      </c>
      <c r="F493">
        <v>3.69</v>
      </c>
      <c r="G493">
        <v>4.5</v>
      </c>
      <c r="H493">
        <v>4.05</v>
      </c>
      <c r="I493">
        <v>3.68</v>
      </c>
      <c r="J493">
        <v>4.37</v>
      </c>
      <c r="K493">
        <v>3.79</v>
      </c>
      <c r="L493">
        <v>4</v>
      </c>
      <c r="M493">
        <f t="shared" si="21"/>
        <v>4.1680000000000001</v>
      </c>
      <c r="N493">
        <f t="shared" si="22"/>
        <v>4.17</v>
      </c>
      <c r="O493">
        <f t="shared" si="23"/>
        <v>3.9780000000000002</v>
      </c>
    </row>
    <row r="494" spans="1:15" ht="15" customHeight="1" x14ac:dyDescent="0.3">
      <c r="A494" t="s">
        <v>1013</v>
      </c>
      <c r="B494" t="s">
        <v>2432</v>
      </c>
      <c r="C494">
        <v>3.86</v>
      </c>
      <c r="D494">
        <v>3.95</v>
      </c>
      <c r="E494">
        <v>3.87</v>
      </c>
      <c r="F494">
        <v>3.64</v>
      </c>
      <c r="G494">
        <v>3.67</v>
      </c>
      <c r="H494">
        <v>4.6900000000000004</v>
      </c>
      <c r="I494">
        <v>3.35</v>
      </c>
      <c r="J494">
        <v>3.99</v>
      </c>
      <c r="K494">
        <v>3.98</v>
      </c>
      <c r="L494">
        <v>4.13</v>
      </c>
      <c r="M494">
        <f t="shared" si="21"/>
        <v>3.7980000000000005</v>
      </c>
      <c r="N494">
        <f t="shared" si="22"/>
        <v>3.8</v>
      </c>
      <c r="O494">
        <f t="shared" si="23"/>
        <v>4.0280000000000005</v>
      </c>
    </row>
    <row r="495" spans="1:15" ht="15" customHeight="1" x14ac:dyDescent="0.3">
      <c r="A495" t="s">
        <v>1015</v>
      </c>
      <c r="B495" t="s">
        <v>2433</v>
      </c>
      <c r="C495">
        <v>3.96</v>
      </c>
      <c r="D495">
        <v>4.07</v>
      </c>
      <c r="E495">
        <v>3.74</v>
      </c>
      <c r="F495">
        <v>4.3899999999999997</v>
      </c>
      <c r="G495">
        <v>3.94</v>
      </c>
      <c r="H495">
        <v>3.66</v>
      </c>
      <c r="I495">
        <v>4.08</v>
      </c>
      <c r="J495">
        <v>3.88</v>
      </c>
      <c r="K495">
        <v>3.85</v>
      </c>
      <c r="L495">
        <v>4.3899999999999997</v>
      </c>
      <c r="M495">
        <f t="shared" si="21"/>
        <v>4.0200000000000005</v>
      </c>
      <c r="N495">
        <f t="shared" si="22"/>
        <v>4.0199999999999996</v>
      </c>
      <c r="O495">
        <f t="shared" si="23"/>
        <v>3.972</v>
      </c>
    </row>
    <row r="496" spans="1:15" ht="15" customHeight="1" x14ac:dyDescent="0.3">
      <c r="A496" t="s">
        <v>1017</v>
      </c>
      <c r="B496" t="s">
        <v>2434</v>
      </c>
      <c r="C496">
        <v>4.0599999999999996</v>
      </c>
      <c r="D496" t="s">
        <v>211</v>
      </c>
      <c r="E496">
        <v>3.76</v>
      </c>
      <c r="F496">
        <v>4.67</v>
      </c>
      <c r="G496">
        <v>3.71</v>
      </c>
      <c r="H496">
        <v>4.04</v>
      </c>
      <c r="I496">
        <v>4.34</v>
      </c>
      <c r="J496">
        <v>4.1500000000000004</v>
      </c>
      <c r="K496">
        <v>3.69</v>
      </c>
      <c r="L496" t="s">
        <v>211</v>
      </c>
      <c r="M496">
        <f t="shared" si="21"/>
        <v>4.05</v>
      </c>
      <c r="N496">
        <f t="shared" si="22"/>
        <v>4.05</v>
      </c>
      <c r="O496">
        <f t="shared" si="23"/>
        <v>4.0549999999999997</v>
      </c>
    </row>
    <row r="497" spans="1:15" ht="15" customHeight="1" x14ac:dyDescent="0.3">
      <c r="A497" t="s">
        <v>1019</v>
      </c>
      <c r="B497" t="s">
        <v>2435</v>
      </c>
      <c r="C497">
        <v>3.93</v>
      </c>
      <c r="D497">
        <v>3.58</v>
      </c>
      <c r="E497">
        <v>3.79</v>
      </c>
      <c r="F497">
        <v>4</v>
      </c>
      <c r="G497" t="s">
        <v>211</v>
      </c>
      <c r="H497">
        <v>3.65</v>
      </c>
      <c r="I497">
        <v>4.5999999999999996</v>
      </c>
      <c r="J497">
        <v>3.85</v>
      </c>
      <c r="K497">
        <v>4.16</v>
      </c>
      <c r="L497">
        <v>4.01</v>
      </c>
      <c r="M497">
        <f t="shared" si="21"/>
        <v>3.8250000000000002</v>
      </c>
      <c r="N497">
        <f t="shared" si="22"/>
        <v>3.83</v>
      </c>
      <c r="O497">
        <f t="shared" si="23"/>
        <v>4.0539999999999994</v>
      </c>
    </row>
    <row r="498" spans="1:15" ht="15" customHeight="1" x14ac:dyDescent="0.3">
      <c r="A498" t="s">
        <v>1021</v>
      </c>
      <c r="B498" t="s">
        <v>1022</v>
      </c>
      <c r="C498">
        <v>4.6500000000000004</v>
      </c>
      <c r="D498">
        <v>4.38</v>
      </c>
      <c r="E498">
        <v>3.86</v>
      </c>
      <c r="F498">
        <v>4.83</v>
      </c>
      <c r="G498">
        <v>4.25</v>
      </c>
      <c r="H498">
        <v>4.21</v>
      </c>
      <c r="I498">
        <v>3.93</v>
      </c>
      <c r="J498">
        <v>3.7</v>
      </c>
      <c r="K498">
        <v>4.32</v>
      </c>
      <c r="L498">
        <v>3.78</v>
      </c>
      <c r="M498">
        <f t="shared" si="21"/>
        <v>4.3940000000000001</v>
      </c>
      <c r="N498">
        <f t="shared" si="22"/>
        <v>4.3899999999999997</v>
      </c>
      <c r="O498">
        <f t="shared" si="23"/>
        <v>3.9880000000000004</v>
      </c>
    </row>
    <row r="499" spans="1:15" ht="15" customHeight="1" x14ac:dyDescent="0.3">
      <c r="A499" t="s">
        <v>1023</v>
      </c>
      <c r="B499" t="s">
        <v>2436</v>
      </c>
      <c r="C499">
        <v>3.63</v>
      </c>
      <c r="D499">
        <v>4.29</v>
      </c>
      <c r="E499">
        <v>4.38</v>
      </c>
      <c r="F499">
        <v>3.9</v>
      </c>
      <c r="G499">
        <v>3.59</v>
      </c>
      <c r="H499">
        <v>4.3</v>
      </c>
      <c r="I499">
        <v>4.26</v>
      </c>
      <c r="J499">
        <v>4.08</v>
      </c>
      <c r="K499">
        <v>4.62</v>
      </c>
      <c r="L499">
        <v>4.13</v>
      </c>
      <c r="M499">
        <f t="shared" si="21"/>
        <v>3.9579999999999997</v>
      </c>
      <c r="N499">
        <f t="shared" si="22"/>
        <v>3.96</v>
      </c>
      <c r="O499">
        <f t="shared" si="23"/>
        <v>4.2779999999999996</v>
      </c>
    </row>
    <row r="500" spans="1:15" ht="15" customHeight="1" x14ac:dyDescent="0.3">
      <c r="A500" t="s">
        <v>1025</v>
      </c>
      <c r="B500" t="s">
        <v>1026</v>
      </c>
      <c r="C500">
        <v>3.8</v>
      </c>
      <c r="D500">
        <v>4.2</v>
      </c>
      <c r="E500">
        <v>3.88</v>
      </c>
      <c r="F500">
        <v>3.82</v>
      </c>
      <c r="G500">
        <v>3.64</v>
      </c>
      <c r="H500">
        <v>3.78</v>
      </c>
      <c r="I500">
        <v>4.24</v>
      </c>
      <c r="J500">
        <v>3.76</v>
      </c>
      <c r="K500">
        <v>3.99</v>
      </c>
      <c r="L500">
        <v>4.21</v>
      </c>
      <c r="M500">
        <f t="shared" si="21"/>
        <v>3.8679999999999999</v>
      </c>
      <c r="N500">
        <f t="shared" si="22"/>
        <v>3.87</v>
      </c>
      <c r="O500">
        <f t="shared" si="23"/>
        <v>3.996</v>
      </c>
    </row>
    <row r="501" spans="1:15" ht="15" customHeight="1" x14ac:dyDescent="0.3">
      <c r="A501" t="s">
        <v>1027</v>
      </c>
      <c r="B501" t="s">
        <v>2437</v>
      </c>
      <c r="C501">
        <v>3.2</v>
      </c>
      <c r="D501">
        <v>4.13</v>
      </c>
      <c r="E501">
        <v>4.0599999999999996</v>
      </c>
      <c r="F501">
        <v>3.95</v>
      </c>
      <c r="G501">
        <v>3.84</v>
      </c>
      <c r="H501">
        <v>4.33</v>
      </c>
      <c r="I501">
        <v>4.41</v>
      </c>
      <c r="J501">
        <v>4.68</v>
      </c>
      <c r="K501">
        <v>3.99</v>
      </c>
      <c r="L501">
        <v>3.8</v>
      </c>
      <c r="M501">
        <f t="shared" si="21"/>
        <v>3.8359999999999999</v>
      </c>
      <c r="N501">
        <f t="shared" si="22"/>
        <v>3.84</v>
      </c>
      <c r="O501">
        <f t="shared" si="23"/>
        <v>4.242</v>
      </c>
    </row>
    <row r="502" spans="1:15" ht="15" customHeight="1" x14ac:dyDescent="0.3">
      <c r="A502" t="s">
        <v>1029</v>
      </c>
      <c r="B502" t="s">
        <v>1030</v>
      </c>
      <c r="C502">
        <v>4.13</v>
      </c>
      <c r="D502">
        <v>4.1900000000000004</v>
      </c>
      <c r="E502">
        <v>4.47</v>
      </c>
      <c r="F502">
        <v>4.03</v>
      </c>
      <c r="G502">
        <v>3.76</v>
      </c>
      <c r="H502">
        <v>4.16</v>
      </c>
      <c r="I502">
        <v>4.1900000000000004</v>
      </c>
      <c r="J502">
        <v>4.53</v>
      </c>
      <c r="K502">
        <v>3.6</v>
      </c>
      <c r="L502">
        <v>3.29</v>
      </c>
      <c r="M502">
        <f t="shared" si="21"/>
        <v>4.1159999999999997</v>
      </c>
      <c r="N502">
        <f t="shared" si="22"/>
        <v>4.12</v>
      </c>
      <c r="O502">
        <f t="shared" si="23"/>
        <v>3.9540000000000006</v>
      </c>
    </row>
    <row r="503" spans="1:15" ht="15" customHeight="1" x14ac:dyDescent="0.3">
      <c r="A503" t="s">
        <v>1031</v>
      </c>
      <c r="B503" t="s">
        <v>1032</v>
      </c>
      <c r="C503">
        <v>3.22</v>
      </c>
      <c r="D503">
        <v>4.33</v>
      </c>
      <c r="E503">
        <v>3.89</v>
      </c>
      <c r="F503">
        <v>4.0199999999999996</v>
      </c>
      <c r="G503">
        <v>4.78</v>
      </c>
      <c r="H503">
        <v>4.17</v>
      </c>
      <c r="I503">
        <v>4.1399999999999997</v>
      </c>
      <c r="J503">
        <v>3.28</v>
      </c>
      <c r="K503">
        <v>4.22</v>
      </c>
      <c r="L503">
        <v>3.97</v>
      </c>
      <c r="M503">
        <f t="shared" si="21"/>
        <v>4.048</v>
      </c>
      <c r="N503">
        <f t="shared" si="22"/>
        <v>4.05</v>
      </c>
      <c r="O503">
        <f t="shared" si="23"/>
        <v>3.9559999999999995</v>
      </c>
    </row>
    <row r="504" spans="1:15" ht="15" customHeight="1" x14ac:dyDescent="0.3">
      <c r="A504" t="s">
        <v>1033</v>
      </c>
      <c r="B504" t="s">
        <v>1034</v>
      </c>
      <c r="C504">
        <v>3.81</v>
      </c>
      <c r="D504">
        <v>4.49</v>
      </c>
      <c r="E504">
        <v>3.79</v>
      </c>
      <c r="F504">
        <v>4.09</v>
      </c>
      <c r="G504">
        <v>4.8899999999999997</v>
      </c>
      <c r="H504">
        <v>3.74</v>
      </c>
      <c r="I504">
        <v>3.89</v>
      </c>
      <c r="J504">
        <v>3.97</v>
      </c>
      <c r="K504">
        <v>3.41</v>
      </c>
      <c r="L504">
        <v>3.77</v>
      </c>
      <c r="M504">
        <f t="shared" si="21"/>
        <v>4.2140000000000004</v>
      </c>
      <c r="N504">
        <f t="shared" si="22"/>
        <v>4.21</v>
      </c>
      <c r="O504">
        <f t="shared" si="23"/>
        <v>3.7560000000000002</v>
      </c>
    </row>
    <row r="505" spans="1:15" ht="15" customHeight="1" x14ac:dyDescent="0.3">
      <c r="A505" t="s">
        <v>1035</v>
      </c>
      <c r="B505" t="s">
        <v>1036</v>
      </c>
      <c r="C505">
        <v>3.86</v>
      </c>
      <c r="D505">
        <v>3.57</v>
      </c>
      <c r="E505" t="s">
        <v>211</v>
      </c>
      <c r="F505">
        <v>3.95</v>
      </c>
      <c r="G505">
        <v>3.79</v>
      </c>
      <c r="H505">
        <v>3.96</v>
      </c>
      <c r="I505">
        <v>3.55</v>
      </c>
      <c r="J505">
        <v>4.41</v>
      </c>
      <c r="K505">
        <v>3.92</v>
      </c>
      <c r="L505">
        <v>4.0999999999999996</v>
      </c>
      <c r="M505">
        <f t="shared" si="21"/>
        <v>3.7924999999999995</v>
      </c>
      <c r="N505">
        <f t="shared" si="22"/>
        <v>3.79</v>
      </c>
      <c r="O505">
        <f t="shared" si="23"/>
        <v>3.9879999999999995</v>
      </c>
    </row>
    <row r="506" spans="1:15" ht="15" customHeight="1" x14ac:dyDescent="0.3">
      <c r="A506" t="s">
        <v>1037</v>
      </c>
      <c r="B506" t="s">
        <v>2438</v>
      </c>
      <c r="C506">
        <v>3.85</v>
      </c>
      <c r="D506">
        <v>3.94</v>
      </c>
      <c r="E506">
        <v>4.29</v>
      </c>
      <c r="F506">
        <v>3.95</v>
      </c>
      <c r="G506">
        <v>4.4400000000000004</v>
      </c>
      <c r="H506" t="s">
        <v>211</v>
      </c>
      <c r="I506">
        <v>3.6</v>
      </c>
      <c r="J506">
        <v>4.21</v>
      </c>
      <c r="K506">
        <v>4.38</v>
      </c>
      <c r="L506">
        <v>4.25</v>
      </c>
      <c r="M506">
        <f t="shared" si="21"/>
        <v>4.0940000000000003</v>
      </c>
      <c r="N506">
        <f t="shared" si="22"/>
        <v>4.09</v>
      </c>
      <c r="O506">
        <f t="shared" si="23"/>
        <v>4.1100000000000003</v>
      </c>
    </row>
    <row r="507" spans="1:15" ht="15" customHeight="1" x14ac:dyDescent="0.3">
      <c r="A507" t="s">
        <v>1039</v>
      </c>
      <c r="B507" t="s">
        <v>2439</v>
      </c>
      <c r="C507" t="s">
        <v>211</v>
      </c>
      <c r="D507">
        <v>4.45</v>
      </c>
      <c r="E507">
        <v>4.71</v>
      </c>
      <c r="F507">
        <v>3.81</v>
      </c>
      <c r="G507">
        <v>3.93</v>
      </c>
      <c r="H507">
        <v>4.1900000000000004</v>
      </c>
      <c r="I507">
        <v>4.24</v>
      </c>
      <c r="J507">
        <v>3.81</v>
      </c>
      <c r="K507">
        <v>3.87</v>
      </c>
      <c r="L507">
        <v>4.24</v>
      </c>
      <c r="M507">
        <f t="shared" si="21"/>
        <v>4.2250000000000005</v>
      </c>
      <c r="N507">
        <f t="shared" si="22"/>
        <v>4.2300000000000004</v>
      </c>
      <c r="O507">
        <f t="shared" si="23"/>
        <v>4.07</v>
      </c>
    </row>
    <row r="508" spans="1:15" ht="15" customHeight="1" x14ac:dyDescent="0.3">
      <c r="A508" t="s">
        <v>1041</v>
      </c>
      <c r="B508" t="s">
        <v>1042</v>
      </c>
      <c r="C508">
        <v>4.7</v>
      </c>
      <c r="D508">
        <v>3.96</v>
      </c>
      <c r="E508">
        <v>4.49</v>
      </c>
      <c r="F508">
        <v>4.32</v>
      </c>
      <c r="G508">
        <v>3.11</v>
      </c>
      <c r="H508" t="s">
        <v>211</v>
      </c>
      <c r="I508">
        <v>4.1399999999999997</v>
      </c>
      <c r="J508">
        <v>3.8</v>
      </c>
      <c r="K508">
        <v>4.34</v>
      </c>
      <c r="L508">
        <v>3.25</v>
      </c>
      <c r="M508">
        <f t="shared" si="21"/>
        <v>4.1159999999999997</v>
      </c>
      <c r="N508">
        <f t="shared" si="22"/>
        <v>4.12</v>
      </c>
      <c r="O508">
        <f t="shared" si="23"/>
        <v>3.8824999999999998</v>
      </c>
    </row>
    <row r="509" spans="1:15" ht="15" customHeight="1" x14ac:dyDescent="0.3">
      <c r="A509" t="s">
        <v>1043</v>
      </c>
      <c r="B509" t="s">
        <v>1044</v>
      </c>
      <c r="C509">
        <v>4.32</v>
      </c>
      <c r="D509">
        <v>4.38</v>
      </c>
      <c r="E509">
        <v>4.24</v>
      </c>
      <c r="F509">
        <v>4.16</v>
      </c>
      <c r="G509">
        <v>3.41</v>
      </c>
      <c r="H509">
        <v>4.1500000000000004</v>
      </c>
      <c r="I509">
        <v>4.17</v>
      </c>
      <c r="J509">
        <v>4.04</v>
      </c>
      <c r="K509">
        <v>4.57</v>
      </c>
      <c r="L509">
        <v>3.92</v>
      </c>
      <c r="M509">
        <f t="shared" si="21"/>
        <v>4.1020000000000003</v>
      </c>
      <c r="N509">
        <f t="shared" si="22"/>
        <v>4.0999999999999996</v>
      </c>
      <c r="O509">
        <f t="shared" si="23"/>
        <v>4.17</v>
      </c>
    </row>
    <row r="510" spans="1:15" ht="15" customHeight="1" x14ac:dyDescent="0.3">
      <c r="A510" t="s">
        <v>1045</v>
      </c>
      <c r="B510" t="s">
        <v>1046</v>
      </c>
      <c r="C510">
        <v>3.45</v>
      </c>
      <c r="D510">
        <v>4.43</v>
      </c>
      <c r="E510">
        <v>3.7</v>
      </c>
      <c r="F510">
        <v>4.26</v>
      </c>
      <c r="G510">
        <v>3.92</v>
      </c>
      <c r="H510">
        <v>3.53</v>
      </c>
      <c r="I510">
        <v>4.18</v>
      </c>
      <c r="J510">
        <v>4.21</v>
      </c>
      <c r="K510" t="s">
        <v>211</v>
      </c>
      <c r="L510">
        <v>4.33</v>
      </c>
      <c r="M510">
        <f t="shared" si="21"/>
        <v>3.9519999999999995</v>
      </c>
      <c r="N510">
        <f t="shared" si="22"/>
        <v>3.95</v>
      </c>
      <c r="O510">
        <f t="shared" si="23"/>
        <v>4.0625</v>
      </c>
    </row>
    <row r="511" spans="1:15" ht="15" customHeight="1" x14ac:dyDescent="0.3">
      <c r="A511" t="s">
        <v>1047</v>
      </c>
      <c r="B511" t="s">
        <v>1048</v>
      </c>
      <c r="C511">
        <v>4.1900000000000004</v>
      </c>
      <c r="D511">
        <v>3.82</v>
      </c>
      <c r="E511">
        <v>3.72</v>
      </c>
      <c r="F511">
        <v>3.92</v>
      </c>
      <c r="G511">
        <v>4.07</v>
      </c>
      <c r="H511">
        <v>4.05</v>
      </c>
      <c r="I511">
        <v>3.99</v>
      </c>
      <c r="J511">
        <v>4.8499999999999996</v>
      </c>
      <c r="K511">
        <v>4.2300000000000004</v>
      </c>
      <c r="L511">
        <v>3.74</v>
      </c>
      <c r="M511">
        <f t="shared" si="21"/>
        <v>3.944</v>
      </c>
      <c r="N511">
        <f t="shared" si="22"/>
        <v>3.94</v>
      </c>
      <c r="O511">
        <f t="shared" si="23"/>
        <v>4.1719999999999997</v>
      </c>
    </row>
    <row r="512" spans="1:15" ht="15" customHeight="1" x14ac:dyDescent="0.3">
      <c r="A512" t="s">
        <v>1049</v>
      </c>
      <c r="B512" t="s">
        <v>1050</v>
      </c>
      <c r="C512">
        <v>4.3499999999999996</v>
      </c>
      <c r="D512">
        <v>4.68</v>
      </c>
      <c r="E512" t="s">
        <v>1051</v>
      </c>
      <c r="F512">
        <v>3.99</v>
      </c>
      <c r="G512">
        <v>4.08</v>
      </c>
      <c r="H512">
        <v>3.68</v>
      </c>
      <c r="I512">
        <v>4.4800000000000004</v>
      </c>
      <c r="J512">
        <v>3.97</v>
      </c>
      <c r="K512">
        <v>3.81</v>
      </c>
      <c r="L512">
        <v>4.33</v>
      </c>
      <c r="M512">
        <f t="shared" si="21"/>
        <v>4.2750000000000004</v>
      </c>
      <c r="N512">
        <f t="shared" si="22"/>
        <v>4.28</v>
      </c>
      <c r="O512">
        <f t="shared" si="23"/>
        <v>4.0540000000000003</v>
      </c>
    </row>
    <row r="513" spans="1:15" ht="15" customHeight="1" x14ac:dyDescent="0.3">
      <c r="A513" t="s">
        <v>1052</v>
      </c>
      <c r="B513" t="s">
        <v>2440</v>
      </c>
      <c r="C513">
        <v>3.8</v>
      </c>
      <c r="D513">
        <v>3.79</v>
      </c>
      <c r="E513">
        <v>3.99</v>
      </c>
      <c r="F513">
        <v>3.9</v>
      </c>
      <c r="G513">
        <v>3.63</v>
      </c>
      <c r="H513">
        <v>4.0199999999999996</v>
      </c>
      <c r="I513">
        <v>4.16</v>
      </c>
      <c r="J513">
        <v>3.89</v>
      </c>
      <c r="K513">
        <v>4.3099999999999996</v>
      </c>
      <c r="L513">
        <v>4.1500000000000004</v>
      </c>
      <c r="M513">
        <f t="shared" si="21"/>
        <v>3.8220000000000001</v>
      </c>
      <c r="N513">
        <f t="shared" si="22"/>
        <v>3.82</v>
      </c>
      <c r="O513">
        <f t="shared" si="23"/>
        <v>4.1059999999999999</v>
      </c>
    </row>
    <row r="514" spans="1:15" ht="15" customHeight="1" x14ac:dyDescent="0.3">
      <c r="A514" t="s">
        <v>1054</v>
      </c>
      <c r="B514" t="s">
        <v>1055</v>
      </c>
      <c r="C514">
        <v>4.18</v>
      </c>
      <c r="D514">
        <v>4.2699999999999996</v>
      </c>
      <c r="E514" t="s">
        <v>211</v>
      </c>
      <c r="F514">
        <v>4.3899999999999997</v>
      </c>
      <c r="G514">
        <v>3.89</v>
      </c>
      <c r="H514">
        <v>4.26</v>
      </c>
      <c r="I514">
        <v>3.31</v>
      </c>
      <c r="J514">
        <v>3.91</v>
      </c>
      <c r="K514">
        <v>3.51</v>
      </c>
      <c r="L514">
        <v>4</v>
      </c>
      <c r="M514">
        <f t="shared" ref="M514:M577" si="24">AVERAGE(C514:G514)</f>
        <v>4.1825000000000001</v>
      </c>
      <c r="N514">
        <f t="shared" ref="N514:N577" si="25">ROUND(M514,2)</f>
        <v>4.18</v>
      </c>
      <c r="O514">
        <f t="shared" ref="O514:O577" si="26">AVERAGE(H514:L514)</f>
        <v>3.7980000000000005</v>
      </c>
    </row>
    <row r="515" spans="1:15" ht="15" customHeight="1" x14ac:dyDescent="0.3">
      <c r="A515" t="s">
        <v>1056</v>
      </c>
      <c r="B515" t="s">
        <v>1057</v>
      </c>
      <c r="C515">
        <v>3.89</v>
      </c>
      <c r="D515">
        <v>3.94</v>
      </c>
      <c r="E515">
        <v>3.93</v>
      </c>
      <c r="F515" t="s">
        <v>211</v>
      </c>
      <c r="G515">
        <v>4.37</v>
      </c>
      <c r="H515">
        <v>3.58</v>
      </c>
      <c r="I515">
        <v>3.98</v>
      </c>
      <c r="J515">
        <v>4.54</v>
      </c>
      <c r="K515">
        <v>3.79</v>
      </c>
      <c r="L515">
        <v>4.3499999999999996</v>
      </c>
      <c r="M515">
        <f t="shared" si="24"/>
        <v>4.0324999999999998</v>
      </c>
      <c r="N515">
        <f t="shared" si="25"/>
        <v>4.03</v>
      </c>
      <c r="O515">
        <f t="shared" si="26"/>
        <v>4.048</v>
      </c>
    </row>
    <row r="516" spans="1:15" ht="15" customHeight="1" x14ac:dyDescent="0.3">
      <c r="A516" t="s">
        <v>1058</v>
      </c>
      <c r="B516" t="s">
        <v>2441</v>
      </c>
      <c r="C516">
        <v>4.4400000000000004</v>
      </c>
      <c r="D516">
        <v>4.08</v>
      </c>
      <c r="E516">
        <v>3.79</v>
      </c>
      <c r="F516">
        <v>4.3099999999999996</v>
      </c>
      <c r="G516">
        <v>3.67</v>
      </c>
      <c r="H516">
        <v>4.6399999999999997</v>
      </c>
      <c r="I516">
        <v>4.2</v>
      </c>
      <c r="J516">
        <v>4.16</v>
      </c>
      <c r="K516">
        <v>4.09</v>
      </c>
      <c r="L516">
        <v>4.25</v>
      </c>
      <c r="M516">
        <f t="shared" si="24"/>
        <v>4.0579999999999998</v>
      </c>
      <c r="N516">
        <f t="shared" si="25"/>
        <v>4.0599999999999996</v>
      </c>
      <c r="O516">
        <f t="shared" si="26"/>
        <v>4.2679999999999998</v>
      </c>
    </row>
    <row r="517" spans="1:15" ht="15" customHeight="1" x14ac:dyDescent="0.3">
      <c r="A517" t="s">
        <v>1060</v>
      </c>
      <c r="B517" t="s">
        <v>2442</v>
      </c>
      <c r="C517">
        <v>4.34</v>
      </c>
      <c r="D517">
        <v>3.63</v>
      </c>
      <c r="E517">
        <v>3.88</v>
      </c>
      <c r="F517">
        <v>3.5</v>
      </c>
      <c r="G517">
        <v>3.43</v>
      </c>
      <c r="H517">
        <v>4.4000000000000004</v>
      </c>
      <c r="I517">
        <v>4.18</v>
      </c>
      <c r="J517">
        <v>4.16</v>
      </c>
      <c r="K517">
        <v>4.34</v>
      </c>
      <c r="L517">
        <v>4.08</v>
      </c>
      <c r="M517">
        <f t="shared" si="24"/>
        <v>3.7560000000000002</v>
      </c>
      <c r="N517">
        <f t="shared" si="25"/>
        <v>3.76</v>
      </c>
      <c r="O517">
        <f t="shared" si="26"/>
        <v>4.2319999999999993</v>
      </c>
    </row>
    <row r="518" spans="1:15" ht="15" customHeight="1" x14ac:dyDescent="0.3">
      <c r="A518" t="s">
        <v>1062</v>
      </c>
      <c r="B518" t="s">
        <v>2443</v>
      </c>
      <c r="C518">
        <v>4.32</v>
      </c>
      <c r="D518">
        <v>3.44</v>
      </c>
      <c r="E518">
        <v>3.61</v>
      </c>
      <c r="F518">
        <v>3.74</v>
      </c>
      <c r="G518">
        <v>3.77</v>
      </c>
      <c r="H518">
        <v>4.47</v>
      </c>
      <c r="I518">
        <v>4.63</v>
      </c>
      <c r="J518">
        <v>4.16</v>
      </c>
      <c r="K518">
        <v>4.16</v>
      </c>
      <c r="L518">
        <v>4.67</v>
      </c>
      <c r="M518">
        <f t="shared" si="24"/>
        <v>3.7759999999999998</v>
      </c>
      <c r="N518">
        <f t="shared" si="25"/>
        <v>3.78</v>
      </c>
      <c r="O518">
        <f t="shared" si="26"/>
        <v>4.418000000000001</v>
      </c>
    </row>
    <row r="519" spans="1:15" ht="15" customHeight="1" x14ac:dyDescent="0.3">
      <c r="A519" t="s">
        <v>1064</v>
      </c>
      <c r="B519" t="s">
        <v>2444</v>
      </c>
      <c r="C519">
        <v>3.97</v>
      </c>
      <c r="D519">
        <v>4.26</v>
      </c>
      <c r="E519">
        <v>4.38</v>
      </c>
      <c r="F519">
        <v>4.01</v>
      </c>
      <c r="G519">
        <v>4.0599999999999996</v>
      </c>
      <c r="H519">
        <v>3.89</v>
      </c>
      <c r="I519">
        <v>4.42</v>
      </c>
      <c r="J519">
        <v>4.09</v>
      </c>
      <c r="K519">
        <v>3.86</v>
      </c>
      <c r="L519">
        <v>4.1399999999999997</v>
      </c>
      <c r="M519">
        <f t="shared" si="24"/>
        <v>4.1359999999999992</v>
      </c>
      <c r="N519">
        <f t="shared" si="25"/>
        <v>4.1399999999999997</v>
      </c>
      <c r="O519">
        <f t="shared" si="26"/>
        <v>4.08</v>
      </c>
    </row>
    <row r="520" spans="1:15" ht="15" customHeight="1" x14ac:dyDescent="0.3">
      <c r="A520" t="s">
        <v>1066</v>
      </c>
      <c r="B520" t="s">
        <v>1067</v>
      </c>
      <c r="C520">
        <v>3.75</v>
      </c>
      <c r="D520">
        <v>3.85</v>
      </c>
      <c r="E520">
        <v>4.13</v>
      </c>
      <c r="F520">
        <v>4</v>
      </c>
      <c r="G520">
        <v>4.04</v>
      </c>
      <c r="H520">
        <v>4.09</v>
      </c>
      <c r="I520">
        <v>4.1900000000000004</v>
      </c>
      <c r="J520">
        <v>4.1399999999999997</v>
      </c>
      <c r="K520">
        <v>3.71</v>
      </c>
      <c r="L520">
        <v>3.8</v>
      </c>
      <c r="M520">
        <f t="shared" si="24"/>
        <v>3.9539999999999997</v>
      </c>
      <c r="N520">
        <f t="shared" si="25"/>
        <v>3.95</v>
      </c>
      <c r="O520">
        <f t="shared" si="26"/>
        <v>3.9860000000000007</v>
      </c>
    </row>
    <row r="521" spans="1:15" ht="15" customHeight="1" x14ac:dyDescent="0.3">
      <c r="A521" t="s">
        <v>1068</v>
      </c>
      <c r="B521" t="s">
        <v>2445</v>
      </c>
      <c r="C521">
        <v>4.01</v>
      </c>
      <c r="D521">
        <v>3.98</v>
      </c>
      <c r="E521">
        <v>4.37</v>
      </c>
      <c r="F521" t="s">
        <v>211</v>
      </c>
      <c r="G521">
        <v>3.98</v>
      </c>
      <c r="H521">
        <v>4.47</v>
      </c>
      <c r="I521">
        <v>3.67</v>
      </c>
      <c r="J521" t="s">
        <v>211</v>
      </c>
      <c r="K521">
        <v>4.13</v>
      </c>
      <c r="L521">
        <v>3.62</v>
      </c>
      <c r="M521">
        <f t="shared" si="24"/>
        <v>4.085</v>
      </c>
      <c r="N521">
        <f t="shared" si="25"/>
        <v>4.09</v>
      </c>
      <c r="O521">
        <f t="shared" si="26"/>
        <v>3.9725000000000001</v>
      </c>
    </row>
    <row r="522" spans="1:15" ht="15" customHeight="1" x14ac:dyDescent="0.3">
      <c r="A522" t="s">
        <v>1070</v>
      </c>
      <c r="B522" t="s">
        <v>1071</v>
      </c>
      <c r="C522">
        <v>4.3899999999999997</v>
      </c>
      <c r="D522">
        <v>4.3</v>
      </c>
      <c r="E522">
        <v>4.2699999999999996</v>
      </c>
      <c r="F522">
        <v>4.07</v>
      </c>
      <c r="G522">
        <v>4.1399999999999997</v>
      </c>
      <c r="H522">
        <v>4.29</v>
      </c>
      <c r="I522">
        <v>4.37</v>
      </c>
      <c r="J522">
        <v>3.82</v>
      </c>
      <c r="K522">
        <v>4.1900000000000004</v>
      </c>
      <c r="L522">
        <v>4.03</v>
      </c>
      <c r="M522">
        <f t="shared" si="24"/>
        <v>4.234</v>
      </c>
      <c r="N522">
        <f t="shared" si="25"/>
        <v>4.2300000000000004</v>
      </c>
      <c r="O522">
        <f t="shared" si="26"/>
        <v>4.1400000000000006</v>
      </c>
    </row>
    <row r="523" spans="1:15" ht="15" customHeight="1" x14ac:dyDescent="0.3">
      <c r="A523" t="s">
        <v>1072</v>
      </c>
      <c r="B523" t="s">
        <v>2446</v>
      </c>
      <c r="C523">
        <v>4.2699999999999996</v>
      </c>
      <c r="D523">
        <v>3.76</v>
      </c>
      <c r="E523">
        <v>3.98</v>
      </c>
      <c r="F523">
        <v>3.86</v>
      </c>
      <c r="G523">
        <v>3.98</v>
      </c>
      <c r="H523">
        <v>3.91</v>
      </c>
      <c r="I523">
        <v>4.51</v>
      </c>
      <c r="J523">
        <v>3.27</v>
      </c>
      <c r="K523">
        <v>3.71</v>
      </c>
      <c r="L523">
        <v>4.2300000000000004</v>
      </c>
      <c r="M523">
        <f t="shared" si="24"/>
        <v>3.9699999999999998</v>
      </c>
      <c r="N523">
        <f t="shared" si="25"/>
        <v>3.97</v>
      </c>
      <c r="O523">
        <f t="shared" si="26"/>
        <v>3.9259999999999997</v>
      </c>
    </row>
    <row r="524" spans="1:15" ht="15" customHeight="1" x14ac:dyDescent="0.3">
      <c r="A524" t="s">
        <v>1074</v>
      </c>
      <c r="B524" t="s">
        <v>2447</v>
      </c>
      <c r="C524" t="s">
        <v>211</v>
      </c>
      <c r="D524">
        <v>3.77</v>
      </c>
      <c r="E524">
        <v>3.67</v>
      </c>
      <c r="F524">
        <v>4.13</v>
      </c>
      <c r="G524">
        <v>3.75</v>
      </c>
      <c r="H524">
        <v>4.0599999999999996</v>
      </c>
      <c r="I524">
        <v>3.93</v>
      </c>
      <c r="J524">
        <v>4.55</v>
      </c>
      <c r="K524">
        <v>4.37</v>
      </c>
      <c r="L524">
        <v>4.2300000000000004</v>
      </c>
      <c r="M524">
        <f t="shared" si="24"/>
        <v>3.83</v>
      </c>
      <c r="N524">
        <f t="shared" si="25"/>
        <v>3.83</v>
      </c>
      <c r="O524">
        <f t="shared" si="26"/>
        <v>4.2279999999999998</v>
      </c>
    </row>
    <row r="525" spans="1:15" ht="15" customHeight="1" x14ac:dyDescent="0.3">
      <c r="A525" t="s">
        <v>1076</v>
      </c>
      <c r="B525" t="s">
        <v>2448</v>
      </c>
      <c r="C525">
        <v>3.55</v>
      </c>
      <c r="D525">
        <v>4.1900000000000004</v>
      </c>
      <c r="E525">
        <v>3.81</v>
      </c>
      <c r="F525">
        <v>3.48</v>
      </c>
      <c r="G525">
        <v>4.0999999999999996</v>
      </c>
      <c r="H525">
        <v>4.37</v>
      </c>
      <c r="I525">
        <v>4.3899999999999997</v>
      </c>
      <c r="J525">
        <v>4.0199999999999996</v>
      </c>
      <c r="K525">
        <v>4.47</v>
      </c>
      <c r="L525">
        <v>3.52</v>
      </c>
      <c r="M525">
        <f t="shared" si="24"/>
        <v>3.8260000000000005</v>
      </c>
      <c r="N525">
        <f t="shared" si="25"/>
        <v>3.83</v>
      </c>
      <c r="O525">
        <f t="shared" si="26"/>
        <v>4.1539999999999999</v>
      </c>
    </row>
    <row r="526" spans="1:15" ht="15" customHeight="1" x14ac:dyDescent="0.3">
      <c r="A526" t="s">
        <v>1078</v>
      </c>
      <c r="B526" t="s">
        <v>2449</v>
      </c>
      <c r="C526">
        <v>4.55</v>
      </c>
      <c r="D526">
        <v>5.0999999999999996</v>
      </c>
      <c r="E526">
        <v>3.9</v>
      </c>
      <c r="F526">
        <v>4.0599999999999996</v>
      </c>
      <c r="G526">
        <v>3.62</v>
      </c>
      <c r="H526">
        <v>4.2300000000000004</v>
      </c>
      <c r="I526" t="s">
        <v>211</v>
      </c>
      <c r="J526">
        <v>4.1399999999999997</v>
      </c>
      <c r="K526">
        <v>3.7</v>
      </c>
      <c r="L526">
        <v>4.3</v>
      </c>
      <c r="M526">
        <f t="shared" si="24"/>
        <v>4.2460000000000004</v>
      </c>
      <c r="N526">
        <f t="shared" si="25"/>
        <v>4.25</v>
      </c>
      <c r="O526">
        <f t="shared" si="26"/>
        <v>4.0925000000000002</v>
      </c>
    </row>
    <row r="527" spans="1:15" ht="15" customHeight="1" x14ac:dyDescent="0.3">
      <c r="A527" t="s">
        <v>1080</v>
      </c>
      <c r="B527" t="s">
        <v>2450</v>
      </c>
      <c r="C527">
        <v>4.8499999999999996</v>
      </c>
      <c r="D527">
        <v>4.3899999999999997</v>
      </c>
      <c r="E527">
        <v>3.82</v>
      </c>
      <c r="F527">
        <v>4.42</v>
      </c>
      <c r="G527">
        <v>4.21</v>
      </c>
      <c r="H527">
        <v>4.04</v>
      </c>
      <c r="I527">
        <v>4.32</v>
      </c>
      <c r="J527">
        <v>3.61</v>
      </c>
      <c r="K527">
        <v>3.96</v>
      </c>
      <c r="L527">
        <v>4.55</v>
      </c>
      <c r="M527">
        <f t="shared" si="24"/>
        <v>4.3379999999999992</v>
      </c>
      <c r="N527">
        <f t="shared" si="25"/>
        <v>4.34</v>
      </c>
      <c r="O527">
        <f t="shared" si="26"/>
        <v>4.0960000000000001</v>
      </c>
    </row>
    <row r="528" spans="1:15" ht="15" customHeight="1" x14ac:dyDescent="0.3">
      <c r="A528" t="s">
        <v>1082</v>
      </c>
      <c r="B528" t="s">
        <v>2451</v>
      </c>
      <c r="C528">
        <v>4.07</v>
      </c>
      <c r="D528">
        <v>3.48</v>
      </c>
      <c r="E528">
        <v>4.33</v>
      </c>
      <c r="F528">
        <v>3.95</v>
      </c>
      <c r="G528">
        <v>3.66</v>
      </c>
      <c r="H528">
        <v>3.37</v>
      </c>
      <c r="I528">
        <v>4.43</v>
      </c>
      <c r="J528" t="s">
        <v>211</v>
      </c>
      <c r="K528">
        <v>4.26</v>
      </c>
      <c r="L528">
        <v>4.33</v>
      </c>
      <c r="M528">
        <f t="shared" si="24"/>
        <v>3.8980000000000006</v>
      </c>
      <c r="N528">
        <f t="shared" si="25"/>
        <v>3.9</v>
      </c>
      <c r="O528">
        <f t="shared" si="26"/>
        <v>4.0975000000000001</v>
      </c>
    </row>
    <row r="529" spans="1:15" ht="15" customHeight="1" x14ac:dyDescent="0.3">
      <c r="A529" t="s">
        <v>1084</v>
      </c>
      <c r="B529" t="s">
        <v>1085</v>
      </c>
      <c r="C529">
        <v>3.82</v>
      </c>
      <c r="D529">
        <v>4.07</v>
      </c>
      <c r="E529">
        <v>4.12</v>
      </c>
      <c r="F529">
        <v>4.0199999999999996</v>
      </c>
      <c r="G529">
        <v>4</v>
      </c>
      <c r="H529">
        <v>3.45</v>
      </c>
      <c r="I529" t="s">
        <v>211</v>
      </c>
      <c r="J529">
        <v>4.05</v>
      </c>
      <c r="K529">
        <v>4.24</v>
      </c>
      <c r="L529">
        <v>4.4400000000000004</v>
      </c>
      <c r="M529">
        <f t="shared" si="24"/>
        <v>4.0060000000000002</v>
      </c>
      <c r="N529">
        <f t="shared" si="25"/>
        <v>4.01</v>
      </c>
      <c r="O529">
        <f t="shared" si="26"/>
        <v>4.0449999999999999</v>
      </c>
    </row>
    <row r="530" spans="1:15" ht="15" customHeight="1" x14ac:dyDescent="0.3">
      <c r="A530" t="s">
        <v>1086</v>
      </c>
      <c r="B530" t="s">
        <v>1087</v>
      </c>
      <c r="C530" t="s">
        <v>211</v>
      </c>
      <c r="D530">
        <v>4.47</v>
      </c>
      <c r="E530">
        <v>4.08</v>
      </c>
      <c r="F530">
        <v>3.58</v>
      </c>
      <c r="G530">
        <v>3.68</v>
      </c>
      <c r="H530">
        <v>4</v>
      </c>
      <c r="I530">
        <v>3.79</v>
      </c>
      <c r="J530">
        <v>4.1100000000000003</v>
      </c>
      <c r="K530">
        <v>3.67</v>
      </c>
      <c r="L530">
        <v>4.0599999999999996</v>
      </c>
      <c r="M530">
        <f t="shared" si="24"/>
        <v>3.9525000000000001</v>
      </c>
      <c r="N530">
        <f t="shared" si="25"/>
        <v>3.95</v>
      </c>
      <c r="O530">
        <f t="shared" si="26"/>
        <v>3.9259999999999997</v>
      </c>
    </row>
    <row r="531" spans="1:15" ht="15" customHeight="1" x14ac:dyDescent="0.3">
      <c r="A531" t="s">
        <v>1088</v>
      </c>
      <c r="B531" t="s">
        <v>2452</v>
      </c>
      <c r="C531">
        <v>4.2</v>
      </c>
      <c r="D531">
        <v>3.68</v>
      </c>
      <c r="E531">
        <v>4.59</v>
      </c>
      <c r="F531">
        <v>4.1100000000000003</v>
      </c>
      <c r="G531">
        <v>4.71</v>
      </c>
      <c r="H531">
        <v>4.01</v>
      </c>
      <c r="I531">
        <v>4.3099999999999996</v>
      </c>
      <c r="J531">
        <v>4.29</v>
      </c>
      <c r="K531">
        <v>4.26</v>
      </c>
      <c r="L531" t="s">
        <v>211</v>
      </c>
      <c r="M531">
        <f t="shared" si="24"/>
        <v>4.2580000000000009</v>
      </c>
      <c r="N531">
        <f t="shared" si="25"/>
        <v>4.26</v>
      </c>
      <c r="O531">
        <f t="shared" si="26"/>
        <v>4.2174999999999994</v>
      </c>
    </row>
    <row r="532" spans="1:15" ht="15" customHeight="1" x14ac:dyDescent="0.3">
      <c r="A532" t="s">
        <v>1090</v>
      </c>
      <c r="B532" t="s">
        <v>2453</v>
      </c>
      <c r="C532">
        <v>4.26</v>
      </c>
      <c r="D532">
        <v>4.47</v>
      </c>
      <c r="E532">
        <v>4.17</v>
      </c>
      <c r="F532">
        <v>3.4</v>
      </c>
      <c r="G532">
        <v>4.22</v>
      </c>
      <c r="H532" t="s">
        <v>211</v>
      </c>
      <c r="I532">
        <v>3.93</v>
      </c>
      <c r="J532">
        <v>4.34</v>
      </c>
      <c r="K532">
        <v>4.09</v>
      </c>
      <c r="L532">
        <v>3.64</v>
      </c>
      <c r="M532">
        <f t="shared" si="24"/>
        <v>4.1040000000000001</v>
      </c>
      <c r="N532">
        <f t="shared" si="25"/>
        <v>4.0999999999999996</v>
      </c>
      <c r="O532">
        <f t="shared" si="26"/>
        <v>4</v>
      </c>
    </row>
    <row r="533" spans="1:15" ht="15" customHeight="1" x14ac:dyDescent="0.3">
      <c r="A533" t="s">
        <v>1092</v>
      </c>
      <c r="B533" t="s">
        <v>1093</v>
      </c>
      <c r="C533">
        <v>3.72</v>
      </c>
      <c r="D533">
        <v>3.89</v>
      </c>
      <c r="E533">
        <v>4.28</v>
      </c>
      <c r="F533">
        <v>3.75</v>
      </c>
      <c r="G533">
        <v>3.76</v>
      </c>
      <c r="H533">
        <v>4.29</v>
      </c>
      <c r="I533">
        <v>4.49</v>
      </c>
      <c r="J533">
        <v>3.97</v>
      </c>
      <c r="K533">
        <v>3.52</v>
      </c>
      <c r="L533">
        <v>4.76</v>
      </c>
      <c r="M533">
        <f t="shared" si="24"/>
        <v>3.88</v>
      </c>
      <c r="N533">
        <f t="shared" si="25"/>
        <v>3.88</v>
      </c>
      <c r="O533">
        <f t="shared" si="26"/>
        <v>4.2060000000000004</v>
      </c>
    </row>
    <row r="534" spans="1:15" ht="15" customHeight="1" x14ac:dyDescent="0.3">
      <c r="A534" t="s">
        <v>1094</v>
      </c>
      <c r="B534" t="s">
        <v>1095</v>
      </c>
      <c r="C534">
        <v>4.1500000000000004</v>
      </c>
      <c r="D534">
        <v>4.07</v>
      </c>
      <c r="E534">
        <v>4.2</v>
      </c>
      <c r="F534">
        <v>3.8</v>
      </c>
      <c r="G534">
        <v>4.05</v>
      </c>
      <c r="H534">
        <v>3.98</v>
      </c>
      <c r="I534">
        <v>4.28</v>
      </c>
      <c r="J534">
        <v>3.87</v>
      </c>
      <c r="K534">
        <v>4.29</v>
      </c>
      <c r="L534">
        <v>4.22</v>
      </c>
      <c r="M534">
        <f t="shared" si="24"/>
        <v>4.0540000000000003</v>
      </c>
      <c r="N534">
        <f t="shared" si="25"/>
        <v>4.05</v>
      </c>
      <c r="O534">
        <f t="shared" si="26"/>
        <v>4.1279999999999992</v>
      </c>
    </row>
    <row r="535" spans="1:15" ht="15" customHeight="1" x14ac:dyDescent="0.3">
      <c r="A535" t="s">
        <v>1096</v>
      </c>
      <c r="B535" t="s">
        <v>2454</v>
      </c>
      <c r="C535">
        <v>3.77</v>
      </c>
      <c r="D535">
        <v>4.43</v>
      </c>
      <c r="E535">
        <v>4.0599999999999996</v>
      </c>
      <c r="F535">
        <v>4.51</v>
      </c>
      <c r="G535">
        <v>3.46</v>
      </c>
      <c r="H535">
        <v>3.66</v>
      </c>
      <c r="I535">
        <v>4.3</v>
      </c>
      <c r="J535">
        <v>4.16</v>
      </c>
      <c r="K535">
        <v>4.0199999999999996</v>
      </c>
      <c r="L535">
        <v>4.0999999999999996</v>
      </c>
      <c r="M535">
        <f t="shared" si="24"/>
        <v>4.0459999999999994</v>
      </c>
      <c r="N535">
        <f t="shared" si="25"/>
        <v>4.05</v>
      </c>
      <c r="O535">
        <f t="shared" si="26"/>
        <v>4.048</v>
      </c>
    </row>
    <row r="536" spans="1:15" ht="15" customHeight="1" x14ac:dyDescent="0.3">
      <c r="A536" t="s">
        <v>1098</v>
      </c>
      <c r="B536" t="s">
        <v>1099</v>
      </c>
      <c r="C536">
        <v>3.43</v>
      </c>
      <c r="D536">
        <v>4.21</v>
      </c>
      <c r="E536">
        <v>3.42</v>
      </c>
      <c r="F536">
        <v>3.76</v>
      </c>
      <c r="G536">
        <v>4</v>
      </c>
      <c r="H536">
        <v>4.54</v>
      </c>
      <c r="I536">
        <v>3.26</v>
      </c>
      <c r="J536">
        <v>3.56</v>
      </c>
      <c r="K536">
        <v>3.82</v>
      </c>
      <c r="L536">
        <v>4.2699999999999996</v>
      </c>
      <c r="M536">
        <f t="shared" si="24"/>
        <v>3.7640000000000002</v>
      </c>
      <c r="N536">
        <f t="shared" si="25"/>
        <v>3.76</v>
      </c>
      <c r="O536">
        <f t="shared" si="26"/>
        <v>3.8899999999999997</v>
      </c>
    </row>
    <row r="537" spans="1:15" ht="15" customHeight="1" x14ac:dyDescent="0.3">
      <c r="A537" t="s">
        <v>1100</v>
      </c>
      <c r="B537" t="s">
        <v>2455</v>
      </c>
      <c r="C537">
        <v>4.0999999999999996</v>
      </c>
      <c r="D537">
        <v>3.91</v>
      </c>
      <c r="E537">
        <v>3.92</v>
      </c>
      <c r="F537">
        <v>3.79</v>
      </c>
      <c r="G537">
        <v>3.51</v>
      </c>
      <c r="H537">
        <v>4.04</v>
      </c>
      <c r="I537">
        <v>3.81</v>
      </c>
      <c r="J537">
        <v>4.42</v>
      </c>
      <c r="K537">
        <v>3.83</v>
      </c>
      <c r="L537">
        <v>4.3099999999999996</v>
      </c>
      <c r="M537">
        <f t="shared" si="24"/>
        <v>3.8459999999999992</v>
      </c>
      <c r="N537">
        <f t="shared" si="25"/>
        <v>3.85</v>
      </c>
      <c r="O537">
        <f t="shared" si="26"/>
        <v>4.0819999999999999</v>
      </c>
    </row>
    <row r="538" spans="1:15" ht="15" customHeight="1" x14ac:dyDescent="0.3">
      <c r="A538" t="s">
        <v>1102</v>
      </c>
      <c r="B538" t="s">
        <v>2456</v>
      </c>
      <c r="C538">
        <v>4.26</v>
      </c>
      <c r="D538">
        <v>3.72</v>
      </c>
      <c r="E538">
        <v>4.03</v>
      </c>
      <c r="F538" t="s">
        <v>1104</v>
      </c>
      <c r="G538">
        <v>4.37</v>
      </c>
      <c r="H538">
        <v>4.04</v>
      </c>
      <c r="I538">
        <v>4.13</v>
      </c>
      <c r="J538">
        <v>4.57</v>
      </c>
      <c r="K538">
        <v>4.57</v>
      </c>
      <c r="L538">
        <v>4.3899999999999997</v>
      </c>
      <c r="M538">
        <f t="shared" si="24"/>
        <v>4.0950000000000006</v>
      </c>
      <c r="N538">
        <f t="shared" si="25"/>
        <v>4.0999999999999996</v>
      </c>
      <c r="O538">
        <f t="shared" si="26"/>
        <v>4.3400000000000007</v>
      </c>
    </row>
    <row r="539" spans="1:15" ht="15" customHeight="1" x14ac:dyDescent="0.3">
      <c r="A539" t="s">
        <v>1105</v>
      </c>
      <c r="B539" t="s">
        <v>2457</v>
      </c>
      <c r="C539">
        <v>3.99</v>
      </c>
      <c r="D539">
        <v>4.46</v>
      </c>
      <c r="E539">
        <v>3.72</v>
      </c>
      <c r="F539">
        <v>3.98</v>
      </c>
      <c r="G539">
        <v>3.98</v>
      </c>
      <c r="H539">
        <v>4.1500000000000004</v>
      </c>
      <c r="I539">
        <v>4.22</v>
      </c>
      <c r="J539">
        <v>3.71</v>
      </c>
      <c r="K539">
        <v>3.9</v>
      </c>
      <c r="L539">
        <v>4.5</v>
      </c>
      <c r="M539">
        <f t="shared" si="24"/>
        <v>4.0259999999999998</v>
      </c>
      <c r="N539">
        <f t="shared" si="25"/>
        <v>4.03</v>
      </c>
      <c r="O539">
        <f t="shared" si="26"/>
        <v>4.096000000000001</v>
      </c>
    </row>
    <row r="540" spans="1:15" ht="15" customHeight="1" x14ac:dyDescent="0.3">
      <c r="A540" t="s">
        <v>1107</v>
      </c>
      <c r="B540" t="s">
        <v>2458</v>
      </c>
      <c r="C540">
        <v>3.84</v>
      </c>
      <c r="D540">
        <v>4.17</v>
      </c>
      <c r="E540">
        <v>3.57</v>
      </c>
      <c r="F540">
        <v>4</v>
      </c>
      <c r="G540">
        <v>3.42</v>
      </c>
      <c r="H540">
        <v>3.86</v>
      </c>
      <c r="I540">
        <v>3.78</v>
      </c>
      <c r="J540">
        <v>3.77</v>
      </c>
      <c r="K540">
        <v>4.2</v>
      </c>
      <c r="L540">
        <v>4.4000000000000004</v>
      </c>
      <c r="M540">
        <f t="shared" si="24"/>
        <v>3.8</v>
      </c>
      <c r="N540">
        <f t="shared" si="25"/>
        <v>3.8</v>
      </c>
      <c r="O540">
        <f t="shared" si="26"/>
        <v>4.0019999999999998</v>
      </c>
    </row>
    <row r="541" spans="1:15" ht="15" customHeight="1" x14ac:dyDescent="0.3">
      <c r="A541" t="s">
        <v>1109</v>
      </c>
      <c r="B541" t="s">
        <v>2459</v>
      </c>
      <c r="C541">
        <v>4.41</v>
      </c>
      <c r="D541">
        <v>3.9</v>
      </c>
      <c r="E541" t="s">
        <v>211</v>
      </c>
      <c r="F541">
        <v>3.69</v>
      </c>
      <c r="G541">
        <v>3.67</v>
      </c>
      <c r="H541">
        <v>4.22</v>
      </c>
      <c r="I541">
        <v>3.78</v>
      </c>
      <c r="J541">
        <v>3.77</v>
      </c>
      <c r="K541">
        <v>3.93</v>
      </c>
      <c r="L541">
        <v>4.1900000000000004</v>
      </c>
      <c r="M541">
        <f t="shared" si="24"/>
        <v>3.9175</v>
      </c>
      <c r="N541">
        <f t="shared" si="25"/>
        <v>3.92</v>
      </c>
      <c r="O541">
        <f t="shared" si="26"/>
        <v>3.9780000000000002</v>
      </c>
    </row>
    <row r="542" spans="1:15" ht="15" customHeight="1" x14ac:dyDescent="0.3">
      <c r="A542" t="s">
        <v>1111</v>
      </c>
      <c r="B542" t="s">
        <v>2460</v>
      </c>
      <c r="C542">
        <v>4.2300000000000004</v>
      </c>
      <c r="D542">
        <v>3.78</v>
      </c>
      <c r="E542">
        <v>4.5</v>
      </c>
      <c r="F542">
        <v>3.51</v>
      </c>
      <c r="G542">
        <v>3.64</v>
      </c>
      <c r="H542">
        <v>3.59</v>
      </c>
      <c r="I542">
        <v>4.0199999999999996</v>
      </c>
      <c r="J542">
        <v>4.3099999999999996</v>
      </c>
      <c r="K542">
        <v>4.3099999999999996</v>
      </c>
      <c r="L542">
        <v>4.46</v>
      </c>
      <c r="M542">
        <f t="shared" si="24"/>
        <v>3.9319999999999999</v>
      </c>
      <c r="N542">
        <f t="shared" si="25"/>
        <v>3.93</v>
      </c>
      <c r="O542">
        <f t="shared" si="26"/>
        <v>4.1379999999999999</v>
      </c>
    </row>
    <row r="543" spans="1:15" ht="15" customHeight="1" x14ac:dyDescent="0.3">
      <c r="A543" t="s">
        <v>1113</v>
      </c>
      <c r="B543" t="s">
        <v>2461</v>
      </c>
      <c r="C543">
        <v>4.09</v>
      </c>
      <c r="D543">
        <v>4.1100000000000003</v>
      </c>
      <c r="E543">
        <v>4.13</v>
      </c>
      <c r="F543">
        <v>3.79</v>
      </c>
      <c r="G543">
        <v>3.07</v>
      </c>
      <c r="H543">
        <v>4.1399999999999997</v>
      </c>
      <c r="I543">
        <v>3.44</v>
      </c>
      <c r="J543">
        <v>4.38</v>
      </c>
      <c r="K543">
        <v>4.13</v>
      </c>
      <c r="L543">
        <v>4.29</v>
      </c>
      <c r="M543">
        <f t="shared" si="24"/>
        <v>3.8379999999999996</v>
      </c>
      <c r="N543">
        <f t="shared" si="25"/>
        <v>3.84</v>
      </c>
      <c r="O543">
        <f t="shared" si="26"/>
        <v>4.0759999999999996</v>
      </c>
    </row>
    <row r="544" spans="1:15" ht="15" customHeight="1" x14ac:dyDescent="0.3">
      <c r="A544" t="s">
        <v>1115</v>
      </c>
      <c r="B544" t="s">
        <v>2462</v>
      </c>
      <c r="C544">
        <v>4.1100000000000003</v>
      </c>
      <c r="D544">
        <v>3.8</v>
      </c>
      <c r="E544">
        <v>3.61</v>
      </c>
      <c r="F544">
        <v>3.91</v>
      </c>
      <c r="G544">
        <v>4.54</v>
      </c>
      <c r="H544">
        <v>4.18</v>
      </c>
      <c r="I544">
        <v>4.07</v>
      </c>
      <c r="J544">
        <v>3.94</v>
      </c>
      <c r="K544">
        <v>4.2699999999999996</v>
      </c>
      <c r="L544">
        <v>3.88</v>
      </c>
      <c r="M544">
        <f t="shared" si="24"/>
        <v>3.9939999999999998</v>
      </c>
      <c r="N544">
        <f t="shared" si="25"/>
        <v>3.99</v>
      </c>
      <c r="O544">
        <f t="shared" si="26"/>
        <v>4.0679999999999996</v>
      </c>
    </row>
    <row r="545" spans="1:15" ht="15" customHeight="1" x14ac:dyDescent="0.3">
      <c r="A545" t="s">
        <v>1117</v>
      </c>
      <c r="B545" t="s">
        <v>2463</v>
      </c>
      <c r="C545">
        <v>4.32</v>
      </c>
      <c r="D545">
        <v>3.86</v>
      </c>
      <c r="E545">
        <v>3.74</v>
      </c>
      <c r="F545" t="s">
        <v>211</v>
      </c>
      <c r="G545">
        <v>4.7</v>
      </c>
      <c r="H545">
        <v>4.46</v>
      </c>
      <c r="I545">
        <v>4.0199999999999996</v>
      </c>
      <c r="J545">
        <v>3.88</v>
      </c>
      <c r="K545" t="s">
        <v>211</v>
      </c>
      <c r="L545">
        <v>4.3899999999999997</v>
      </c>
      <c r="M545">
        <f t="shared" si="24"/>
        <v>4.1550000000000002</v>
      </c>
      <c r="N545">
        <f t="shared" si="25"/>
        <v>4.16</v>
      </c>
      <c r="O545">
        <f t="shared" si="26"/>
        <v>4.1875</v>
      </c>
    </row>
    <row r="546" spans="1:15" ht="15" customHeight="1" x14ac:dyDescent="0.3">
      <c r="A546" t="s">
        <v>1119</v>
      </c>
      <c r="B546" t="s">
        <v>2464</v>
      </c>
      <c r="C546">
        <v>3.83</v>
      </c>
      <c r="D546">
        <v>3.69</v>
      </c>
      <c r="E546">
        <v>4.1100000000000003</v>
      </c>
      <c r="F546">
        <v>3.66</v>
      </c>
      <c r="G546">
        <v>3.91</v>
      </c>
      <c r="H546">
        <v>4.05</v>
      </c>
      <c r="I546">
        <v>3.6</v>
      </c>
      <c r="J546">
        <v>3.73</v>
      </c>
      <c r="K546">
        <v>3.82</v>
      </c>
      <c r="L546">
        <v>4.6100000000000003</v>
      </c>
      <c r="M546">
        <f t="shared" si="24"/>
        <v>3.84</v>
      </c>
      <c r="N546">
        <f t="shared" si="25"/>
        <v>3.84</v>
      </c>
      <c r="O546">
        <f t="shared" si="26"/>
        <v>3.9620000000000006</v>
      </c>
    </row>
    <row r="547" spans="1:15" ht="15" customHeight="1" x14ac:dyDescent="0.3">
      <c r="A547" t="s">
        <v>1121</v>
      </c>
      <c r="B547" t="s">
        <v>2465</v>
      </c>
      <c r="C547">
        <v>4.26</v>
      </c>
      <c r="D547">
        <v>3.96</v>
      </c>
      <c r="E547">
        <v>4.22</v>
      </c>
      <c r="F547">
        <v>4.1900000000000004</v>
      </c>
      <c r="G547">
        <v>4</v>
      </c>
      <c r="H547">
        <v>4.37</v>
      </c>
      <c r="I547">
        <v>4.12</v>
      </c>
      <c r="J547">
        <v>3.97</v>
      </c>
      <c r="K547" t="s">
        <v>211</v>
      </c>
      <c r="L547">
        <v>3.95</v>
      </c>
      <c r="M547">
        <f t="shared" si="24"/>
        <v>4.1259999999999994</v>
      </c>
      <c r="N547">
        <f t="shared" si="25"/>
        <v>4.13</v>
      </c>
      <c r="O547">
        <f t="shared" si="26"/>
        <v>4.1025</v>
      </c>
    </row>
    <row r="548" spans="1:15" ht="15" customHeight="1" x14ac:dyDescent="0.3">
      <c r="A548" t="s">
        <v>1123</v>
      </c>
      <c r="B548" t="s">
        <v>2466</v>
      </c>
      <c r="C548">
        <v>3.7</v>
      </c>
      <c r="D548">
        <v>3.95</v>
      </c>
      <c r="E548">
        <v>4.0599999999999996</v>
      </c>
      <c r="F548">
        <v>4.3099999999999996</v>
      </c>
      <c r="G548">
        <v>4.09</v>
      </c>
      <c r="H548">
        <v>3.88</v>
      </c>
      <c r="I548">
        <v>3.75</v>
      </c>
      <c r="J548" t="s">
        <v>211</v>
      </c>
      <c r="K548">
        <v>3.89</v>
      </c>
      <c r="L548">
        <v>4.4800000000000004</v>
      </c>
      <c r="M548">
        <f t="shared" si="24"/>
        <v>4.0220000000000002</v>
      </c>
      <c r="N548">
        <f t="shared" si="25"/>
        <v>4.0199999999999996</v>
      </c>
      <c r="O548">
        <f t="shared" si="26"/>
        <v>4</v>
      </c>
    </row>
    <row r="549" spans="1:15" ht="15" customHeight="1" x14ac:dyDescent="0.3">
      <c r="A549" t="s">
        <v>1125</v>
      </c>
      <c r="B549" t="s">
        <v>2467</v>
      </c>
      <c r="C549">
        <v>4.3099999999999996</v>
      </c>
      <c r="D549">
        <v>3.65</v>
      </c>
      <c r="E549">
        <v>4.51</v>
      </c>
      <c r="F549">
        <v>3.87</v>
      </c>
      <c r="G549">
        <v>4.1100000000000003</v>
      </c>
      <c r="H549" t="s">
        <v>211</v>
      </c>
      <c r="I549">
        <v>3.79</v>
      </c>
      <c r="J549">
        <v>3.96</v>
      </c>
      <c r="K549">
        <v>4.34</v>
      </c>
      <c r="L549">
        <v>3.97</v>
      </c>
      <c r="M549">
        <f t="shared" si="24"/>
        <v>4.09</v>
      </c>
      <c r="N549">
        <f t="shared" si="25"/>
        <v>4.09</v>
      </c>
      <c r="O549">
        <f t="shared" si="26"/>
        <v>4.0149999999999997</v>
      </c>
    </row>
    <row r="550" spans="1:15" ht="15" customHeight="1" x14ac:dyDescent="0.3">
      <c r="A550" t="s">
        <v>1127</v>
      </c>
      <c r="B550" t="s">
        <v>1128</v>
      </c>
      <c r="C550">
        <v>4.47</v>
      </c>
      <c r="D550">
        <v>3.58</v>
      </c>
      <c r="E550">
        <v>3.51</v>
      </c>
      <c r="F550">
        <v>4.5</v>
      </c>
      <c r="G550">
        <v>3.36</v>
      </c>
      <c r="H550">
        <v>4.5999999999999996</v>
      </c>
      <c r="I550">
        <v>4.05</v>
      </c>
      <c r="J550">
        <v>4.1900000000000004</v>
      </c>
      <c r="K550">
        <v>4.1500000000000004</v>
      </c>
      <c r="L550">
        <v>3.84</v>
      </c>
      <c r="M550">
        <f t="shared" si="24"/>
        <v>3.8840000000000003</v>
      </c>
      <c r="N550">
        <f t="shared" si="25"/>
        <v>3.88</v>
      </c>
      <c r="O550">
        <f t="shared" si="26"/>
        <v>4.1660000000000004</v>
      </c>
    </row>
    <row r="551" spans="1:15" ht="15" customHeight="1" x14ac:dyDescent="0.3">
      <c r="A551" t="s">
        <v>1129</v>
      </c>
      <c r="B551" t="s">
        <v>2468</v>
      </c>
      <c r="C551">
        <v>4.4400000000000004</v>
      </c>
      <c r="D551" t="s">
        <v>211</v>
      </c>
      <c r="E551">
        <v>4.45</v>
      </c>
      <c r="F551">
        <v>3.67</v>
      </c>
      <c r="G551">
        <v>3.98</v>
      </c>
      <c r="H551">
        <v>4.0999999999999996</v>
      </c>
      <c r="I551">
        <v>4.45</v>
      </c>
      <c r="J551">
        <v>3.61</v>
      </c>
      <c r="K551" t="s">
        <v>211</v>
      </c>
      <c r="L551">
        <v>3.92</v>
      </c>
      <c r="M551">
        <f t="shared" si="24"/>
        <v>4.1349999999999998</v>
      </c>
      <c r="N551">
        <f t="shared" si="25"/>
        <v>4.1399999999999997</v>
      </c>
      <c r="O551">
        <f t="shared" si="26"/>
        <v>4.0199999999999996</v>
      </c>
    </row>
    <row r="552" spans="1:15" ht="15" customHeight="1" x14ac:dyDescent="0.3">
      <c r="A552" t="s">
        <v>1131</v>
      </c>
      <c r="B552" t="s">
        <v>2469</v>
      </c>
      <c r="C552">
        <v>3.92</v>
      </c>
      <c r="D552">
        <v>3.41</v>
      </c>
      <c r="E552">
        <v>4.3</v>
      </c>
      <c r="F552">
        <v>3.51</v>
      </c>
      <c r="G552">
        <v>3.93</v>
      </c>
      <c r="H552">
        <v>3.69</v>
      </c>
      <c r="I552">
        <v>3.79</v>
      </c>
      <c r="J552">
        <v>4.4000000000000004</v>
      </c>
      <c r="K552">
        <v>4.25</v>
      </c>
      <c r="L552" t="s">
        <v>1133</v>
      </c>
      <c r="M552">
        <f t="shared" si="24"/>
        <v>3.8140000000000001</v>
      </c>
      <c r="N552">
        <f t="shared" si="25"/>
        <v>3.81</v>
      </c>
      <c r="O552">
        <f t="shared" si="26"/>
        <v>4.0325000000000006</v>
      </c>
    </row>
    <row r="553" spans="1:15" ht="15" customHeight="1" x14ac:dyDescent="0.3">
      <c r="A553" t="s">
        <v>1134</v>
      </c>
      <c r="B553" t="s">
        <v>2470</v>
      </c>
      <c r="C553">
        <v>4.08</v>
      </c>
      <c r="D553">
        <v>3.59</v>
      </c>
      <c r="E553">
        <v>4.1900000000000004</v>
      </c>
      <c r="F553">
        <v>4.37</v>
      </c>
      <c r="G553">
        <v>4.03</v>
      </c>
      <c r="H553">
        <v>4.03</v>
      </c>
      <c r="I553">
        <v>4.13</v>
      </c>
      <c r="J553">
        <v>4.3099999999999996</v>
      </c>
      <c r="K553">
        <v>3.91</v>
      </c>
      <c r="L553">
        <v>3.98</v>
      </c>
      <c r="M553">
        <f t="shared" si="24"/>
        <v>4.0520000000000005</v>
      </c>
      <c r="N553">
        <f t="shared" si="25"/>
        <v>4.05</v>
      </c>
      <c r="O553">
        <f t="shared" si="26"/>
        <v>4.0720000000000001</v>
      </c>
    </row>
    <row r="554" spans="1:15" ht="15" customHeight="1" x14ac:dyDescent="0.3">
      <c r="A554" t="s">
        <v>1136</v>
      </c>
      <c r="B554" t="s">
        <v>2471</v>
      </c>
      <c r="C554">
        <v>3.93</v>
      </c>
      <c r="D554">
        <v>3.52</v>
      </c>
      <c r="E554">
        <v>3.95</v>
      </c>
      <c r="F554">
        <v>3.91</v>
      </c>
      <c r="G554">
        <v>3.78</v>
      </c>
      <c r="H554">
        <v>3.87</v>
      </c>
      <c r="I554">
        <v>4.38</v>
      </c>
      <c r="J554">
        <v>3.92</v>
      </c>
      <c r="K554">
        <v>4.17</v>
      </c>
      <c r="L554">
        <v>3.93</v>
      </c>
      <c r="M554">
        <f t="shared" si="24"/>
        <v>3.8180000000000001</v>
      </c>
      <c r="N554">
        <f t="shared" si="25"/>
        <v>3.82</v>
      </c>
      <c r="O554">
        <f t="shared" si="26"/>
        <v>4.0540000000000003</v>
      </c>
    </row>
    <row r="555" spans="1:15" ht="15" customHeight="1" x14ac:dyDescent="0.3">
      <c r="A555" t="s">
        <v>1138</v>
      </c>
      <c r="B555" t="s">
        <v>1139</v>
      </c>
      <c r="C555">
        <v>4.12</v>
      </c>
      <c r="D555">
        <v>3.85</v>
      </c>
      <c r="E555">
        <v>3.88</v>
      </c>
      <c r="F555">
        <v>4.1500000000000004</v>
      </c>
      <c r="G555">
        <v>4.5999999999999996</v>
      </c>
      <c r="H555">
        <v>3.51</v>
      </c>
      <c r="I555">
        <v>4.22</v>
      </c>
      <c r="J555">
        <v>3.9</v>
      </c>
      <c r="K555">
        <v>4.74</v>
      </c>
      <c r="L555">
        <v>3.82</v>
      </c>
      <c r="M555">
        <f t="shared" si="24"/>
        <v>4.12</v>
      </c>
      <c r="N555">
        <f t="shared" si="25"/>
        <v>4.12</v>
      </c>
      <c r="O555">
        <f t="shared" si="26"/>
        <v>4.0379999999999994</v>
      </c>
    </row>
    <row r="556" spans="1:15" ht="15" customHeight="1" x14ac:dyDescent="0.3">
      <c r="A556" t="s">
        <v>1140</v>
      </c>
      <c r="B556" t="s">
        <v>2472</v>
      </c>
      <c r="C556">
        <v>4.7699999999999996</v>
      </c>
      <c r="D556">
        <v>3.57</v>
      </c>
      <c r="E556">
        <v>4.21</v>
      </c>
      <c r="F556">
        <v>4.5199999999999996</v>
      </c>
      <c r="G556">
        <v>4.21</v>
      </c>
      <c r="H556">
        <v>4.33</v>
      </c>
      <c r="I556">
        <v>3.83</v>
      </c>
      <c r="J556">
        <v>4.16</v>
      </c>
      <c r="K556">
        <v>4.3099999999999996</v>
      </c>
      <c r="L556">
        <v>4.21</v>
      </c>
      <c r="M556">
        <f t="shared" si="24"/>
        <v>4.2560000000000002</v>
      </c>
      <c r="N556">
        <f t="shared" si="25"/>
        <v>4.26</v>
      </c>
      <c r="O556">
        <f t="shared" si="26"/>
        <v>4.1680000000000001</v>
      </c>
    </row>
    <row r="557" spans="1:15" ht="15" customHeight="1" x14ac:dyDescent="0.3">
      <c r="A557" t="s">
        <v>1142</v>
      </c>
      <c r="B557" t="s">
        <v>2473</v>
      </c>
      <c r="C557">
        <v>4.4400000000000004</v>
      </c>
      <c r="D557">
        <v>4.08</v>
      </c>
      <c r="E557">
        <v>4.16</v>
      </c>
      <c r="F557">
        <v>3.32</v>
      </c>
      <c r="G557">
        <v>4.22</v>
      </c>
      <c r="H557">
        <v>3.72</v>
      </c>
      <c r="I557">
        <v>4.08</v>
      </c>
      <c r="J557">
        <v>4.26</v>
      </c>
      <c r="K557">
        <v>4.5999999999999996</v>
      </c>
      <c r="L557">
        <v>3.86</v>
      </c>
      <c r="M557">
        <f t="shared" si="24"/>
        <v>4.0439999999999996</v>
      </c>
      <c r="N557">
        <f t="shared" si="25"/>
        <v>4.04</v>
      </c>
      <c r="O557">
        <f t="shared" si="26"/>
        <v>4.1040000000000001</v>
      </c>
    </row>
    <row r="558" spans="1:15" ht="15" customHeight="1" x14ac:dyDescent="0.3">
      <c r="A558" t="s">
        <v>1144</v>
      </c>
      <c r="B558" t="s">
        <v>2474</v>
      </c>
      <c r="C558">
        <v>4.04</v>
      </c>
      <c r="D558">
        <v>3.74</v>
      </c>
      <c r="E558">
        <v>3.85</v>
      </c>
      <c r="F558">
        <v>4.1399999999999997</v>
      </c>
      <c r="G558">
        <v>4.18</v>
      </c>
      <c r="H558">
        <v>4.63</v>
      </c>
      <c r="I558">
        <v>4.0199999999999996</v>
      </c>
      <c r="J558">
        <v>3.84</v>
      </c>
      <c r="K558">
        <v>4.29</v>
      </c>
      <c r="L558">
        <v>4.5599999999999996</v>
      </c>
      <c r="M558">
        <f t="shared" si="24"/>
        <v>3.9899999999999998</v>
      </c>
      <c r="N558">
        <f t="shared" si="25"/>
        <v>3.99</v>
      </c>
      <c r="O558">
        <f t="shared" si="26"/>
        <v>4.2679999999999989</v>
      </c>
    </row>
    <row r="559" spans="1:15" ht="15" customHeight="1" x14ac:dyDescent="0.3">
      <c r="A559" t="s">
        <v>1146</v>
      </c>
      <c r="B559" t="s">
        <v>2475</v>
      </c>
      <c r="C559">
        <v>4.28</v>
      </c>
      <c r="D559">
        <v>4.01</v>
      </c>
      <c r="E559">
        <v>3.82</v>
      </c>
      <c r="F559">
        <v>4.12</v>
      </c>
      <c r="G559">
        <v>3.65</v>
      </c>
      <c r="H559">
        <v>3.82</v>
      </c>
      <c r="I559" t="s">
        <v>211</v>
      </c>
      <c r="J559">
        <v>4.2300000000000004</v>
      </c>
      <c r="K559">
        <v>4.6500000000000004</v>
      </c>
      <c r="L559">
        <v>3.42</v>
      </c>
      <c r="M559">
        <f t="shared" si="24"/>
        <v>3.976</v>
      </c>
      <c r="N559">
        <f t="shared" si="25"/>
        <v>3.98</v>
      </c>
      <c r="O559">
        <f t="shared" si="26"/>
        <v>4.03</v>
      </c>
    </row>
    <row r="560" spans="1:15" ht="15" customHeight="1" x14ac:dyDescent="0.3">
      <c r="A560" t="s">
        <v>1148</v>
      </c>
      <c r="B560" t="s">
        <v>2476</v>
      </c>
      <c r="C560">
        <v>3.94</v>
      </c>
      <c r="D560">
        <v>3.56</v>
      </c>
      <c r="E560">
        <v>4.03</v>
      </c>
      <c r="F560">
        <v>3.8</v>
      </c>
      <c r="G560">
        <v>4.1399999999999997</v>
      </c>
      <c r="H560">
        <v>4.1100000000000003</v>
      </c>
      <c r="I560">
        <v>3.93</v>
      </c>
      <c r="J560">
        <v>4.25</v>
      </c>
      <c r="K560">
        <v>4.96</v>
      </c>
      <c r="L560">
        <v>3.46</v>
      </c>
      <c r="M560">
        <f t="shared" si="24"/>
        <v>3.8940000000000006</v>
      </c>
      <c r="N560">
        <f t="shared" si="25"/>
        <v>3.89</v>
      </c>
      <c r="O560">
        <f t="shared" si="26"/>
        <v>4.1420000000000003</v>
      </c>
    </row>
    <row r="561" spans="1:15" ht="15" customHeight="1" x14ac:dyDescent="0.3">
      <c r="A561" t="s">
        <v>1150</v>
      </c>
      <c r="B561" t="s">
        <v>2477</v>
      </c>
      <c r="C561">
        <v>4.43</v>
      </c>
      <c r="D561">
        <v>4.0599999999999996</v>
      </c>
      <c r="E561">
        <v>3.4</v>
      </c>
      <c r="F561">
        <v>4.6500000000000004</v>
      </c>
      <c r="G561">
        <v>3.97</v>
      </c>
      <c r="H561">
        <v>3.9</v>
      </c>
      <c r="I561" t="s">
        <v>211</v>
      </c>
      <c r="J561">
        <v>3.99</v>
      </c>
      <c r="K561">
        <v>4.13</v>
      </c>
      <c r="L561">
        <v>4.2300000000000004</v>
      </c>
      <c r="M561">
        <f t="shared" si="24"/>
        <v>4.1019999999999994</v>
      </c>
      <c r="N561">
        <f t="shared" si="25"/>
        <v>4.0999999999999996</v>
      </c>
      <c r="O561">
        <f t="shared" si="26"/>
        <v>4.0625</v>
      </c>
    </row>
    <row r="562" spans="1:15" ht="15" customHeight="1" x14ac:dyDescent="0.3">
      <c r="A562" t="s">
        <v>1152</v>
      </c>
      <c r="B562" t="s">
        <v>2478</v>
      </c>
      <c r="C562">
        <v>4.17</v>
      </c>
      <c r="D562" t="s">
        <v>211</v>
      </c>
      <c r="E562">
        <v>3.89</v>
      </c>
      <c r="F562">
        <v>4.41</v>
      </c>
      <c r="G562">
        <v>4.1500000000000004</v>
      </c>
      <c r="H562">
        <v>4.17</v>
      </c>
      <c r="I562">
        <v>4.21</v>
      </c>
      <c r="J562">
        <v>4.0999999999999996</v>
      </c>
      <c r="K562">
        <v>4.47</v>
      </c>
      <c r="L562">
        <v>3.61</v>
      </c>
      <c r="M562">
        <f t="shared" si="24"/>
        <v>4.1550000000000002</v>
      </c>
      <c r="N562">
        <f t="shared" si="25"/>
        <v>4.16</v>
      </c>
      <c r="O562">
        <f t="shared" si="26"/>
        <v>4.1120000000000001</v>
      </c>
    </row>
    <row r="563" spans="1:15" ht="15" customHeight="1" x14ac:dyDescent="0.3">
      <c r="A563" t="s">
        <v>1154</v>
      </c>
      <c r="B563" t="s">
        <v>2479</v>
      </c>
      <c r="C563">
        <v>3.92</v>
      </c>
      <c r="D563">
        <v>4.6900000000000004</v>
      </c>
      <c r="E563" t="s">
        <v>211</v>
      </c>
      <c r="F563">
        <v>3.7</v>
      </c>
      <c r="G563">
        <v>4.03</v>
      </c>
      <c r="H563">
        <v>4.33</v>
      </c>
      <c r="I563">
        <v>4.2699999999999996</v>
      </c>
      <c r="J563">
        <v>3.88</v>
      </c>
      <c r="K563">
        <v>4.59</v>
      </c>
      <c r="L563">
        <v>4.03</v>
      </c>
      <c r="M563">
        <f t="shared" si="24"/>
        <v>4.085</v>
      </c>
      <c r="N563">
        <f t="shared" si="25"/>
        <v>4.09</v>
      </c>
      <c r="O563">
        <f t="shared" si="26"/>
        <v>4.2200000000000006</v>
      </c>
    </row>
    <row r="564" spans="1:15" ht="15" customHeight="1" x14ac:dyDescent="0.3">
      <c r="A564" t="s">
        <v>1156</v>
      </c>
      <c r="B564" t="s">
        <v>2480</v>
      </c>
      <c r="C564">
        <v>4.22</v>
      </c>
      <c r="D564">
        <v>4.1100000000000003</v>
      </c>
      <c r="E564">
        <v>4.0599999999999996</v>
      </c>
      <c r="F564">
        <v>4.1399999999999997</v>
      </c>
      <c r="G564" t="s">
        <v>211</v>
      </c>
      <c r="H564">
        <v>4.55</v>
      </c>
      <c r="I564">
        <v>3.09</v>
      </c>
      <c r="J564">
        <v>4.46</v>
      </c>
      <c r="K564">
        <v>4.13</v>
      </c>
      <c r="L564">
        <v>4.01</v>
      </c>
      <c r="M564">
        <f t="shared" si="24"/>
        <v>4.1325000000000003</v>
      </c>
      <c r="N564">
        <f t="shared" si="25"/>
        <v>4.13</v>
      </c>
      <c r="O564">
        <f t="shared" si="26"/>
        <v>4.048</v>
      </c>
    </row>
    <row r="565" spans="1:15" ht="15" customHeight="1" x14ac:dyDescent="0.3">
      <c r="A565" t="s">
        <v>1158</v>
      </c>
      <c r="B565" t="s">
        <v>2481</v>
      </c>
      <c r="C565">
        <v>3.9</v>
      </c>
      <c r="D565">
        <v>4.09</v>
      </c>
      <c r="E565">
        <v>4.0199999999999996</v>
      </c>
      <c r="F565">
        <v>3.87</v>
      </c>
      <c r="G565">
        <v>3.92</v>
      </c>
      <c r="H565">
        <v>4.2300000000000004</v>
      </c>
      <c r="I565">
        <v>3.92</v>
      </c>
      <c r="J565">
        <v>4.6399999999999997</v>
      </c>
      <c r="K565">
        <v>4.05</v>
      </c>
      <c r="L565">
        <v>3.45</v>
      </c>
      <c r="M565">
        <f t="shared" si="24"/>
        <v>3.9599999999999995</v>
      </c>
      <c r="N565">
        <f t="shared" si="25"/>
        <v>3.96</v>
      </c>
      <c r="O565">
        <f t="shared" si="26"/>
        <v>4.0579999999999998</v>
      </c>
    </row>
    <row r="566" spans="1:15" ht="15" customHeight="1" x14ac:dyDescent="0.3">
      <c r="A566" t="s">
        <v>1160</v>
      </c>
      <c r="B566" t="s">
        <v>2482</v>
      </c>
      <c r="C566">
        <v>3.31</v>
      </c>
      <c r="D566">
        <v>3.62</v>
      </c>
      <c r="E566">
        <v>3.64</v>
      </c>
      <c r="F566" t="s">
        <v>211</v>
      </c>
      <c r="G566">
        <v>3.94</v>
      </c>
      <c r="H566">
        <v>4.1100000000000003</v>
      </c>
      <c r="I566" t="s">
        <v>211</v>
      </c>
      <c r="J566">
        <v>3.57</v>
      </c>
      <c r="K566">
        <v>4.1100000000000003</v>
      </c>
      <c r="L566">
        <v>4</v>
      </c>
      <c r="M566">
        <f t="shared" si="24"/>
        <v>3.6274999999999999</v>
      </c>
      <c r="N566">
        <f t="shared" si="25"/>
        <v>3.63</v>
      </c>
      <c r="O566">
        <f t="shared" si="26"/>
        <v>3.9474999999999998</v>
      </c>
    </row>
    <row r="567" spans="1:15" ht="15" customHeight="1" x14ac:dyDescent="0.3">
      <c r="A567" t="s">
        <v>1162</v>
      </c>
      <c r="B567" t="s">
        <v>2483</v>
      </c>
      <c r="C567">
        <v>3.53</v>
      </c>
      <c r="D567">
        <v>4.58</v>
      </c>
      <c r="E567">
        <v>4.2699999999999996</v>
      </c>
      <c r="F567">
        <v>4.22</v>
      </c>
      <c r="G567">
        <v>4.4000000000000004</v>
      </c>
      <c r="H567">
        <v>4.1100000000000003</v>
      </c>
      <c r="I567">
        <v>3.95</v>
      </c>
      <c r="J567">
        <v>3.7</v>
      </c>
      <c r="K567">
        <v>3.87</v>
      </c>
      <c r="L567">
        <v>3.87</v>
      </c>
      <c r="M567">
        <f t="shared" si="24"/>
        <v>4.2</v>
      </c>
      <c r="N567">
        <f t="shared" si="25"/>
        <v>4.2</v>
      </c>
      <c r="O567">
        <f t="shared" si="26"/>
        <v>3.9000000000000008</v>
      </c>
    </row>
    <row r="568" spans="1:15" ht="15" customHeight="1" x14ac:dyDescent="0.3">
      <c r="A568" t="s">
        <v>1164</v>
      </c>
      <c r="B568" t="s">
        <v>2484</v>
      </c>
      <c r="C568">
        <v>4.51</v>
      </c>
      <c r="D568">
        <v>3.96</v>
      </c>
      <c r="E568">
        <v>4.32</v>
      </c>
      <c r="F568">
        <v>3.96</v>
      </c>
      <c r="G568">
        <v>3.99</v>
      </c>
      <c r="H568">
        <v>3.53</v>
      </c>
      <c r="I568">
        <v>4.45</v>
      </c>
      <c r="J568">
        <v>3.94</v>
      </c>
      <c r="K568">
        <v>4.07</v>
      </c>
      <c r="L568">
        <v>4.1500000000000004</v>
      </c>
      <c r="M568">
        <f t="shared" si="24"/>
        <v>4.1480000000000006</v>
      </c>
      <c r="N568">
        <f t="shared" si="25"/>
        <v>4.1500000000000004</v>
      </c>
      <c r="O568">
        <f t="shared" si="26"/>
        <v>4.0280000000000005</v>
      </c>
    </row>
    <row r="569" spans="1:15" ht="15" customHeight="1" x14ac:dyDescent="0.3">
      <c r="A569" t="s">
        <v>1166</v>
      </c>
      <c r="B569" t="s">
        <v>1167</v>
      </c>
      <c r="C569">
        <v>4.21</v>
      </c>
      <c r="D569">
        <v>3.55</v>
      </c>
      <c r="E569">
        <v>3.63</v>
      </c>
      <c r="F569">
        <v>3.92</v>
      </c>
      <c r="G569">
        <v>4.26</v>
      </c>
      <c r="H569">
        <v>4.18</v>
      </c>
      <c r="I569">
        <v>4.08</v>
      </c>
      <c r="J569" t="s">
        <v>211</v>
      </c>
      <c r="K569">
        <v>4</v>
      </c>
      <c r="L569">
        <v>4.09</v>
      </c>
      <c r="M569">
        <f t="shared" si="24"/>
        <v>3.9140000000000001</v>
      </c>
      <c r="N569">
        <f t="shared" si="25"/>
        <v>3.91</v>
      </c>
      <c r="O569">
        <f t="shared" si="26"/>
        <v>4.0875000000000004</v>
      </c>
    </row>
    <row r="570" spans="1:15" ht="15" customHeight="1" x14ac:dyDescent="0.3">
      <c r="A570" t="s">
        <v>1168</v>
      </c>
      <c r="B570" t="s">
        <v>1169</v>
      </c>
      <c r="C570">
        <v>3.93</v>
      </c>
      <c r="D570">
        <v>4.57</v>
      </c>
      <c r="E570">
        <v>3.96</v>
      </c>
      <c r="F570">
        <v>3.92</v>
      </c>
      <c r="G570">
        <v>3.71</v>
      </c>
      <c r="H570">
        <v>4.07</v>
      </c>
      <c r="I570">
        <v>4.1500000000000004</v>
      </c>
      <c r="J570">
        <v>3.79</v>
      </c>
      <c r="K570">
        <v>3.98</v>
      </c>
      <c r="L570">
        <v>3.89</v>
      </c>
      <c r="M570">
        <f t="shared" si="24"/>
        <v>4.0180000000000007</v>
      </c>
      <c r="N570">
        <f t="shared" si="25"/>
        <v>4.0199999999999996</v>
      </c>
      <c r="O570">
        <f t="shared" si="26"/>
        <v>3.9760000000000004</v>
      </c>
    </row>
    <row r="571" spans="1:15" ht="15" customHeight="1" x14ac:dyDescent="0.3">
      <c r="A571" t="s">
        <v>1170</v>
      </c>
      <c r="B571" t="s">
        <v>1171</v>
      </c>
      <c r="C571" t="s">
        <v>211</v>
      </c>
      <c r="D571">
        <v>4.0199999999999996</v>
      </c>
      <c r="E571">
        <v>4.32</v>
      </c>
      <c r="F571">
        <v>3.81</v>
      </c>
      <c r="G571">
        <v>3.74</v>
      </c>
      <c r="H571">
        <v>3.92</v>
      </c>
      <c r="I571">
        <v>4.07</v>
      </c>
      <c r="J571">
        <v>3.47</v>
      </c>
      <c r="K571">
        <v>3.79</v>
      </c>
      <c r="L571">
        <v>3.83</v>
      </c>
      <c r="M571">
        <f t="shared" si="24"/>
        <v>3.9725000000000001</v>
      </c>
      <c r="N571">
        <f t="shared" si="25"/>
        <v>3.97</v>
      </c>
      <c r="O571">
        <f t="shared" si="26"/>
        <v>3.8159999999999998</v>
      </c>
    </row>
    <row r="572" spans="1:15" ht="15" customHeight="1" x14ac:dyDescent="0.3">
      <c r="A572" t="s">
        <v>1172</v>
      </c>
      <c r="B572" t="s">
        <v>1173</v>
      </c>
      <c r="C572">
        <v>4.33</v>
      </c>
      <c r="D572">
        <v>4.12</v>
      </c>
      <c r="E572">
        <v>3.83</v>
      </c>
      <c r="F572">
        <v>4.0999999999999996</v>
      </c>
      <c r="G572">
        <v>3.98</v>
      </c>
      <c r="H572">
        <v>3.88</v>
      </c>
      <c r="I572">
        <v>3.6</v>
      </c>
      <c r="J572">
        <v>4.0599999999999996</v>
      </c>
      <c r="K572">
        <v>3.79</v>
      </c>
      <c r="L572">
        <v>4.01</v>
      </c>
      <c r="M572">
        <f t="shared" si="24"/>
        <v>4.0720000000000001</v>
      </c>
      <c r="N572">
        <f t="shared" si="25"/>
        <v>4.07</v>
      </c>
      <c r="O572">
        <f t="shared" si="26"/>
        <v>3.8679999999999994</v>
      </c>
    </row>
    <row r="573" spans="1:15" ht="15" customHeight="1" x14ac:dyDescent="0.3">
      <c r="A573" t="s">
        <v>1174</v>
      </c>
      <c r="B573" t="s">
        <v>1175</v>
      </c>
      <c r="C573">
        <v>4.3499999999999996</v>
      </c>
      <c r="D573">
        <v>3.85</v>
      </c>
      <c r="E573">
        <v>4.1500000000000004</v>
      </c>
      <c r="F573">
        <v>4.18</v>
      </c>
      <c r="G573">
        <v>4.55</v>
      </c>
      <c r="H573">
        <v>3.7</v>
      </c>
      <c r="I573">
        <v>3.78</v>
      </c>
      <c r="J573">
        <v>4.01</v>
      </c>
      <c r="K573">
        <v>4.17</v>
      </c>
      <c r="L573">
        <v>4.09</v>
      </c>
      <c r="M573">
        <f t="shared" si="24"/>
        <v>4.2160000000000002</v>
      </c>
      <c r="N573">
        <f t="shared" si="25"/>
        <v>4.22</v>
      </c>
      <c r="O573">
        <f t="shared" si="26"/>
        <v>3.95</v>
      </c>
    </row>
    <row r="574" spans="1:15" ht="15" customHeight="1" x14ac:dyDescent="0.3">
      <c r="A574" t="s">
        <v>1176</v>
      </c>
      <c r="B574" t="s">
        <v>1177</v>
      </c>
      <c r="C574">
        <v>4.3099999999999996</v>
      </c>
      <c r="D574">
        <v>4.26</v>
      </c>
      <c r="E574">
        <v>4.4400000000000004</v>
      </c>
      <c r="F574">
        <v>4.3099999999999996</v>
      </c>
      <c r="G574">
        <v>3.83</v>
      </c>
      <c r="H574">
        <v>3.95</v>
      </c>
      <c r="I574">
        <v>4.05</v>
      </c>
      <c r="J574">
        <v>4.18</v>
      </c>
      <c r="K574">
        <v>3.89</v>
      </c>
      <c r="L574">
        <v>4.05</v>
      </c>
      <c r="M574">
        <f t="shared" si="24"/>
        <v>4.2299999999999995</v>
      </c>
      <c r="N574">
        <f t="shared" si="25"/>
        <v>4.2300000000000004</v>
      </c>
      <c r="O574">
        <f t="shared" si="26"/>
        <v>4.024</v>
      </c>
    </row>
    <row r="575" spans="1:15" ht="15" customHeight="1" x14ac:dyDescent="0.3">
      <c r="A575" t="s">
        <v>1178</v>
      </c>
      <c r="B575" t="s">
        <v>2485</v>
      </c>
      <c r="C575">
        <v>4.1900000000000004</v>
      </c>
      <c r="D575">
        <v>3.45</v>
      </c>
      <c r="E575">
        <v>4.37</v>
      </c>
      <c r="F575">
        <v>4.1399999999999997</v>
      </c>
      <c r="G575">
        <v>3.97</v>
      </c>
      <c r="H575">
        <v>3.78</v>
      </c>
      <c r="I575">
        <v>3.96</v>
      </c>
      <c r="J575">
        <v>3.52</v>
      </c>
      <c r="K575">
        <v>3.5</v>
      </c>
      <c r="L575">
        <v>4.2300000000000004</v>
      </c>
      <c r="M575">
        <f t="shared" si="24"/>
        <v>4.024</v>
      </c>
      <c r="N575">
        <f t="shared" si="25"/>
        <v>4.0199999999999996</v>
      </c>
      <c r="O575">
        <f t="shared" si="26"/>
        <v>3.7980000000000005</v>
      </c>
    </row>
    <row r="576" spans="1:15" ht="15" customHeight="1" x14ac:dyDescent="0.3">
      <c r="A576" t="s">
        <v>1180</v>
      </c>
      <c r="B576" t="s">
        <v>1181</v>
      </c>
      <c r="C576">
        <v>4.08</v>
      </c>
      <c r="D576">
        <v>4.18</v>
      </c>
      <c r="E576">
        <v>4.3</v>
      </c>
      <c r="F576">
        <v>4.0199999999999996</v>
      </c>
      <c r="G576">
        <v>3.89</v>
      </c>
      <c r="H576">
        <v>3.75</v>
      </c>
      <c r="I576">
        <v>4.37</v>
      </c>
      <c r="J576">
        <v>4.09</v>
      </c>
      <c r="K576">
        <v>4.5199999999999996</v>
      </c>
      <c r="L576">
        <v>4.09</v>
      </c>
      <c r="M576">
        <f t="shared" si="24"/>
        <v>4.0939999999999994</v>
      </c>
      <c r="N576">
        <f t="shared" si="25"/>
        <v>4.09</v>
      </c>
      <c r="O576">
        <f t="shared" si="26"/>
        <v>4.1639999999999997</v>
      </c>
    </row>
    <row r="577" spans="1:15" ht="15" customHeight="1" x14ac:dyDescent="0.3">
      <c r="A577" t="s">
        <v>1182</v>
      </c>
      <c r="B577" t="s">
        <v>1183</v>
      </c>
      <c r="C577" t="s">
        <v>211</v>
      </c>
      <c r="D577">
        <v>3.44</v>
      </c>
      <c r="E577">
        <v>3.75</v>
      </c>
      <c r="F577">
        <v>3.83</v>
      </c>
      <c r="G577">
        <v>3.41</v>
      </c>
      <c r="H577">
        <v>3.46</v>
      </c>
      <c r="I577">
        <v>3.74</v>
      </c>
      <c r="J577">
        <v>4.42</v>
      </c>
      <c r="K577">
        <v>3.93</v>
      </c>
      <c r="L577">
        <v>3.75</v>
      </c>
      <c r="M577">
        <f t="shared" si="24"/>
        <v>3.6074999999999999</v>
      </c>
      <c r="N577">
        <f t="shared" si="25"/>
        <v>3.61</v>
      </c>
      <c r="O577">
        <f t="shared" si="26"/>
        <v>3.8600000000000003</v>
      </c>
    </row>
    <row r="578" spans="1:15" ht="15" customHeight="1" x14ac:dyDescent="0.3">
      <c r="A578" t="s">
        <v>1184</v>
      </c>
      <c r="B578" t="s">
        <v>1185</v>
      </c>
      <c r="C578">
        <v>4.09</v>
      </c>
      <c r="D578">
        <v>4.09</v>
      </c>
      <c r="E578">
        <v>4.09</v>
      </c>
      <c r="F578">
        <v>4.09</v>
      </c>
      <c r="G578">
        <v>4.67</v>
      </c>
      <c r="H578">
        <v>3.93</v>
      </c>
      <c r="I578">
        <v>4.17</v>
      </c>
      <c r="J578">
        <v>4.5</v>
      </c>
      <c r="K578">
        <v>3.85</v>
      </c>
      <c r="L578">
        <v>3.77</v>
      </c>
      <c r="M578">
        <f t="shared" ref="M578:M641" si="27">AVERAGE(C578:G578)</f>
        <v>4.2060000000000004</v>
      </c>
      <c r="N578">
        <f t="shared" ref="N578:N641" si="28">ROUND(M578,2)</f>
        <v>4.21</v>
      </c>
      <c r="O578">
        <f t="shared" ref="O578:O641" si="29">AVERAGE(H578:L578)</f>
        <v>4.0439999999999996</v>
      </c>
    </row>
    <row r="579" spans="1:15" ht="15" customHeight="1" x14ac:dyDescent="0.3">
      <c r="A579" t="s">
        <v>1186</v>
      </c>
      <c r="B579" t="s">
        <v>2486</v>
      </c>
      <c r="C579" t="s">
        <v>211</v>
      </c>
      <c r="D579">
        <v>4.33</v>
      </c>
      <c r="E579">
        <v>4.25</v>
      </c>
      <c r="F579">
        <v>4.32</v>
      </c>
      <c r="G579">
        <v>4.5599999999999996</v>
      </c>
      <c r="H579">
        <v>4.51</v>
      </c>
      <c r="I579">
        <v>4.03</v>
      </c>
      <c r="J579">
        <v>3.7</v>
      </c>
      <c r="K579">
        <v>3.99</v>
      </c>
      <c r="L579">
        <v>4.0599999999999996</v>
      </c>
      <c r="M579">
        <f t="shared" si="27"/>
        <v>4.3650000000000002</v>
      </c>
      <c r="N579">
        <f t="shared" si="28"/>
        <v>4.37</v>
      </c>
      <c r="O579">
        <f t="shared" si="29"/>
        <v>4.0579999999999989</v>
      </c>
    </row>
    <row r="580" spans="1:15" ht="15" customHeight="1" x14ac:dyDescent="0.3">
      <c r="A580" t="s">
        <v>1188</v>
      </c>
      <c r="B580" t="s">
        <v>2487</v>
      </c>
      <c r="C580">
        <v>4.18</v>
      </c>
      <c r="D580">
        <v>4.45</v>
      </c>
      <c r="E580">
        <v>4.0999999999999996</v>
      </c>
      <c r="F580">
        <v>3.96</v>
      </c>
      <c r="G580">
        <v>4.5</v>
      </c>
      <c r="H580">
        <v>4.07</v>
      </c>
      <c r="I580">
        <v>3.84</v>
      </c>
      <c r="J580">
        <v>3.18</v>
      </c>
      <c r="K580">
        <v>4.3499999999999996</v>
      </c>
      <c r="L580">
        <v>3.62</v>
      </c>
      <c r="M580">
        <f t="shared" si="27"/>
        <v>4.2379999999999995</v>
      </c>
      <c r="N580">
        <f t="shared" si="28"/>
        <v>4.24</v>
      </c>
      <c r="O580">
        <f t="shared" si="29"/>
        <v>3.8119999999999998</v>
      </c>
    </row>
    <row r="581" spans="1:15" ht="15" customHeight="1" x14ac:dyDescent="0.3">
      <c r="A581" t="s">
        <v>1190</v>
      </c>
      <c r="B581" t="s">
        <v>2488</v>
      </c>
      <c r="C581">
        <v>4.3600000000000003</v>
      </c>
      <c r="D581">
        <v>4.12</v>
      </c>
      <c r="E581">
        <v>3.54</v>
      </c>
      <c r="F581">
        <v>4.01</v>
      </c>
      <c r="G581">
        <v>4.6900000000000004</v>
      </c>
      <c r="H581">
        <v>3.78</v>
      </c>
      <c r="I581">
        <v>4.21</v>
      </c>
      <c r="J581">
        <v>3.88</v>
      </c>
      <c r="K581">
        <v>4.1100000000000003</v>
      </c>
      <c r="L581">
        <v>4.07</v>
      </c>
      <c r="M581">
        <f t="shared" si="27"/>
        <v>4.1440000000000001</v>
      </c>
      <c r="N581">
        <f t="shared" si="28"/>
        <v>4.1399999999999997</v>
      </c>
      <c r="O581">
        <f t="shared" si="29"/>
        <v>4.01</v>
      </c>
    </row>
    <row r="582" spans="1:15" ht="15" customHeight="1" x14ac:dyDescent="0.3">
      <c r="A582" t="s">
        <v>1192</v>
      </c>
      <c r="B582" t="s">
        <v>2489</v>
      </c>
      <c r="C582">
        <v>3.81</v>
      </c>
      <c r="D582">
        <v>3.97</v>
      </c>
      <c r="E582" t="s">
        <v>211</v>
      </c>
      <c r="F582">
        <v>3.51</v>
      </c>
      <c r="G582">
        <v>4.38</v>
      </c>
      <c r="H582">
        <v>4.3499999999999996</v>
      </c>
      <c r="I582">
        <v>3.84</v>
      </c>
      <c r="J582">
        <v>3.77</v>
      </c>
      <c r="K582">
        <v>3.88</v>
      </c>
      <c r="L582">
        <v>4.12</v>
      </c>
      <c r="M582">
        <f t="shared" si="27"/>
        <v>3.9174999999999995</v>
      </c>
      <c r="N582">
        <f t="shared" si="28"/>
        <v>3.92</v>
      </c>
      <c r="O582">
        <f t="shared" si="29"/>
        <v>3.992</v>
      </c>
    </row>
    <row r="583" spans="1:15" ht="15" customHeight="1" x14ac:dyDescent="0.3">
      <c r="A583" t="s">
        <v>1194</v>
      </c>
      <c r="B583" t="s">
        <v>2490</v>
      </c>
      <c r="C583">
        <v>3.92</v>
      </c>
      <c r="D583">
        <v>4.24</v>
      </c>
      <c r="E583">
        <v>4.18</v>
      </c>
      <c r="F583">
        <v>4.74</v>
      </c>
      <c r="G583">
        <v>3.82</v>
      </c>
      <c r="H583">
        <v>4.42</v>
      </c>
      <c r="I583">
        <v>4.3099999999999996</v>
      </c>
      <c r="J583">
        <v>3.66</v>
      </c>
      <c r="K583">
        <v>4.2300000000000004</v>
      </c>
      <c r="L583">
        <v>4.25</v>
      </c>
      <c r="M583">
        <f t="shared" si="27"/>
        <v>4.18</v>
      </c>
      <c r="N583">
        <f t="shared" si="28"/>
        <v>4.18</v>
      </c>
      <c r="O583">
        <f t="shared" si="29"/>
        <v>4.1740000000000004</v>
      </c>
    </row>
    <row r="584" spans="1:15" ht="15" customHeight="1" x14ac:dyDescent="0.3">
      <c r="A584" t="s">
        <v>1196</v>
      </c>
      <c r="B584" t="s">
        <v>2491</v>
      </c>
      <c r="C584">
        <v>4.29</v>
      </c>
      <c r="D584">
        <v>3.64</v>
      </c>
      <c r="E584">
        <v>3.99</v>
      </c>
      <c r="F584">
        <v>3.48</v>
      </c>
      <c r="G584">
        <v>4.24</v>
      </c>
      <c r="H584">
        <v>3.46</v>
      </c>
      <c r="I584">
        <v>3.86</v>
      </c>
      <c r="J584">
        <v>3.87</v>
      </c>
      <c r="K584">
        <v>4.05</v>
      </c>
      <c r="L584">
        <v>3.58</v>
      </c>
      <c r="M584">
        <f t="shared" si="27"/>
        <v>3.9279999999999999</v>
      </c>
      <c r="N584">
        <f t="shared" si="28"/>
        <v>3.93</v>
      </c>
      <c r="O584">
        <f t="shared" si="29"/>
        <v>3.7640000000000002</v>
      </c>
    </row>
    <row r="585" spans="1:15" ht="15" customHeight="1" x14ac:dyDescent="0.3">
      <c r="A585" t="s">
        <v>1198</v>
      </c>
      <c r="B585" t="s">
        <v>2492</v>
      </c>
      <c r="C585">
        <v>4.1900000000000004</v>
      </c>
      <c r="D585">
        <v>4.46</v>
      </c>
      <c r="E585">
        <v>4.32</v>
      </c>
      <c r="F585">
        <v>4.25</v>
      </c>
      <c r="G585">
        <v>4.32</v>
      </c>
      <c r="H585">
        <v>4.04</v>
      </c>
      <c r="I585">
        <v>4.08</v>
      </c>
      <c r="J585">
        <v>4.1500000000000004</v>
      </c>
      <c r="K585">
        <v>4.71</v>
      </c>
      <c r="L585">
        <v>4.13</v>
      </c>
      <c r="M585">
        <f t="shared" si="27"/>
        <v>4.3079999999999998</v>
      </c>
      <c r="N585">
        <f t="shared" si="28"/>
        <v>4.3099999999999996</v>
      </c>
      <c r="O585">
        <f t="shared" si="29"/>
        <v>4.2219999999999995</v>
      </c>
    </row>
    <row r="586" spans="1:15" ht="15" customHeight="1" x14ac:dyDescent="0.3">
      <c r="A586" t="s">
        <v>1200</v>
      </c>
      <c r="B586" t="s">
        <v>2493</v>
      </c>
      <c r="C586">
        <v>4.34</v>
      </c>
      <c r="D586">
        <v>4.6100000000000003</v>
      </c>
      <c r="E586">
        <v>3.47</v>
      </c>
      <c r="F586" t="s">
        <v>211</v>
      </c>
      <c r="G586">
        <v>3.97</v>
      </c>
      <c r="H586">
        <v>4.18</v>
      </c>
      <c r="I586">
        <v>4.1100000000000003</v>
      </c>
      <c r="J586" t="s">
        <v>211</v>
      </c>
      <c r="K586">
        <v>3.04</v>
      </c>
      <c r="L586">
        <v>4.1399999999999997</v>
      </c>
      <c r="M586">
        <f t="shared" si="27"/>
        <v>4.0975000000000001</v>
      </c>
      <c r="N586">
        <f t="shared" si="28"/>
        <v>4.0999999999999996</v>
      </c>
      <c r="O586">
        <f t="shared" si="29"/>
        <v>3.8674999999999997</v>
      </c>
    </row>
    <row r="587" spans="1:15" ht="15" customHeight="1" x14ac:dyDescent="0.3">
      <c r="A587" t="s">
        <v>1202</v>
      </c>
      <c r="B587" t="s">
        <v>1203</v>
      </c>
      <c r="C587">
        <v>4.0999999999999996</v>
      </c>
      <c r="D587">
        <v>3.64</v>
      </c>
      <c r="E587">
        <v>4.55</v>
      </c>
      <c r="F587">
        <v>3.67</v>
      </c>
      <c r="G587">
        <v>4.3600000000000003</v>
      </c>
      <c r="H587">
        <v>3.74</v>
      </c>
      <c r="I587">
        <v>4.13</v>
      </c>
      <c r="J587">
        <v>4.1100000000000003</v>
      </c>
      <c r="K587">
        <v>4.59</v>
      </c>
      <c r="L587">
        <v>3.86</v>
      </c>
      <c r="M587">
        <f t="shared" si="27"/>
        <v>4.0640000000000001</v>
      </c>
      <c r="N587">
        <f t="shared" si="28"/>
        <v>4.0599999999999996</v>
      </c>
      <c r="O587">
        <f t="shared" si="29"/>
        <v>4.0860000000000003</v>
      </c>
    </row>
    <row r="588" spans="1:15" ht="15" customHeight="1" x14ac:dyDescent="0.3">
      <c r="A588" t="s">
        <v>1204</v>
      </c>
      <c r="B588" t="s">
        <v>2494</v>
      </c>
      <c r="C588">
        <v>4.1399999999999997</v>
      </c>
      <c r="D588">
        <v>3.62</v>
      </c>
      <c r="E588">
        <v>4.1399999999999997</v>
      </c>
      <c r="F588">
        <v>3.93</v>
      </c>
      <c r="G588">
        <v>3.7</v>
      </c>
      <c r="H588" t="s">
        <v>211</v>
      </c>
      <c r="I588">
        <v>4.13</v>
      </c>
      <c r="J588">
        <v>4.1900000000000004</v>
      </c>
      <c r="K588">
        <v>4.13</v>
      </c>
      <c r="L588">
        <v>4.34</v>
      </c>
      <c r="M588">
        <f t="shared" si="27"/>
        <v>3.9059999999999997</v>
      </c>
      <c r="N588">
        <f t="shared" si="28"/>
        <v>3.91</v>
      </c>
      <c r="O588">
        <f t="shared" si="29"/>
        <v>4.1974999999999998</v>
      </c>
    </row>
    <row r="589" spans="1:15" ht="15" customHeight="1" x14ac:dyDescent="0.3">
      <c r="A589" t="s">
        <v>1206</v>
      </c>
      <c r="B589" t="s">
        <v>2495</v>
      </c>
      <c r="C589">
        <v>4.08</v>
      </c>
      <c r="D589">
        <v>3.68</v>
      </c>
      <c r="E589">
        <v>4.18</v>
      </c>
      <c r="F589">
        <v>3.92</v>
      </c>
      <c r="G589">
        <v>3.66</v>
      </c>
      <c r="H589">
        <v>4.5</v>
      </c>
      <c r="I589">
        <v>4.2</v>
      </c>
      <c r="J589">
        <v>4.2</v>
      </c>
      <c r="K589">
        <v>4.59</v>
      </c>
      <c r="L589">
        <v>3.95</v>
      </c>
      <c r="M589">
        <f t="shared" si="27"/>
        <v>3.9039999999999999</v>
      </c>
      <c r="N589">
        <f t="shared" si="28"/>
        <v>3.9</v>
      </c>
      <c r="O589">
        <f t="shared" si="29"/>
        <v>4.2879999999999994</v>
      </c>
    </row>
    <row r="590" spans="1:15" ht="15" customHeight="1" x14ac:dyDescent="0.3">
      <c r="A590" t="s">
        <v>1208</v>
      </c>
      <c r="B590" t="s">
        <v>1209</v>
      </c>
      <c r="C590">
        <v>4.2300000000000004</v>
      </c>
      <c r="D590">
        <v>3.74</v>
      </c>
      <c r="E590">
        <v>4.01</v>
      </c>
      <c r="F590">
        <v>4.24</v>
      </c>
      <c r="G590">
        <v>4</v>
      </c>
      <c r="H590">
        <v>4.55</v>
      </c>
      <c r="I590">
        <v>3.66</v>
      </c>
      <c r="J590">
        <v>4.28</v>
      </c>
      <c r="K590">
        <v>4.07</v>
      </c>
      <c r="L590">
        <v>4.59</v>
      </c>
      <c r="M590">
        <f t="shared" si="27"/>
        <v>4.0439999999999996</v>
      </c>
      <c r="N590">
        <f t="shared" si="28"/>
        <v>4.04</v>
      </c>
      <c r="O590">
        <f t="shared" si="29"/>
        <v>4.2300000000000004</v>
      </c>
    </row>
    <row r="591" spans="1:15" ht="15" customHeight="1" x14ac:dyDescent="0.3">
      <c r="A591" t="s">
        <v>1210</v>
      </c>
      <c r="B591" t="s">
        <v>2496</v>
      </c>
      <c r="C591">
        <v>4.09</v>
      </c>
      <c r="D591">
        <v>3.88</v>
      </c>
      <c r="E591">
        <v>3.4</v>
      </c>
      <c r="F591">
        <v>4.3600000000000003</v>
      </c>
      <c r="G591">
        <v>4.68</v>
      </c>
      <c r="H591">
        <v>3.58</v>
      </c>
      <c r="I591">
        <v>3.57</v>
      </c>
      <c r="J591">
        <v>4</v>
      </c>
      <c r="K591">
        <v>4.37</v>
      </c>
      <c r="L591">
        <v>3.93</v>
      </c>
      <c r="M591">
        <f t="shared" si="27"/>
        <v>4.0819999999999999</v>
      </c>
      <c r="N591">
        <f t="shared" si="28"/>
        <v>4.08</v>
      </c>
      <c r="O591">
        <f t="shared" si="29"/>
        <v>3.8899999999999997</v>
      </c>
    </row>
    <row r="592" spans="1:15" ht="15" customHeight="1" x14ac:dyDescent="0.3">
      <c r="A592" t="s">
        <v>1212</v>
      </c>
      <c r="B592" t="s">
        <v>2497</v>
      </c>
      <c r="C592">
        <v>4.18</v>
      </c>
      <c r="D592">
        <v>4</v>
      </c>
      <c r="E592">
        <v>3.69</v>
      </c>
      <c r="F592">
        <v>4.88</v>
      </c>
      <c r="G592">
        <v>4.1100000000000003</v>
      </c>
      <c r="H592">
        <v>4.1500000000000004</v>
      </c>
      <c r="I592">
        <v>4.08</v>
      </c>
      <c r="J592">
        <v>3.58</v>
      </c>
      <c r="K592">
        <v>3.61</v>
      </c>
      <c r="L592" t="s">
        <v>211</v>
      </c>
      <c r="M592">
        <f t="shared" si="27"/>
        <v>4.1719999999999997</v>
      </c>
      <c r="N592">
        <f t="shared" si="28"/>
        <v>4.17</v>
      </c>
      <c r="O592">
        <f t="shared" si="29"/>
        <v>3.855</v>
      </c>
    </row>
    <row r="593" spans="1:15" ht="15" customHeight="1" x14ac:dyDescent="0.3">
      <c r="A593" t="s">
        <v>1214</v>
      </c>
      <c r="B593" t="s">
        <v>1215</v>
      </c>
      <c r="C593">
        <v>4.38</v>
      </c>
      <c r="D593">
        <v>3.99</v>
      </c>
      <c r="E593" t="s">
        <v>1216</v>
      </c>
      <c r="F593">
        <v>3.72</v>
      </c>
      <c r="G593">
        <v>4.41</v>
      </c>
      <c r="H593">
        <v>3.68</v>
      </c>
      <c r="I593">
        <v>3.94</v>
      </c>
      <c r="J593">
        <v>4.32</v>
      </c>
      <c r="K593">
        <v>4.37</v>
      </c>
      <c r="L593">
        <v>3.44</v>
      </c>
      <c r="M593">
        <f t="shared" si="27"/>
        <v>4.125</v>
      </c>
      <c r="N593">
        <f t="shared" si="28"/>
        <v>4.13</v>
      </c>
      <c r="O593">
        <f t="shared" si="29"/>
        <v>3.9500000000000006</v>
      </c>
    </row>
    <row r="594" spans="1:15" ht="15" customHeight="1" x14ac:dyDescent="0.3">
      <c r="A594" t="s">
        <v>1217</v>
      </c>
      <c r="B594" t="s">
        <v>2498</v>
      </c>
      <c r="C594">
        <v>3.94</v>
      </c>
      <c r="D594">
        <v>3.72</v>
      </c>
      <c r="E594">
        <v>4.16</v>
      </c>
      <c r="F594">
        <v>4.4400000000000004</v>
      </c>
      <c r="G594">
        <v>4.16</v>
      </c>
      <c r="H594">
        <v>3.6</v>
      </c>
      <c r="I594">
        <v>3.83</v>
      </c>
      <c r="J594">
        <v>3.42</v>
      </c>
      <c r="K594">
        <v>4.1100000000000003</v>
      </c>
      <c r="L594">
        <v>3.73</v>
      </c>
      <c r="M594">
        <f t="shared" si="27"/>
        <v>4.0840000000000005</v>
      </c>
      <c r="N594">
        <f t="shared" si="28"/>
        <v>4.08</v>
      </c>
      <c r="O594">
        <f t="shared" si="29"/>
        <v>3.7380000000000004</v>
      </c>
    </row>
    <row r="595" spans="1:15" ht="15" customHeight="1" x14ac:dyDescent="0.3">
      <c r="A595" t="s">
        <v>1219</v>
      </c>
      <c r="B595" t="s">
        <v>2499</v>
      </c>
      <c r="C595">
        <v>4.3899999999999997</v>
      </c>
      <c r="D595">
        <v>4.25</v>
      </c>
      <c r="E595">
        <v>3.66</v>
      </c>
      <c r="F595">
        <v>4.37</v>
      </c>
      <c r="G595">
        <v>4.33</v>
      </c>
      <c r="H595">
        <v>3.78</v>
      </c>
      <c r="I595">
        <v>3.84</v>
      </c>
      <c r="J595" t="s">
        <v>211</v>
      </c>
      <c r="K595">
        <v>3.77</v>
      </c>
      <c r="L595">
        <v>4.03</v>
      </c>
      <c r="M595">
        <f t="shared" si="27"/>
        <v>4.2</v>
      </c>
      <c r="N595">
        <f t="shared" si="28"/>
        <v>4.2</v>
      </c>
      <c r="O595">
        <f t="shared" si="29"/>
        <v>3.8549999999999995</v>
      </c>
    </row>
    <row r="596" spans="1:15" ht="15" customHeight="1" x14ac:dyDescent="0.3">
      <c r="A596" t="s">
        <v>1221</v>
      </c>
      <c r="B596" t="s">
        <v>2500</v>
      </c>
      <c r="C596">
        <v>4.72</v>
      </c>
      <c r="D596">
        <v>4.1500000000000004</v>
      </c>
      <c r="E596">
        <v>3.81</v>
      </c>
      <c r="F596">
        <v>3.99</v>
      </c>
      <c r="G596">
        <v>4.18</v>
      </c>
      <c r="H596">
        <v>3.81</v>
      </c>
      <c r="I596">
        <v>3.71</v>
      </c>
      <c r="J596">
        <v>4.2300000000000004</v>
      </c>
      <c r="K596">
        <v>3.98</v>
      </c>
      <c r="L596">
        <v>3.44</v>
      </c>
      <c r="M596">
        <f t="shared" si="27"/>
        <v>4.17</v>
      </c>
      <c r="N596">
        <f t="shared" si="28"/>
        <v>4.17</v>
      </c>
      <c r="O596">
        <f t="shared" si="29"/>
        <v>3.8340000000000005</v>
      </c>
    </row>
    <row r="597" spans="1:15" ht="15" customHeight="1" x14ac:dyDescent="0.3">
      <c r="A597" t="s">
        <v>1223</v>
      </c>
      <c r="B597" t="s">
        <v>2501</v>
      </c>
      <c r="C597">
        <v>3.99</v>
      </c>
      <c r="D597">
        <v>4.13</v>
      </c>
      <c r="E597">
        <v>3.95</v>
      </c>
      <c r="F597">
        <v>3.92</v>
      </c>
      <c r="G597">
        <v>3.89</v>
      </c>
      <c r="H597">
        <v>4.55</v>
      </c>
      <c r="I597">
        <v>3.18</v>
      </c>
      <c r="J597">
        <v>4.3099999999999996</v>
      </c>
      <c r="K597">
        <v>4.38</v>
      </c>
      <c r="L597">
        <v>3.15</v>
      </c>
      <c r="M597">
        <f t="shared" si="27"/>
        <v>3.976</v>
      </c>
      <c r="N597">
        <f t="shared" si="28"/>
        <v>3.98</v>
      </c>
      <c r="O597">
        <f t="shared" si="29"/>
        <v>3.9139999999999993</v>
      </c>
    </row>
    <row r="598" spans="1:15" ht="15" customHeight="1" x14ac:dyDescent="0.3">
      <c r="A598" t="s">
        <v>1225</v>
      </c>
      <c r="B598" t="s">
        <v>1226</v>
      </c>
      <c r="C598" t="s">
        <v>211</v>
      </c>
      <c r="D598">
        <v>3.86</v>
      </c>
      <c r="E598">
        <v>3.91</v>
      </c>
      <c r="F598">
        <v>4.5</v>
      </c>
      <c r="G598">
        <v>4.22</v>
      </c>
      <c r="H598">
        <v>3.67</v>
      </c>
      <c r="I598">
        <v>4.25</v>
      </c>
      <c r="J598">
        <v>4.29</v>
      </c>
      <c r="K598">
        <v>4.04</v>
      </c>
      <c r="L598">
        <v>3.9</v>
      </c>
      <c r="M598">
        <f t="shared" si="27"/>
        <v>4.1224999999999996</v>
      </c>
      <c r="N598">
        <f t="shared" si="28"/>
        <v>4.12</v>
      </c>
      <c r="O598">
        <f t="shared" si="29"/>
        <v>4.0299999999999994</v>
      </c>
    </row>
    <row r="599" spans="1:15" ht="15" customHeight="1" x14ac:dyDescent="0.3">
      <c r="A599" t="s">
        <v>1227</v>
      </c>
      <c r="B599" t="s">
        <v>2502</v>
      </c>
      <c r="C599">
        <v>4.18</v>
      </c>
      <c r="D599">
        <v>3.78</v>
      </c>
      <c r="E599">
        <v>4.46</v>
      </c>
      <c r="F599">
        <v>4.34</v>
      </c>
      <c r="G599">
        <v>4.1100000000000003</v>
      </c>
      <c r="H599">
        <v>3.93</v>
      </c>
      <c r="I599">
        <v>4.67</v>
      </c>
      <c r="J599">
        <v>4.3099999999999996</v>
      </c>
      <c r="K599">
        <v>3.71</v>
      </c>
      <c r="L599">
        <v>4.0999999999999996</v>
      </c>
      <c r="M599">
        <f t="shared" si="27"/>
        <v>4.1739999999999995</v>
      </c>
      <c r="N599">
        <f t="shared" si="28"/>
        <v>4.17</v>
      </c>
      <c r="O599">
        <f t="shared" si="29"/>
        <v>4.1440000000000001</v>
      </c>
    </row>
    <row r="600" spans="1:15" ht="15" customHeight="1" x14ac:dyDescent="0.3">
      <c r="A600" t="s">
        <v>1229</v>
      </c>
      <c r="B600" t="s">
        <v>1230</v>
      </c>
      <c r="C600">
        <v>3.71</v>
      </c>
      <c r="D600">
        <v>4.28</v>
      </c>
      <c r="E600">
        <v>4.17</v>
      </c>
      <c r="F600">
        <v>3.41</v>
      </c>
      <c r="G600">
        <v>3.66</v>
      </c>
      <c r="H600">
        <v>3.82</v>
      </c>
      <c r="I600">
        <v>4.54</v>
      </c>
      <c r="J600">
        <v>4.04</v>
      </c>
      <c r="K600">
        <v>4.54</v>
      </c>
      <c r="L600">
        <v>3.88</v>
      </c>
      <c r="M600">
        <f t="shared" si="27"/>
        <v>3.8460000000000001</v>
      </c>
      <c r="N600">
        <f t="shared" si="28"/>
        <v>3.85</v>
      </c>
      <c r="O600">
        <f t="shared" si="29"/>
        <v>4.1639999999999997</v>
      </c>
    </row>
    <row r="601" spans="1:15" ht="15" customHeight="1" x14ac:dyDescent="0.3">
      <c r="A601" t="s">
        <v>1231</v>
      </c>
      <c r="B601" t="s">
        <v>2503</v>
      </c>
      <c r="C601">
        <v>4.1500000000000004</v>
      </c>
      <c r="D601">
        <v>4.18</v>
      </c>
      <c r="E601">
        <v>4.01</v>
      </c>
      <c r="F601">
        <v>3.89</v>
      </c>
      <c r="G601">
        <v>3.87</v>
      </c>
      <c r="H601">
        <v>3.44</v>
      </c>
      <c r="I601">
        <v>4.21</v>
      </c>
      <c r="J601">
        <v>4.2</v>
      </c>
      <c r="K601">
        <v>3.53</v>
      </c>
      <c r="L601">
        <v>4.1399999999999997</v>
      </c>
      <c r="M601">
        <f t="shared" si="27"/>
        <v>4.0200000000000005</v>
      </c>
      <c r="N601">
        <f t="shared" si="28"/>
        <v>4.0199999999999996</v>
      </c>
      <c r="O601">
        <f t="shared" si="29"/>
        <v>3.9039999999999999</v>
      </c>
    </row>
    <row r="602" spans="1:15" ht="15" customHeight="1" x14ac:dyDescent="0.3">
      <c r="A602" t="s">
        <v>1233</v>
      </c>
      <c r="B602" t="s">
        <v>2504</v>
      </c>
      <c r="C602">
        <v>4.1900000000000004</v>
      </c>
      <c r="D602">
        <v>3.97</v>
      </c>
      <c r="E602">
        <v>4.1399999999999997</v>
      </c>
      <c r="F602">
        <v>3.93</v>
      </c>
      <c r="G602">
        <v>3.87</v>
      </c>
      <c r="H602">
        <v>4.24</v>
      </c>
      <c r="I602">
        <v>3.89</v>
      </c>
      <c r="J602">
        <v>4.03</v>
      </c>
      <c r="K602">
        <v>3.95</v>
      </c>
      <c r="L602">
        <v>4.34</v>
      </c>
      <c r="M602">
        <f t="shared" si="27"/>
        <v>4.0200000000000005</v>
      </c>
      <c r="N602">
        <f t="shared" si="28"/>
        <v>4.0199999999999996</v>
      </c>
      <c r="O602">
        <f t="shared" si="29"/>
        <v>4.09</v>
      </c>
    </row>
    <row r="603" spans="1:15" ht="15" customHeight="1" x14ac:dyDescent="0.3">
      <c r="A603" t="s">
        <v>1235</v>
      </c>
      <c r="B603" t="s">
        <v>2505</v>
      </c>
      <c r="C603">
        <v>4.22</v>
      </c>
      <c r="D603">
        <v>4.08</v>
      </c>
      <c r="E603">
        <v>4.12</v>
      </c>
      <c r="F603">
        <v>3.72</v>
      </c>
      <c r="G603">
        <v>4.3</v>
      </c>
      <c r="H603">
        <v>3.94</v>
      </c>
      <c r="I603">
        <v>4.01</v>
      </c>
      <c r="J603">
        <v>4.25</v>
      </c>
      <c r="K603">
        <v>4.05</v>
      </c>
      <c r="L603">
        <v>4.03</v>
      </c>
      <c r="M603">
        <f t="shared" si="27"/>
        <v>4.0880000000000001</v>
      </c>
      <c r="N603">
        <f t="shared" si="28"/>
        <v>4.09</v>
      </c>
      <c r="O603">
        <f t="shared" si="29"/>
        <v>4.056</v>
      </c>
    </row>
    <row r="604" spans="1:15" ht="15" customHeight="1" x14ac:dyDescent="0.3">
      <c r="A604" t="s">
        <v>1237</v>
      </c>
      <c r="B604" t="s">
        <v>2506</v>
      </c>
      <c r="C604">
        <v>4.1399999999999997</v>
      </c>
      <c r="D604">
        <v>4.09</v>
      </c>
      <c r="E604">
        <v>3.78</v>
      </c>
      <c r="F604">
        <v>4.08</v>
      </c>
      <c r="G604">
        <v>3.77</v>
      </c>
      <c r="H604">
        <v>4.1399999999999997</v>
      </c>
      <c r="I604">
        <v>3.61</v>
      </c>
      <c r="J604">
        <v>4.47</v>
      </c>
      <c r="K604">
        <v>4.1399999999999997</v>
      </c>
      <c r="L604">
        <v>3.9</v>
      </c>
      <c r="M604">
        <f t="shared" si="27"/>
        <v>3.972</v>
      </c>
      <c r="N604">
        <f t="shared" si="28"/>
        <v>3.97</v>
      </c>
      <c r="O604">
        <f t="shared" si="29"/>
        <v>4.0519999999999996</v>
      </c>
    </row>
    <row r="605" spans="1:15" ht="15" customHeight="1" x14ac:dyDescent="0.3">
      <c r="A605" t="s">
        <v>1239</v>
      </c>
      <c r="B605" t="s">
        <v>2507</v>
      </c>
      <c r="C605">
        <v>3.7</v>
      </c>
      <c r="D605">
        <v>3.64</v>
      </c>
      <c r="E605">
        <v>3.96</v>
      </c>
      <c r="F605">
        <v>3.89</v>
      </c>
      <c r="G605">
        <v>4.03</v>
      </c>
      <c r="H605">
        <v>3.91</v>
      </c>
      <c r="I605">
        <v>3.73</v>
      </c>
      <c r="J605">
        <v>3.73</v>
      </c>
      <c r="K605">
        <v>3.53</v>
      </c>
      <c r="L605">
        <v>4.5</v>
      </c>
      <c r="M605">
        <f t="shared" si="27"/>
        <v>3.8440000000000003</v>
      </c>
      <c r="N605">
        <f t="shared" si="28"/>
        <v>3.84</v>
      </c>
      <c r="O605">
        <f t="shared" si="29"/>
        <v>3.88</v>
      </c>
    </row>
    <row r="606" spans="1:15" ht="15" customHeight="1" x14ac:dyDescent="0.3">
      <c r="A606" t="s">
        <v>1241</v>
      </c>
      <c r="B606" t="s">
        <v>2508</v>
      </c>
      <c r="C606">
        <v>4.51</v>
      </c>
      <c r="D606">
        <v>4.1900000000000004</v>
      </c>
      <c r="E606">
        <v>3.81</v>
      </c>
      <c r="F606">
        <v>4.1399999999999997</v>
      </c>
      <c r="G606">
        <v>4.21</v>
      </c>
      <c r="H606">
        <v>4.1500000000000004</v>
      </c>
      <c r="I606">
        <v>4.5</v>
      </c>
      <c r="J606" t="s">
        <v>211</v>
      </c>
      <c r="K606">
        <v>4.09</v>
      </c>
      <c r="L606">
        <v>3.78</v>
      </c>
      <c r="M606">
        <f t="shared" si="27"/>
        <v>4.1719999999999997</v>
      </c>
      <c r="N606">
        <f t="shared" si="28"/>
        <v>4.17</v>
      </c>
      <c r="O606">
        <f t="shared" si="29"/>
        <v>4.13</v>
      </c>
    </row>
    <row r="607" spans="1:15" ht="15" customHeight="1" x14ac:dyDescent="0.3">
      <c r="A607" t="s">
        <v>1243</v>
      </c>
      <c r="B607" t="s">
        <v>1244</v>
      </c>
      <c r="C607">
        <v>4.21</v>
      </c>
      <c r="D607">
        <v>4.47</v>
      </c>
      <c r="E607">
        <v>3.96</v>
      </c>
      <c r="F607">
        <v>4</v>
      </c>
      <c r="G607">
        <v>3.86</v>
      </c>
      <c r="H607">
        <v>3.96</v>
      </c>
      <c r="I607">
        <v>3.38</v>
      </c>
      <c r="J607">
        <v>4.1500000000000004</v>
      </c>
      <c r="K607">
        <v>4.5999999999999996</v>
      </c>
      <c r="L607">
        <v>4.5599999999999996</v>
      </c>
      <c r="M607">
        <f t="shared" si="27"/>
        <v>4.0999999999999996</v>
      </c>
      <c r="N607">
        <f t="shared" si="28"/>
        <v>4.0999999999999996</v>
      </c>
      <c r="O607">
        <f t="shared" si="29"/>
        <v>4.13</v>
      </c>
    </row>
    <row r="608" spans="1:15" ht="15" customHeight="1" x14ac:dyDescent="0.3">
      <c r="A608" t="s">
        <v>1245</v>
      </c>
      <c r="B608" t="s">
        <v>2509</v>
      </c>
      <c r="C608">
        <v>4.0199999999999996</v>
      </c>
      <c r="D608">
        <v>4.26</v>
      </c>
      <c r="E608">
        <v>4.34</v>
      </c>
      <c r="F608">
        <v>3.51</v>
      </c>
      <c r="G608">
        <v>3.93</v>
      </c>
      <c r="H608" t="s">
        <v>1247</v>
      </c>
      <c r="I608">
        <v>3.77</v>
      </c>
      <c r="J608">
        <v>3.99</v>
      </c>
      <c r="K608">
        <v>3.73</v>
      </c>
      <c r="L608">
        <v>3.85</v>
      </c>
      <c r="M608">
        <f t="shared" si="27"/>
        <v>4.0119999999999996</v>
      </c>
      <c r="N608">
        <f t="shared" si="28"/>
        <v>4.01</v>
      </c>
      <c r="O608">
        <f t="shared" si="29"/>
        <v>3.835</v>
      </c>
    </row>
    <row r="609" spans="1:15" ht="15" customHeight="1" x14ac:dyDescent="0.3">
      <c r="A609" t="s">
        <v>1248</v>
      </c>
      <c r="B609" t="s">
        <v>1249</v>
      </c>
      <c r="C609">
        <v>3.74</v>
      </c>
      <c r="D609">
        <v>4.18</v>
      </c>
      <c r="E609">
        <v>4.2300000000000004</v>
      </c>
      <c r="F609">
        <v>3.83</v>
      </c>
      <c r="G609">
        <v>4.04</v>
      </c>
      <c r="H609">
        <v>4.21</v>
      </c>
      <c r="I609">
        <v>4.21</v>
      </c>
      <c r="J609">
        <v>4.16</v>
      </c>
      <c r="K609">
        <v>4.2</v>
      </c>
      <c r="L609">
        <v>4.24</v>
      </c>
      <c r="M609">
        <f t="shared" si="27"/>
        <v>4.0039999999999996</v>
      </c>
      <c r="N609">
        <f t="shared" si="28"/>
        <v>4</v>
      </c>
      <c r="O609">
        <f t="shared" si="29"/>
        <v>4.2040000000000006</v>
      </c>
    </row>
    <row r="610" spans="1:15" ht="15" customHeight="1" x14ac:dyDescent="0.3">
      <c r="A610" t="s">
        <v>1250</v>
      </c>
      <c r="B610" t="s">
        <v>2510</v>
      </c>
      <c r="C610">
        <v>3.94</v>
      </c>
      <c r="D610">
        <v>4.3600000000000003</v>
      </c>
      <c r="E610">
        <v>4.26</v>
      </c>
      <c r="F610">
        <v>4.4400000000000004</v>
      </c>
      <c r="G610">
        <v>4.0199999999999996</v>
      </c>
      <c r="H610">
        <v>4.12</v>
      </c>
      <c r="I610">
        <v>4.3499999999999996</v>
      </c>
      <c r="J610" t="s">
        <v>211</v>
      </c>
      <c r="K610">
        <v>3.91</v>
      </c>
      <c r="L610">
        <v>4.3499999999999996</v>
      </c>
      <c r="M610">
        <f t="shared" si="27"/>
        <v>4.2039999999999997</v>
      </c>
      <c r="N610">
        <f t="shared" si="28"/>
        <v>4.2</v>
      </c>
      <c r="O610">
        <f t="shared" si="29"/>
        <v>4.1824999999999992</v>
      </c>
    </row>
    <row r="611" spans="1:15" ht="15" customHeight="1" x14ac:dyDescent="0.3">
      <c r="A611" t="s">
        <v>1252</v>
      </c>
      <c r="B611" t="s">
        <v>2511</v>
      </c>
      <c r="C611">
        <v>3.62</v>
      </c>
      <c r="D611">
        <v>4.47</v>
      </c>
      <c r="E611">
        <v>4.21</v>
      </c>
      <c r="F611">
        <v>4.2</v>
      </c>
      <c r="G611">
        <v>4.0599999999999996</v>
      </c>
      <c r="H611">
        <v>3.63</v>
      </c>
      <c r="I611">
        <v>3.52</v>
      </c>
      <c r="J611">
        <v>4.07</v>
      </c>
      <c r="K611">
        <v>3.93</v>
      </c>
      <c r="L611">
        <v>4.1500000000000004</v>
      </c>
      <c r="M611">
        <f t="shared" si="27"/>
        <v>4.1120000000000001</v>
      </c>
      <c r="N611">
        <f t="shared" si="28"/>
        <v>4.1100000000000003</v>
      </c>
      <c r="O611">
        <f t="shared" si="29"/>
        <v>3.8600000000000003</v>
      </c>
    </row>
    <row r="612" spans="1:15" ht="15" customHeight="1" x14ac:dyDescent="0.3">
      <c r="A612" t="s">
        <v>1254</v>
      </c>
      <c r="B612" t="s">
        <v>2512</v>
      </c>
      <c r="C612">
        <v>3.73</v>
      </c>
      <c r="D612">
        <v>4.12</v>
      </c>
      <c r="E612">
        <v>3.72</v>
      </c>
      <c r="F612">
        <v>4.08</v>
      </c>
      <c r="G612">
        <v>4.12</v>
      </c>
      <c r="H612">
        <v>4.71</v>
      </c>
      <c r="I612">
        <v>3.95</v>
      </c>
      <c r="J612">
        <v>4.87</v>
      </c>
      <c r="K612">
        <v>3.94</v>
      </c>
      <c r="L612">
        <v>3.84</v>
      </c>
      <c r="M612">
        <f t="shared" si="27"/>
        <v>3.9539999999999997</v>
      </c>
      <c r="N612">
        <f t="shared" si="28"/>
        <v>3.95</v>
      </c>
      <c r="O612">
        <f t="shared" si="29"/>
        <v>4.2620000000000005</v>
      </c>
    </row>
    <row r="613" spans="1:15" ht="15" customHeight="1" x14ac:dyDescent="0.3">
      <c r="A613" t="s">
        <v>1256</v>
      </c>
      <c r="B613" t="s">
        <v>2513</v>
      </c>
      <c r="C613">
        <v>3.94</v>
      </c>
      <c r="D613">
        <v>4.3600000000000003</v>
      </c>
      <c r="E613">
        <v>4.4400000000000004</v>
      </c>
      <c r="F613">
        <v>4.28</v>
      </c>
      <c r="G613">
        <v>4.29</v>
      </c>
      <c r="H613">
        <v>4.8499999999999996</v>
      </c>
      <c r="I613">
        <v>3.4</v>
      </c>
      <c r="J613">
        <v>4.71</v>
      </c>
      <c r="K613">
        <v>4.13</v>
      </c>
      <c r="L613">
        <v>3.66</v>
      </c>
      <c r="M613">
        <f t="shared" si="27"/>
        <v>4.2620000000000005</v>
      </c>
      <c r="N613">
        <f t="shared" si="28"/>
        <v>4.26</v>
      </c>
      <c r="O613">
        <f t="shared" si="29"/>
        <v>4.1500000000000004</v>
      </c>
    </row>
    <row r="614" spans="1:15" ht="15" customHeight="1" x14ac:dyDescent="0.3">
      <c r="A614" t="s">
        <v>1258</v>
      </c>
      <c r="B614" t="s">
        <v>2514</v>
      </c>
      <c r="C614">
        <v>4.62</v>
      </c>
      <c r="D614">
        <v>4.2</v>
      </c>
      <c r="E614">
        <v>4.4800000000000004</v>
      </c>
      <c r="F614">
        <v>3.94</v>
      </c>
      <c r="G614">
        <v>3.94</v>
      </c>
      <c r="H614">
        <v>3.89</v>
      </c>
      <c r="I614">
        <v>4.72</v>
      </c>
      <c r="J614">
        <v>4.32</v>
      </c>
      <c r="K614">
        <v>4.01</v>
      </c>
      <c r="L614">
        <v>4.29</v>
      </c>
      <c r="M614">
        <f t="shared" si="27"/>
        <v>4.2360000000000007</v>
      </c>
      <c r="N614">
        <f t="shared" si="28"/>
        <v>4.24</v>
      </c>
      <c r="O614">
        <f t="shared" si="29"/>
        <v>4.2459999999999996</v>
      </c>
    </row>
    <row r="615" spans="1:15" ht="15" customHeight="1" x14ac:dyDescent="0.3">
      <c r="A615" t="s">
        <v>1260</v>
      </c>
      <c r="B615" t="s">
        <v>2515</v>
      </c>
      <c r="C615">
        <v>4.17</v>
      </c>
      <c r="D615">
        <v>3.86</v>
      </c>
      <c r="E615">
        <v>4.1900000000000004</v>
      </c>
      <c r="F615">
        <v>3.83</v>
      </c>
      <c r="G615">
        <v>4.26</v>
      </c>
      <c r="H615">
        <v>4.3899999999999997</v>
      </c>
      <c r="I615">
        <v>4.18</v>
      </c>
      <c r="J615">
        <v>4.1100000000000003</v>
      </c>
      <c r="K615">
        <v>3.86</v>
      </c>
      <c r="L615">
        <v>3.48</v>
      </c>
      <c r="M615">
        <f t="shared" si="27"/>
        <v>4.0619999999999994</v>
      </c>
      <c r="N615">
        <f t="shared" si="28"/>
        <v>4.0599999999999996</v>
      </c>
      <c r="O615">
        <f t="shared" si="29"/>
        <v>4.0039999999999996</v>
      </c>
    </row>
    <row r="616" spans="1:15" ht="15" customHeight="1" x14ac:dyDescent="0.3">
      <c r="A616" t="s">
        <v>1262</v>
      </c>
      <c r="B616" t="s">
        <v>2516</v>
      </c>
      <c r="C616">
        <v>3.43</v>
      </c>
      <c r="D616">
        <v>3.54</v>
      </c>
      <c r="E616">
        <v>3.85</v>
      </c>
      <c r="F616">
        <v>4.49</v>
      </c>
      <c r="G616">
        <v>3.91</v>
      </c>
      <c r="H616">
        <v>4.26</v>
      </c>
      <c r="I616">
        <v>4.0599999999999996</v>
      </c>
      <c r="J616">
        <v>3.7</v>
      </c>
      <c r="K616">
        <v>4.07</v>
      </c>
      <c r="L616">
        <v>4.96</v>
      </c>
      <c r="M616">
        <f t="shared" si="27"/>
        <v>3.8439999999999999</v>
      </c>
      <c r="N616">
        <f t="shared" si="28"/>
        <v>3.84</v>
      </c>
      <c r="O616">
        <f t="shared" si="29"/>
        <v>4.21</v>
      </c>
    </row>
    <row r="617" spans="1:15" ht="15" customHeight="1" x14ac:dyDescent="0.3">
      <c r="A617" t="s">
        <v>1264</v>
      </c>
      <c r="B617" t="s">
        <v>2517</v>
      </c>
      <c r="C617" t="s">
        <v>211</v>
      </c>
      <c r="D617">
        <v>4.16</v>
      </c>
      <c r="E617">
        <v>4.54</v>
      </c>
      <c r="F617">
        <v>4.0999999999999996</v>
      </c>
      <c r="G617">
        <v>4.04</v>
      </c>
      <c r="H617">
        <v>4.03</v>
      </c>
      <c r="I617">
        <v>3.37</v>
      </c>
      <c r="J617">
        <v>4.1500000000000004</v>
      </c>
      <c r="K617">
        <v>3.9</v>
      </c>
      <c r="L617">
        <v>3.76</v>
      </c>
      <c r="M617">
        <f t="shared" si="27"/>
        <v>4.21</v>
      </c>
      <c r="N617">
        <f t="shared" si="28"/>
        <v>4.21</v>
      </c>
      <c r="O617">
        <f t="shared" si="29"/>
        <v>3.8420000000000001</v>
      </c>
    </row>
    <row r="618" spans="1:15" ht="15" customHeight="1" x14ac:dyDescent="0.3">
      <c r="A618" t="s">
        <v>1266</v>
      </c>
      <c r="B618" t="s">
        <v>1267</v>
      </c>
      <c r="C618">
        <v>3.5</v>
      </c>
      <c r="D618">
        <v>3.92</v>
      </c>
      <c r="E618">
        <v>3.97</v>
      </c>
      <c r="F618">
        <v>3.95</v>
      </c>
      <c r="G618">
        <v>4.6399999999999997</v>
      </c>
      <c r="H618" t="s">
        <v>211</v>
      </c>
      <c r="I618">
        <v>3.82</v>
      </c>
      <c r="J618">
        <v>3.63</v>
      </c>
      <c r="K618">
        <v>3.7</v>
      </c>
      <c r="L618">
        <v>4.5199999999999996</v>
      </c>
      <c r="M618">
        <f t="shared" si="27"/>
        <v>3.996</v>
      </c>
      <c r="N618">
        <f t="shared" si="28"/>
        <v>4</v>
      </c>
      <c r="O618">
        <f t="shared" si="29"/>
        <v>3.9174999999999995</v>
      </c>
    </row>
    <row r="619" spans="1:15" ht="15" customHeight="1" x14ac:dyDescent="0.3">
      <c r="A619" t="s">
        <v>1268</v>
      </c>
      <c r="B619" t="s">
        <v>2518</v>
      </c>
      <c r="C619">
        <v>3.59</v>
      </c>
      <c r="D619">
        <v>4.45</v>
      </c>
      <c r="E619">
        <v>4.4000000000000004</v>
      </c>
      <c r="F619">
        <v>3.2</v>
      </c>
      <c r="G619">
        <v>4.2699999999999996</v>
      </c>
      <c r="H619">
        <v>4.2699999999999996</v>
      </c>
      <c r="I619">
        <v>4.07</v>
      </c>
      <c r="J619">
        <v>4.09</v>
      </c>
      <c r="K619">
        <v>4.03</v>
      </c>
      <c r="L619">
        <v>3.51</v>
      </c>
      <c r="M619">
        <f t="shared" si="27"/>
        <v>3.9820000000000002</v>
      </c>
      <c r="N619">
        <f t="shared" si="28"/>
        <v>3.98</v>
      </c>
      <c r="O619">
        <f t="shared" si="29"/>
        <v>3.9939999999999998</v>
      </c>
    </row>
    <row r="620" spans="1:15" ht="15" customHeight="1" x14ac:dyDescent="0.3">
      <c r="A620" t="s">
        <v>1270</v>
      </c>
      <c r="B620" t="s">
        <v>2519</v>
      </c>
      <c r="C620">
        <v>4.42</v>
      </c>
      <c r="D620">
        <v>4.29</v>
      </c>
      <c r="E620">
        <v>3.88</v>
      </c>
      <c r="F620">
        <v>4.53</v>
      </c>
      <c r="G620">
        <v>4.09</v>
      </c>
      <c r="H620">
        <v>4.42</v>
      </c>
      <c r="I620">
        <v>3.88</v>
      </c>
      <c r="J620">
        <v>4.25</v>
      </c>
      <c r="K620">
        <v>4.46</v>
      </c>
      <c r="L620">
        <v>3.77</v>
      </c>
      <c r="M620">
        <f t="shared" si="27"/>
        <v>4.242</v>
      </c>
      <c r="N620">
        <f t="shared" si="28"/>
        <v>4.24</v>
      </c>
      <c r="O620">
        <f t="shared" si="29"/>
        <v>4.1560000000000006</v>
      </c>
    </row>
    <row r="621" spans="1:15" ht="15" customHeight="1" x14ac:dyDescent="0.3">
      <c r="A621" t="s">
        <v>1272</v>
      </c>
      <c r="B621" t="s">
        <v>2520</v>
      </c>
      <c r="C621">
        <v>4.25</v>
      </c>
      <c r="D621">
        <v>4.6100000000000003</v>
      </c>
      <c r="E621">
        <v>3.54</v>
      </c>
      <c r="F621">
        <v>4.4400000000000004</v>
      </c>
      <c r="G621">
        <v>3.71</v>
      </c>
      <c r="H621">
        <v>3.89</v>
      </c>
      <c r="I621">
        <v>3.6</v>
      </c>
      <c r="J621">
        <v>3.9</v>
      </c>
      <c r="K621">
        <v>3.61</v>
      </c>
      <c r="L621">
        <v>3.86</v>
      </c>
      <c r="M621">
        <f t="shared" si="27"/>
        <v>4.1100000000000003</v>
      </c>
      <c r="N621">
        <f t="shared" si="28"/>
        <v>4.1100000000000003</v>
      </c>
      <c r="O621">
        <f t="shared" si="29"/>
        <v>3.7719999999999998</v>
      </c>
    </row>
    <row r="622" spans="1:15" ht="15" customHeight="1" x14ac:dyDescent="0.3">
      <c r="A622" t="s">
        <v>1274</v>
      </c>
      <c r="B622" t="s">
        <v>2521</v>
      </c>
      <c r="C622">
        <v>4.2</v>
      </c>
      <c r="D622">
        <v>4.12</v>
      </c>
      <c r="E622">
        <v>4.28</v>
      </c>
      <c r="F622">
        <v>4.1500000000000004</v>
      </c>
      <c r="G622">
        <v>3.84</v>
      </c>
      <c r="H622">
        <v>3.95</v>
      </c>
      <c r="I622">
        <v>3.5</v>
      </c>
      <c r="J622">
        <v>3.97</v>
      </c>
      <c r="K622" t="s">
        <v>211</v>
      </c>
      <c r="L622">
        <v>4.5</v>
      </c>
      <c r="M622">
        <f t="shared" si="27"/>
        <v>4.1180000000000003</v>
      </c>
      <c r="N622">
        <f t="shared" si="28"/>
        <v>4.12</v>
      </c>
      <c r="O622">
        <f t="shared" si="29"/>
        <v>3.98</v>
      </c>
    </row>
    <row r="623" spans="1:15" ht="15" customHeight="1" x14ac:dyDescent="0.3">
      <c r="A623" t="s">
        <v>1276</v>
      </c>
      <c r="B623" t="s">
        <v>1277</v>
      </c>
      <c r="C623">
        <v>3.77</v>
      </c>
      <c r="D623">
        <v>3.45</v>
      </c>
      <c r="E623">
        <v>4.3899999999999997</v>
      </c>
      <c r="F623">
        <v>4.05</v>
      </c>
      <c r="G623">
        <v>3.83</v>
      </c>
      <c r="H623">
        <v>3.64</v>
      </c>
      <c r="I623">
        <v>4.22</v>
      </c>
      <c r="J623">
        <v>3.83</v>
      </c>
      <c r="K623">
        <v>4.2300000000000004</v>
      </c>
      <c r="L623">
        <v>3.78</v>
      </c>
      <c r="M623">
        <f t="shared" si="27"/>
        <v>3.8980000000000006</v>
      </c>
      <c r="N623">
        <f t="shared" si="28"/>
        <v>3.9</v>
      </c>
      <c r="O623">
        <f t="shared" si="29"/>
        <v>3.94</v>
      </c>
    </row>
    <row r="624" spans="1:15" ht="15" customHeight="1" x14ac:dyDescent="0.3">
      <c r="A624" t="s">
        <v>1278</v>
      </c>
      <c r="B624" t="s">
        <v>2522</v>
      </c>
      <c r="C624">
        <v>3.75</v>
      </c>
      <c r="D624">
        <v>4.1100000000000003</v>
      </c>
      <c r="E624">
        <v>4.09</v>
      </c>
      <c r="F624">
        <v>3.39</v>
      </c>
      <c r="G624">
        <v>4.09</v>
      </c>
      <c r="H624">
        <v>4.3</v>
      </c>
      <c r="I624">
        <v>3.74</v>
      </c>
      <c r="J624">
        <v>4.22</v>
      </c>
      <c r="K624">
        <v>4.26</v>
      </c>
      <c r="L624">
        <v>4.0599999999999996</v>
      </c>
      <c r="M624">
        <f t="shared" si="27"/>
        <v>3.8860000000000001</v>
      </c>
      <c r="N624">
        <f t="shared" si="28"/>
        <v>3.89</v>
      </c>
      <c r="O624">
        <f t="shared" si="29"/>
        <v>4.1159999999999988</v>
      </c>
    </row>
    <row r="625" spans="1:15" ht="15" customHeight="1" x14ac:dyDescent="0.3">
      <c r="A625" t="s">
        <v>1280</v>
      </c>
      <c r="B625" t="s">
        <v>2523</v>
      </c>
      <c r="C625" t="s">
        <v>211</v>
      </c>
      <c r="D625">
        <v>4.04</v>
      </c>
      <c r="E625">
        <v>3.75</v>
      </c>
      <c r="F625">
        <v>3.3</v>
      </c>
      <c r="G625">
        <v>4.2300000000000004</v>
      </c>
      <c r="H625">
        <v>3.94</v>
      </c>
      <c r="I625">
        <v>3.99</v>
      </c>
      <c r="J625">
        <v>4.1500000000000004</v>
      </c>
      <c r="K625">
        <v>4</v>
      </c>
      <c r="L625">
        <v>4</v>
      </c>
      <c r="M625">
        <f t="shared" si="27"/>
        <v>3.83</v>
      </c>
      <c r="N625">
        <f t="shared" si="28"/>
        <v>3.83</v>
      </c>
      <c r="O625">
        <f t="shared" si="29"/>
        <v>4.016</v>
      </c>
    </row>
    <row r="626" spans="1:15" ht="15" customHeight="1" x14ac:dyDescent="0.3">
      <c r="A626" t="s">
        <v>1282</v>
      </c>
      <c r="B626" t="s">
        <v>2524</v>
      </c>
      <c r="C626">
        <v>3.67</v>
      </c>
      <c r="D626">
        <v>3.8</v>
      </c>
      <c r="E626">
        <v>3.93</v>
      </c>
      <c r="F626">
        <v>4.26</v>
      </c>
      <c r="G626">
        <v>4.2300000000000004</v>
      </c>
      <c r="H626">
        <v>4.2</v>
      </c>
      <c r="I626">
        <v>3.99</v>
      </c>
      <c r="J626">
        <v>4.1399999999999997</v>
      </c>
      <c r="K626">
        <v>3.76</v>
      </c>
      <c r="L626" t="s">
        <v>211</v>
      </c>
      <c r="M626">
        <f t="shared" si="27"/>
        <v>3.9780000000000002</v>
      </c>
      <c r="N626">
        <f t="shared" si="28"/>
        <v>3.98</v>
      </c>
      <c r="O626">
        <f t="shared" si="29"/>
        <v>4.0225000000000009</v>
      </c>
    </row>
    <row r="627" spans="1:15" ht="15" customHeight="1" x14ac:dyDescent="0.3">
      <c r="A627" t="s">
        <v>1284</v>
      </c>
      <c r="B627" t="s">
        <v>2525</v>
      </c>
      <c r="C627">
        <v>4.09</v>
      </c>
      <c r="D627" t="s">
        <v>211</v>
      </c>
      <c r="E627">
        <v>3.93</v>
      </c>
      <c r="F627">
        <v>3.99</v>
      </c>
      <c r="G627">
        <v>4.13</v>
      </c>
      <c r="H627">
        <v>4.08</v>
      </c>
      <c r="I627">
        <v>3.81</v>
      </c>
      <c r="J627">
        <v>4.62</v>
      </c>
      <c r="K627">
        <v>4.2</v>
      </c>
      <c r="L627">
        <v>4.12</v>
      </c>
      <c r="M627">
        <f t="shared" si="27"/>
        <v>4.0350000000000001</v>
      </c>
      <c r="N627">
        <f t="shared" si="28"/>
        <v>4.04</v>
      </c>
      <c r="O627">
        <f t="shared" si="29"/>
        <v>4.1660000000000004</v>
      </c>
    </row>
    <row r="628" spans="1:15" ht="15" customHeight="1" x14ac:dyDescent="0.3">
      <c r="A628" t="s">
        <v>1286</v>
      </c>
      <c r="B628" t="s">
        <v>2526</v>
      </c>
      <c r="C628">
        <v>3.91</v>
      </c>
      <c r="D628">
        <v>4.4800000000000004</v>
      </c>
      <c r="E628">
        <v>4.49</v>
      </c>
      <c r="F628">
        <v>4.24</v>
      </c>
      <c r="G628">
        <v>3.8</v>
      </c>
      <c r="H628">
        <v>3.95</v>
      </c>
      <c r="I628">
        <v>3.94</v>
      </c>
      <c r="J628">
        <v>4.1500000000000004</v>
      </c>
      <c r="K628">
        <v>4.05</v>
      </c>
      <c r="L628" t="s">
        <v>211</v>
      </c>
      <c r="M628">
        <f t="shared" si="27"/>
        <v>4.1840000000000002</v>
      </c>
      <c r="N628">
        <f t="shared" si="28"/>
        <v>4.18</v>
      </c>
      <c r="O628">
        <f t="shared" si="29"/>
        <v>4.0225</v>
      </c>
    </row>
    <row r="629" spans="1:15" ht="15" customHeight="1" x14ac:dyDescent="0.3">
      <c r="A629" t="s">
        <v>1288</v>
      </c>
      <c r="B629" t="s">
        <v>1289</v>
      </c>
      <c r="C629">
        <v>3.72</v>
      </c>
      <c r="D629">
        <v>4.13</v>
      </c>
      <c r="E629">
        <v>3.94</v>
      </c>
      <c r="F629" t="s">
        <v>211</v>
      </c>
      <c r="G629">
        <v>3.77</v>
      </c>
      <c r="H629">
        <v>3.66</v>
      </c>
      <c r="I629">
        <v>4.43</v>
      </c>
      <c r="J629">
        <v>4.1100000000000003</v>
      </c>
      <c r="K629" t="s">
        <v>211</v>
      </c>
      <c r="L629">
        <v>3.97</v>
      </c>
      <c r="M629">
        <f t="shared" si="27"/>
        <v>3.8899999999999997</v>
      </c>
      <c r="N629">
        <f t="shared" si="28"/>
        <v>3.89</v>
      </c>
      <c r="O629">
        <f t="shared" si="29"/>
        <v>4.0424999999999995</v>
      </c>
    </row>
    <row r="630" spans="1:15" ht="15" customHeight="1" x14ac:dyDescent="0.3">
      <c r="A630" t="s">
        <v>1290</v>
      </c>
      <c r="B630" t="s">
        <v>1291</v>
      </c>
      <c r="C630" t="s">
        <v>211</v>
      </c>
      <c r="D630">
        <v>3.71</v>
      </c>
      <c r="E630">
        <v>4.1900000000000004</v>
      </c>
      <c r="F630">
        <v>3.96</v>
      </c>
      <c r="G630">
        <v>3.75</v>
      </c>
      <c r="H630">
        <v>4.03</v>
      </c>
      <c r="I630" t="s">
        <v>211</v>
      </c>
      <c r="J630">
        <v>4.0999999999999996</v>
      </c>
      <c r="K630">
        <v>4.12</v>
      </c>
      <c r="L630">
        <v>4.21</v>
      </c>
      <c r="M630">
        <f t="shared" si="27"/>
        <v>3.9024999999999999</v>
      </c>
      <c r="N630">
        <f t="shared" si="28"/>
        <v>3.9</v>
      </c>
      <c r="O630">
        <f t="shared" si="29"/>
        <v>4.1150000000000002</v>
      </c>
    </row>
    <row r="631" spans="1:15" ht="15" customHeight="1" x14ac:dyDescent="0.3">
      <c r="A631" t="s">
        <v>1292</v>
      </c>
      <c r="B631" t="s">
        <v>2527</v>
      </c>
      <c r="C631">
        <v>4.34</v>
      </c>
      <c r="D631">
        <v>4.3499999999999996</v>
      </c>
      <c r="E631">
        <v>3.59</v>
      </c>
      <c r="F631">
        <v>4.01</v>
      </c>
      <c r="G631">
        <v>3.78</v>
      </c>
      <c r="H631">
        <v>4.38</v>
      </c>
      <c r="I631">
        <v>3.88</v>
      </c>
      <c r="J631">
        <v>4</v>
      </c>
      <c r="K631">
        <v>3.62</v>
      </c>
      <c r="L631">
        <v>4.13</v>
      </c>
      <c r="M631">
        <f t="shared" si="27"/>
        <v>4.0140000000000002</v>
      </c>
      <c r="N631">
        <f t="shared" si="28"/>
        <v>4.01</v>
      </c>
      <c r="O631">
        <f t="shared" si="29"/>
        <v>4.0019999999999998</v>
      </c>
    </row>
    <row r="632" spans="1:15" ht="15" customHeight="1" x14ac:dyDescent="0.3">
      <c r="A632" t="s">
        <v>1294</v>
      </c>
      <c r="B632" t="s">
        <v>2528</v>
      </c>
      <c r="C632">
        <v>4.43</v>
      </c>
      <c r="D632">
        <v>3.98</v>
      </c>
      <c r="E632">
        <v>3.95</v>
      </c>
      <c r="F632">
        <v>3.9</v>
      </c>
      <c r="G632">
        <v>4.0999999999999996</v>
      </c>
      <c r="H632">
        <v>4.6399999999999997</v>
      </c>
      <c r="I632">
        <v>3.95</v>
      </c>
      <c r="J632">
        <v>4.01</v>
      </c>
      <c r="K632">
        <v>3.56</v>
      </c>
      <c r="L632">
        <v>4.78</v>
      </c>
      <c r="M632">
        <f t="shared" si="27"/>
        <v>4.0720000000000001</v>
      </c>
      <c r="N632">
        <f t="shared" si="28"/>
        <v>4.07</v>
      </c>
      <c r="O632">
        <f t="shared" si="29"/>
        <v>4.1880000000000006</v>
      </c>
    </row>
    <row r="633" spans="1:15" ht="15" customHeight="1" x14ac:dyDescent="0.3">
      <c r="A633" t="s">
        <v>1296</v>
      </c>
      <c r="B633" t="s">
        <v>2529</v>
      </c>
      <c r="C633">
        <v>3.79</v>
      </c>
      <c r="D633">
        <v>4.45</v>
      </c>
      <c r="E633">
        <v>3.74</v>
      </c>
      <c r="F633">
        <v>3.2</v>
      </c>
      <c r="G633">
        <v>3.82</v>
      </c>
      <c r="H633">
        <v>3.88</v>
      </c>
      <c r="I633">
        <v>3.33</v>
      </c>
      <c r="J633">
        <v>3.66</v>
      </c>
      <c r="K633">
        <v>3.8</v>
      </c>
      <c r="L633">
        <v>3.83</v>
      </c>
      <c r="M633">
        <f t="shared" si="27"/>
        <v>3.8</v>
      </c>
      <c r="N633">
        <f t="shared" si="28"/>
        <v>3.8</v>
      </c>
      <c r="O633">
        <f t="shared" si="29"/>
        <v>3.7</v>
      </c>
    </row>
    <row r="634" spans="1:15" ht="15" customHeight="1" x14ac:dyDescent="0.3">
      <c r="A634" t="s">
        <v>1298</v>
      </c>
      <c r="B634" t="s">
        <v>1299</v>
      </c>
      <c r="C634">
        <v>3.51</v>
      </c>
      <c r="D634">
        <v>4.21</v>
      </c>
      <c r="E634">
        <v>4.2699999999999996</v>
      </c>
      <c r="F634">
        <v>4.1100000000000003</v>
      </c>
      <c r="G634">
        <v>4.28</v>
      </c>
      <c r="H634">
        <v>4.0599999999999996</v>
      </c>
      <c r="I634">
        <v>4.1100000000000003</v>
      </c>
      <c r="J634">
        <v>4.49</v>
      </c>
      <c r="K634">
        <v>4.09</v>
      </c>
      <c r="L634">
        <v>4.57</v>
      </c>
      <c r="M634">
        <f t="shared" si="27"/>
        <v>4.0759999999999996</v>
      </c>
      <c r="N634">
        <f t="shared" si="28"/>
        <v>4.08</v>
      </c>
      <c r="O634">
        <f t="shared" si="29"/>
        <v>4.2640000000000002</v>
      </c>
    </row>
    <row r="635" spans="1:15" ht="15" customHeight="1" x14ac:dyDescent="0.3">
      <c r="A635" t="s">
        <v>1300</v>
      </c>
      <c r="B635" t="s">
        <v>2530</v>
      </c>
      <c r="C635">
        <v>4.1100000000000003</v>
      </c>
      <c r="D635">
        <v>4.25</v>
      </c>
      <c r="E635">
        <v>4.3499999999999996</v>
      </c>
      <c r="F635" t="s">
        <v>211</v>
      </c>
      <c r="G635">
        <v>4.12</v>
      </c>
      <c r="H635">
        <v>4.09</v>
      </c>
      <c r="I635">
        <v>4.25</v>
      </c>
      <c r="J635">
        <v>4.2300000000000004</v>
      </c>
      <c r="K635">
        <v>4.2</v>
      </c>
      <c r="L635">
        <v>4.45</v>
      </c>
      <c r="M635">
        <f t="shared" si="27"/>
        <v>4.2074999999999996</v>
      </c>
      <c r="N635">
        <f t="shared" si="28"/>
        <v>4.21</v>
      </c>
      <c r="O635">
        <f t="shared" si="29"/>
        <v>4.2439999999999998</v>
      </c>
    </row>
    <row r="636" spans="1:15" ht="15" customHeight="1" x14ac:dyDescent="0.3">
      <c r="A636" t="s">
        <v>1302</v>
      </c>
      <c r="B636" t="s">
        <v>2531</v>
      </c>
      <c r="C636">
        <v>4.26</v>
      </c>
      <c r="D636">
        <v>4.0199999999999996</v>
      </c>
      <c r="E636">
        <v>4</v>
      </c>
      <c r="F636">
        <v>4.2699999999999996</v>
      </c>
      <c r="G636">
        <v>4.04</v>
      </c>
      <c r="H636">
        <v>4.25</v>
      </c>
      <c r="I636">
        <v>4.1900000000000004</v>
      </c>
      <c r="J636">
        <v>3.85</v>
      </c>
      <c r="K636">
        <v>4.12</v>
      </c>
      <c r="L636">
        <v>4.24</v>
      </c>
      <c r="M636">
        <f t="shared" si="27"/>
        <v>4.1179999999999994</v>
      </c>
      <c r="N636">
        <f t="shared" si="28"/>
        <v>4.12</v>
      </c>
      <c r="O636">
        <f t="shared" si="29"/>
        <v>4.13</v>
      </c>
    </row>
    <row r="637" spans="1:15" ht="15" customHeight="1" x14ac:dyDescent="0.3">
      <c r="A637" t="s">
        <v>1304</v>
      </c>
      <c r="B637" t="s">
        <v>1305</v>
      </c>
      <c r="C637">
        <v>4.53</v>
      </c>
      <c r="D637">
        <v>4.1100000000000003</v>
      </c>
      <c r="E637">
        <v>3.64</v>
      </c>
      <c r="F637">
        <v>4.4400000000000004</v>
      </c>
      <c r="G637">
        <v>4.63</v>
      </c>
      <c r="H637">
        <v>4.53</v>
      </c>
      <c r="I637">
        <v>3.97</v>
      </c>
      <c r="J637">
        <v>4.2699999999999996</v>
      </c>
      <c r="K637">
        <v>4.22</v>
      </c>
      <c r="L637">
        <v>3.61</v>
      </c>
      <c r="M637">
        <f t="shared" si="27"/>
        <v>4.2700000000000005</v>
      </c>
      <c r="N637">
        <f t="shared" si="28"/>
        <v>4.2699999999999996</v>
      </c>
      <c r="O637">
        <f t="shared" si="29"/>
        <v>4.1199999999999992</v>
      </c>
    </row>
    <row r="638" spans="1:15" ht="15" customHeight="1" x14ac:dyDescent="0.3">
      <c r="A638" t="s">
        <v>1306</v>
      </c>
      <c r="B638" t="s">
        <v>2532</v>
      </c>
      <c r="C638">
        <v>4.13</v>
      </c>
      <c r="D638">
        <v>3.97</v>
      </c>
      <c r="E638" t="s">
        <v>211</v>
      </c>
      <c r="F638">
        <v>4.62</v>
      </c>
      <c r="G638">
        <v>4.1100000000000003</v>
      </c>
      <c r="H638">
        <v>3.85</v>
      </c>
      <c r="I638">
        <v>3.83</v>
      </c>
      <c r="J638">
        <v>4.26</v>
      </c>
      <c r="K638">
        <v>3.34</v>
      </c>
      <c r="L638">
        <v>3.54</v>
      </c>
      <c r="M638">
        <f t="shared" si="27"/>
        <v>4.2074999999999996</v>
      </c>
      <c r="N638">
        <f t="shared" si="28"/>
        <v>4.21</v>
      </c>
      <c r="O638">
        <f t="shared" si="29"/>
        <v>3.7640000000000002</v>
      </c>
    </row>
    <row r="639" spans="1:15" ht="15" customHeight="1" x14ac:dyDescent="0.3">
      <c r="A639" t="s">
        <v>1308</v>
      </c>
      <c r="B639" t="s">
        <v>2533</v>
      </c>
      <c r="C639">
        <v>4.08</v>
      </c>
      <c r="D639">
        <v>3.63</v>
      </c>
      <c r="E639">
        <v>4.21</v>
      </c>
      <c r="F639">
        <v>3.84</v>
      </c>
      <c r="G639">
        <v>4.1900000000000004</v>
      </c>
      <c r="H639">
        <v>4.24</v>
      </c>
      <c r="I639">
        <v>3.87</v>
      </c>
      <c r="J639">
        <v>3.86</v>
      </c>
      <c r="K639">
        <v>4.32</v>
      </c>
      <c r="L639">
        <v>4.32</v>
      </c>
      <c r="M639">
        <f t="shared" si="27"/>
        <v>3.9899999999999998</v>
      </c>
      <c r="N639">
        <f t="shared" si="28"/>
        <v>3.99</v>
      </c>
      <c r="O639">
        <f t="shared" si="29"/>
        <v>4.1219999999999999</v>
      </c>
    </row>
    <row r="640" spans="1:15" ht="15" customHeight="1" x14ac:dyDescent="0.3">
      <c r="A640" t="s">
        <v>1310</v>
      </c>
      <c r="B640" t="s">
        <v>1311</v>
      </c>
      <c r="C640">
        <v>4.08</v>
      </c>
      <c r="D640">
        <v>4.18</v>
      </c>
      <c r="E640">
        <v>3.59</v>
      </c>
      <c r="F640">
        <v>4.1399999999999997</v>
      </c>
      <c r="G640">
        <v>4.4000000000000004</v>
      </c>
      <c r="H640">
        <v>4.2</v>
      </c>
      <c r="I640">
        <v>4.05</v>
      </c>
      <c r="J640">
        <v>3.59</v>
      </c>
      <c r="K640">
        <v>3.67</v>
      </c>
      <c r="L640">
        <v>4.03</v>
      </c>
      <c r="M640">
        <f t="shared" si="27"/>
        <v>4.0780000000000003</v>
      </c>
      <c r="N640">
        <f t="shared" si="28"/>
        <v>4.08</v>
      </c>
      <c r="O640">
        <f t="shared" si="29"/>
        <v>3.9079999999999999</v>
      </c>
    </row>
    <row r="641" spans="1:15" ht="15" customHeight="1" x14ac:dyDescent="0.3">
      <c r="A641" t="s">
        <v>1312</v>
      </c>
      <c r="B641" t="s">
        <v>2534</v>
      </c>
      <c r="C641">
        <v>3.69</v>
      </c>
      <c r="D641">
        <v>3.99</v>
      </c>
      <c r="E641">
        <v>4.4000000000000004</v>
      </c>
      <c r="F641">
        <v>3.95</v>
      </c>
      <c r="G641">
        <v>3.65</v>
      </c>
      <c r="H641">
        <v>3.83</v>
      </c>
      <c r="I641">
        <v>4.17</v>
      </c>
      <c r="J641">
        <v>3.6</v>
      </c>
      <c r="K641">
        <v>4.2300000000000004</v>
      </c>
      <c r="L641">
        <v>4.7</v>
      </c>
      <c r="M641">
        <f t="shared" si="27"/>
        <v>3.9359999999999999</v>
      </c>
      <c r="N641">
        <f t="shared" si="28"/>
        <v>3.94</v>
      </c>
      <c r="O641">
        <f t="shared" si="29"/>
        <v>4.1059999999999999</v>
      </c>
    </row>
    <row r="642" spans="1:15" ht="15" customHeight="1" x14ac:dyDescent="0.3">
      <c r="A642" t="s">
        <v>1314</v>
      </c>
      <c r="B642" t="s">
        <v>2535</v>
      </c>
      <c r="C642">
        <v>3.83</v>
      </c>
      <c r="D642">
        <v>4.22</v>
      </c>
      <c r="E642">
        <v>4.37</v>
      </c>
      <c r="F642">
        <v>3.78</v>
      </c>
      <c r="G642">
        <v>4.33</v>
      </c>
      <c r="H642">
        <v>3.93</v>
      </c>
      <c r="I642">
        <v>3.89</v>
      </c>
      <c r="J642">
        <v>4</v>
      </c>
      <c r="K642">
        <v>4.3499999999999996</v>
      </c>
      <c r="L642">
        <v>4.22</v>
      </c>
      <c r="M642">
        <f t="shared" ref="M642:M705" si="30">AVERAGE(C642:G642)</f>
        <v>4.1059999999999999</v>
      </c>
      <c r="N642">
        <f t="shared" ref="N642:N705" si="31">ROUND(M642,2)</f>
        <v>4.1100000000000003</v>
      </c>
      <c r="O642">
        <f t="shared" ref="O642:O705" si="32">AVERAGE(H642:L642)</f>
        <v>4.0780000000000003</v>
      </c>
    </row>
    <row r="643" spans="1:15" ht="15" customHeight="1" x14ac:dyDescent="0.3">
      <c r="A643" t="s">
        <v>1316</v>
      </c>
      <c r="B643" t="s">
        <v>2536</v>
      </c>
      <c r="C643">
        <v>3.74</v>
      </c>
      <c r="D643">
        <v>3.87</v>
      </c>
      <c r="E643">
        <v>3.81</v>
      </c>
      <c r="F643">
        <v>3.82</v>
      </c>
      <c r="G643">
        <v>3.73</v>
      </c>
      <c r="H643">
        <v>4.12</v>
      </c>
      <c r="I643">
        <v>4.1399999999999997</v>
      </c>
      <c r="J643">
        <v>3.79</v>
      </c>
      <c r="K643">
        <v>3.9</v>
      </c>
      <c r="L643">
        <v>4.1900000000000004</v>
      </c>
      <c r="M643">
        <f t="shared" si="30"/>
        <v>3.7939999999999996</v>
      </c>
      <c r="N643">
        <f t="shared" si="31"/>
        <v>3.79</v>
      </c>
      <c r="O643">
        <f t="shared" si="32"/>
        <v>4.0280000000000005</v>
      </c>
    </row>
    <row r="644" spans="1:15" ht="15" customHeight="1" x14ac:dyDescent="0.3">
      <c r="A644" t="s">
        <v>1318</v>
      </c>
      <c r="B644" t="s">
        <v>2537</v>
      </c>
      <c r="C644">
        <v>3.87</v>
      </c>
      <c r="D644">
        <v>3.81</v>
      </c>
      <c r="E644">
        <v>4.58</v>
      </c>
      <c r="F644">
        <v>4.3499999999999996</v>
      </c>
      <c r="G644">
        <v>3.59</v>
      </c>
      <c r="H644">
        <v>4.01</v>
      </c>
      <c r="I644">
        <v>4.21</v>
      </c>
      <c r="J644">
        <v>3.34</v>
      </c>
      <c r="K644">
        <v>4.1500000000000004</v>
      </c>
      <c r="L644">
        <v>4.12</v>
      </c>
      <c r="M644">
        <f t="shared" si="30"/>
        <v>4.04</v>
      </c>
      <c r="N644">
        <f t="shared" si="31"/>
        <v>4.04</v>
      </c>
      <c r="O644">
        <f t="shared" si="32"/>
        <v>3.9659999999999997</v>
      </c>
    </row>
    <row r="645" spans="1:15" ht="15" customHeight="1" x14ac:dyDescent="0.3">
      <c r="A645" t="s">
        <v>1320</v>
      </c>
      <c r="B645" t="s">
        <v>1321</v>
      </c>
      <c r="C645">
        <v>4.12</v>
      </c>
      <c r="D645">
        <v>4.25</v>
      </c>
      <c r="E645">
        <v>3.92</v>
      </c>
      <c r="F645">
        <v>4.29</v>
      </c>
      <c r="G645" t="s">
        <v>211</v>
      </c>
      <c r="H645" t="s">
        <v>1322</v>
      </c>
      <c r="I645">
        <v>3.97</v>
      </c>
      <c r="J645">
        <v>4.54</v>
      </c>
      <c r="K645">
        <v>5.2</v>
      </c>
      <c r="L645">
        <v>4.04</v>
      </c>
      <c r="M645">
        <f t="shared" si="30"/>
        <v>4.1450000000000005</v>
      </c>
      <c r="N645">
        <f t="shared" si="31"/>
        <v>4.1500000000000004</v>
      </c>
      <c r="O645">
        <f t="shared" si="32"/>
        <v>4.4375</v>
      </c>
    </row>
    <row r="646" spans="1:15" ht="15" customHeight="1" x14ac:dyDescent="0.3">
      <c r="A646" t="s">
        <v>1323</v>
      </c>
      <c r="B646" t="s">
        <v>2538</v>
      </c>
      <c r="C646">
        <v>4.32</v>
      </c>
      <c r="D646">
        <v>4.0599999999999996</v>
      </c>
      <c r="E646">
        <v>4.3</v>
      </c>
      <c r="F646">
        <v>3.55</v>
      </c>
      <c r="G646">
        <v>3.78</v>
      </c>
      <c r="H646">
        <v>4.24</v>
      </c>
      <c r="I646">
        <v>3.64</v>
      </c>
      <c r="J646">
        <v>3.83</v>
      </c>
      <c r="K646">
        <v>3.67</v>
      </c>
      <c r="L646">
        <v>4.12</v>
      </c>
      <c r="M646">
        <f t="shared" si="30"/>
        <v>4.0020000000000007</v>
      </c>
      <c r="N646">
        <f t="shared" si="31"/>
        <v>4</v>
      </c>
      <c r="O646">
        <f t="shared" si="32"/>
        <v>3.9</v>
      </c>
    </row>
    <row r="647" spans="1:15" ht="15" customHeight="1" x14ac:dyDescent="0.3">
      <c r="A647" t="s">
        <v>1325</v>
      </c>
      <c r="B647" t="s">
        <v>2539</v>
      </c>
      <c r="C647">
        <v>4.12</v>
      </c>
      <c r="D647">
        <v>4.5599999999999996</v>
      </c>
      <c r="E647">
        <v>4.1100000000000003</v>
      </c>
      <c r="F647">
        <v>4.28</v>
      </c>
      <c r="G647">
        <v>3.7</v>
      </c>
      <c r="H647">
        <v>3.84</v>
      </c>
      <c r="I647">
        <v>3.47</v>
      </c>
      <c r="J647">
        <v>4.16</v>
      </c>
      <c r="K647">
        <v>3.98</v>
      </c>
      <c r="L647" t="s">
        <v>211</v>
      </c>
      <c r="M647">
        <f t="shared" si="30"/>
        <v>4.1539999999999999</v>
      </c>
      <c r="N647">
        <f t="shared" si="31"/>
        <v>4.1500000000000004</v>
      </c>
      <c r="O647">
        <f t="shared" si="32"/>
        <v>3.8625000000000003</v>
      </c>
    </row>
    <row r="648" spans="1:15" ht="15" customHeight="1" x14ac:dyDescent="0.3">
      <c r="A648" t="s">
        <v>1327</v>
      </c>
      <c r="B648" t="s">
        <v>2540</v>
      </c>
      <c r="C648">
        <v>4.1100000000000003</v>
      </c>
      <c r="D648">
        <v>3.56</v>
      </c>
      <c r="E648">
        <v>4.1399999999999997</v>
      </c>
      <c r="F648">
        <v>4.3899999999999997</v>
      </c>
      <c r="G648">
        <v>3.76</v>
      </c>
      <c r="H648">
        <v>3.94</v>
      </c>
      <c r="I648">
        <v>3.9</v>
      </c>
      <c r="J648">
        <v>3.97</v>
      </c>
      <c r="K648">
        <v>4.09</v>
      </c>
      <c r="L648">
        <v>4.03</v>
      </c>
      <c r="M648">
        <f t="shared" si="30"/>
        <v>3.992</v>
      </c>
      <c r="N648">
        <f t="shared" si="31"/>
        <v>3.99</v>
      </c>
      <c r="O648">
        <f t="shared" si="32"/>
        <v>3.9859999999999998</v>
      </c>
    </row>
    <row r="649" spans="1:15" ht="15" customHeight="1" x14ac:dyDescent="0.3">
      <c r="A649" t="s">
        <v>1329</v>
      </c>
      <c r="B649" t="s">
        <v>2541</v>
      </c>
      <c r="C649">
        <v>4.0999999999999996</v>
      </c>
      <c r="D649">
        <v>4.38</v>
      </c>
      <c r="E649">
        <v>4.0599999999999996</v>
      </c>
      <c r="F649">
        <v>3.51</v>
      </c>
      <c r="G649">
        <v>3.95</v>
      </c>
      <c r="H649">
        <v>3.8</v>
      </c>
      <c r="I649">
        <v>3.7</v>
      </c>
      <c r="J649">
        <v>3.83</v>
      </c>
      <c r="K649">
        <v>4.22</v>
      </c>
      <c r="L649">
        <v>4.09</v>
      </c>
      <c r="M649">
        <f t="shared" si="30"/>
        <v>3.9999999999999991</v>
      </c>
      <c r="N649">
        <f t="shared" si="31"/>
        <v>4</v>
      </c>
      <c r="O649">
        <f t="shared" si="32"/>
        <v>3.9279999999999999</v>
      </c>
    </row>
    <row r="650" spans="1:15" ht="15" customHeight="1" x14ac:dyDescent="0.3">
      <c r="A650" t="s">
        <v>1331</v>
      </c>
      <c r="B650" t="s">
        <v>2542</v>
      </c>
      <c r="C650">
        <v>4.26</v>
      </c>
      <c r="D650">
        <v>4.0199999999999996</v>
      </c>
      <c r="E650">
        <v>3.74</v>
      </c>
      <c r="F650">
        <v>4.3</v>
      </c>
      <c r="G650">
        <v>4.1100000000000003</v>
      </c>
      <c r="H650">
        <v>4.1900000000000004</v>
      </c>
      <c r="I650">
        <v>3.73</v>
      </c>
      <c r="J650">
        <v>3.9</v>
      </c>
      <c r="K650">
        <v>4.16</v>
      </c>
      <c r="L650">
        <v>3.96</v>
      </c>
      <c r="M650">
        <f t="shared" si="30"/>
        <v>4.0860000000000003</v>
      </c>
      <c r="N650">
        <f t="shared" si="31"/>
        <v>4.09</v>
      </c>
      <c r="O650">
        <f t="shared" si="32"/>
        <v>3.9880000000000004</v>
      </c>
    </row>
    <row r="651" spans="1:15" ht="15" customHeight="1" x14ac:dyDescent="0.3">
      <c r="A651" t="s">
        <v>1333</v>
      </c>
      <c r="B651" t="s">
        <v>2543</v>
      </c>
      <c r="C651">
        <v>4.53</v>
      </c>
      <c r="D651" t="s">
        <v>211</v>
      </c>
      <c r="E651">
        <v>3.84</v>
      </c>
      <c r="F651">
        <v>4.0599999999999996</v>
      </c>
      <c r="G651">
        <v>4.79</v>
      </c>
      <c r="H651">
        <v>4.4000000000000004</v>
      </c>
      <c r="I651" t="s">
        <v>211</v>
      </c>
      <c r="J651">
        <v>4.28</v>
      </c>
      <c r="K651">
        <v>3.98</v>
      </c>
      <c r="L651">
        <v>3.95</v>
      </c>
      <c r="M651">
        <f t="shared" si="30"/>
        <v>4.3049999999999997</v>
      </c>
      <c r="N651">
        <f t="shared" si="31"/>
        <v>4.3099999999999996</v>
      </c>
      <c r="O651">
        <f t="shared" si="32"/>
        <v>4.1524999999999999</v>
      </c>
    </row>
    <row r="652" spans="1:15" ht="15" customHeight="1" x14ac:dyDescent="0.3">
      <c r="A652" t="s">
        <v>1335</v>
      </c>
      <c r="B652" t="s">
        <v>2544</v>
      </c>
      <c r="C652">
        <v>3.85</v>
      </c>
      <c r="D652">
        <v>4.03</v>
      </c>
      <c r="E652">
        <v>4.26</v>
      </c>
      <c r="F652">
        <v>3.8</v>
      </c>
      <c r="G652">
        <v>4.1399999999999997</v>
      </c>
      <c r="H652">
        <v>4.18</v>
      </c>
      <c r="I652">
        <v>3.69</v>
      </c>
      <c r="J652">
        <v>3.97</v>
      </c>
      <c r="K652">
        <v>4.7699999999999996</v>
      </c>
      <c r="L652">
        <v>4.38</v>
      </c>
      <c r="M652">
        <f t="shared" si="30"/>
        <v>4.016</v>
      </c>
      <c r="N652">
        <f t="shared" si="31"/>
        <v>4.0199999999999996</v>
      </c>
      <c r="O652">
        <f t="shared" si="32"/>
        <v>4.1979999999999995</v>
      </c>
    </row>
    <row r="653" spans="1:15" ht="15" customHeight="1" x14ac:dyDescent="0.3">
      <c r="A653" t="s">
        <v>1337</v>
      </c>
      <c r="B653" t="s">
        <v>2545</v>
      </c>
      <c r="C653">
        <v>4.24</v>
      </c>
      <c r="D653">
        <v>3.85</v>
      </c>
      <c r="E653">
        <v>4.25</v>
      </c>
      <c r="F653">
        <v>3.62</v>
      </c>
      <c r="G653">
        <v>4.28</v>
      </c>
      <c r="H653">
        <v>4.4000000000000004</v>
      </c>
      <c r="I653">
        <v>3.97</v>
      </c>
      <c r="J653">
        <v>4.25</v>
      </c>
      <c r="K653">
        <v>3.98</v>
      </c>
      <c r="L653">
        <v>3.7</v>
      </c>
      <c r="M653">
        <f t="shared" si="30"/>
        <v>4.048</v>
      </c>
      <c r="N653">
        <f t="shared" si="31"/>
        <v>4.05</v>
      </c>
      <c r="O653">
        <f t="shared" si="32"/>
        <v>4.0600000000000005</v>
      </c>
    </row>
    <row r="654" spans="1:15" ht="15" customHeight="1" x14ac:dyDescent="0.3">
      <c r="A654" t="s">
        <v>1339</v>
      </c>
      <c r="B654" t="s">
        <v>2546</v>
      </c>
      <c r="C654">
        <v>4.4000000000000004</v>
      </c>
      <c r="D654">
        <v>4.03</v>
      </c>
      <c r="E654">
        <v>4.25</v>
      </c>
      <c r="F654">
        <v>3.66</v>
      </c>
      <c r="G654">
        <v>4.0599999999999996</v>
      </c>
      <c r="H654">
        <v>4.34</v>
      </c>
      <c r="I654">
        <v>3.71</v>
      </c>
      <c r="J654">
        <v>3.89</v>
      </c>
      <c r="K654">
        <v>3.96</v>
      </c>
      <c r="L654">
        <v>4.07</v>
      </c>
      <c r="M654">
        <f t="shared" si="30"/>
        <v>4.08</v>
      </c>
      <c r="N654">
        <f t="shared" si="31"/>
        <v>4.08</v>
      </c>
      <c r="O654">
        <f t="shared" si="32"/>
        <v>3.9940000000000007</v>
      </c>
    </row>
    <row r="655" spans="1:15" ht="15" customHeight="1" x14ac:dyDescent="0.3">
      <c r="A655" t="s">
        <v>1341</v>
      </c>
      <c r="B655" t="s">
        <v>2547</v>
      </c>
      <c r="C655">
        <v>3.62</v>
      </c>
      <c r="D655">
        <v>3.48</v>
      </c>
      <c r="E655">
        <v>3.7</v>
      </c>
      <c r="F655">
        <v>4.5599999999999996</v>
      </c>
      <c r="G655">
        <v>4.13</v>
      </c>
      <c r="H655">
        <v>3.74</v>
      </c>
      <c r="I655">
        <v>4.33</v>
      </c>
      <c r="J655">
        <v>3.49</v>
      </c>
      <c r="K655">
        <v>3.88</v>
      </c>
      <c r="L655">
        <v>4.1500000000000004</v>
      </c>
      <c r="M655">
        <f t="shared" si="30"/>
        <v>3.8979999999999997</v>
      </c>
      <c r="N655">
        <f t="shared" si="31"/>
        <v>3.9</v>
      </c>
      <c r="O655">
        <f t="shared" si="32"/>
        <v>3.9180000000000006</v>
      </c>
    </row>
    <row r="656" spans="1:15" ht="15" customHeight="1" x14ac:dyDescent="0.3">
      <c r="A656" t="s">
        <v>1343</v>
      </c>
      <c r="B656" t="s">
        <v>1344</v>
      </c>
      <c r="C656">
        <v>3.37</v>
      </c>
      <c r="D656">
        <v>4.2300000000000004</v>
      </c>
      <c r="E656">
        <v>4.22</v>
      </c>
      <c r="F656">
        <v>4.43</v>
      </c>
      <c r="G656">
        <v>3.44</v>
      </c>
      <c r="H656">
        <v>4.53</v>
      </c>
      <c r="I656">
        <v>4.09</v>
      </c>
      <c r="J656">
        <v>4.7</v>
      </c>
      <c r="K656">
        <v>3.98</v>
      </c>
      <c r="L656">
        <v>4.5</v>
      </c>
      <c r="M656">
        <f t="shared" si="30"/>
        <v>3.9380000000000002</v>
      </c>
      <c r="N656">
        <f t="shared" si="31"/>
        <v>3.94</v>
      </c>
      <c r="O656">
        <f t="shared" si="32"/>
        <v>4.3600000000000003</v>
      </c>
    </row>
    <row r="657" spans="1:15" ht="15" customHeight="1" x14ac:dyDescent="0.3">
      <c r="A657" t="s">
        <v>1345</v>
      </c>
      <c r="B657" t="s">
        <v>2548</v>
      </c>
      <c r="C657">
        <v>3.89</v>
      </c>
      <c r="D657">
        <v>3.56</v>
      </c>
      <c r="E657">
        <v>4.13</v>
      </c>
      <c r="F657">
        <v>4.42</v>
      </c>
      <c r="G657">
        <v>4.46</v>
      </c>
      <c r="H657">
        <v>4.03</v>
      </c>
      <c r="I657">
        <v>4.18</v>
      </c>
      <c r="J657">
        <v>4.05</v>
      </c>
      <c r="K657">
        <v>4.4800000000000004</v>
      </c>
      <c r="L657">
        <v>4.3899999999999997</v>
      </c>
      <c r="M657">
        <f t="shared" si="30"/>
        <v>4.0920000000000005</v>
      </c>
      <c r="N657">
        <f t="shared" si="31"/>
        <v>4.09</v>
      </c>
      <c r="O657">
        <f t="shared" si="32"/>
        <v>4.2260000000000009</v>
      </c>
    </row>
    <row r="658" spans="1:15" ht="15" customHeight="1" x14ac:dyDescent="0.3">
      <c r="A658" t="s">
        <v>1347</v>
      </c>
      <c r="B658" t="s">
        <v>1348</v>
      </c>
      <c r="C658">
        <v>3.82</v>
      </c>
      <c r="D658">
        <v>4.12</v>
      </c>
      <c r="E658">
        <v>3.69</v>
      </c>
      <c r="F658">
        <v>4.04</v>
      </c>
      <c r="G658">
        <v>4.49</v>
      </c>
      <c r="H658">
        <v>4.2699999999999996</v>
      </c>
      <c r="I658">
        <v>4.05</v>
      </c>
      <c r="J658">
        <v>3.74</v>
      </c>
      <c r="K658">
        <v>4.03</v>
      </c>
      <c r="L658">
        <v>3.42</v>
      </c>
      <c r="M658">
        <f t="shared" si="30"/>
        <v>4.0319999999999991</v>
      </c>
      <c r="N658">
        <f t="shared" si="31"/>
        <v>4.03</v>
      </c>
      <c r="O658">
        <f t="shared" si="32"/>
        <v>3.9019999999999997</v>
      </c>
    </row>
    <row r="659" spans="1:15" ht="15" customHeight="1" x14ac:dyDescent="0.3">
      <c r="A659" t="s">
        <v>1349</v>
      </c>
      <c r="B659" t="s">
        <v>2549</v>
      </c>
      <c r="C659">
        <v>4.21</v>
      </c>
      <c r="D659">
        <v>4.0599999999999996</v>
      </c>
      <c r="E659">
        <v>4.3</v>
      </c>
      <c r="F659">
        <v>3.91</v>
      </c>
      <c r="G659">
        <v>4.05</v>
      </c>
      <c r="H659">
        <v>3.68</v>
      </c>
      <c r="I659">
        <v>4.42</v>
      </c>
      <c r="J659">
        <v>4.22</v>
      </c>
      <c r="K659">
        <v>4.09</v>
      </c>
      <c r="L659">
        <v>4.83</v>
      </c>
      <c r="M659">
        <f t="shared" si="30"/>
        <v>4.1059999999999999</v>
      </c>
      <c r="N659">
        <f t="shared" si="31"/>
        <v>4.1100000000000003</v>
      </c>
      <c r="O659">
        <f t="shared" si="32"/>
        <v>4.2480000000000002</v>
      </c>
    </row>
    <row r="660" spans="1:15" ht="15" customHeight="1" x14ac:dyDescent="0.3">
      <c r="A660" t="s">
        <v>1351</v>
      </c>
      <c r="B660" t="s">
        <v>1352</v>
      </c>
      <c r="C660">
        <v>4.3099999999999996</v>
      </c>
      <c r="D660">
        <v>3.49</v>
      </c>
      <c r="E660">
        <v>4.08</v>
      </c>
      <c r="F660">
        <v>4.0999999999999996</v>
      </c>
      <c r="G660">
        <v>4.2699999999999996</v>
      </c>
      <c r="H660">
        <v>4.21</v>
      </c>
      <c r="I660">
        <v>3.74</v>
      </c>
      <c r="J660">
        <v>3.98</v>
      </c>
      <c r="K660">
        <v>4.53</v>
      </c>
      <c r="L660">
        <v>4.3</v>
      </c>
      <c r="M660">
        <f t="shared" si="30"/>
        <v>4.05</v>
      </c>
      <c r="N660">
        <f t="shared" si="31"/>
        <v>4.05</v>
      </c>
      <c r="O660">
        <f t="shared" si="32"/>
        <v>4.1520000000000001</v>
      </c>
    </row>
    <row r="661" spans="1:15" ht="15" customHeight="1" x14ac:dyDescent="0.3">
      <c r="A661" t="s">
        <v>1353</v>
      </c>
      <c r="B661" t="s">
        <v>2550</v>
      </c>
      <c r="C661">
        <v>3.86</v>
      </c>
      <c r="D661">
        <v>4.12</v>
      </c>
      <c r="E661">
        <v>3.9</v>
      </c>
      <c r="F661">
        <v>3.39</v>
      </c>
      <c r="G661">
        <v>3.71</v>
      </c>
      <c r="H661">
        <v>3.98</v>
      </c>
      <c r="I661">
        <v>4.4800000000000004</v>
      </c>
      <c r="J661">
        <v>4.18</v>
      </c>
      <c r="K661">
        <v>3.58</v>
      </c>
      <c r="L661">
        <v>3.98</v>
      </c>
      <c r="M661">
        <f t="shared" si="30"/>
        <v>3.7960000000000003</v>
      </c>
      <c r="N661">
        <f t="shared" si="31"/>
        <v>3.8</v>
      </c>
      <c r="O661">
        <f t="shared" si="32"/>
        <v>4.04</v>
      </c>
    </row>
    <row r="662" spans="1:15" ht="15" customHeight="1" x14ac:dyDescent="0.3">
      <c r="A662" t="s">
        <v>1355</v>
      </c>
      <c r="B662" t="s">
        <v>1356</v>
      </c>
      <c r="C662">
        <v>3.92</v>
      </c>
      <c r="D662">
        <v>3.73</v>
      </c>
      <c r="E662">
        <v>3.97</v>
      </c>
      <c r="F662">
        <v>3.99</v>
      </c>
      <c r="G662">
        <v>3.9</v>
      </c>
      <c r="H662">
        <v>4.2</v>
      </c>
      <c r="I662">
        <v>4.05</v>
      </c>
      <c r="J662">
        <v>4.75</v>
      </c>
      <c r="K662">
        <v>4.07</v>
      </c>
      <c r="L662">
        <v>4.0999999999999996</v>
      </c>
      <c r="M662">
        <f t="shared" si="30"/>
        <v>3.9020000000000001</v>
      </c>
      <c r="N662">
        <f t="shared" si="31"/>
        <v>3.9</v>
      </c>
      <c r="O662">
        <f t="shared" si="32"/>
        <v>4.234</v>
      </c>
    </row>
    <row r="663" spans="1:15" ht="15" customHeight="1" x14ac:dyDescent="0.3">
      <c r="A663" t="s">
        <v>1357</v>
      </c>
      <c r="B663" t="s">
        <v>2551</v>
      </c>
      <c r="C663">
        <v>3.94</v>
      </c>
      <c r="D663">
        <v>4.2300000000000004</v>
      </c>
      <c r="E663">
        <v>3.94</v>
      </c>
      <c r="F663">
        <v>3.85</v>
      </c>
      <c r="G663">
        <v>4.47</v>
      </c>
      <c r="H663">
        <v>3.66</v>
      </c>
      <c r="I663">
        <v>4.1399999999999997</v>
      </c>
      <c r="J663">
        <v>3.88</v>
      </c>
      <c r="K663">
        <v>4.22</v>
      </c>
      <c r="L663">
        <v>4.34</v>
      </c>
      <c r="M663">
        <f t="shared" si="30"/>
        <v>4.0860000000000003</v>
      </c>
      <c r="N663">
        <f t="shared" si="31"/>
        <v>4.09</v>
      </c>
      <c r="O663">
        <f t="shared" si="32"/>
        <v>4.048</v>
      </c>
    </row>
    <row r="664" spans="1:15" ht="15" customHeight="1" x14ac:dyDescent="0.3">
      <c r="A664" t="s">
        <v>1359</v>
      </c>
      <c r="B664" t="s">
        <v>1360</v>
      </c>
      <c r="C664">
        <v>3.85</v>
      </c>
      <c r="D664">
        <v>4.45</v>
      </c>
      <c r="E664">
        <v>3.52</v>
      </c>
      <c r="F664">
        <v>3.52</v>
      </c>
      <c r="G664">
        <v>3.78</v>
      </c>
      <c r="H664">
        <v>4.26</v>
      </c>
      <c r="I664">
        <v>4.07</v>
      </c>
      <c r="J664">
        <v>4.2</v>
      </c>
      <c r="K664">
        <v>4.03</v>
      </c>
      <c r="L664" t="s">
        <v>211</v>
      </c>
      <c r="M664">
        <f t="shared" si="30"/>
        <v>3.8240000000000003</v>
      </c>
      <c r="N664">
        <f t="shared" si="31"/>
        <v>3.82</v>
      </c>
      <c r="O664">
        <f t="shared" si="32"/>
        <v>4.1400000000000006</v>
      </c>
    </row>
    <row r="665" spans="1:15" ht="15" customHeight="1" x14ac:dyDescent="0.3">
      <c r="A665" t="s">
        <v>1361</v>
      </c>
      <c r="B665" t="s">
        <v>1362</v>
      </c>
      <c r="C665">
        <v>3.78</v>
      </c>
      <c r="D665">
        <v>4.28</v>
      </c>
      <c r="E665">
        <v>4.59</v>
      </c>
      <c r="F665">
        <v>4.29</v>
      </c>
      <c r="G665">
        <v>3.87</v>
      </c>
      <c r="H665">
        <v>3.8</v>
      </c>
      <c r="I665">
        <v>4.25</v>
      </c>
      <c r="J665">
        <v>4.1399999999999997</v>
      </c>
      <c r="K665">
        <v>3.91</v>
      </c>
      <c r="L665">
        <v>4.46</v>
      </c>
      <c r="M665">
        <f t="shared" si="30"/>
        <v>4.1620000000000008</v>
      </c>
      <c r="N665">
        <f t="shared" si="31"/>
        <v>4.16</v>
      </c>
      <c r="O665">
        <f t="shared" si="32"/>
        <v>4.1120000000000001</v>
      </c>
    </row>
    <row r="666" spans="1:15" ht="15" customHeight="1" x14ac:dyDescent="0.3">
      <c r="A666" t="s">
        <v>1363</v>
      </c>
      <c r="B666" t="s">
        <v>2552</v>
      </c>
      <c r="C666">
        <v>4.24</v>
      </c>
      <c r="D666">
        <v>3.35</v>
      </c>
      <c r="E666">
        <v>3.83</v>
      </c>
      <c r="F666">
        <v>3.95</v>
      </c>
      <c r="G666">
        <v>4.28</v>
      </c>
      <c r="H666">
        <v>4.21</v>
      </c>
      <c r="I666">
        <v>3.83</v>
      </c>
      <c r="J666">
        <v>3.82</v>
      </c>
      <c r="K666">
        <v>4.54</v>
      </c>
      <c r="L666">
        <v>3.8</v>
      </c>
      <c r="M666">
        <f t="shared" si="30"/>
        <v>3.9300000000000006</v>
      </c>
      <c r="N666">
        <f t="shared" si="31"/>
        <v>3.93</v>
      </c>
      <c r="O666">
        <f t="shared" si="32"/>
        <v>4.04</v>
      </c>
    </row>
    <row r="667" spans="1:15" ht="15" customHeight="1" x14ac:dyDescent="0.3">
      <c r="A667" t="s">
        <v>1365</v>
      </c>
      <c r="B667" t="s">
        <v>2553</v>
      </c>
      <c r="C667">
        <v>4.3</v>
      </c>
      <c r="D667">
        <v>4.53</v>
      </c>
      <c r="E667">
        <v>3.71</v>
      </c>
      <c r="F667">
        <v>3.23</v>
      </c>
      <c r="G667">
        <v>3.99</v>
      </c>
      <c r="H667">
        <v>3.95</v>
      </c>
      <c r="I667">
        <v>4.75</v>
      </c>
      <c r="J667">
        <v>4.13</v>
      </c>
      <c r="K667">
        <v>3.69</v>
      </c>
      <c r="L667">
        <v>4.17</v>
      </c>
      <c r="M667">
        <f t="shared" si="30"/>
        <v>3.9519999999999995</v>
      </c>
      <c r="N667">
        <f t="shared" si="31"/>
        <v>3.95</v>
      </c>
      <c r="O667">
        <f t="shared" si="32"/>
        <v>4.1379999999999999</v>
      </c>
    </row>
    <row r="668" spans="1:15" ht="15" customHeight="1" x14ac:dyDescent="0.3">
      <c r="A668" t="s">
        <v>1367</v>
      </c>
      <c r="B668" t="s">
        <v>1368</v>
      </c>
      <c r="C668">
        <v>3.24</v>
      </c>
      <c r="D668">
        <v>3.55</v>
      </c>
      <c r="E668">
        <v>4.0999999999999996</v>
      </c>
      <c r="F668">
        <v>4.49</v>
      </c>
      <c r="G668">
        <v>4.2699999999999996</v>
      </c>
      <c r="H668">
        <v>3.88</v>
      </c>
      <c r="I668">
        <v>4.01</v>
      </c>
      <c r="J668">
        <v>3.51</v>
      </c>
      <c r="K668">
        <v>3.97</v>
      </c>
      <c r="L668">
        <v>3.97</v>
      </c>
      <c r="M668">
        <f t="shared" si="30"/>
        <v>3.9299999999999997</v>
      </c>
      <c r="N668">
        <f t="shared" si="31"/>
        <v>3.93</v>
      </c>
      <c r="O668">
        <f t="shared" si="32"/>
        <v>3.8679999999999999</v>
      </c>
    </row>
    <row r="669" spans="1:15" ht="15" customHeight="1" x14ac:dyDescent="0.3">
      <c r="A669" t="s">
        <v>1369</v>
      </c>
      <c r="B669" t="s">
        <v>1370</v>
      </c>
      <c r="C669">
        <v>4</v>
      </c>
      <c r="D669">
        <v>4.2300000000000004</v>
      </c>
      <c r="E669">
        <v>4.08</v>
      </c>
      <c r="F669">
        <v>4.1399999999999997</v>
      </c>
      <c r="G669">
        <v>4.43</v>
      </c>
      <c r="H669">
        <v>3.85</v>
      </c>
      <c r="I669">
        <v>4.54</v>
      </c>
      <c r="J669">
        <v>3.87</v>
      </c>
      <c r="K669">
        <v>3.93</v>
      </c>
      <c r="L669">
        <v>4.28</v>
      </c>
      <c r="M669">
        <f t="shared" si="30"/>
        <v>4.1760000000000002</v>
      </c>
      <c r="N669">
        <f t="shared" si="31"/>
        <v>4.18</v>
      </c>
      <c r="O669">
        <f t="shared" si="32"/>
        <v>4.0940000000000003</v>
      </c>
    </row>
    <row r="670" spans="1:15" ht="15" customHeight="1" x14ac:dyDescent="0.3">
      <c r="A670" t="s">
        <v>1371</v>
      </c>
      <c r="B670" t="s">
        <v>1372</v>
      </c>
      <c r="C670">
        <v>4.1399999999999997</v>
      </c>
      <c r="D670">
        <v>3.73</v>
      </c>
      <c r="E670">
        <v>4.25</v>
      </c>
      <c r="F670">
        <v>3.56</v>
      </c>
      <c r="G670">
        <v>4.12</v>
      </c>
      <c r="H670">
        <v>4.57</v>
      </c>
      <c r="I670">
        <v>3.93</v>
      </c>
      <c r="J670">
        <v>4.2300000000000004</v>
      </c>
      <c r="K670">
        <v>4.72</v>
      </c>
      <c r="L670">
        <v>4.29</v>
      </c>
      <c r="M670">
        <f t="shared" si="30"/>
        <v>3.96</v>
      </c>
      <c r="N670">
        <f t="shared" si="31"/>
        <v>3.96</v>
      </c>
      <c r="O670">
        <f t="shared" si="32"/>
        <v>4.3479999999999999</v>
      </c>
    </row>
    <row r="671" spans="1:15" ht="15" customHeight="1" x14ac:dyDescent="0.3">
      <c r="A671" t="s">
        <v>1373</v>
      </c>
      <c r="B671" t="s">
        <v>2554</v>
      </c>
      <c r="C671">
        <v>3.81</v>
      </c>
      <c r="D671">
        <v>3.85</v>
      </c>
      <c r="E671">
        <v>3.9</v>
      </c>
      <c r="F671">
        <v>4.3600000000000003</v>
      </c>
      <c r="G671">
        <v>4.7</v>
      </c>
      <c r="H671">
        <v>4.07</v>
      </c>
      <c r="I671">
        <v>4.24</v>
      </c>
      <c r="J671">
        <v>4.1399999999999997</v>
      </c>
      <c r="K671">
        <v>3.93</v>
      </c>
      <c r="L671">
        <v>3.92</v>
      </c>
      <c r="M671">
        <f t="shared" si="30"/>
        <v>4.1240000000000006</v>
      </c>
      <c r="N671">
        <f t="shared" si="31"/>
        <v>4.12</v>
      </c>
      <c r="O671">
        <f t="shared" si="32"/>
        <v>4.0599999999999996</v>
      </c>
    </row>
    <row r="672" spans="1:15" ht="15" customHeight="1" x14ac:dyDescent="0.3">
      <c r="A672" t="s">
        <v>1375</v>
      </c>
      <c r="B672" t="s">
        <v>2555</v>
      </c>
      <c r="C672" t="s">
        <v>211</v>
      </c>
      <c r="D672">
        <v>4.28</v>
      </c>
      <c r="E672">
        <v>4.41</v>
      </c>
      <c r="F672">
        <v>3.4</v>
      </c>
      <c r="G672">
        <v>4.0599999999999996</v>
      </c>
      <c r="H672">
        <v>4.18</v>
      </c>
      <c r="I672">
        <v>4.01</v>
      </c>
      <c r="J672">
        <v>3.78</v>
      </c>
      <c r="K672">
        <v>4.01</v>
      </c>
      <c r="L672">
        <v>3.81</v>
      </c>
      <c r="M672">
        <f t="shared" si="30"/>
        <v>4.0375000000000005</v>
      </c>
      <c r="N672">
        <f t="shared" si="31"/>
        <v>4.04</v>
      </c>
      <c r="O672">
        <f t="shared" si="32"/>
        <v>3.9579999999999997</v>
      </c>
    </row>
    <row r="673" spans="1:15" ht="15" customHeight="1" x14ac:dyDescent="0.3">
      <c r="A673" t="s">
        <v>1377</v>
      </c>
      <c r="B673" t="s">
        <v>2556</v>
      </c>
      <c r="C673">
        <v>3.91</v>
      </c>
      <c r="D673">
        <v>4.45</v>
      </c>
      <c r="E673">
        <v>4.26</v>
      </c>
      <c r="F673">
        <v>4.01</v>
      </c>
      <c r="G673">
        <v>4.29</v>
      </c>
      <c r="H673">
        <v>3.77</v>
      </c>
      <c r="I673">
        <v>4.34</v>
      </c>
      <c r="J673">
        <v>3.96</v>
      </c>
      <c r="K673">
        <v>3.79</v>
      </c>
      <c r="L673">
        <v>4.3</v>
      </c>
      <c r="M673">
        <f t="shared" si="30"/>
        <v>4.1839999999999993</v>
      </c>
      <c r="N673">
        <f t="shared" si="31"/>
        <v>4.18</v>
      </c>
      <c r="O673">
        <f t="shared" si="32"/>
        <v>4.032</v>
      </c>
    </row>
    <row r="674" spans="1:15" ht="15" customHeight="1" x14ac:dyDescent="0.3">
      <c r="A674" t="s">
        <v>1379</v>
      </c>
      <c r="B674" t="s">
        <v>1380</v>
      </c>
      <c r="C674">
        <v>3.79</v>
      </c>
      <c r="D674">
        <v>3.83</v>
      </c>
      <c r="E674">
        <v>4.49</v>
      </c>
      <c r="F674">
        <v>4.71</v>
      </c>
      <c r="G674">
        <v>3.51</v>
      </c>
      <c r="H674">
        <v>4.1100000000000003</v>
      </c>
      <c r="I674">
        <v>3.93</v>
      </c>
      <c r="J674" t="s">
        <v>211</v>
      </c>
      <c r="K674">
        <v>4.28</v>
      </c>
      <c r="L674">
        <v>3.9</v>
      </c>
      <c r="M674">
        <f t="shared" si="30"/>
        <v>4.0659999999999998</v>
      </c>
      <c r="N674">
        <f t="shared" si="31"/>
        <v>4.07</v>
      </c>
      <c r="O674">
        <f t="shared" si="32"/>
        <v>4.0549999999999997</v>
      </c>
    </row>
    <row r="675" spans="1:15" ht="15" customHeight="1" x14ac:dyDescent="0.3">
      <c r="A675" t="s">
        <v>1381</v>
      </c>
      <c r="B675" t="s">
        <v>1382</v>
      </c>
      <c r="C675">
        <v>3.86</v>
      </c>
      <c r="D675">
        <v>3.99</v>
      </c>
      <c r="E675">
        <v>3.85</v>
      </c>
      <c r="F675">
        <v>4.24</v>
      </c>
      <c r="G675">
        <v>3.96</v>
      </c>
      <c r="H675">
        <v>4.45</v>
      </c>
      <c r="I675">
        <v>3.76</v>
      </c>
      <c r="J675">
        <v>4.08</v>
      </c>
      <c r="K675">
        <v>4</v>
      </c>
      <c r="L675">
        <v>3.84</v>
      </c>
      <c r="M675">
        <f t="shared" si="30"/>
        <v>3.9799999999999995</v>
      </c>
      <c r="N675">
        <f t="shared" si="31"/>
        <v>3.98</v>
      </c>
      <c r="O675">
        <f t="shared" si="32"/>
        <v>4.0259999999999998</v>
      </c>
    </row>
    <row r="676" spans="1:15" ht="15" customHeight="1" x14ac:dyDescent="0.3">
      <c r="A676" t="s">
        <v>1383</v>
      </c>
      <c r="B676" t="s">
        <v>2557</v>
      </c>
      <c r="C676">
        <v>4.43</v>
      </c>
      <c r="D676">
        <v>4.08</v>
      </c>
      <c r="E676">
        <v>3.99</v>
      </c>
      <c r="F676">
        <v>3.68</v>
      </c>
      <c r="G676">
        <v>4.7300000000000004</v>
      </c>
      <c r="H676">
        <v>3.71</v>
      </c>
      <c r="I676">
        <v>4.3499999999999996</v>
      </c>
      <c r="J676">
        <v>3.99</v>
      </c>
      <c r="K676">
        <v>3.59</v>
      </c>
      <c r="L676">
        <v>4.08</v>
      </c>
      <c r="M676">
        <f t="shared" si="30"/>
        <v>4.1820000000000004</v>
      </c>
      <c r="N676">
        <f t="shared" si="31"/>
        <v>4.18</v>
      </c>
      <c r="O676">
        <f t="shared" si="32"/>
        <v>3.944</v>
      </c>
    </row>
    <row r="677" spans="1:15" ht="15" customHeight="1" x14ac:dyDescent="0.3">
      <c r="A677" t="s">
        <v>1385</v>
      </c>
      <c r="B677" t="s">
        <v>2558</v>
      </c>
      <c r="C677">
        <v>3.97</v>
      </c>
      <c r="D677">
        <v>4.0999999999999996</v>
      </c>
      <c r="E677">
        <v>4.33</v>
      </c>
      <c r="F677">
        <v>3.9</v>
      </c>
      <c r="G677">
        <v>3.86</v>
      </c>
      <c r="H677">
        <v>3.97</v>
      </c>
      <c r="I677">
        <v>3.82</v>
      </c>
      <c r="J677">
        <v>4.1500000000000004</v>
      </c>
      <c r="K677">
        <v>4.49</v>
      </c>
      <c r="L677">
        <v>3.78</v>
      </c>
      <c r="M677">
        <f t="shared" si="30"/>
        <v>4.032</v>
      </c>
      <c r="N677">
        <f t="shared" si="31"/>
        <v>4.03</v>
      </c>
      <c r="O677">
        <f t="shared" si="32"/>
        <v>4.0419999999999998</v>
      </c>
    </row>
    <row r="678" spans="1:15" ht="15" customHeight="1" x14ac:dyDescent="0.3">
      <c r="A678" t="s">
        <v>1387</v>
      </c>
      <c r="B678" t="s">
        <v>2559</v>
      </c>
      <c r="C678">
        <v>3.85</v>
      </c>
      <c r="D678">
        <v>3.82</v>
      </c>
      <c r="E678">
        <v>4.3499999999999996</v>
      </c>
      <c r="F678">
        <v>4.16</v>
      </c>
      <c r="G678">
        <v>3.84</v>
      </c>
      <c r="H678">
        <v>4.16</v>
      </c>
      <c r="I678">
        <v>3.34</v>
      </c>
      <c r="J678">
        <v>4.1500000000000004</v>
      </c>
      <c r="K678">
        <v>3.73</v>
      </c>
      <c r="L678">
        <v>4.43</v>
      </c>
      <c r="M678">
        <f t="shared" si="30"/>
        <v>4.0039999999999996</v>
      </c>
      <c r="N678">
        <f t="shared" si="31"/>
        <v>4</v>
      </c>
      <c r="O678">
        <f t="shared" si="32"/>
        <v>3.9620000000000006</v>
      </c>
    </row>
    <row r="679" spans="1:15" ht="15" customHeight="1" x14ac:dyDescent="0.3">
      <c r="A679" t="s">
        <v>1389</v>
      </c>
      <c r="B679" t="s">
        <v>2560</v>
      </c>
      <c r="C679">
        <v>4.0199999999999996</v>
      </c>
      <c r="D679">
        <v>4.4000000000000004</v>
      </c>
      <c r="E679">
        <v>3.95</v>
      </c>
      <c r="F679">
        <v>3.83</v>
      </c>
      <c r="G679">
        <v>3.42</v>
      </c>
      <c r="H679">
        <v>3.58</v>
      </c>
      <c r="I679">
        <v>4.08</v>
      </c>
      <c r="J679">
        <v>4.01</v>
      </c>
      <c r="K679">
        <v>4.1100000000000003</v>
      </c>
      <c r="L679">
        <v>3.59</v>
      </c>
      <c r="M679">
        <f t="shared" si="30"/>
        <v>3.9240000000000008</v>
      </c>
      <c r="N679">
        <f t="shared" si="31"/>
        <v>3.92</v>
      </c>
      <c r="O679">
        <f t="shared" si="32"/>
        <v>3.8740000000000001</v>
      </c>
    </row>
    <row r="680" spans="1:15" ht="15" customHeight="1" x14ac:dyDescent="0.3">
      <c r="A680" t="s">
        <v>1391</v>
      </c>
      <c r="B680" t="s">
        <v>2561</v>
      </c>
      <c r="C680">
        <v>3.81</v>
      </c>
      <c r="D680">
        <v>3.22</v>
      </c>
      <c r="E680">
        <v>4.66</v>
      </c>
      <c r="F680">
        <v>4.3899999999999997</v>
      </c>
      <c r="G680">
        <v>4.1900000000000004</v>
      </c>
      <c r="H680">
        <v>3.91</v>
      </c>
      <c r="I680">
        <v>3.61</v>
      </c>
      <c r="J680">
        <v>4.2699999999999996</v>
      </c>
      <c r="K680">
        <v>3.65</v>
      </c>
      <c r="L680" t="s">
        <v>211</v>
      </c>
      <c r="M680">
        <f t="shared" si="30"/>
        <v>4.0540000000000003</v>
      </c>
      <c r="N680">
        <f t="shared" si="31"/>
        <v>4.05</v>
      </c>
      <c r="O680">
        <f t="shared" si="32"/>
        <v>3.86</v>
      </c>
    </row>
    <row r="681" spans="1:15" ht="15" customHeight="1" x14ac:dyDescent="0.3">
      <c r="A681" t="s">
        <v>1393</v>
      </c>
      <c r="B681" t="s">
        <v>2562</v>
      </c>
      <c r="C681">
        <v>4</v>
      </c>
      <c r="D681">
        <v>3.52</v>
      </c>
      <c r="E681">
        <v>4.62</v>
      </c>
      <c r="F681">
        <v>3.75</v>
      </c>
      <c r="G681">
        <v>4.37</v>
      </c>
      <c r="H681">
        <v>4.3099999999999996</v>
      </c>
      <c r="I681">
        <v>4.22</v>
      </c>
      <c r="J681">
        <v>3.49</v>
      </c>
      <c r="K681">
        <v>4.0199999999999996</v>
      </c>
      <c r="L681">
        <v>4.2699999999999996</v>
      </c>
      <c r="M681">
        <f t="shared" si="30"/>
        <v>4.0520000000000005</v>
      </c>
      <c r="N681">
        <f t="shared" si="31"/>
        <v>4.05</v>
      </c>
      <c r="O681">
        <f t="shared" si="32"/>
        <v>4.0619999999999994</v>
      </c>
    </row>
    <row r="682" spans="1:15" ht="15" customHeight="1" x14ac:dyDescent="0.3">
      <c r="A682" t="s">
        <v>1395</v>
      </c>
      <c r="B682" t="s">
        <v>2563</v>
      </c>
      <c r="C682">
        <v>4.24</v>
      </c>
      <c r="D682">
        <v>4.0599999999999996</v>
      </c>
      <c r="E682">
        <v>3.91</v>
      </c>
      <c r="F682">
        <v>4.0599999999999996</v>
      </c>
      <c r="G682">
        <v>4.0999999999999996</v>
      </c>
      <c r="H682">
        <v>3.72</v>
      </c>
      <c r="I682">
        <v>3.82</v>
      </c>
      <c r="J682">
        <v>4.18</v>
      </c>
      <c r="K682">
        <v>3.87</v>
      </c>
      <c r="L682">
        <v>4.13</v>
      </c>
      <c r="M682">
        <f t="shared" si="30"/>
        <v>4.0739999999999998</v>
      </c>
      <c r="N682">
        <f t="shared" si="31"/>
        <v>4.07</v>
      </c>
      <c r="O682">
        <f t="shared" si="32"/>
        <v>3.944</v>
      </c>
    </row>
    <row r="683" spans="1:15" ht="15" customHeight="1" x14ac:dyDescent="0.3">
      <c r="A683" t="s">
        <v>1397</v>
      </c>
      <c r="B683" t="s">
        <v>2564</v>
      </c>
      <c r="C683">
        <v>4.12</v>
      </c>
      <c r="D683">
        <v>4.24</v>
      </c>
      <c r="E683">
        <v>4.38</v>
      </c>
      <c r="F683">
        <v>3.94</v>
      </c>
      <c r="G683">
        <v>4.13</v>
      </c>
      <c r="H683">
        <v>3.86</v>
      </c>
      <c r="I683">
        <v>4.24</v>
      </c>
      <c r="J683">
        <v>4.12</v>
      </c>
      <c r="K683">
        <v>4.0599999999999996</v>
      </c>
      <c r="L683">
        <v>3.8</v>
      </c>
      <c r="M683">
        <f t="shared" si="30"/>
        <v>4.1619999999999999</v>
      </c>
      <c r="N683">
        <f t="shared" si="31"/>
        <v>4.16</v>
      </c>
      <c r="O683">
        <f t="shared" si="32"/>
        <v>4.016</v>
      </c>
    </row>
    <row r="684" spans="1:15" ht="15" customHeight="1" x14ac:dyDescent="0.3">
      <c r="A684" t="s">
        <v>1399</v>
      </c>
      <c r="B684" t="s">
        <v>2565</v>
      </c>
      <c r="C684">
        <v>3.74</v>
      </c>
      <c r="D684">
        <v>3.73</v>
      </c>
      <c r="E684">
        <v>4.18</v>
      </c>
      <c r="F684">
        <v>3.91</v>
      </c>
      <c r="G684">
        <v>3.97</v>
      </c>
      <c r="H684">
        <v>4.3499999999999996</v>
      </c>
      <c r="I684">
        <v>4</v>
      </c>
      <c r="J684">
        <v>4.34</v>
      </c>
      <c r="K684">
        <v>3.74</v>
      </c>
      <c r="L684">
        <v>3.86</v>
      </c>
      <c r="M684">
        <f t="shared" si="30"/>
        <v>3.9060000000000001</v>
      </c>
      <c r="N684">
        <f t="shared" si="31"/>
        <v>3.91</v>
      </c>
      <c r="O684">
        <f t="shared" si="32"/>
        <v>4.0579999999999998</v>
      </c>
    </row>
    <row r="685" spans="1:15" ht="15" customHeight="1" x14ac:dyDescent="0.3">
      <c r="A685" t="s">
        <v>1401</v>
      </c>
      <c r="B685" t="s">
        <v>2566</v>
      </c>
      <c r="C685">
        <v>4.55</v>
      </c>
      <c r="D685">
        <v>4.25</v>
      </c>
      <c r="E685">
        <v>4.47</v>
      </c>
      <c r="F685">
        <v>4.07</v>
      </c>
      <c r="G685">
        <v>4.1900000000000004</v>
      </c>
      <c r="H685">
        <v>4.04</v>
      </c>
      <c r="I685">
        <v>4.01</v>
      </c>
      <c r="J685">
        <v>4.04</v>
      </c>
      <c r="K685">
        <v>3.3</v>
      </c>
      <c r="L685">
        <v>3.48</v>
      </c>
      <c r="M685">
        <f t="shared" si="30"/>
        <v>4.306</v>
      </c>
      <c r="N685">
        <f t="shared" si="31"/>
        <v>4.3099999999999996</v>
      </c>
      <c r="O685">
        <f t="shared" si="32"/>
        <v>3.774</v>
      </c>
    </row>
    <row r="686" spans="1:15" ht="15" customHeight="1" x14ac:dyDescent="0.3">
      <c r="A686" t="s">
        <v>1403</v>
      </c>
      <c r="B686" t="s">
        <v>2567</v>
      </c>
      <c r="C686">
        <v>3.76</v>
      </c>
      <c r="D686">
        <v>4.0999999999999996</v>
      </c>
      <c r="E686">
        <v>3.77</v>
      </c>
      <c r="F686">
        <v>4.18</v>
      </c>
      <c r="G686">
        <v>5.01</v>
      </c>
      <c r="H686">
        <v>3.26</v>
      </c>
      <c r="I686">
        <v>4.3600000000000003</v>
      </c>
      <c r="J686">
        <v>3.35</v>
      </c>
      <c r="K686">
        <v>3.89</v>
      </c>
      <c r="L686">
        <v>3.78</v>
      </c>
      <c r="M686">
        <f t="shared" si="30"/>
        <v>4.1639999999999997</v>
      </c>
      <c r="N686">
        <f t="shared" si="31"/>
        <v>4.16</v>
      </c>
      <c r="O686">
        <f t="shared" si="32"/>
        <v>3.7280000000000002</v>
      </c>
    </row>
    <row r="687" spans="1:15" ht="15" customHeight="1" x14ac:dyDescent="0.3">
      <c r="A687" t="s">
        <v>1405</v>
      </c>
      <c r="B687" t="s">
        <v>1406</v>
      </c>
      <c r="C687">
        <v>4.45</v>
      </c>
      <c r="D687">
        <v>3.64</v>
      </c>
      <c r="E687">
        <v>4.7</v>
      </c>
      <c r="F687">
        <v>4.0599999999999996</v>
      </c>
      <c r="G687">
        <v>3.55</v>
      </c>
      <c r="H687">
        <v>4.4000000000000004</v>
      </c>
      <c r="I687">
        <v>4.12</v>
      </c>
      <c r="J687">
        <v>4.0199999999999996</v>
      </c>
      <c r="K687">
        <v>4.33</v>
      </c>
      <c r="L687">
        <v>4.32</v>
      </c>
      <c r="M687">
        <f t="shared" si="30"/>
        <v>4.08</v>
      </c>
      <c r="N687">
        <f t="shared" si="31"/>
        <v>4.08</v>
      </c>
      <c r="O687">
        <f t="shared" si="32"/>
        <v>4.2379999999999995</v>
      </c>
    </row>
    <row r="688" spans="1:15" ht="15" customHeight="1" x14ac:dyDescent="0.3">
      <c r="A688" t="s">
        <v>1407</v>
      </c>
      <c r="B688" t="s">
        <v>2568</v>
      </c>
      <c r="C688">
        <v>3.58</v>
      </c>
      <c r="D688">
        <v>4.1900000000000004</v>
      </c>
      <c r="E688">
        <v>4.3099999999999996</v>
      </c>
      <c r="F688">
        <v>3.77</v>
      </c>
      <c r="G688">
        <v>4.04</v>
      </c>
      <c r="H688">
        <v>4.03</v>
      </c>
      <c r="I688">
        <v>3.56</v>
      </c>
      <c r="J688">
        <v>3.47</v>
      </c>
      <c r="K688">
        <v>3.85</v>
      </c>
      <c r="L688">
        <v>4.46</v>
      </c>
      <c r="M688">
        <f t="shared" si="30"/>
        <v>3.9780000000000002</v>
      </c>
      <c r="N688">
        <f t="shared" si="31"/>
        <v>3.98</v>
      </c>
      <c r="O688">
        <f t="shared" si="32"/>
        <v>3.8740000000000001</v>
      </c>
    </row>
    <row r="689" spans="1:15" ht="15" customHeight="1" x14ac:dyDescent="0.3">
      <c r="A689" t="s">
        <v>1409</v>
      </c>
      <c r="B689" t="s">
        <v>2569</v>
      </c>
      <c r="C689">
        <v>3.95</v>
      </c>
      <c r="D689">
        <v>3.84</v>
      </c>
      <c r="E689">
        <v>3.53</v>
      </c>
      <c r="F689">
        <v>4.0999999999999996</v>
      </c>
      <c r="G689">
        <v>4.13</v>
      </c>
      <c r="H689">
        <v>3.77</v>
      </c>
      <c r="I689">
        <v>4.76</v>
      </c>
      <c r="J689">
        <v>3.77</v>
      </c>
      <c r="K689">
        <v>3.59</v>
      </c>
      <c r="L689">
        <v>4.12</v>
      </c>
      <c r="M689">
        <f t="shared" si="30"/>
        <v>3.91</v>
      </c>
      <c r="N689">
        <f t="shared" si="31"/>
        <v>3.91</v>
      </c>
      <c r="O689">
        <f t="shared" si="32"/>
        <v>4.0019999999999998</v>
      </c>
    </row>
    <row r="690" spans="1:15" ht="15" customHeight="1" x14ac:dyDescent="0.3">
      <c r="A690" t="s">
        <v>1411</v>
      </c>
      <c r="B690" t="s">
        <v>2570</v>
      </c>
      <c r="C690">
        <v>3.99</v>
      </c>
      <c r="D690">
        <v>4.25</v>
      </c>
      <c r="E690">
        <v>4.29</v>
      </c>
      <c r="F690">
        <v>4.3499999999999996</v>
      </c>
      <c r="G690">
        <v>3.48</v>
      </c>
      <c r="H690">
        <v>3.77</v>
      </c>
      <c r="I690">
        <v>3.88</v>
      </c>
      <c r="J690">
        <v>4.05</v>
      </c>
      <c r="K690">
        <v>4.13</v>
      </c>
      <c r="L690">
        <v>3.79</v>
      </c>
      <c r="M690">
        <f t="shared" si="30"/>
        <v>4.072000000000001</v>
      </c>
      <c r="N690">
        <f t="shared" si="31"/>
        <v>4.07</v>
      </c>
      <c r="O690">
        <f t="shared" si="32"/>
        <v>3.9239999999999995</v>
      </c>
    </row>
    <row r="691" spans="1:15" ht="15" customHeight="1" x14ac:dyDescent="0.3">
      <c r="A691" t="s">
        <v>1413</v>
      </c>
      <c r="B691" t="s">
        <v>2571</v>
      </c>
      <c r="C691">
        <v>4.22</v>
      </c>
      <c r="D691">
        <v>4.3499999999999996</v>
      </c>
      <c r="E691">
        <v>4.4000000000000004</v>
      </c>
      <c r="F691">
        <v>4.3600000000000003</v>
      </c>
      <c r="G691">
        <v>4.0599999999999996</v>
      </c>
      <c r="H691">
        <v>4.2699999999999996</v>
      </c>
      <c r="I691">
        <v>4.0599999999999996</v>
      </c>
      <c r="J691">
        <v>3.58</v>
      </c>
      <c r="K691">
        <v>4.34</v>
      </c>
      <c r="L691">
        <v>4.2300000000000004</v>
      </c>
      <c r="M691">
        <f t="shared" si="30"/>
        <v>4.2780000000000005</v>
      </c>
      <c r="N691">
        <f t="shared" si="31"/>
        <v>4.28</v>
      </c>
      <c r="O691">
        <f t="shared" si="32"/>
        <v>4.0960000000000001</v>
      </c>
    </row>
    <row r="692" spans="1:15" ht="15" customHeight="1" x14ac:dyDescent="0.3">
      <c r="A692" t="s">
        <v>1415</v>
      </c>
      <c r="B692" t="s">
        <v>2572</v>
      </c>
      <c r="C692">
        <v>4.3099999999999996</v>
      </c>
      <c r="D692">
        <v>3.93</v>
      </c>
      <c r="E692">
        <v>3.86</v>
      </c>
      <c r="F692">
        <v>4.22</v>
      </c>
      <c r="G692">
        <v>3.96</v>
      </c>
      <c r="H692">
        <v>3.58</v>
      </c>
      <c r="I692">
        <v>4.5</v>
      </c>
      <c r="J692">
        <v>3.91</v>
      </c>
      <c r="K692">
        <v>3.68</v>
      </c>
      <c r="L692">
        <v>3.43</v>
      </c>
      <c r="M692">
        <f t="shared" si="30"/>
        <v>4.056</v>
      </c>
      <c r="N692">
        <f t="shared" si="31"/>
        <v>4.0599999999999996</v>
      </c>
      <c r="O692">
        <f t="shared" si="32"/>
        <v>3.8200000000000003</v>
      </c>
    </row>
    <row r="693" spans="1:15" ht="15" customHeight="1" x14ac:dyDescent="0.3">
      <c r="A693" t="s">
        <v>1417</v>
      </c>
      <c r="B693" t="s">
        <v>2573</v>
      </c>
      <c r="C693">
        <v>4.13</v>
      </c>
      <c r="D693">
        <v>3.77</v>
      </c>
      <c r="E693">
        <v>4.12</v>
      </c>
      <c r="F693">
        <v>4.46</v>
      </c>
      <c r="G693">
        <v>4.1500000000000004</v>
      </c>
      <c r="H693">
        <v>4</v>
      </c>
      <c r="I693">
        <v>3.66</v>
      </c>
      <c r="J693">
        <v>4.6399999999999997</v>
      </c>
      <c r="K693">
        <v>4.03</v>
      </c>
      <c r="L693">
        <v>3.54</v>
      </c>
      <c r="M693">
        <f t="shared" si="30"/>
        <v>4.1260000000000003</v>
      </c>
      <c r="N693">
        <f t="shared" si="31"/>
        <v>4.13</v>
      </c>
      <c r="O693">
        <f t="shared" si="32"/>
        <v>3.9740000000000002</v>
      </c>
    </row>
    <row r="694" spans="1:15" ht="15" customHeight="1" x14ac:dyDescent="0.3">
      <c r="A694" t="s">
        <v>1419</v>
      </c>
      <c r="B694" t="s">
        <v>2574</v>
      </c>
      <c r="C694">
        <v>4.13</v>
      </c>
      <c r="D694">
        <v>3.84</v>
      </c>
      <c r="E694">
        <v>4.1500000000000004</v>
      </c>
      <c r="F694">
        <v>4.1399999999999997</v>
      </c>
      <c r="G694">
        <v>4.5</v>
      </c>
      <c r="H694">
        <v>4.33</v>
      </c>
      <c r="I694">
        <v>4.54</v>
      </c>
      <c r="J694">
        <v>3.85</v>
      </c>
      <c r="K694">
        <v>4.28</v>
      </c>
      <c r="L694">
        <v>4.25</v>
      </c>
      <c r="M694">
        <f t="shared" si="30"/>
        <v>4.1520000000000001</v>
      </c>
      <c r="N694">
        <f t="shared" si="31"/>
        <v>4.1500000000000004</v>
      </c>
      <c r="O694">
        <f t="shared" si="32"/>
        <v>4.25</v>
      </c>
    </row>
    <row r="695" spans="1:15" ht="15" customHeight="1" x14ac:dyDescent="0.3">
      <c r="A695" t="s">
        <v>1421</v>
      </c>
      <c r="B695" t="s">
        <v>2575</v>
      </c>
      <c r="C695">
        <v>4.03</v>
      </c>
      <c r="D695">
        <v>4.04</v>
      </c>
      <c r="E695">
        <v>4.42</v>
      </c>
      <c r="F695">
        <v>4.2</v>
      </c>
      <c r="G695">
        <v>4.5599999999999996</v>
      </c>
      <c r="H695">
        <v>3.32</v>
      </c>
      <c r="I695">
        <v>3.92</v>
      </c>
      <c r="J695">
        <v>4.33</v>
      </c>
      <c r="K695">
        <v>3.8</v>
      </c>
      <c r="L695">
        <v>3.53</v>
      </c>
      <c r="M695">
        <f t="shared" si="30"/>
        <v>4.25</v>
      </c>
      <c r="N695">
        <f t="shared" si="31"/>
        <v>4.25</v>
      </c>
      <c r="O695">
        <f t="shared" si="32"/>
        <v>3.7800000000000002</v>
      </c>
    </row>
    <row r="696" spans="1:15" ht="15" customHeight="1" x14ac:dyDescent="0.3">
      <c r="A696" t="s">
        <v>1423</v>
      </c>
      <c r="B696" t="s">
        <v>2576</v>
      </c>
      <c r="C696">
        <v>4.67</v>
      </c>
      <c r="D696">
        <v>4.09</v>
      </c>
      <c r="E696">
        <v>3.81</v>
      </c>
      <c r="F696">
        <v>4.59</v>
      </c>
      <c r="G696">
        <v>3.98</v>
      </c>
      <c r="H696">
        <v>4.2699999999999996</v>
      </c>
      <c r="I696">
        <v>3.97</v>
      </c>
      <c r="J696">
        <v>3.89</v>
      </c>
      <c r="K696">
        <v>3.94</v>
      </c>
      <c r="L696">
        <v>4.57</v>
      </c>
      <c r="M696">
        <f t="shared" si="30"/>
        <v>4.2279999999999998</v>
      </c>
      <c r="N696">
        <f t="shared" si="31"/>
        <v>4.2300000000000004</v>
      </c>
      <c r="O696">
        <f t="shared" si="32"/>
        <v>4.1280000000000001</v>
      </c>
    </row>
    <row r="697" spans="1:15" ht="15" customHeight="1" x14ac:dyDescent="0.3">
      <c r="A697" t="s">
        <v>1425</v>
      </c>
      <c r="B697" t="s">
        <v>2577</v>
      </c>
      <c r="C697">
        <v>3.7</v>
      </c>
      <c r="D697">
        <v>4.96</v>
      </c>
      <c r="E697">
        <v>4.83</v>
      </c>
      <c r="F697">
        <v>4.8099999999999996</v>
      </c>
      <c r="G697">
        <v>3.95</v>
      </c>
      <c r="H697">
        <v>3.7</v>
      </c>
      <c r="I697">
        <v>4.2300000000000004</v>
      </c>
      <c r="J697">
        <v>3.72</v>
      </c>
      <c r="K697">
        <v>3.96</v>
      </c>
      <c r="L697">
        <v>3.75</v>
      </c>
      <c r="M697">
        <f t="shared" si="30"/>
        <v>4.45</v>
      </c>
      <c r="N697">
        <f t="shared" si="31"/>
        <v>4.45</v>
      </c>
      <c r="O697">
        <f t="shared" si="32"/>
        <v>3.8719999999999999</v>
      </c>
    </row>
    <row r="698" spans="1:15" ht="15" customHeight="1" x14ac:dyDescent="0.3">
      <c r="A698" t="s">
        <v>1427</v>
      </c>
      <c r="B698" t="s">
        <v>2578</v>
      </c>
      <c r="C698">
        <v>4.1500000000000004</v>
      </c>
      <c r="D698">
        <v>3.86</v>
      </c>
      <c r="E698">
        <v>3.99</v>
      </c>
      <c r="F698">
        <v>3.47</v>
      </c>
      <c r="G698">
        <v>4.0199999999999996</v>
      </c>
      <c r="H698">
        <v>3.95</v>
      </c>
      <c r="I698">
        <v>4.18</v>
      </c>
      <c r="J698">
        <v>3.9</v>
      </c>
      <c r="K698">
        <v>3.73</v>
      </c>
      <c r="L698">
        <v>4.08</v>
      </c>
      <c r="M698">
        <f t="shared" si="30"/>
        <v>3.8980000000000006</v>
      </c>
      <c r="N698">
        <f t="shared" si="31"/>
        <v>3.9</v>
      </c>
      <c r="O698">
        <f t="shared" si="32"/>
        <v>3.968</v>
      </c>
    </row>
    <row r="699" spans="1:15" ht="15" customHeight="1" x14ac:dyDescent="0.3">
      <c r="A699" t="s">
        <v>1429</v>
      </c>
      <c r="B699" t="s">
        <v>1430</v>
      </c>
      <c r="C699">
        <v>3.77</v>
      </c>
      <c r="D699">
        <v>3.96</v>
      </c>
      <c r="E699">
        <v>3.62</v>
      </c>
      <c r="F699">
        <v>3.17</v>
      </c>
      <c r="G699">
        <v>4.07</v>
      </c>
      <c r="H699">
        <v>3.73</v>
      </c>
      <c r="I699">
        <v>3.79</v>
      </c>
      <c r="J699" t="s">
        <v>211</v>
      </c>
      <c r="K699">
        <v>3.98</v>
      </c>
      <c r="L699">
        <v>3.85</v>
      </c>
      <c r="M699">
        <f t="shared" si="30"/>
        <v>3.7180000000000009</v>
      </c>
      <c r="N699">
        <f t="shared" si="31"/>
        <v>3.72</v>
      </c>
      <c r="O699">
        <f t="shared" si="32"/>
        <v>3.8374999999999999</v>
      </c>
    </row>
    <row r="700" spans="1:15" ht="15" customHeight="1" x14ac:dyDescent="0.3">
      <c r="A700" t="s">
        <v>1431</v>
      </c>
      <c r="B700" t="s">
        <v>1432</v>
      </c>
      <c r="C700">
        <v>4.28</v>
      </c>
      <c r="D700">
        <v>4.21</v>
      </c>
      <c r="E700">
        <v>4.21</v>
      </c>
      <c r="F700">
        <v>3.43</v>
      </c>
      <c r="G700">
        <v>4.75</v>
      </c>
      <c r="H700">
        <v>4.3</v>
      </c>
      <c r="I700">
        <v>3.89</v>
      </c>
      <c r="J700">
        <v>4.49</v>
      </c>
      <c r="K700">
        <v>3.74</v>
      </c>
      <c r="L700">
        <v>3.89</v>
      </c>
      <c r="M700">
        <f t="shared" si="30"/>
        <v>4.1760000000000002</v>
      </c>
      <c r="N700">
        <f t="shared" si="31"/>
        <v>4.18</v>
      </c>
      <c r="O700">
        <f t="shared" si="32"/>
        <v>4.0620000000000003</v>
      </c>
    </row>
    <row r="701" spans="1:15" ht="15" customHeight="1" x14ac:dyDescent="0.3">
      <c r="A701" t="s">
        <v>1433</v>
      </c>
      <c r="B701" t="s">
        <v>2579</v>
      </c>
      <c r="C701">
        <v>4.2300000000000004</v>
      </c>
      <c r="D701">
        <v>3.92</v>
      </c>
      <c r="E701">
        <v>4.12</v>
      </c>
      <c r="F701">
        <v>3.85</v>
      </c>
      <c r="G701">
        <v>3.87</v>
      </c>
      <c r="H701">
        <v>3.8</v>
      </c>
      <c r="I701">
        <v>4.1399999999999997</v>
      </c>
      <c r="J701">
        <v>3.93</v>
      </c>
      <c r="K701">
        <v>4.1900000000000004</v>
      </c>
      <c r="L701">
        <v>3.43</v>
      </c>
      <c r="M701">
        <f t="shared" si="30"/>
        <v>3.9980000000000002</v>
      </c>
      <c r="N701">
        <f t="shared" si="31"/>
        <v>4</v>
      </c>
      <c r="O701">
        <f t="shared" si="32"/>
        <v>3.8979999999999997</v>
      </c>
    </row>
    <row r="702" spans="1:15" ht="15" customHeight="1" x14ac:dyDescent="0.3">
      <c r="A702" t="s">
        <v>1435</v>
      </c>
      <c r="B702" t="s">
        <v>2580</v>
      </c>
      <c r="C702">
        <v>3.97</v>
      </c>
      <c r="D702">
        <v>3.87</v>
      </c>
      <c r="E702">
        <v>4.33</v>
      </c>
      <c r="F702">
        <v>4.1500000000000004</v>
      </c>
      <c r="G702">
        <v>3.29</v>
      </c>
      <c r="H702">
        <v>4.18</v>
      </c>
      <c r="I702">
        <v>4.34</v>
      </c>
      <c r="J702">
        <v>4.3099999999999996</v>
      </c>
      <c r="K702">
        <v>3.87</v>
      </c>
      <c r="L702">
        <v>4.34</v>
      </c>
      <c r="M702">
        <f t="shared" si="30"/>
        <v>3.9219999999999997</v>
      </c>
      <c r="N702">
        <f t="shared" si="31"/>
        <v>3.92</v>
      </c>
      <c r="O702">
        <f t="shared" si="32"/>
        <v>4.2080000000000002</v>
      </c>
    </row>
    <row r="703" spans="1:15" ht="15" customHeight="1" x14ac:dyDescent="0.3">
      <c r="A703" t="s">
        <v>1437</v>
      </c>
      <c r="B703" t="s">
        <v>1438</v>
      </c>
      <c r="C703">
        <v>4.0599999999999996</v>
      </c>
      <c r="D703">
        <v>4.21</v>
      </c>
      <c r="E703">
        <v>3.83</v>
      </c>
      <c r="F703">
        <v>4.21</v>
      </c>
      <c r="G703">
        <v>3.89</v>
      </c>
      <c r="H703">
        <v>3.94</v>
      </c>
      <c r="I703">
        <v>4.03</v>
      </c>
      <c r="J703">
        <v>3.5</v>
      </c>
      <c r="K703">
        <v>4.53</v>
      </c>
      <c r="L703">
        <v>4.0199999999999996</v>
      </c>
      <c r="M703">
        <f t="shared" si="30"/>
        <v>4.04</v>
      </c>
      <c r="N703">
        <f t="shared" si="31"/>
        <v>4.04</v>
      </c>
      <c r="O703">
        <f t="shared" si="32"/>
        <v>4.0039999999999996</v>
      </c>
    </row>
    <row r="704" spans="1:15" ht="15" customHeight="1" x14ac:dyDescent="0.3">
      <c r="A704" t="s">
        <v>1439</v>
      </c>
      <c r="B704" t="s">
        <v>1440</v>
      </c>
      <c r="C704">
        <v>4.3600000000000003</v>
      </c>
      <c r="D704">
        <v>3.7</v>
      </c>
      <c r="E704">
        <v>3.98</v>
      </c>
      <c r="F704">
        <v>4.51</v>
      </c>
      <c r="G704">
        <v>3.94</v>
      </c>
      <c r="H704">
        <v>4.17</v>
      </c>
      <c r="I704">
        <v>4.37</v>
      </c>
      <c r="J704">
        <v>4.2300000000000004</v>
      </c>
      <c r="K704">
        <v>3.86</v>
      </c>
      <c r="L704">
        <v>3.72</v>
      </c>
      <c r="M704">
        <f t="shared" si="30"/>
        <v>4.0980000000000008</v>
      </c>
      <c r="N704">
        <f t="shared" si="31"/>
        <v>4.0999999999999996</v>
      </c>
      <c r="O704">
        <f t="shared" si="32"/>
        <v>4.0699999999999994</v>
      </c>
    </row>
    <row r="705" spans="1:15" ht="15" customHeight="1" x14ac:dyDescent="0.3">
      <c r="A705" t="s">
        <v>1441</v>
      </c>
      <c r="B705" t="s">
        <v>2581</v>
      </c>
      <c r="C705">
        <v>3.97</v>
      </c>
      <c r="D705">
        <v>4.57</v>
      </c>
      <c r="E705">
        <v>4.1100000000000003</v>
      </c>
      <c r="F705">
        <v>3.86</v>
      </c>
      <c r="G705">
        <v>3.59</v>
      </c>
      <c r="H705">
        <v>4.0999999999999996</v>
      </c>
      <c r="I705">
        <v>3.67</v>
      </c>
      <c r="J705">
        <v>4.22</v>
      </c>
      <c r="K705">
        <v>4.1399999999999997</v>
      </c>
      <c r="L705">
        <v>4.12</v>
      </c>
      <c r="M705">
        <f t="shared" si="30"/>
        <v>4.0200000000000005</v>
      </c>
      <c r="N705">
        <f t="shared" si="31"/>
        <v>4.0199999999999996</v>
      </c>
      <c r="O705">
        <f t="shared" si="32"/>
        <v>4.05</v>
      </c>
    </row>
    <row r="706" spans="1:15" ht="15" customHeight="1" x14ac:dyDescent="0.3">
      <c r="A706" t="s">
        <v>1443</v>
      </c>
      <c r="B706" t="s">
        <v>2582</v>
      </c>
      <c r="C706">
        <v>3.64</v>
      </c>
      <c r="D706">
        <v>4.33</v>
      </c>
      <c r="E706">
        <v>3.59</v>
      </c>
      <c r="F706">
        <v>4.42</v>
      </c>
      <c r="G706">
        <v>4.13</v>
      </c>
      <c r="H706">
        <v>3.67</v>
      </c>
      <c r="I706">
        <v>4.6100000000000003</v>
      </c>
      <c r="J706">
        <v>4.29</v>
      </c>
      <c r="K706">
        <v>3.48</v>
      </c>
      <c r="L706">
        <v>3.91</v>
      </c>
      <c r="M706">
        <f t="shared" ref="M706:M769" si="33">AVERAGE(C706:G706)</f>
        <v>4.0220000000000002</v>
      </c>
      <c r="N706">
        <f t="shared" ref="N706:N769" si="34">ROUND(M706,2)</f>
        <v>4.0199999999999996</v>
      </c>
      <c r="O706">
        <f t="shared" ref="O706:O769" si="35">AVERAGE(H706:L706)</f>
        <v>3.992</v>
      </c>
    </row>
    <row r="707" spans="1:15" ht="15" customHeight="1" x14ac:dyDescent="0.3">
      <c r="A707" t="s">
        <v>1445</v>
      </c>
      <c r="B707" t="s">
        <v>2583</v>
      </c>
      <c r="C707">
        <v>4.72</v>
      </c>
      <c r="D707">
        <v>3.9</v>
      </c>
      <c r="E707">
        <v>4.2300000000000004</v>
      </c>
      <c r="F707">
        <v>4.4400000000000004</v>
      </c>
      <c r="G707">
        <v>4.22</v>
      </c>
      <c r="H707">
        <v>4.42</v>
      </c>
      <c r="I707">
        <v>4.0999999999999996</v>
      </c>
      <c r="J707">
        <v>3.89</v>
      </c>
      <c r="K707">
        <v>4.2</v>
      </c>
      <c r="L707">
        <v>4.21</v>
      </c>
      <c r="M707">
        <f t="shared" si="33"/>
        <v>4.3019999999999996</v>
      </c>
      <c r="N707">
        <f t="shared" si="34"/>
        <v>4.3</v>
      </c>
      <c r="O707">
        <f t="shared" si="35"/>
        <v>4.1639999999999997</v>
      </c>
    </row>
    <row r="708" spans="1:15" ht="15" customHeight="1" x14ac:dyDescent="0.3">
      <c r="A708" t="s">
        <v>1447</v>
      </c>
      <c r="B708" t="s">
        <v>2584</v>
      </c>
      <c r="C708">
        <v>3.47</v>
      </c>
      <c r="D708">
        <v>3.81</v>
      </c>
      <c r="E708">
        <v>4.92</v>
      </c>
      <c r="F708">
        <v>4.25</v>
      </c>
      <c r="G708">
        <v>3.75</v>
      </c>
      <c r="H708">
        <v>4.04</v>
      </c>
      <c r="I708">
        <v>3.73</v>
      </c>
      <c r="J708">
        <v>3.96</v>
      </c>
      <c r="K708" t="s">
        <v>211</v>
      </c>
      <c r="L708">
        <v>4.05</v>
      </c>
      <c r="M708">
        <f t="shared" si="33"/>
        <v>4.04</v>
      </c>
      <c r="N708">
        <f t="shared" si="34"/>
        <v>4.04</v>
      </c>
      <c r="O708">
        <f t="shared" si="35"/>
        <v>3.9450000000000003</v>
      </c>
    </row>
    <row r="709" spans="1:15" ht="15" customHeight="1" x14ac:dyDescent="0.3">
      <c r="A709" t="s">
        <v>1449</v>
      </c>
      <c r="B709" t="s">
        <v>2585</v>
      </c>
      <c r="C709">
        <v>4.42</v>
      </c>
      <c r="D709">
        <v>3.92</v>
      </c>
      <c r="E709">
        <v>4.1500000000000004</v>
      </c>
      <c r="F709">
        <v>3.59</v>
      </c>
      <c r="G709">
        <v>3.66</v>
      </c>
      <c r="H709">
        <v>4.1900000000000004</v>
      </c>
      <c r="I709">
        <v>3.92</v>
      </c>
      <c r="J709">
        <v>3.68</v>
      </c>
      <c r="K709" t="s">
        <v>211</v>
      </c>
      <c r="L709">
        <v>4.0199999999999996</v>
      </c>
      <c r="M709">
        <f t="shared" si="33"/>
        <v>3.9479999999999995</v>
      </c>
      <c r="N709">
        <f t="shared" si="34"/>
        <v>3.95</v>
      </c>
      <c r="O709">
        <f t="shared" si="35"/>
        <v>3.9524999999999997</v>
      </c>
    </row>
    <row r="710" spans="1:15" ht="15" customHeight="1" x14ac:dyDescent="0.3">
      <c r="A710" t="s">
        <v>1451</v>
      </c>
      <c r="B710" t="s">
        <v>2586</v>
      </c>
      <c r="C710">
        <v>4.09</v>
      </c>
      <c r="D710">
        <v>4.1900000000000004</v>
      </c>
      <c r="E710">
        <v>4.1500000000000004</v>
      </c>
      <c r="F710">
        <v>3.84</v>
      </c>
      <c r="G710">
        <v>4.1500000000000004</v>
      </c>
      <c r="H710">
        <v>4.3</v>
      </c>
      <c r="I710">
        <v>4.45</v>
      </c>
      <c r="J710">
        <v>3.35</v>
      </c>
      <c r="K710">
        <v>3.87</v>
      </c>
      <c r="L710">
        <v>3.92</v>
      </c>
      <c r="M710">
        <f t="shared" si="33"/>
        <v>4.0840000000000005</v>
      </c>
      <c r="N710">
        <f t="shared" si="34"/>
        <v>4.08</v>
      </c>
      <c r="O710">
        <f t="shared" si="35"/>
        <v>3.9780000000000002</v>
      </c>
    </row>
    <row r="711" spans="1:15" ht="15" customHeight="1" x14ac:dyDescent="0.3">
      <c r="A711" t="s">
        <v>1453</v>
      </c>
      <c r="B711" t="s">
        <v>2587</v>
      </c>
      <c r="C711">
        <v>4.3600000000000003</v>
      </c>
      <c r="D711">
        <v>4.37</v>
      </c>
      <c r="E711">
        <v>4.2699999999999996</v>
      </c>
      <c r="F711">
        <v>4.16</v>
      </c>
      <c r="G711">
        <v>3.54</v>
      </c>
      <c r="H711">
        <v>4.5199999999999996</v>
      </c>
      <c r="I711">
        <v>3.94</v>
      </c>
      <c r="J711">
        <v>4.13</v>
      </c>
      <c r="K711">
        <v>4.04</v>
      </c>
      <c r="L711">
        <v>4.3899999999999997</v>
      </c>
      <c r="M711">
        <f t="shared" si="33"/>
        <v>4.1399999999999997</v>
      </c>
      <c r="N711">
        <f t="shared" si="34"/>
        <v>4.1399999999999997</v>
      </c>
      <c r="O711">
        <f t="shared" si="35"/>
        <v>4.2039999999999997</v>
      </c>
    </row>
    <row r="712" spans="1:15" ht="15" customHeight="1" x14ac:dyDescent="0.3">
      <c r="A712" t="s">
        <v>1455</v>
      </c>
      <c r="B712" t="s">
        <v>2588</v>
      </c>
      <c r="C712">
        <v>4.18</v>
      </c>
      <c r="D712">
        <v>4.4800000000000004</v>
      </c>
      <c r="E712">
        <v>3.99</v>
      </c>
      <c r="F712">
        <v>4.5</v>
      </c>
      <c r="G712">
        <v>3.74</v>
      </c>
      <c r="H712">
        <v>3.65</v>
      </c>
      <c r="I712">
        <v>3.62</v>
      </c>
      <c r="J712">
        <v>3.87</v>
      </c>
      <c r="K712">
        <v>3.86</v>
      </c>
      <c r="L712">
        <v>4.04</v>
      </c>
      <c r="M712">
        <f t="shared" si="33"/>
        <v>4.1779999999999999</v>
      </c>
      <c r="N712">
        <f t="shared" si="34"/>
        <v>4.18</v>
      </c>
      <c r="O712">
        <f t="shared" si="35"/>
        <v>3.8079999999999998</v>
      </c>
    </row>
    <row r="713" spans="1:15" ht="15" customHeight="1" x14ac:dyDescent="0.3">
      <c r="A713" t="s">
        <v>1457</v>
      </c>
      <c r="B713" t="s">
        <v>1458</v>
      </c>
      <c r="C713">
        <v>4.3899999999999997</v>
      </c>
      <c r="D713">
        <v>4.03</v>
      </c>
      <c r="E713">
        <v>4.4800000000000004</v>
      </c>
      <c r="F713">
        <v>4.12</v>
      </c>
      <c r="G713">
        <v>4.2</v>
      </c>
      <c r="H713">
        <v>4.13</v>
      </c>
      <c r="I713">
        <v>4.3600000000000003</v>
      </c>
      <c r="J713">
        <v>4.3099999999999996</v>
      </c>
      <c r="K713">
        <v>4.47</v>
      </c>
      <c r="L713">
        <v>4.2300000000000004</v>
      </c>
      <c r="M713">
        <f t="shared" si="33"/>
        <v>4.2439999999999998</v>
      </c>
      <c r="N713">
        <f t="shared" si="34"/>
        <v>4.24</v>
      </c>
      <c r="O713">
        <f t="shared" si="35"/>
        <v>4.3</v>
      </c>
    </row>
    <row r="714" spans="1:15" ht="15" customHeight="1" x14ac:dyDescent="0.3">
      <c r="A714" t="s">
        <v>1459</v>
      </c>
      <c r="B714" t="s">
        <v>2589</v>
      </c>
      <c r="C714">
        <v>4.08</v>
      </c>
      <c r="D714">
        <v>3.87</v>
      </c>
      <c r="E714">
        <v>4.13</v>
      </c>
      <c r="F714">
        <v>3.81</v>
      </c>
      <c r="G714" t="s">
        <v>211</v>
      </c>
      <c r="H714">
        <v>4.57</v>
      </c>
      <c r="I714">
        <v>4.1900000000000004</v>
      </c>
      <c r="J714">
        <v>4.83</v>
      </c>
      <c r="K714">
        <v>4.08</v>
      </c>
      <c r="L714">
        <v>3.89</v>
      </c>
      <c r="M714">
        <f t="shared" si="33"/>
        <v>3.9725000000000001</v>
      </c>
      <c r="N714">
        <f t="shared" si="34"/>
        <v>3.97</v>
      </c>
      <c r="O714">
        <f t="shared" si="35"/>
        <v>4.3120000000000003</v>
      </c>
    </row>
    <row r="715" spans="1:15" ht="15" customHeight="1" x14ac:dyDescent="0.3">
      <c r="A715" t="s">
        <v>1461</v>
      </c>
      <c r="B715" t="s">
        <v>2590</v>
      </c>
      <c r="C715">
        <v>3.56</v>
      </c>
      <c r="D715">
        <v>3.74</v>
      </c>
      <c r="E715">
        <v>4.29</v>
      </c>
      <c r="F715">
        <v>4.22</v>
      </c>
      <c r="G715">
        <v>3.82</v>
      </c>
      <c r="H715">
        <v>3.94</v>
      </c>
      <c r="I715">
        <v>4.03</v>
      </c>
      <c r="J715">
        <v>4.1900000000000004</v>
      </c>
      <c r="K715">
        <v>4.32</v>
      </c>
      <c r="L715">
        <v>4.13</v>
      </c>
      <c r="M715">
        <f t="shared" si="33"/>
        <v>3.9259999999999997</v>
      </c>
      <c r="N715">
        <f t="shared" si="34"/>
        <v>3.93</v>
      </c>
      <c r="O715">
        <f t="shared" si="35"/>
        <v>4.1219999999999999</v>
      </c>
    </row>
    <row r="716" spans="1:15" ht="15" customHeight="1" x14ac:dyDescent="0.3">
      <c r="A716" t="s">
        <v>1463</v>
      </c>
      <c r="B716" t="s">
        <v>2591</v>
      </c>
      <c r="C716">
        <v>3.75</v>
      </c>
      <c r="D716">
        <v>4.4800000000000004</v>
      </c>
      <c r="E716">
        <v>4.4400000000000004</v>
      </c>
      <c r="F716">
        <v>3.97</v>
      </c>
      <c r="G716">
        <v>3.53</v>
      </c>
      <c r="H716">
        <v>3.7</v>
      </c>
      <c r="I716">
        <v>3.88</v>
      </c>
      <c r="J716">
        <v>4.07</v>
      </c>
      <c r="K716">
        <v>4.43</v>
      </c>
      <c r="L716">
        <v>4.07</v>
      </c>
      <c r="M716">
        <f t="shared" si="33"/>
        <v>4.0340000000000007</v>
      </c>
      <c r="N716">
        <f t="shared" si="34"/>
        <v>4.03</v>
      </c>
      <c r="O716">
        <f t="shared" si="35"/>
        <v>4.0299999999999994</v>
      </c>
    </row>
    <row r="717" spans="1:15" ht="15" customHeight="1" x14ac:dyDescent="0.3">
      <c r="A717" t="s">
        <v>1465</v>
      </c>
      <c r="B717" t="s">
        <v>1466</v>
      </c>
      <c r="C717">
        <v>4.3099999999999996</v>
      </c>
      <c r="D717">
        <v>4.37</v>
      </c>
      <c r="E717">
        <v>3.97</v>
      </c>
      <c r="F717" t="s">
        <v>211</v>
      </c>
      <c r="G717">
        <v>3.85</v>
      </c>
      <c r="H717">
        <v>3.81</v>
      </c>
      <c r="I717">
        <v>4.13</v>
      </c>
      <c r="J717">
        <v>3.58</v>
      </c>
      <c r="K717" t="s">
        <v>211</v>
      </c>
      <c r="L717">
        <v>4.22</v>
      </c>
      <c r="M717">
        <f t="shared" si="33"/>
        <v>4.125</v>
      </c>
      <c r="N717">
        <f t="shared" si="34"/>
        <v>4.13</v>
      </c>
      <c r="O717">
        <f t="shared" si="35"/>
        <v>3.9349999999999996</v>
      </c>
    </row>
    <row r="718" spans="1:15" ht="15" customHeight="1" x14ac:dyDescent="0.3">
      <c r="A718" t="s">
        <v>1467</v>
      </c>
      <c r="B718" t="s">
        <v>2592</v>
      </c>
      <c r="C718">
        <v>4.16</v>
      </c>
      <c r="D718">
        <v>3.69</v>
      </c>
      <c r="E718">
        <v>4</v>
      </c>
      <c r="F718">
        <v>4.38</v>
      </c>
      <c r="G718">
        <v>4.67</v>
      </c>
      <c r="H718">
        <v>3.81</v>
      </c>
      <c r="I718">
        <v>4.16</v>
      </c>
      <c r="J718">
        <v>3.8</v>
      </c>
      <c r="K718">
        <v>4.54</v>
      </c>
      <c r="L718">
        <v>3.45</v>
      </c>
      <c r="M718">
        <f t="shared" si="33"/>
        <v>4.18</v>
      </c>
      <c r="N718">
        <f t="shared" si="34"/>
        <v>4.18</v>
      </c>
      <c r="O718">
        <f t="shared" si="35"/>
        <v>3.9519999999999995</v>
      </c>
    </row>
    <row r="719" spans="1:15" ht="15" customHeight="1" x14ac:dyDescent="0.3">
      <c r="A719" t="s">
        <v>1469</v>
      </c>
      <c r="B719" t="s">
        <v>2593</v>
      </c>
      <c r="C719">
        <v>4.3099999999999996</v>
      </c>
      <c r="D719">
        <v>3.67</v>
      </c>
      <c r="E719">
        <v>4.26</v>
      </c>
      <c r="F719">
        <v>4.16</v>
      </c>
      <c r="G719">
        <v>4.4000000000000004</v>
      </c>
      <c r="H719" t="s">
        <v>211</v>
      </c>
      <c r="I719">
        <v>4.28</v>
      </c>
      <c r="J719">
        <v>4.18</v>
      </c>
      <c r="K719">
        <v>4.58</v>
      </c>
      <c r="L719">
        <v>3.8</v>
      </c>
      <c r="M719">
        <f t="shared" si="33"/>
        <v>4.1599999999999993</v>
      </c>
      <c r="N719">
        <f t="shared" si="34"/>
        <v>4.16</v>
      </c>
      <c r="O719">
        <f t="shared" si="35"/>
        <v>4.21</v>
      </c>
    </row>
    <row r="720" spans="1:15" ht="15" customHeight="1" x14ac:dyDescent="0.3">
      <c r="A720" t="s">
        <v>1471</v>
      </c>
      <c r="B720" t="s">
        <v>2594</v>
      </c>
      <c r="C720">
        <v>3.72</v>
      </c>
      <c r="D720">
        <v>3.38</v>
      </c>
      <c r="E720">
        <v>4.3</v>
      </c>
      <c r="F720">
        <v>4.33</v>
      </c>
      <c r="G720">
        <v>3.86</v>
      </c>
      <c r="H720">
        <v>3.61</v>
      </c>
      <c r="I720">
        <v>3.89</v>
      </c>
      <c r="J720">
        <v>4.0199999999999996</v>
      </c>
      <c r="K720">
        <v>4.26</v>
      </c>
      <c r="L720">
        <v>4.07</v>
      </c>
      <c r="M720">
        <f t="shared" si="33"/>
        <v>3.9180000000000001</v>
      </c>
      <c r="N720">
        <f t="shared" si="34"/>
        <v>3.92</v>
      </c>
      <c r="O720">
        <f t="shared" si="35"/>
        <v>3.97</v>
      </c>
    </row>
    <row r="721" spans="1:15" ht="15" customHeight="1" x14ac:dyDescent="0.3">
      <c r="A721" t="s">
        <v>1473</v>
      </c>
      <c r="B721" t="s">
        <v>2595</v>
      </c>
      <c r="C721">
        <v>3.89</v>
      </c>
      <c r="D721">
        <v>3.54</v>
      </c>
      <c r="E721">
        <v>4.07</v>
      </c>
      <c r="F721">
        <v>4.57</v>
      </c>
      <c r="G721">
        <v>4.62</v>
      </c>
      <c r="H721">
        <v>3.87</v>
      </c>
      <c r="I721">
        <v>4.34</v>
      </c>
      <c r="J721">
        <v>3.78</v>
      </c>
      <c r="K721">
        <v>3.71</v>
      </c>
      <c r="L721">
        <v>3.77</v>
      </c>
      <c r="M721">
        <f t="shared" si="33"/>
        <v>4.1379999999999999</v>
      </c>
      <c r="N721">
        <f t="shared" si="34"/>
        <v>4.1399999999999997</v>
      </c>
      <c r="O721">
        <f t="shared" si="35"/>
        <v>3.8939999999999997</v>
      </c>
    </row>
    <row r="722" spans="1:15" ht="15" customHeight="1" x14ac:dyDescent="0.3">
      <c r="A722" t="s">
        <v>1475</v>
      </c>
      <c r="B722" t="s">
        <v>1476</v>
      </c>
      <c r="C722">
        <v>4.21</v>
      </c>
      <c r="D722">
        <v>3.94</v>
      </c>
      <c r="E722">
        <v>3.94</v>
      </c>
      <c r="F722">
        <v>4.18</v>
      </c>
      <c r="G722">
        <v>3.99</v>
      </c>
      <c r="H722">
        <v>4.13</v>
      </c>
      <c r="I722">
        <v>3.85</v>
      </c>
      <c r="J722">
        <v>4.0599999999999996</v>
      </c>
      <c r="K722">
        <v>4.34</v>
      </c>
      <c r="L722">
        <v>4</v>
      </c>
      <c r="M722">
        <f t="shared" si="33"/>
        <v>4.0519999999999996</v>
      </c>
      <c r="N722">
        <f t="shared" si="34"/>
        <v>4.05</v>
      </c>
      <c r="O722">
        <f t="shared" si="35"/>
        <v>4.0759999999999996</v>
      </c>
    </row>
    <row r="723" spans="1:15" ht="15" customHeight="1" x14ac:dyDescent="0.3">
      <c r="A723" t="s">
        <v>1477</v>
      </c>
      <c r="B723" t="s">
        <v>1478</v>
      </c>
      <c r="C723">
        <v>4.42</v>
      </c>
      <c r="D723">
        <v>3.54</v>
      </c>
      <c r="E723">
        <v>3.96</v>
      </c>
      <c r="F723">
        <v>4.41</v>
      </c>
      <c r="G723">
        <v>4.05</v>
      </c>
      <c r="H723">
        <v>4.07</v>
      </c>
      <c r="I723">
        <v>3.83</v>
      </c>
      <c r="J723">
        <v>3.82</v>
      </c>
      <c r="K723">
        <v>4.7</v>
      </c>
      <c r="L723">
        <v>3.71</v>
      </c>
      <c r="M723">
        <f t="shared" si="33"/>
        <v>4.0759999999999996</v>
      </c>
      <c r="N723">
        <f t="shared" si="34"/>
        <v>4.08</v>
      </c>
      <c r="O723">
        <f t="shared" si="35"/>
        <v>4.0260000000000007</v>
      </c>
    </row>
    <row r="724" spans="1:15" ht="15" customHeight="1" x14ac:dyDescent="0.3">
      <c r="A724" t="s">
        <v>1479</v>
      </c>
      <c r="B724" t="s">
        <v>1480</v>
      </c>
      <c r="C724">
        <v>4.67</v>
      </c>
      <c r="D724">
        <v>3.78</v>
      </c>
      <c r="E724">
        <v>4.1100000000000003</v>
      </c>
      <c r="F724">
        <v>3.96</v>
      </c>
      <c r="G724">
        <v>4.41</v>
      </c>
      <c r="H724">
        <v>4.0599999999999996</v>
      </c>
      <c r="I724">
        <v>4</v>
      </c>
      <c r="J724">
        <v>4.2</v>
      </c>
      <c r="K724">
        <v>3.75</v>
      </c>
      <c r="L724">
        <v>4.47</v>
      </c>
      <c r="M724">
        <f t="shared" si="33"/>
        <v>4.1859999999999999</v>
      </c>
      <c r="N724">
        <f t="shared" si="34"/>
        <v>4.1900000000000004</v>
      </c>
      <c r="O724">
        <f t="shared" si="35"/>
        <v>4.0959999999999992</v>
      </c>
    </row>
    <row r="725" spans="1:15" ht="15" customHeight="1" x14ac:dyDescent="0.3">
      <c r="A725" t="s">
        <v>1481</v>
      </c>
      <c r="B725" t="s">
        <v>2596</v>
      </c>
      <c r="C725">
        <v>4.3899999999999997</v>
      </c>
      <c r="D725">
        <v>4.07</v>
      </c>
      <c r="E725">
        <v>4.18</v>
      </c>
      <c r="F725">
        <v>4.42</v>
      </c>
      <c r="G725">
        <v>4.3099999999999996</v>
      </c>
      <c r="H725">
        <v>3.85</v>
      </c>
      <c r="I725">
        <v>4.08</v>
      </c>
      <c r="J725">
        <v>4.03</v>
      </c>
      <c r="K725">
        <v>4.08</v>
      </c>
      <c r="L725">
        <v>3.81</v>
      </c>
      <c r="M725">
        <f t="shared" si="33"/>
        <v>4.274</v>
      </c>
      <c r="N725">
        <f t="shared" si="34"/>
        <v>4.2699999999999996</v>
      </c>
      <c r="O725">
        <f t="shared" si="35"/>
        <v>3.9699999999999998</v>
      </c>
    </row>
    <row r="726" spans="1:15" ht="15" customHeight="1" x14ac:dyDescent="0.3">
      <c r="A726" t="s">
        <v>1483</v>
      </c>
      <c r="B726" t="s">
        <v>2597</v>
      </c>
      <c r="C726">
        <v>3.84</v>
      </c>
      <c r="D726">
        <v>4.2699999999999996</v>
      </c>
      <c r="E726">
        <v>4.3600000000000003</v>
      </c>
      <c r="F726">
        <v>3.8</v>
      </c>
      <c r="G726">
        <v>3.93</v>
      </c>
      <c r="H726">
        <v>5.01</v>
      </c>
      <c r="I726">
        <v>3.86</v>
      </c>
      <c r="J726">
        <v>3.76</v>
      </c>
      <c r="K726">
        <v>4.3899999999999997</v>
      </c>
      <c r="L726">
        <v>4.46</v>
      </c>
      <c r="M726">
        <f t="shared" si="33"/>
        <v>4.04</v>
      </c>
      <c r="N726">
        <f t="shared" si="34"/>
        <v>4.04</v>
      </c>
      <c r="O726">
        <f t="shared" si="35"/>
        <v>4.2960000000000003</v>
      </c>
    </row>
    <row r="727" spans="1:15" ht="15" customHeight="1" x14ac:dyDescent="0.3">
      <c r="A727" t="s">
        <v>1485</v>
      </c>
      <c r="B727" t="s">
        <v>2598</v>
      </c>
      <c r="C727">
        <v>4.42</v>
      </c>
      <c r="D727">
        <v>3.71</v>
      </c>
      <c r="E727">
        <v>4.25</v>
      </c>
      <c r="F727">
        <v>4.22</v>
      </c>
      <c r="G727">
        <v>4.2699999999999996</v>
      </c>
      <c r="H727">
        <v>4.3</v>
      </c>
      <c r="I727">
        <v>4.01</v>
      </c>
      <c r="J727">
        <v>4.12</v>
      </c>
      <c r="K727">
        <v>3.66</v>
      </c>
      <c r="L727">
        <v>3.38</v>
      </c>
      <c r="M727">
        <f t="shared" si="33"/>
        <v>4.1739999999999995</v>
      </c>
      <c r="N727">
        <f t="shared" si="34"/>
        <v>4.17</v>
      </c>
      <c r="O727">
        <f t="shared" si="35"/>
        <v>3.8939999999999997</v>
      </c>
    </row>
    <row r="728" spans="1:15" ht="15" customHeight="1" x14ac:dyDescent="0.3">
      <c r="A728" t="s">
        <v>1487</v>
      </c>
      <c r="B728" t="s">
        <v>2599</v>
      </c>
      <c r="C728">
        <v>3.69</v>
      </c>
      <c r="D728">
        <v>4.24</v>
      </c>
      <c r="E728">
        <v>4.21</v>
      </c>
      <c r="F728" t="s">
        <v>211</v>
      </c>
      <c r="G728">
        <v>3.8</v>
      </c>
      <c r="H728">
        <v>4.53</v>
      </c>
      <c r="I728">
        <v>4.33</v>
      </c>
      <c r="J728">
        <v>3.79</v>
      </c>
      <c r="K728">
        <v>4.5999999999999996</v>
      </c>
      <c r="L728">
        <v>3.77</v>
      </c>
      <c r="M728">
        <f t="shared" si="33"/>
        <v>3.9850000000000003</v>
      </c>
      <c r="N728">
        <f t="shared" si="34"/>
        <v>3.99</v>
      </c>
      <c r="O728">
        <f t="shared" si="35"/>
        <v>4.2039999999999997</v>
      </c>
    </row>
    <row r="729" spans="1:15" ht="15" customHeight="1" x14ac:dyDescent="0.3">
      <c r="A729" t="s">
        <v>1489</v>
      </c>
      <c r="B729" t="s">
        <v>2600</v>
      </c>
      <c r="C729">
        <v>4.17</v>
      </c>
      <c r="D729">
        <v>4.1500000000000004</v>
      </c>
      <c r="E729">
        <v>4.2300000000000004</v>
      </c>
      <c r="F729">
        <v>4.07</v>
      </c>
      <c r="G729">
        <v>3.5</v>
      </c>
      <c r="H729">
        <v>4.05</v>
      </c>
      <c r="I729">
        <v>4.09</v>
      </c>
      <c r="J729">
        <v>4.53</v>
      </c>
      <c r="K729">
        <v>3.57</v>
      </c>
      <c r="L729">
        <v>4.78</v>
      </c>
      <c r="M729">
        <f t="shared" si="33"/>
        <v>4.024</v>
      </c>
      <c r="N729">
        <f t="shared" si="34"/>
        <v>4.0199999999999996</v>
      </c>
      <c r="O729">
        <f t="shared" si="35"/>
        <v>4.2040000000000006</v>
      </c>
    </row>
    <row r="730" spans="1:15" ht="15" customHeight="1" x14ac:dyDescent="0.3">
      <c r="A730" t="s">
        <v>1491</v>
      </c>
      <c r="B730" t="s">
        <v>2601</v>
      </c>
      <c r="C730">
        <v>3.79</v>
      </c>
      <c r="D730">
        <v>4.08</v>
      </c>
      <c r="E730">
        <v>4.34</v>
      </c>
      <c r="F730">
        <v>4.22</v>
      </c>
      <c r="G730">
        <v>3.67</v>
      </c>
      <c r="H730">
        <v>3.7</v>
      </c>
      <c r="I730">
        <v>4.1500000000000004</v>
      </c>
      <c r="J730">
        <v>4.29</v>
      </c>
      <c r="K730">
        <v>4.24</v>
      </c>
      <c r="L730">
        <v>4.22</v>
      </c>
      <c r="M730">
        <f t="shared" si="33"/>
        <v>4.0200000000000005</v>
      </c>
      <c r="N730">
        <f t="shared" si="34"/>
        <v>4.0199999999999996</v>
      </c>
      <c r="O730">
        <f t="shared" si="35"/>
        <v>4.12</v>
      </c>
    </row>
    <row r="731" spans="1:15" ht="15" customHeight="1" x14ac:dyDescent="0.3">
      <c r="A731" t="s">
        <v>1493</v>
      </c>
      <c r="B731" t="s">
        <v>2602</v>
      </c>
      <c r="C731">
        <v>4.21</v>
      </c>
      <c r="D731">
        <v>4.5199999999999996</v>
      </c>
      <c r="E731">
        <v>4.2300000000000004</v>
      </c>
      <c r="F731">
        <v>3.59</v>
      </c>
      <c r="G731">
        <v>3.85</v>
      </c>
      <c r="H731">
        <v>4.05</v>
      </c>
      <c r="I731">
        <v>4.4800000000000004</v>
      </c>
      <c r="J731">
        <v>4.03</v>
      </c>
      <c r="K731">
        <v>3.9</v>
      </c>
      <c r="L731">
        <v>3.88</v>
      </c>
      <c r="M731">
        <f t="shared" si="33"/>
        <v>4.08</v>
      </c>
      <c r="N731">
        <f t="shared" si="34"/>
        <v>4.08</v>
      </c>
      <c r="O731">
        <f t="shared" si="35"/>
        <v>4.0679999999999996</v>
      </c>
    </row>
    <row r="732" spans="1:15" ht="15" customHeight="1" x14ac:dyDescent="0.3">
      <c r="A732" t="s">
        <v>1495</v>
      </c>
      <c r="B732" t="s">
        <v>2603</v>
      </c>
      <c r="C732">
        <v>5</v>
      </c>
      <c r="D732">
        <v>4.28</v>
      </c>
      <c r="E732">
        <v>4.3499999999999996</v>
      </c>
      <c r="F732">
        <v>3.9</v>
      </c>
      <c r="G732">
        <v>3.95</v>
      </c>
      <c r="H732">
        <v>3.96</v>
      </c>
      <c r="I732">
        <v>4.3600000000000003</v>
      </c>
      <c r="J732">
        <v>4.1500000000000004</v>
      </c>
      <c r="K732">
        <v>3.89</v>
      </c>
      <c r="L732">
        <v>4.4800000000000004</v>
      </c>
      <c r="M732">
        <f t="shared" si="33"/>
        <v>4.2960000000000003</v>
      </c>
      <c r="N732">
        <f t="shared" si="34"/>
        <v>4.3</v>
      </c>
      <c r="O732">
        <f t="shared" si="35"/>
        <v>4.1680000000000001</v>
      </c>
    </row>
    <row r="733" spans="1:15" ht="15" customHeight="1" x14ac:dyDescent="0.3">
      <c r="A733" t="s">
        <v>1497</v>
      </c>
      <c r="B733" t="s">
        <v>2604</v>
      </c>
      <c r="C733">
        <v>3.86</v>
      </c>
      <c r="D733" t="s">
        <v>1499</v>
      </c>
      <c r="E733">
        <v>3.59</v>
      </c>
      <c r="F733">
        <v>4.0199999999999996</v>
      </c>
      <c r="G733">
        <v>3.97</v>
      </c>
      <c r="H733">
        <v>4.29</v>
      </c>
      <c r="I733">
        <v>3.99</v>
      </c>
      <c r="J733">
        <v>4.34</v>
      </c>
      <c r="K733">
        <v>3.81</v>
      </c>
      <c r="L733">
        <v>4.1900000000000004</v>
      </c>
      <c r="M733">
        <f t="shared" si="33"/>
        <v>3.86</v>
      </c>
      <c r="N733">
        <f t="shared" si="34"/>
        <v>3.86</v>
      </c>
      <c r="O733">
        <f t="shared" si="35"/>
        <v>4.1240000000000006</v>
      </c>
    </row>
    <row r="734" spans="1:15" ht="15" customHeight="1" x14ac:dyDescent="0.3">
      <c r="A734" t="s">
        <v>1500</v>
      </c>
      <c r="B734" t="s">
        <v>2605</v>
      </c>
      <c r="C734">
        <v>4.1500000000000004</v>
      </c>
      <c r="D734">
        <v>4.08</v>
      </c>
      <c r="E734">
        <v>4.04</v>
      </c>
      <c r="F734">
        <v>3.83</v>
      </c>
      <c r="G734">
        <v>3.36</v>
      </c>
      <c r="H734" t="s">
        <v>1502</v>
      </c>
      <c r="I734">
        <v>4.21</v>
      </c>
      <c r="J734">
        <v>4.17</v>
      </c>
      <c r="K734">
        <v>4.34</v>
      </c>
      <c r="L734">
        <v>3.95</v>
      </c>
      <c r="M734">
        <f t="shared" si="33"/>
        <v>3.8920000000000003</v>
      </c>
      <c r="N734">
        <f t="shared" si="34"/>
        <v>3.89</v>
      </c>
      <c r="O734">
        <f t="shared" si="35"/>
        <v>4.1674999999999995</v>
      </c>
    </row>
    <row r="735" spans="1:15" ht="15" customHeight="1" x14ac:dyDescent="0.3">
      <c r="A735" t="s">
        <v>1503</v>
      </c>
      <c r="B735" t="s">
        <v>2606</v>
      </c>
      <c r="C735">
        <v>4.09</v>
      </c>
      <c r="D735">
        <v>4.08</v>
      </c>
      <c r="E735">
        <v>3.45</v>
      </c>
      <c r="F735">
        <v>3.85</v>
      </c>
      <c r="G735">
        <v>3.79</v>
      </c>
      <c r="H735">
        <v>4.51</v>
      </c>
      <c r="I735">
        <v>3.69</v>
      </c>
      <c r="J735">
        <v>4.4800000000000004</v>
      </c>
      <c r="K735">
        <v>3.75</v>
      </c>
      <c r="L735">
        <v>3.99</v>
      </c>
      <c r="M735">
        <f t="shared" si="33"/>
        <v>3.8520000000000003</v>
      </c>
      <c r="N735">
        <f t="shared" si="34"/>
        <v>3.85</v>
      </c>
      <c r="O735">
        <f t="shared" si="35"/>
        <v>4.0840000000000005</v>
      </c>
    </row>
    <row r="736" spans="1:15" ht="15" customHeight="1" x14ac:dyDescent="0.3">
      <c r="A736" t="s">
        <v>1505</v>
      </c>
      <c r="B736" t="s">
        <v>2607</v>
      </c>
      <c r="C736">
        <v>3.93</v>
      </c>
      <c r="D736">
        <v>3.98</v>
      </c>
      <c r="E736">
        <v>4.4000000000000004</v>
      </c>
      <c r="F736">
        <v>4.33</v>
      </c>
      <c r="G736">
        <v>3.98</v>
      </c>
      <c r="H736">
        <v>3.99</v>
      </c>
      <c r="I736">
        <v>4.7</v>
      </c>
      <c r="J736">
        <v>3.92</v>
      </c>
      <c r="K736">
        <v>4.1399999999999997</v>
      </c>
      <c r="L736">
        <v>3.86</v>
      </c>
      <c r="M736">
        <f t="shared" si="33"/>
        <v>4.1240000000000006</v>
      </c>
      <c r="N736">
        <f t="shared" si="34"/>
        <v>4.12</v>
      </c>
      <c r="O736">
        <f t="shared" si="35"/>
        <v>4.1219999999999999</v>
      </c>
    </row>
    <row r="737" spans="1:15" ht="15" customHeight="1" x14ac:dyDescent="0.3">
      <c r="A737" t="s">
        <v>1507</v>
      </c>
      <c r="B737" t="s">
        <v>2608</v>
      </c>
      <c r="C737">
        <v>4.41</v>
      </c>
      <c r="D737">
        <v>4.2300000000000004</v>
      </c>
      <c r="E737">
        <v>3.77</v>
      </c>
      <c r="F737">
        <v>4.4800000000000004</v>
      </c>
      <c r="G737">
        <v>4.26</v>
      </c>
      <c r="H737">
        <v>4.04</v>
      </c>
      <c r="I737">
        <v>4.03</v>
      </c>
      <c r="J737">
        <v>3.96</v>
      </c>
      <c r="K737">
        <v>4.1900000000000004</v>
      </c>
      <c r="L737">
        <v>4.43</v>
      </c>
      <c r="M737">
        <f t="shared" si="33"/>
        <v>4.2299999999999995</v>
      </c>
      <c r="N737">
        <f t="shared" si="34"/>
        <v>4.2300000000000004</v>
      </c>
      <c r="O737">
        <f t="shared" si="35"/>
        <v>4.1300000000000008</v>
      </c>
    </row>
    <row r="738" spans="1:15" ht="15" customHeight="1" x14ac:dyDescent="0.3">
      <c r="A738" t="s">
        <v>1509</v>
      </c>
      <c r="B738" t="s">
        <v>1510</v>
      </c>
      <c r="C738">
        <v>4.33</v>
      </c>
      <c r="D738">
        <v>3.84</v>
      </c>
      <c r="E738">
        <v>3.91</v>
      </c>
      <c r="F738">
        <v>3.36</v>
      </c>
      <c r="G738">
        <v>4.3499999999999996</v>
      </c>
      <c r="H738">
        <v>4.1900000000000004</v>
      </c>
      <c r="I738">
        <v>4.3899999999999997</v>
      </c>
      <c r="J738">
        <v>3.89</v>
      </c>
      <c r="K738">
        <v>4.4800000000000004</v>
      </c>
      <c r="L738">
        <v>4.1100000000000003</v>
      </c>
      <c r="M738">
        <f t="shared" si="33"/>
        <v>3.9579999999999997</v>
      </c>
      <c r="N738">
        <f t="shared" si="34"/>
        <v>3.96</v>
      </c>
      <c r="O738">
        <f t="shared" si="35"/>
        <v>4.2120000000000006</v>
      </c>
    </row>
    <row r="739" spans="1:15" ht="15" customHeight="1" x14ac:dyDescent="0.3">
      <c r="A739" t="s">
        <v>1511</v>
      </c>
      <c r="B739" t="s">
        <v>2609</v>
      </c>
      <c r="C739">
        <v>4.45</v>
      </c>
      <c r="D739">
        <v>4.17</v>
      </c>
      <c r="E739">
        <v>4.1900000000000004</v>
      </c>
      <c r="F739">
        <v>3.58</v>
      </c>
      <c r="G739">
        <v>4.03</v>
      </c>
      <c r="H739">
        <v>3.73</v>
      </c>
      <c r="I739">
        <v>3.79</v>
      </c>
      <c r="J739">
        <v>3.46</v>
      </c>
      <c r="K739">
        <v>4.24</v>
      </c>
      <c r="L739">
        <v>4.0199999999999996</v>
      </c>
      <c r="M739">
        <f t="shared" si="33"/>
        <v>4.0840000000000005</v>
      </c>
      <c r="N739">
        <f t="shared" si="34"/>
        <v>4.08</v>
      </c>
      <c r="O739">
        <f t="shared" si="35"/>
        <v>3.8480000000000003</v>
      </c>
    </row>
    <row r="740" spans="1:15" ht="15" customHeight="1" x14ac:dyDescent="0.3">
      <c r="A740" t="s">
        <v>1513</v>
      </c>
      <c r="B740" t="s">
        <v>2610</v>
      </c>
      <c r="C740">
        <v>3.76</v>
      </c>
      <c r="D740">
        <v>3.93</v>
      </c>
      <c r="E740">
        <v>3.88</v>
      </c>
      <c r="F740">
        <v>3.91</v>
      </c>
      <c r="G740">
        <v>4.47</v>
      </c>
      <c r="H740">
        <v>4.0599999999999996</v>
      </c>
      <c r="I740">
        <v>4.01</v>
      </c>
      <c r="J740">
        <v>4.03</v>
      </c>
      <c r="K740">
        <v>4.4000000000000004</v>
      </c>
      <c r="L740">
        <v>3.88</v>
      </c>
      <c r="M740">
        <f t="shared" si="33"/>
        <v>3.9899999999999998</v>
      </c>
      <c r="N740">
        <f t="shared" si="34"/>
        <v>3.99</v>
      </c>
      <c r="O740">
        <f t="shared" si="35"/>
        <v>4.0759999999999996</v>
      </c>
    </row>
    <row r="741" spans="1:15" ht="15" customHeight="1" x14ac:dyDescent="0.3">
      <c r="A741" t="s">
        <v>1515</v>
      </c>
      <c r="B741" t="s">
        <v>2611</v>
      </c>
      <c r="C741">
        <v>4.0199999999999996</v>
      </c>
      <c r="D741">
        <v>4.68</v>
      </c>
      <c r="E741">
        <v>3.98</v>
      </c>
      <c r="F741">
        <v>4.29</v>
      </c>
      <c r="G741">
        <v>4.22</v>
      </c>
      <c r="H741" t="s">
        <v>211</v>
      </c>
      <c r="I741">
        <v>3.79</v>
      </c>
      <c r="J741">
        <v>3.99</v>
      </c>
      <c r="K741">
        <v>3.56</v>
      </c>
      <c r="L741">
        <v>3.46</v>
      </c>
      <c r="M741">
        <f t="shared" si="33"/>
        <v>4.2379999999999995</v>
      </c>
      <c r="N741">
        <f t="shared" si="34"/>
        <v>4.24</v>
      </c>
      <c r="O741">
        <f t="shared" si="35"/>
        <v>3.7</v>
      </c>
    </row>
    <row r="742" spans="1:15" ht="15" customHeight="1" x14ac:dyDescent="0.3">
      <c r="A742" t="s">
        <v>1517</v>
      </c>
      <c r="B742" t="s">
        <v>1518</v>
      </c>
      <c r="C742">
        <v>3.98</v>
      </c>
      <c r="D742">
        <v>4.6100000000000003</v>
      </c>
      <c r="E742">
        <v>3.9</v>
      </c>
      <c r="F742">
        <v>3.86</v>
      </c>
      <c r="G742">
        <v>4.2300000000000004</v>
      </c>
      <c r="H742">
        <v>3.7</v>
      </c>
      <c r="I742">
        <v>4.3499999999999996</v>
      </c>
      <c r="J742">
        <v>4.05</v>
      </c>
      <c r="K742">
        <v>3.81</v>
      </c>
      <c r="L742">
        <v>3.86</v>
      </c>
      <c r="M742">
        <f t="shared" si="33"/>
        <v>4.1160000000000005</v>
      </c>
      <c r="N742">
        <f t="shared" si="34"/>
        <v>4.12</v>
      </c>
      <c r="O742">
        <f t="shared" si="35"/>
        <v>3.9540000000000006</v>
      </c>
    </row>
    <row r="743" spans="1:15" ht="15" customHeight="1" x14ac:dyDescent="0.3">
      <c r="A743" t="s">
        <v>1519</v>
      </c>
      <c r="B743" t="s">
        <v>2612</v>
      </c>
      <c r="C743">
        <v>3.99</v>
      </c>
      <c r="D743">
        <v>3.73</v>
      </c>
      <c r="E743">
        <v>3.83</v>
      </c>
      <c r="F743">
        <v>3.87</v>
      </c>
      <c r="G743">
        <v>4.5999999999999996</v>
      </c>
      <c r="H743">
        <v>4.26</v>
      </c>
      <c r="I743">
        <v>4.1500000000000004</v>
      </c>
      <c r="J743">
        <v>3.85</v>
      </c>
      <c r="K743">
        <v>4.24</v>
      </c>
      <c r="L743">
        <v>4.01</v>
      </c>
      <c r="M743">
        <f t="shared" si="33"/>
        <v>4.0040000000000004</v>
      </c>
      <c r="N743">
        <f t="shared" si="34"/>
        <v>4</v>
      </c>
      <c r="O743">
        <f t="shared" si="35"/>
        <v>4.1019999999999994</v>
      </c>
    </row>
    <row r="744" spans="1:15" ht="15" customHeight="1" x14ac:dyDescent="0.3">
      <c r="A744" t="s">
        <v>1521</v>
      </c>
      <c r="B744" t="s">
        <v>2613</v>
      </c>
      <c r="C744">
        <v>3.7</v>
      </c>
      <c r="D744" t="s">
        <v>211</v>
      </c>
      <c r="E744" t="s">
        <v>211</v>
      </c>
      <c r="F744">
        <v>3.89</v>
      </c>
      <c r="G744">
        <v>3.97</v>
      </c>
      <c r="H744">
        <v>3.57</v>
      </c>
      <c r="I744">
        <v>4.28</v>
      </c>
      <c r="J744">
        <v>3.97</v>
      </c>
      <c r="K744">
        <v>3.74</v>
      </c>
      <c r="L744">
        <v>3.74</v>
      </c>
      <c r="M744">
        <f t="shared" si="33"/>
        <v>3.8533333333333335</v>
      </c>
      <c r="N744">
        <f t="shared" si="34"/>
        <v>3.85</v>
      </c>
      <c r="O744">
        <f t="shared" si="35"/>
        <v>3.8600000000000003</v>
      </c>
    </row>
    <row r="745" spans="1:15" ht="15" customHeight="1" x14ac:dyDescent="0.3">
      <c r="A745" t="s">
        <v>1523</v>
      </c>
      <c r="B745" t="s">
        <v>2614</v>
      </c>
      <c r="C745">
        <v>4.0999999999999996</v>
      </c>
      <c r="D745">
        <v>4.3</v>
      </c>
      <c r="E745">
        <v>3.54</v>
      </c>
      <c r="F745">
        <v>3.76</v>
      </c>
      <c r="G745">
        <v>4.05</v>
      </c>
      <c r="H745">
        <v>3.86</v>
      </c>
      <c r="I745">
        <v>4.1100000000000003</v>
      </c>
      <c r="J745">
        <v>4.5599999999999996</v>
      </c>
      <c r="K745">
        <v>3.58</v>
      </c>
      <c r="L745">
        <v>4.5599999999999996</v>
      </c>
      <c r="M745">
        <f t="shared" si="33"/>
        <v>3.9499999999999993</v>
      </c>
      <c r="N745">
        <f t="shared" si="34"/>
        <v>3.95</v>
      </c>
      <c r="O745">
        <f t="shared" si="35"/>
        <v>4.1339999999999995</v>
      </c>
    </row>
    <row r="746" spans="1:15" ht="15" customHeight="1" x14ac:dyDescent="0.3">
      <c r="A746" t="s">
        <v>1525</v>
      </c>
      <c r="B746" t="s">
        <v>1526</v>
      </c>
      <c r="C746">
        <v>4.1399999999999997</v>
      </c>
      <c r="D746">
        <v>4.24</v>
      </c>
      <c r="E746">
        <v>4.18</v>
      </c>
      <c r="F746">
        <v>3.89</v>
      </c>
      <c r="G746">
        <v>3.53</v>
      </c>
      <c r="H746">
        <v>4.08</v>
      </c>
      <c r="I746">
        <v>4.01</v>
      </c>
      <c r="J746">
        <v>4</v>
      </c>
      <c r="K746">
        <v>4.1500000000000004</v>
      </c>
      <c r="L746">
        <v>4.22</v>
      </c>
      <c r="M746">
        <f t="shared" si="33"/>
        <v>3.996</v>
      </c>
      <c r="N746">
        <f t="shared" si="34"/>
        <v>4</v>
      </c>
      <c r="O746">
        <f t="shared" si="35"/>
        <v>4.0920000000000005</v>
      </c>
    </row>
    <row r="747" spans="1:15" ht="15" customHeight="1" x14ac:dyDescent="0.3">
      <c r="A747" t="s">
        <v>1527</v>
      </c>
      <c r="B747" t="s">
        <v>2615</v>
      </c>
      <c r="C747">
        <v>4.16</v>
      </c>
      <c r="D747">
        <v>4.0999999999999996</v>
      </c>
      <c r="E747">
        <v>4.07</v>
      </c>
      <c r="F747">
        <v>4.75</v>
      </c>
      <c r="G747">
        <v>4.1900000000000004</v>
      </c>
      <c r="H747">
        <v>4.0199999999999996</v>
      </c>
      <c r="I747">
        <v>3.54</v>
      </c>
      <c r="J747">
        <v>3.96</v>
      </c>
      <c r="K747">
        <v>4.21</v>
      </c>
      <c r="L747">
        <v>3.64</v>
      </c>
      <c r="M747">
        <f t="shared" si="33"/>
        <v>4.2539999999999996</v>
      </c>
      <c r="N747">
        <f t="shared" si="34"/>
        <v>4.25</v>
      </c>
      <c r="O747">
        <f t="shared" si="35"/>
        <v>3.8740000000000001</v>
      </c>
    </row>
    <row r="748" spans="1:15" ht="15" customHeight="1" x14ac:dyDescent="0.3">
      <c r="A748" t="s">
        <v>1529</v>
      </c>
      <c r="B748" t="s">
        <v>2616</v>
      </c>
      <c r="C748">
        <v>4.6399999999999997</v>
      </c>
      <c r="D748">
        <v>4.13</v>
      </c>
      <c r="E748">
        <v>4.09</v>
      </c>
      <c r="F748">
        <v>3.59</v>
      </c>
      <c r="G748">
        <v>4.28</v>
      </c>
      <c r="H748">
        <v>4.12</v>
      </c>
      <c r="I748">
        <v>4.2</v>
      </c>
      <c r="J748" t="s">
        <v>211</v>
      </c>
      <c r="K748">
        <v>4.01</v>
      </c>
      <c r="L748">
        <v>4.01</v>
      </c>
      <c r="M748">
        <f t="shared" si="33"/>
        <v>4.1459999999999999</v>
      </c>
      <c r="N748">
        <f t="shared" si="34"/>
        <v>4.1500000000000004</v>
      </c>
      <c r="O748">
        <f t="shared" si="35"/>
        <v>4.085</v>
      </c>
    </row>
    <row r="749" spans="1:15" ht="15" customHeight="1" x14ac:dyDescent="0.3">
      <c r="A749" t="s">
        <v>1531</v>
      </c>
      <c r="B749" t="s">
        <v>2617</v>
      </c>
      <c r="C749">
        <v>3.48</v>
      </c>
      <c r="D749">
        <v>3.89</v>
      </c>
      <c r="E749">
        <v>4.13</v>
      </c>
      <c r="F749">
        <v>3.94</v>
      </c>
      <c r="G749">
        <v>4.4000000000000004</v>
      </c>
      <c r="H749">
        <v>4.46</v>
      </c>
      <c r="I749">
        <v>4.51</v>
      </c>
      <c r="J749">
        <v>3.68</v>
      </c>
      <c r="K749">
        <v>3.92</v>
      </c>
      <c r="L749">
        <v>4.3899999999999997</v>
      </c>
      <c r="M749">
        <f t="shared" si="33"/>
        <v>3.968</v>
      </c>
      <c r="N749">
        <f t="shared" si="34"/>
        <v>3.97</v>
      </c>
      <c r="O749">
        <f t="shared" si="35"/>
        <v>4.1920000000000002</v>
      </c>
    </row>
    <row r="750" spans="1:15" ht="15" customHeight="1" x14ac:dyDescent="0.3">
      <c r="A750" t="s">
        <v>1533</v>
      </c>
      <c r="B750" t="s">
        <v>2618</v>
      </c>
      <c r="C750" t="s">
        <v>211</v>
      </c>
      <c r="D750">
        <v>3.98</v>
      </c>
      <c r="E750">
        <v>3.99</v>
      </c>
      <c r="F750">
        <v>4.03</v>
      </c>
      <c r="G750">
        <v>4.4400000000000004</v>
      </c>
      <c r="H750">
        <v>4.16</v>
      </c>
      <c r="I750">
        <v>4.58</v>
      </c>
      <c r="J750">
        <v>4.45</v>
      </c>
      <c r="K750">
        <v>4.04</v>
      </c>
      <c r="L750">
        <v>4.0599999999999996</v>
      </c>
      <c r="M750">
        <f t="shared" si="33"/>
        <v>4.1100000000000003</v>
      </c>
      <c r="N750">
        <f t="shared" si="34"/>
        <v>4.1100000000000003</v>
      </c>
      <c r="O750">
        <f t="shared" si="35"/>
        <v>4.258</v>
      </c>
    </row>
    <row r="751" spans="1:15" ht="15" customHeight="1" x14ac:dyDescent="0.3">
      <c r="A751" t="s">
        <v>1535</v>
      </c>
      <c r="B751" t="s">
        <v>2619</v>
      </c>
      <c r="C751">
        <v>4.0999999999999996</v>
      </c>
      <c r="D751">
        <v>4.3600000000000003</v>
      </c>
      <c r="E751">
        <v>3.89</v>
      </c>
      <c r="F751">
        <v>4.26</v>
      </c>
      <c r="G751">
        <v>4.4800000000000004</v>
      </c>
      <c r="H751">
        <v>3.82</v>
      </c>
      <c r="I751">
        <v>3.85</v>
      </c>
      <c r="J751">
        <v>3.58</v>
      </c>
      <c r="K751">
        <v>4.3499999999999996</v>
      </c>
      <c r="L751">
        <v>3.83</v>
      </c>
      <c r="M751">
        <f t="shared" si="33"/>
        <v>4.218</v>
      </c>
      <c r="N751">
        <f t="shared" si="34"/>
        <v>4.22</v>
      </c>
      <c r="O751">
        <f t="shared" si="35"/>
        <v>3.8860000000000001</v>
      </c>
    </row>
    <row r="752" spans="1:15" ht="15" customHeight="1" x14ac:dyDescent="0.3">
      <c r="A752" t="s">
        <v>1537</v>
      </c>
      <c r="B752" t="s">
        <v>1538</v>
      </c>
      <c r="C752">
        <v>4.6900000000000004</v>
      </c>
      <c r="D752">
        <v>4.53</v>
      </c>
      <c r="E752">
        <v>3.77</v>
      </c>
      <c r="F752">
        <v>4.4000000000000004</v>
      </c>
      <c r="G752">
        <v>4.58</v>
      </c>
      <c r="H752">
        <v>4.54</v>
      </c>
      <c r="I752">
        <v>4.6500000000000004</v>
      </c>
      <c r="J752">
        <v>3.72</v>
      </c>
      <c r="K752" t="s">
        <v>211</v>
      </c>
      <c r="L752">
        <v>3.93</v>
      </c>
      <c r="M752">
        <f t="shared" si="33"/>
        <v>4.3940000000000001</v>
      </c>
      <c r="N752">
        <f t="shared" si="34"/>
        <v>4.3899999999999997</v>
      </c>
      <c r="O752">
        <f t="shared" si="35"/>
        <v>4.2100000000000009</v>
      </c>
    </row>
    <row r="753" spans="1:15" ht="15" customHeight="1" x14ac:dyDescent="0.3">
      <c r="A753" t="s">
        <v>1539</v>
      </c>
      <c r="B753" t="s">
        <v>2620</v>
      </c>
      <c r="C753">
        <v>3.66</v>
      </c>
      <c r="D753">
        <v>3.77</v>
      </c>
      <c r="E753">
        <v>4.33</v>
      </c>
      <c r="F753">
        <v>4.43</v>
      </c>
      <c r="G753">
        <v>3.86</v>
      </c>
      <c r="H753">
        <v>4.6100000000000003</v>
      </c>
      <c r="I753">
        <v>3.96</v>
      </c>
      <c r="J753">
        <v>4.17</v>
      </c>
      <c r="K753">
        <v>4.46</v>
      </c>
      <c r="L753">
        <v>3.81</v>
      </c>
      <c r="M753">
        <f t="shared" si="33"/>
        <v>4.01</v>
      </c>
      <c r="N753">
        <f t="shared" si="34"/>
        <v>4.01</v>
      </c>
      <c r="O753">
        <f t="shared" si="35"/>
        <v>4.202</v>
      </c>
    </row>
    <row r="754" spans="1:15" ht="15" customHeight="1" x14ac:dyDescent="0.3">
      <c r="A754" t="s">
        <v>1541</v>
      </c>
      <c r="B754" t="s">
        <v>1542</v>
      </c>
      <c r="C754">
        <v>4.2</v>
      </c>
      <c r="D754">
        <v>3.43</v>
      </c>
      <c r="E754">
        <v>4.5999999999999996</v>
      </c>
      <c r="F754">
        <v>3.97</v>
      </c>
      <c r="G754">
        <v>4.16</v>
      </c>
      <c r="H754">
        <v>4.1900000000000004</v>
      </c>
      <c r="I754">
        <v>3.51</v>
      </c>
      <c r="J754">
        <v>4.24</v>
      </c>
      <c r="K754">
        <v>4.63</v>
      </c>
      <c r="L754">
        <v>3.96</v>
      </c>
      <c r="M754">
        <f t="shared" si="33"/>
        <v>4.0720000000000001</v>
      </c>
      <c r="N754">
        <f t="shared" si="34"/>
        <v>4.07</v>
      </c>
      <c r="O754">
        <f t="shared" si="35"/>
        <v>4.1059999999999999</v>
      </c>
    </row>
    <row r="755" spans="1:15" ht="15" customHeight="1" x14ac:dyDescent="0.3">
      <c r="A755" t="s">
        <v>1543</v>
      </c>
      <c r="B755" t="s">
        <v>2621</v>
      </c>
      <c r="C755">
        <v>4.3</v>
      </c>
      <c r="D755">
        <v>3.99</v>
      </c>
      <c r="E755">
        <v>4.92</v>
      </c>
      <c r="F755">
        <v>4.6100000000000003</v>
      </c>
      <c r="G755">
        <v>4.18</v>
      </c>
      <c r="H755">
        <v>4.34</v>
      </c>
      <c r="I755">
        <v>3.91</v>
      </c>
      <c r="J755">
        <v>4.3499999999999996</v>
      </c>
      <c r="K755">
        <v>3.93</v>
      </c>
      <c r="L755">
        <v>3.74</v>
      </c>
      <c r="M755">
        <f t="shared" si="33"/>
        <v>4.4000000000000004</v>
      </c>
      <c r="N755">
        <f t="shared" si="34"/>
        <v>4.4000000000000004</v>
      </c>
      <c r="O755">
        <f t="shared" si="35"/>
        <v>4.0540000000000003</v>
      </c>
    </row>
    <row r="756" spans="1:15" ht="15" customHeight="1" x14ac:dyDescent="0.3">
      <c r="A756" t="s">
        <v>1545</v>
      </c>
      <c r="B756" t="s">
        <v>2622</v>
      </c>
      <c r="C756" t="s">
        <v>1547</v>
      </c>
      <c r="D756">
        <v>3.61</v>
      </c>
      <c r="E756">
        <v>4.0599999999999996</v>
      </c>
      <c r="F756">
        <v>4.38</v>
      </c>
      <c r="G756">
        <v>3.65</v>
      </c>
      <c r="H756">
        <v>4.0599999999999996</v>
      </c>
      <c r="I756">
        <v>3.47</v>
      </c>
      <c r="J756">
        <v>3.93</v>
      </c>
      <c r="K756">
        <v>3.73</v>
      </c>
      <c r="L756">
        <v>4.33</v>
      </c>
      <c r="M756">
        <f t="shared" si="33"/>
        <v>3.9250000000000003</v>
      </c>
      <c r="N756">
        <f t="shared" si="34"/>
        <v>3.93</v>
      </c>
      <c r="O756">
        <f t="shared" si="35"/>
        <v>3.9039999999999999</v>
      </c>
    </row>
    <row r="757" spans="1:15" ht="15" customHeight="1" x14ac:dyDescent="0.3">
      <c r="A757" t="s">
        <v>1548</v>
      </c>
      <c r="B757" t="s">
        <v>2623</v>
      </c>
      <c r="C757">
        <v>3.62</v>
      </c>
      <c r="D757">
        <v>3.82</v>
      </c>
      <c r="E757">
        <v>4.04</v>
      </c>
      <c r="F757">
        <v>3.55</v>
      </c>
      <c r="G757">
        <v>4.05</v>
      </c>
      <c r="H757">
        <v>4.07</v>
      </c>
      <c r="I757">
        <v>4.1100000000000003</v>
      </c>
      <c r="J757">
        <v>4.05</v>
      </c>
      <c r="K757">
        <v>3.3</v>
      </c>
      <c r="L757">
        <v>3.76</v>
      </c>
      <c r="M757">
        <f t="shared" si="33"/>
        <v>3.8160000000000003</v>
      </c>
      <c r="N757">
        <f t="shared" si="34"/>
        <v>3.82</v>
      </c>
      <c r="O757">
        <f t="shared" si="35"/>
        <v>3.8579999999999997</v>
      </c>
    </row>
    <row r="758" spans="1:15" ht="15" customHeight="1" x14ac:dyDescent="0.3">
      <c r="A758" t="s">
        <v>1550</v>
      </c>
      <c r="B758" t="s">
        <v>2624</v>
      </c>
      <c r="C758">
        <v>4.3099999999999996</v>
      </c>
      <c r="D758">
        <v>3.89</v>
      </c>
      <c r="E758">
        <v>4.37</v>
      </c>
      <c r="F758">
        <v>3.6</v>
      </c>
      <c r="G758">
        <v>4.28</v>
      </c>
      <c r="H758">
        <v>4.32</v>
      </c>
      <c r="I758">
        <v>4.26</v>
      </c>
      <c r="J758">
        <v>3.7</v>
      </c>
      <c r="K758">
        <v>4.3499999999999996</v>
      </c>
      <c r="L758">
        <v>3.91</v>
      </c>
      <c r="M758">
        <f t="shared" si="33"/>
        <v>4.0900000000000007</v>
      </c>
      <c r="N758">
        <f t="shared" si="34"/>
        <v>4.09</v>
      </c>
      <c r="O758">
        <f t="shared" si="35"/>
        <v>4.1080000000000005</v>
      </c>
    </row>
    <row r="759" spans="1:15" ht="15" customHeight="1" x14ac:dyDescent="0.3">
      <c r="A759" t="s">
        <v>1552</v>
      </c>
      <c r="B759" t="s">
        <v>2625</v>
      </c>
      <c r="C759">
        <v>4.21</v>
      </c>
      <c r="D759">
        <v>4.1100000000000003</v>
      </c>
      <c r="E759">
        <v>4.54</v>
      </c>
      <c r="F759" t="s">
        <v>211</v>
      </c>
      <c r="G759">
        <v>4</v>
      </c>
      <c r="H759">
        <v>4.0999999999999996</v>
      </c>
      <c r="I759">
        <v>4.3499999999999996</v>
      </c>
      <c r="J759">
        <v>3.98</v>
      </c>
      <c r="K759">
        <v>3.91</v>
      </c>
      <c r="L759">
        <v>3.6</v>
      </c>
      <c r="M759">
        <f t="shared" si="33"/>
        <v>4.2149999999999999</v>
      </c>
      <c r="N759">
        <f t="shared" si="34"/>
        <v>4.22</v>
      </c>
      <c r="O759">
        <f t="shared" si="35"/>
        <v>3.9880000000000004</v>
      </c>
    </row>
    <row r="760" spans="1:15" ht="15" customHeight="1" x14ac:dyDescent="0.3">
      <c r="A760" t="s">
        <v>1554</v>
      </c>
      <c r="B760" t="s">
        <v>2626</v>
      </c>
      <c r="C760">
        <v>4.3899999999999997</v>
      </c>
      <c r="D760">
        <v>3.5</v>
      </c>
      <c r="E760">
        <v>4.3499999999999996</v>
      </c>
      <c r="F760">
        <v>4.1100000000000003</v>
      </c>
      <c r="G760" t="s">
        <v>211</v>
      </c>
      <c r="H760">
        <v>4.1100000000000003</v>
      </c>
      <c r="I760">
        <v>3.52</v>
      </c>
      <c r="J760">
        <v>3.8</v>
      </c>
      <c r="K760">
        <v>4.17</v>
      </c>
      <c r="L760">
        <v>4.21</v>
      </c>
      <c r="M760">
        <f t="shared" si="33"/>
        <v>4.0874999999999995</v>
      </c>
      <c r="N760">
        <f t="shared" si="34"/>
        <v>4.09</v>
      </c>
      <c r="O760">
        <f t="shared" si="35"/>
        <v>3.9619999999999997</v>
      </c>
    </row>
    <row r="761" spans="1:15" ht="15" customHeight="1" x14ac:dyDescent="0.3">
      <c r="A761" t="s">
        <v>1556</v>
      </c>
      <c r="B761" t="s">
        <v>2627</v>
      </c>
      <c r="C761">
        <v>3.96</v>
      </c>
      <c r="D761">
        <v>3.79</v>
      </c>
      <c r="E761">
        <v>3.8</v>
      </c>
      <c r="F761">
        <v>4.2</v>
      </c>
      <c r="G761">
        <v>4.1500000000000004</v>
      </c>
      <c r="H761">
        <v>3.57</v>
      </c>
      <c r="I761">
        <v>4.01</v>
      </c>
      <c r="J761">
        <v>4.2300000000000004</v>
      </c>
      <c r="K761">
        <v>4.1100000000000003</v>
      </c>
      <c r="L761">
        <v>3.99</v>
      </c>
      <c r="M761">
        <f t="shared" si="33"/>
        <v>3.9799999999999995</v>
      </c>
      <c r="N761">
        <f t="shared" si="34"/>
        <v>3.98</v>
      </c>
      <c r="O761">
        <f t="shared" si="35"/>
        <v>3.9820000000000007</v>
      </c>
    </row>
    <row r="762" spans="1:15" ht="15" customHeight="1" x14ac:dyDescent="0.3">
      <c r="A762" t="s">
        <v>1558</v>
      </c>
      <c r="B762" t="s">
        <v>2628</v>
      </c>
      <c r="C762">
        <v>4.22</v>
      </c>
      <c r="D762">
        <v>4.32</v>
      </c>
      <c r="E762">
        <v>3.36</v>
      </c>
      <c r="F762">
        <v>4.41</v>
      </c>
      <c r="G762">
        <v>3.57</v>
      </c>
      <c r="H762">
        <v>4.1900000000000004</v>
      </c>
      <c r="I762">
        <v>4.03</v>
      </c>
      <c r="J762">
        <v>4.47</v>
      </c>
      <c r="K762">
        <v>3.97</v>
      </c>
      <c r="L762">
        <v>4.2699999999999996</v>
      </c>
      <c r="M762">
        <f t="shared" si="33"/>
        <v>3.976</v>
      </c>
      <c r="N762">
        <f t="shared" si="34"/>
        <v>3.98</v>
      </c>
      <c r="O762">
        <f t="shared" si="35"/>
        <v>4.1859999999999999</v>
      </c>
    </row>
    <row r="763" spans="1:15" ht="15" customHeight="1" x14ac:dyDescent="0.3">
      <c r="A763" t="s">
        <v>1560</v>
      </c>
      <c r="B763" t="s">
        <v>2629</v>
      </c>
      <c r="C763">
        <v>4.43</v>
      </c>
      <c r="D763" t="s">
        <v>211</v>
      </c>
      <c r="E763">
        <v>4.21</v>
      </c>
      <c r="F763">
        <v>4.03</v>
      </c>
      <c r="G763">
        <v>4.16</v>
      </c>
      <c r="H763">
        <v>4.4800000000000004</v>
      </c>
      <c r="I763">
        <v>4.09</v>
      </c>
      <c r="J763">
        <v>4.25</v>
      </c>
      <c r="K763">
        <v>4.04</v>
      </c>
      <c r="L763">
        <v>3.64</v>
      </c>
      <c r="M763">
        <f t="shared" si="33"/>
        <v>4.2075000000000005</v>
      </c>
      <c r="N763">
        <f t="shared" si="34"/>
        <v>4.21</v>
      </c>
      <c r="O763">
        <f t="shared" si="35"/>
        <v>4.0999999999999996</v>
      </c>
    </row>
    <row r="764" spans="1:15" ht="15" customHeight="1" x14ac:dyDescent="0.3">
      <c r="A764" t="s">
        <v>1562</v>
      </c>
      <c r="B764" t="s">
        <v>2630</v>
      </c>
      <c r="C764">
        <v>3.59</v>
      </c>
      <c r="D764">
        <v>4.12</v>
      </c>
      <c r="E764">
        <v>3.79</v>
      </c>
      <c r="F764">
        <v>4.2300000000000004</v>
      </c>
      <c r="G764">
        <v>4.34</v>
      </c>
      <c r="H764">
        <v>4.1500000000000004</v>
      </c>
      <c r="I764">
        <v>3.82</v>
      </c>
      <c r="J764">
        <v>4.17</v>
      </c>
      <c r="K764">
        <v>4.29</v>
      </c>
      <c r="L764">
        <v>4.24</v>
      </c>
      <c r="M764">
        <f t="shared" si="33"/>
        <v>4.0140000000000002</v>
      </c>
      <c r="N764">
        <f t="shared" si="34"/>
        <v>4.01</v>
      </c>
      <c r="O764">
        <f t="shared" si="35"/>
        <v>4.1340000000000003</v>
      </c>
    </row>
    <row r="765" spans="1:15" ht="15" customHeight="1" x14ac:dyDescent="0.3">
      <c r="A765" t="s">
        <v>1564</v>
      </c>
      <c r="B765" t="s">
        <v>2631</v>
      </c>
      <c r="C765">
        <v>4.0599999999999996</v>
      </c>
      <c r="D765">
        <v>4.24</v>
      </c>
      <c r="E765">
        <v>4.22</v>
      </c>
      <c r="F765">
        <v>4.1900000000000004</v>
      </c>
      <c r="G765">
        <v>4.75</v>
      </c>
      <c r="H765">
        <v>4.0999999999999996</v>
      </c>
      <c r="I765">
        <v>4.13</v>
      </c>
      <c r="J765">
        <v>4.25</v>
      </c>
      <c r="K765">
        <v>4.26</v>
      </c>
      <c r="L765">
        <v>3.95</v>
      </c>
      <c r="M765">
        <f t="shared" si="33"/>
        <v>4.2919999999999998</v>
      </c>
      <c r="N765">
        <f t="shared" si="34"/>
        <v>4.29</v>
      </c>
      <c r="O765">
        <f t="shared" si="35"/>
        <v>4.1379999999999999</v>
      </c>
    </row>
    <row r="766" spans="1:15" ht="15" customHeight="1" x14ac:dyDescent="0.3">
      <c r="A766" t="s">
        <v>1566</v>
      </c>
      <c r="B766" t="s">
        <v>2632</v>
      </c>
      <c r="C766">
        <v>3.53</v>
      </c>
      <c r="D766">
        <v>3.83</v>
      </c>
      <c r="E766">
        <v>4.32</v>
      </c>
      <c r="F766">
        <v>4.13</v>
      </c>
      <c r="G766">
        <v>4.09</v>
      </c>
      <c r="H766">
        <v>4.04</v>
      </c>
      <c r="I766">
        <v>3.89</v>
      </c>
      <c r="J766">
        <v>4.25</v>
      </c>
      <c r="K766">
        <v>3.88</v>
      </c>
      <c r="L766">
        <v>4.18</v>
      </c>
      <c r="M766">
        <f t="shared" si="33"/>
        <v>3.9799999999999995</v>
      </c>
      <c r="N766">
        <f t="shared" si="34"/>
        <v>3.98</v>
      </c>
      <c r="O766">
        <f t="shared" si="35"/>
        <v>4.048</v>
      </c>
    </row>
    <row r="767" spans="1:15" ht="15" customHeight="1" x14ac:dyDescent="0.3">
      <c r="A767" t="s">
        <v>1568</v>
      </c>
      <c r="B767" t="s">
        <v>2633</v>
      </c>
      <c r="C767">
        <v>4.54</v>
      </c>
      <c r="D767">
        <v>3.97</v>
      </c>
      <c r="E767">
        <v>4.32</v>
      </c>
      <c r="F767">
        <v>4.24</v>
      </c>
      <c r="G767">
        <v>4.04</v>
      </c>
      <c r="H767">
        <v>3.9</v>
      </c>
      <c r="I767">
        <v>4.1100000000000003</v>
      </c>
      <c r="J767">
        <v>3.88</v>
      </c>
      <c r="K767">
        <v>3.78</v>
      </c>
      <c r="L767">
        <v>3.89</v>
      </c>
      <c r="M767">
        <f t="shared" si="33"/>
        <v>4.2219999999999995</v>
      </c>
      <c r="N767">
        <f t="shared" si="34"/>
        <v>4.22</v>
      </c>
      <c r="O767">
        <f t="shared" si="35"/>
        <v>3.9119999999999999</v>
      </c>
    </row>
    <row r="768" spans="1:15" ht="15" customHeight="1" x14ac:dyDescent="0.3">
      <c r="A768" t="s">
        <v>1570</v>
      </c>
      <c r="B768" t="s">
        <v>2634</v>
      </c>
      <c r="C768">
        <v>4</v>
      </c>
      <c r="D768">
        <v>4.2300000000000004</v>
      </c>
      <c r="E768">
        <v>3.4</v>
      </c>
      <c r="F768">
        <v>4.2</v>
      </c>
      <c r="G768">
        <v>4.47</v>
      </c>
      <c r="H768">
        <v>4.33</v>
      </c>
      <c r="I768">
        <v>4.4800000000000004</v>
      </c>
      <c r="J768">
        <v>3.66</v>
      </c>
      <c r="K768">
        <v>3.74</v>
      </c>
      <c r="L768">
        <v>3.6</v>
      </c>
      <c r="M768">
        <f t="shared" si="33"/>
        <v>4.0600000000000005</v>
      </c>
      <c r="N768">
        <f t="shared" si="34"/>
        <v>4.0599999999999996</v>
      </c>
      <c r="O768">
        <f t="shared" si="35"/>
        <v>3.9620000000000006</v>
      </c>
    </row>
    <row r="769" spans="1:15" ht="15" customHeight="1" x14ac:dyDescent="0.3">
      <c r="A769" t="s">
        <v>1572</v>
      </c>
      <c r="B769" t="s">
        <v>2635</v>
      </c>
      <c r="C769">
        <v>3.54</v>
      </c>
      <c r="D769">
        <v>4</v>
      </c>
      <c r="E769">
        <v>3.62</v>
      </c>
      <c r="F769">
        <v>3.45</v>
      </c>
      <c r="G769">
        <v>3.74</v>
      </c>
      <c r="H769">
        <v>4.5199999999999996</v>
      </c>
      <c r="I769">
        <v>3.89</v>
      </c>
      <c r="J769">
        <v>4.3099999999999996</v>
      </c>
      <c r="K769">
        <v>4.26</v>
      </c>
      <c r="L769">
        <v>3.78</v>
      </c>
      <c r="M769">
        <f t="shared" si="33"/>
        <v>3.6700000000000004</v>
      </c>
      <c r="N769">
        <f t="shared" si="34"/>
        <v>3.67</v>
      </c>
      <c r="O769">
        <f t="shared" si="35"/>
        <v>4.1519999999999992</v>
      </c>
    </row>
    <row r="770" spans="1:15" ht="15" customHeight="1" x14ac:dyDescent="0.3">
      <c r="A770" t="s">
        <v>1574</v>
      </c>
      <c r="B770" t="s">
        <v>2636</v>
      </c>
      <c r="C770">
        <v>4.16</v>
      </c>
      <c r="D770">
        <v>4.47</v>
      </c>
      <c r="E770">
        <v>4.21</v>
      </c>
      <c r="F770">
        <v>4.13</v>
      </c>
      <c r="G770">
        <v>3.79</v>
      </c>
      <c r="H770">
        <v>3.78</v>
      </c>
      <c r="I770">
        <v>4.1100000000000003</v>
      </c>
      <c r="J770">
        <v>3.88</v>
      </c>
      <c r="K770">
        <v>4.33</v>
      </c>
      <c r="L770">
        <v>3.76</v>
      </c>
      <c r="M770">
        <f t="shared" ref="M770:M833" si="36">AVERAGE(C770:G770)</f>
        <v>4.1519999999999992</v>
      </c>
      <c r="N770">
        <f t="shared" ref="N770:N833" si="37">ROUND(M770,2)</f>
        <v>4.1500000000000004</v>
      </c>
      <c r="O770">
        <f t="shared" ref="O770:O833" si="38">AVERAGE(H770:L770)</f>
        <v>3.972</v>
      </c>
    </row>
    <row r="771" spans="1:15" ht="15" customHeight="1" x14ac:dyDescent="0.3">
      <c r="A771" t="s">
        <v>1576</v>
      </c>
      <c r="B771" t="s">
        <v>2637</v>
      </c>
      <c r="C771">
        <v>4.28</v>
      </c>
      <c r="D771">
        <v>4.2</v>
      </c>
      <c r="E771">
        <v>4.22</v>
      </c>
      <c r="F771">
        <v>3.97</v>
      </c>
      <c r="G771">
        <v>3.99</v>
      </c>
      <c r="H771">
        <v>4.3499999999999996</v>
      </c>
      <c r="I771">
        <v>4.22</v>
      </c>
      <c r="J771">
        <v>4.16</v>
      </c>
      <c r="K771">
        <v>4.08</v>
      </c>
      <c r="L771">
        <v>3.81</v>
      </c>
      <c r="M771">
        <f t="shared" si="36"/>
        <v>4.1319999999999997</v>
      </c>
      <c r="N771">
        <f t="shared" si="37"/>
        <v>4.13</v>
      </c>
      <c r="O771">
        <f t="shared" si="38"/>
        <v>4.1240000000000006</v>
      </c>
    </row>
    <row r="772" spans="1:15" ht="15" customHeight="1" x14ac:dyDescent="0.3">
      <c r="A772" t="s">
        <v>1578</v>
      </c>
      <c r="B772" t="s">
        <v>2638</v>
      </c>
      <c r="C772">
        <v>4.08</v>
      </c>
      <c r="D772">
        <v>3.71</v>
      </c>
      <c r="E772">
        <v>4.72</v>
      </c>
      <c r="F772">
        <v>3.7</v>
      </c>
      <c r="G772">
        <v>4.41</v>
      </c>
      <c r="H772">
        <v>3.98</v>
      </c>
      <c r="I772">
        <v>3.88</v>
      </c>
      <c r="J772">
        <v>4.25</v>
      </c>
      <c r="K772">
        <v>3.68</v>
      </c>
      <c r="L772">
        <v>4.29</v>
      </c>
      <c r="M772">
        <f t="shared" si="36"/>
        <v>4.1240000000000006</v>
      </c>
      <c r="N772">
        <f t="shared" si="37"/>
        <v>4.12</v>
      </c>
      <c r="O772">
        <f t="shared" si="38"/>
        <v>4.016</v>
      </c>
    </row>
    <row r="773" spans="1:15" ht="15" customHeight="1" x14ac:dyDescent="0.3">
      <c r="A773" t="s">
        <v>1580</v>
      </c>
      <c r="B773" t="s">
        <v>2639</v>
      </c>
      <c r="C773">
        <v>3.64</v>
      </c>
      <c r="D773">
        <v>4.51</v>
      </c>
      <c r="E773">
        <v>4.3499999999999996</v>
      </c>
      <c r="F773">
        <v>3.96</v>
      </c>
      <c r="G773">
        <v>3.89</v>
      </c>
      <c r="H773">
        <v>3.7</v>
      </c>
      <c r="I773">
        <v>4</v>
      </c>
      <c r="J773">
        <v>4.7</v>
      </c>
      <c r="K773">
        <v>3.87</v>
      </c>
      <c r="L773">
        <v>3.64</v>
      </c>
      <c r="M773">
        <f t="shared" si="36"/>
        <v>4.07</v>
      </c>
      <c r="N773">
        <f t="shared" si="37"/>
        <v>4.07</v>
      </c>
      <c r="O773">
        <f t="shared" si="38"/>
        <v>3.9820000000000002</v>
      </c>
    </row>
    <row r="774" spans="1:15" ht="15" customHeight="1" x14ac:dyDescent="0.3">
      <c r="A774" t="s">
        <v>1582</v>
      </c>
      <c r="B774" t="s">
        <v>2640</v>
      </c>
      <c r="C774">
        <v>3.92</v>
      </c>
      <c r="D774">
        <v>3.66</v>
      </c>
      <c r="E774">
        <v>4.1399999999999997</v>
      </c>
      <c r="F774">
        <v>4.17</v>
      </c>
      <c r="G774">
        <v>3.75</v>
      </c>
      <c r="H774">
        <v>4.34</v>
      </c>
      <c r="I774">
        <v>4.1900000000000004</v>
      </c>
      <c r="J774">
        <v>3.87</v>
      </c>
      <c r="K774">
        <v>4.38</v>
      </c>
      <c r="L774">
        <v>3.71</v>
      </c>
      <c r="M774">
        <f t="shared" si="36"/>
        <v>3.9279999999999999</v>
      </c>
      <c r="N774">
        <f t="shared" si="37"/>
        <v>3.93</v>
      </c>
      <c r="O774">
        <f t="shared" si="38"/>
        <v>4.0980000000000008</v>
      </c>
    </row>
    <row r="775" spans="1:15" ht="15" customHeight="1" x14ac:dyDescent="0.3">
      <c r="A775" t="s">
        <v>1584</v>
      </c>
      <c r="B775" t="s">
        <v>2641</v>
      </c>
      <c r="C775">
        <v>3.66</v>
      </c>
      <c r="D775">
        <v>4.13</v>
      </c>
      <c r="E775">
        <v>4.1100000000000003</v>
      </c>
      <c r="F775">
        <v>3.91</v>
      </c>
      <c r="G775">
        <v>4.12</v>
      </c>
      <c r="H775">
        <v>4.1900000000000004</v>
      </c>
      <c r="I775">
        <v>4.3600000000000003</v>
      </c>
      <c r="J775">
        <v>3.97</v>
      </c>
      <c r="K775">
        <v>3.75</v>
      </c>
      <c r="L775">
        <v>4.18</v>
      </c>
      <c r="M775">
        <f t="shared" si="36"/>
        <v>3.9859999999999998</v>
      </c>
      <c r="N775">
        <f t="shared" si="37"/>
        <v>3.99</v>
      </c>
      <c r="O775">
        <f t="shared" si="38"/>
        <v>4.0900000000000007</v>
      </c>
    </row>
    <row r="776" spans="1:15" ht="15" customHeight="1" x14ac:dyDescent="0.3">
      <c r="A776" t="s">
        <v>1586</v>
      </c>
      <c r="B776" t="s">
        <v>2642</v>
      </c>
      <c r="C776">
        <v>3.81</v>
      </c>
      <c r="D776">
        <v>4.41</v>
      </c>
      <c r="E776">
        <v>4.17</v>
      </c>
      <c r="F776">
        <v>4.5599999999999996</v>
      </c>
      <c r="G776">
        <v>4.32</v>
      </c>
      <c r="H776">
        <v>4.28</v>
      </c>
      <c r="I776">
        <v>3.3</v>
      </c>
      <c r="J776">
        <v>3.83</v>
      </c>
      <c r="K776">
        <v>4.1900000000000004</v>
      </c>
      <c r="L776">
        <v>4.2300000000000004</v>
      </c>
      <c r="M776">
        <f t="shared" si="36"/>
        <v>4.2539999999999996</v>
      </c>
      <c r="N776">
        <f t="shared" si="37"/>
        <v>4.25</v>
      </c>
      <c r="O776">
        <f t="shared" si="38"/>
        <v>3.9660000000000002</v>
      </c>
    </row>
    <row r="777" spans="1:15" ht="15" customHeight="1" x14ac:dyDescent="0.3">
      <c r="A777" t="s">
        <v>1588</v>
      </c>
      <c r="B777" t="s">
        <v>2643</v>
      </c>
      <c r="C777">
        <v>4.59</v>
      </c>
      <c r="D777">
        <v>4.2699999999999996</v>
      </c>
      <c r="E777">
        <v>4.2699999999999996</v>
      </c>
      <c r="F777">
        <v>3.19</v>
      </c>
      <c r="G777">
        <v>4.0999999999999996</v>
      </c>
      <c r="H777">
        <v>4.26</v>
      </c>
      <c r="I777">
        <v>4.58</v>
      </c>
      <c r="J777">
        <v>4.13</v>
      </c>
      <c r="K777">
        <v>3.83</v>
      </c>
      <c r="L777">
        <v>4.16</v>
      </c>
      <c r="M777">
        <f t="shared" si="36"/>
        <v>4.0840000000000005</v>
      </c>
      <c r="N777">
        <f t="shared" si="37"/>
        <v>4.08</v>
      </c>
      <c r="O777">
        <f t="shared" si="38"/>
        <v>4.1919999999999993</v>
      </c>
    </row>
    <row r="778" spans="1:15" ht="15" customHeight="1" x14ac:dyDescent="0.3">
      <c r="A778" t="s">
        <v>1590</v>
      </c>
      <c r="B778" t="s">
        <v>2644</v>
      </c>
      <c r="C778">
        <v>4.21</v>
      </c>
      <c r="D778">
        <v>4.25</v>
      </c>
      <c r="E778">
        <v>4.62</v>
      </c>
      <c r="F778">
        <v>4.37</v>
      </c>
      <c r="G778">
        <v>3.73</v>
      </c>
      <c r="H778">
        <v>4.1500000000000004</v>
      </c>
      <c r="I778">
        <v>4.2</v>
      </c>
      <c r="J778">
        <v>4.71</v>
      </c>
      <c r="K778" t="s">
        <v>211</v>
      </c>
      <c r="L778">
        <v>4.1500000000000004</v>
      </c>
      <c r="M778">
        <f t="shared" si="36"/>
        <v>4.2360000000000007</v>
      </c>
      <c r="N778">
        <f t="shared" si="37"/>
        <v>4.24</v>
      </c>
      <c r="O778">
        <f t="shared" si="38"/>
        <v>4.3025000000000002</v>
      </c>
    </row>
    <row r="779" spans="1:15" ht="15" customHeight="1" x14ac:dyDescent="0.3">
      <c r="A779" t="s">
        <v>1592</v>
      </c>
      <c r="B779" t="s">
        <v>1593</v>
      </c>
      <c r="C779">
        <v>4.3099999999999996</v>
      </c>
      <c r="D779">
        <v>3.99</v>
      </c>
      <c r="E779">
        <v>4.29</v>
      </c>
      <c r="F779">
        <v>4.7699999999999996</v>
      </c>
      <c r="G779">
        <v>3.66</v>
      </c>
      <c r="H779">
        <v>4.0999999999999996</v>
      </c>
      <c r="I779">
        <v>4.2300000000000004</v>
      </c>
      <c r="J779">
        <v>3.24</v>
      </c>
      <c r="K779">
        <v>3.4</v>
      </c>
      <c r="L779">
        <v>4.32</v>
      </c>
      <c r="M779">
        <f t="shared" si="36"/>
        <v>4.2039999999999997</v>
      </c>
      <c r="N779">
        <f t="shared" si="37"/>
        <v>4.2</v>
      </c>
      <c r="O779">
        <f t="shared" si="38"/>
        <v>3.8579999999999997</v>
      </c>
    </row>
    <row r="780" spans="1:15" ht="15" customHeight="1" x14ac:dyDescent="0.3">
      <c r="A780" t="s">
        <v>1594</v>
      </c>
      <c r="B780" t="s">
        <v>2645</v>
      </c>
      <c r="C780">
        <v>4.2300000000000004</v>
      </c>
      <c r="D780" t="s">
        <v>211</v>
      </c>
      <c r="E780">
        <v>4.22</v>
      </c>
      <c r="F780">
        <v>3.92</v>
      </c>
      <c r="G780">
        <v>3.98</v>
      </c>
      <c r="H780">
        <v>3.64</v>
      </c>
      <c r="I780">
        <v>4.34</v>
      </c>
      <c r="J780">
        <v>4.42</v>
      </c>
      <c r="K780">
        <v>4.28</v>
      </c>
      <c r="L780">
        <v>3.58</v>
      </c>
      <c r="M780">
        <f t="shared" si="36"/>
        <v>4.0874999999999995</v>
      </c>
      <c r="N780">
        <f t="shared" si="37"/>
        <v>4.09</v>
      </c>
      <c r="O780">
        <f t="shared" si="38"/>
        <v>4.0519999999999996</v>
      </c>
    </row>
    <row r="781" spans="1:15" ht="15" customHeight="1" x14ac:dyDescent="0.3">
      <c r="A781" t="s">
        <v>1596</v>
      </c>
      <c r="B781" t="s">
        <v>1597</v>
      </c>
      <c r="C781">
        <v>4.26</v>
      </c>
      <c r="D781">
        <v>4.34</v>
      </c>
      <c r="E781">
        <v>4.43</v>
      </c>
      <c r="F781">
        <v>4.5599999999999996</v>
      </c>
      <c r="G781">
        <v>4.6900000000000004</v>
      </c>
      <c r="H781">
        <v>4.5999999999999996</v>
      </c>
      <c r="I781">
        <v>3.73</v>
      </c>
      <c r="J781">
        <v>4.2699999999999996</v>
      </c>
      <c r="K781">
        <v>4.4000000000000004</v>
      </c>
      <c r="L781">
        <v>4.0599999999999996</v>
      </c>
      <c r="M781">
        <f t="shared" si="36"/>
        <v>4.4560000000000004</v>
      </c>
      <c r="N781">
        <f t="shared" si="37"/>
        <v>4.46</v>
      </c>
      <c r="O781">
        <f t="shared" si="38"/>
        <v>4.2119999999999997</v>
      </c>
    </row>
    <row r="782" spans="1:15" ht="15" customHeight="1" x14ac:dyDescent="0.3">
      <c r="A782" t="s">
        <v>1598</v>
      </c>
      <c r="B782" t="s">
        <v>2646</v>
      </c>
      <c r="C782" t="s">
        <v>1600</v>
      </c>
      <c r="D782">
        <v>3.73</v>
      </c>
      <c r="E782">
        <v>4.57</v>
      </c>
      <c r="F782">
        <v>4.17</v>
      </c>
      <c r="G782">
        <v>4.24</v>
      </c>
      <c r="H782">
        <v>4.51</v>
      </c>
      <c r="I782">
        <v>4.12</v>
      </c>
      <c r="J782">
        <v>3.62</v>
      </c>
      <c r="K782">
        <v>4.0999999999999996</v>
      </c>
      <c r="L782">
        <v>4.26</v>
      </c>
      <c r="M782">
        <f t="shared" si="36"/>
        <v>4.1775000000000002</v>
      </c>
      <c r="N782">
        <f t="shared" si="37"/>
        <v>4.18</v>
      </c>
      <c r="O782">
        <f t="shared" si="38"/>
        <v>4.1219999999999999</v>
      </c>
    </row>
    <row r="783" spans="1:15" ht="15" customHeight="1" x14ac:dyDescent="0.3">
      <c r="A783" t="s">
        <v>1601</v>
      </c>
      <c r="B783" t="s">
        <v>2647</v>
      </c>
      <c r="C783">
        <v>3.84</v>
      </c>
      <c r="D783">
        <v>4.2699999999999996</v>
      </c>
      <c r="E783">
        <v>3.96</v>
      </c>
      <c r="F783">
        <v>4.3099999999999996</v>
      </c>
      <c r="G783">
        <v>4.12</v>
      </c>
      <c r="H783">
        <v>3.9</v>
      </c>
      <c r="I783">
        <v>2.86</v>
      </c>
      <c r="J783">
        <v>4.0599999999999996</v>
      </c>
      <c r="K783">
        <v>3.79</v>
      </c>
      <c r="L783">
        <v>4.2</v>
      </c>
      <c r="M783">
        <f t="shared" si="36"/>
        <v>4.0999999999999996</v>
      </c>
      <c r="N783">
        <f t="shared" si="37"/>
        <v>4.0999999999999996</v>
      </c>
      <c r="O783">
        <f t="shared" si="38"/>
        <v>3.7619999999999996</v>
      </c>
    </row>
    <row r="784" spans="1:15" ht="15" customHeight="1" x14ac:dyDescent="0.3">
      <c r="A784" t="s">
        <v>1603</v>
      </c>
      <c r="B784" t="s">
        <v>2648</v>
      </c>
      <c r="C784">
        <v>3.51</v>
      </c>
      <c r="D784">
        <v>3.97</v>
      </c>
      <c r="E784">
        <v>4.2</v>
      </c>
      <c r="F784">
        <v>4.18</v>
      </c>
      <c r="G784">
        <v>3.87</v>
      </c>
      <c r="H784">
        <v>4.1399999999999997</v>
      </c>
      <c r="I784">
        <v>3.72</v>
      </c>
      <c r="J784">
        <v>3.83</v>
      </c>
      <c r="K784" t="s">
        <v>211</v>
      </c>
      <c r="L784" t="s">
        <v>211</v>
      </c>
      <c r="M784">
        <f t="shared" si="36"/>
        <v>3.9460000000000002</v>
      </c>
      <c r="N784">
        <f t="shared" si="37"/>
        <v>3.95</v>
      </c>
      <c r="O784">
        <f t="shared" si="38"/>
        <v>3.8966666666666665</v>
      </c>
    </row>
    <row r="785" spans="1:15" ht="15" customHeight="1" x14ac:dyDescent="0.3">
      <c r="A785" t="s">
        <v>1605</v>
      </c>
      <c r="B785" t="s">
        <v>2649</v>
      </c>
      <c r="C785">
        <v>3.83</v>
      </c>
      <c r="D785">
        <v>3.33</v>
      </c>
      <c r="E785">
        <v>4.17</v>
      </c>
      <c r="F785">
        <v>3.97</v>
      </c>
      <c r="G785">
        <v>4.57</v>
      </c>
      <c r="H785">
        <v>4.37</v>
      </c>
      <c r="I785">
        <v>4.0999999999999996</v>
      </c>
      <c r="J785">
        <v>4.08</v>
      </c>
      <c r="K785">
        <v>4.1900000000000004</v>
      </c>
      <c r="L785">
        <v>3.99</v>
      </c>
      <c r="M785">
        <f t="shared" si="36"/>
        <v>3.9740000000000002</v>
      </c>
      <c r="N785">
        <f t="shared" si="37"/>
        <v>3.97</v>
      </c>
      <c r="O785">
        <f t="shared" si="38"/>
        <v>4.145999999999999</v>
      </c>
    </row>
    <row r="786" spans="1:15" ht="15" customHeight="1" x14ac:dyDescent="0.3">
      <c r="A786" t="s">
        <v>1607</v>
      </c>
      <c r="B786" t="s">
        <v>2650</v>
      </c>
      <c r="C786">
        <v>4.33</v>
      </c>
      <c r="D786">
        <v>4.25</v>
      </c>
      <c r="E786">
        <v>3.98</v>
      </c>
      <c r="F786">
        <v>4.01</v>
      </c>
      <c r="G786">
        <v>3.97</v>
      </c>
      <c r="H786">
        <v>4.37</v>
      </c>
      <c r="I786">
        <v>4.1100000000000003</v>
      </c>
      <c r="J786">
        <v>4.4000000000000004</v>
      </c>
      <c r="K786">
        <v>3.9</v>
      </c>
      <c r="L786">
        <v>4.1900000000000004</v>
      </c>
      <c r="M786">
        <f t="shared" si="36"/>
        <v>4.1079999999999997</v>
      </c>
      <c r="N786">
        <f t="shared" si="37"/>
        <v>4.1100000000000003</v>
      </c>
      <c r="O786">
        <f t="shared" si="38"/>
        <v>4.1940000000000008</v>
      </c>
    </row>
    <row r="787" spans="1:15" ht="15" customHeight="1" x14ac:dyDescent="0.3">
      <c r="A787" t="s">
        <v>1609</v>
      </c>
      <c r="B787" t="s">
        <v>2651</v>
      </c>
      <c r="C787">
        <v>3.71</v>
      </c>
      <c r="D787">
        <v>4.51</v>
      </c>
      <c r="E787">
        <v>3.37</v>
      </c>
      <c r="F787">
        <v>4.21</v>
      </c>
      <c r="G787">
        <v>3.71</v>
      </c>
      <c r="H787">
        <v>3.61</v>
      </c>
      <c r="I787">
        <v>3.45</v>
      </c>
      <c r="J787">
        <v>4.51</v>
      </c>
      <c r="K787">
        <v>4.13</v>
      </c>
      <c r="L787">
        <v>3.68</v>
      </c>
      <c r="M787">
        <f t="shared" si="36"/>
        <v>3.9020000000000001</v>
      </c>
      <c r="N787">
        <f t="shared" si="37"/>
        <v>3.9</v>
      </c>
      <c r="O787">
        <f t="shared" si="38"/>
        <v>3.8759999999999999</v>
      </c>
    </row>
    <row r="788" spans="1:15" ht="15" customHeight="1" x14ac:dyDescent="0.3">
      <c r="A788" t="s">
        <v>1611</v>
      </c>
      <c r="B788" t="s">
        <v>1612</v>
      </c>
      <c r="C788">
        <v>3.81</v>
      </c>
      <c r="D788">
        <v>4.7</v>
      </c>
      <c r="E788">
        <v>4.45</v>
      </c>
      <c r="F788">
        <v>3.79</v>
      </c>
      <c r="G788">
        <v>4.75</v>
      </c>
      <c r="H788">
        <v>4.07</v>
      </c>
      <c r="I788">
        <v>4.12</v>
      </c>
      <c r="J788">
        <v>4.07</v>
      </c>
      <c r="K788">
        <v>4.2</v>
      </c>
      <c r="L788">
        <v>3.46</v>
      </c>
      <c r="M788">
        <f t="shared" si="36"/>
        <v>4.3</v>
      </c>
      <c r="N788">
        <f t="shared" si="37"/>
        <v>4.3</v>
      </c>
      <c r="O788">
        <f t="shared" si="38"/>
        <v>3.9840000000000004</v>
      </c>
    </row>
    <row r="789" spans="1:15" ht="15" customHeight="1" x14ac:dyDescent="0.3">
      <c r="A789" t="s">
        <v>1613</v>
      </c>
      <c r="B789" t="s">
        <v>2652</v>
      </c>
      <c r="C789">
        <v>3.64</v>
      </c>
      <c r="D789">
        <v>4.75</v>
      </c>
      <c r="E789">
        <v>4.29</v>
      </c>
      <c r="F789">
        <v>4.04</v>
      </c>
      <c r="G789">
        <v>4.26</v>
      </c>
      <c r="H789">
        <v>4.0199999999999996</v>
      </c>
      <c r="I789">
        <v>3.68</v>
      </c>
      <c r="J789">
        <v>3.58</v>
      </c>
      <c r="K789">
        <v>4.18</v>
      </c>
      <c r="L789" t="s">
        <v>211</v>
      </c>
      <c r="M789">
        <f t="shared" si="36"/>
        <v>4.1959999999999997</v>
      </c>
      <c r="N789">
        <f t="shared" si="37"/>
        <v>4.2</v>
      </c>
      <c r="O789">
        <f t="shared" si="38"/>
        <v>3.8649999999999998</v>
      </c>
    </row>
    <row r="790" spans="1:15" ht="15" customHeight="1" x14ac:dyDescent="0.3">
      <c r="A790" t="s">
        <v>1615</v>
      </c>
      <c r="B790" t="s">
        <v>2653</v>
      </c>
      <c r="C790">
        <v>4.25</v>
      </c>
      <c r="D790">
        <v>4.0199999999999996</v>
      </c>
      <c r="E790">
        <v>4.37</v>
      </c>
      <c r="F790">
        <v>3.83</v>
      </c>
      <c r="G790">
        <v>3.91</v>
      </c>
      <c r="H790">
        <v>4.1100000000000003</v>
      </c>
      <c r="I790">
        <v>4.17</v>
      </c>
      <c r="J790">
        <v>3.69</v>
      </c>
      <c r="K790">
        <v>3.67</v>
      </c>
      <c r="L790">
        <v>3.64</v>
      </c>
      <c r="M790">
        <f t="shared" si="36"/>
        <v>4.0759999999999996</v>
      </c>
      <c r="N790">
        <f t="shared" si="37"/>
        <v>4.08</v>
      </c>
      <c r="O790">
        <f t="shared" si="38"/>
        <v>3.8560000000000003</v>
      </c>
    </row>
    <row r="791" spans="1:15" ht="15" customHeight="1" x14ac:dyDescent="0.3">
      <c r="A791" t="s">
        <v>1617</v>
      </c>
      <c r="B791" t="s">
        <v>1618</v>
      </c>
      <c r="C791">
        <v>4.25</v>
      </c>
      <c r="D791">
        <v>3.98</v>
      </c>
      <c r="E791">
        <v>4.34</v>
      </c>
      <c r="F791">
        <v>4.24</v>
      </c>
      <c r="G791">
        <v>3.75</v>
      </c>
      <c r="H791">
        <v>3.74</v>
      </c>
      <c r="I791">
        <v>4.54</v>
      </c>
      <c r="J791">
        <v>4.1399999999999997</v>
      </c>
      <c r="K791">
        <v>4.16</v>
      </c>
      <c r="L791">
        <v>3.99</v>
      </c>
      <c r="M791">
        <f t="shared" si="36"/>
        <v>4.1120000000000001</v>
      </c>
      <c r="N791">
        <f t="shared" si="37"/>
        <v>4.1100000000000003</v>
      </c>
      <c r="O791">
        <f t="shared" si="38"/>
        <v>4.1139999999999999</v>
      </c>
    </row>
    <row r="792" spans="1:15" ht="15" customHeight="1" x14ac:dyDescent="0.3">
      <c r="A792" t="s">
        <v>1619</v>
      </c>
      <c r="B792" t="s">
        <v>2654</v>
      </c>
      <c r="C792">
        <v>4.04</v>
      </c>
      <c r="D792">
        <v>3.88</v>
      </c>
      <c r="E792">
        <v>3.62</v>
      </c>
      <c r="F792">
        <v>4.18</v>
      </c>
      <c r="G792">
        <v>3.9</v>
      </c>
      <c r="H792">
        <v>4.2300000000000004</v>
      </c>
      <c r="I792">
        <v>4.2699999999999996</v>
      </c>
      <c r="J792">
        <v>3.89</v>
      </c>
      <c r="K792">
        <v>3.82</v>
      </c>
      <c r="L792">
        <v>4</v>
      </c>
      <c r="M792">
        <f t="shared" si="36"/>
        <v>3.9239999999999995</v>
      </c>
      <c r="N792">
        <f t="shared" si="37"/>
        <v>3.92</v>
      </c>
      <c r="O792">
        <f t="shared" si="38"/>
        <v>4.0419999999999998</v>
      </c>
    </row>
    <row r="793" spans="1:15" ht="15" customHeight="1" x14ac:dyDescent="0.3">
      <c r="A793" t="s">
        <v>1621</v>
      </c>
      <c r="B793" t="s">
        <v>2655</v>
      </c>
      <c r="C793">
        <v>3.91</v>
      </c>
      <c r="D793">
        <v>3.83</v>
      </c>
      <c r="E793">
        <v>4.46</v>
      </c>
      <c r="F793">
        <v>3.87</v>
      </c>
      <c r="G793">
        <v>3.78</v>
      </c>
      <c r="H793">
        <v>3.73</v>
      </c>
      <c r="I793">
        <v>4.33</v>
      </c>
      <c r="J793">
        <v>4.26</v>
      </c>
      <c r="K793">
        <v>3.92</v>
      </c>
      <c r="L793">
        <v>3.96</v>
      </c>
      <c r="M793">
        <f t="shared" si="36"/>
        <v>3.97</v>
      </c>
      <c r="N793">
        <f t="shared" si="37"/>
        <v>3.97</v>
      </c>
      <c r="O793">
        <f t="shared" si="38"/>
        <v>4.0400000000000009</v>
      </c>
    </row>
    <row r="794" spans="1:15" ht="15" customHeight="1" x14ac:dyDescent="0.3">
      <c r="A794" t="s">
        <v>1623</v>
      </c>
      <c r="B794" t="s">
        <v>2656</v>
      </c>
      <c r="C794">
        <v>4.16</v>
      </c>
      <c r="D794">
        <v>3.96</v>
      </c>
      <c r="E794">
        <v>3.75</v>
      </c>
      <c r="F794">
        <v>4.0599999999999996</v>
      </c>
      <c r="G794">
        <v>4.22</v>
      </c>
      <c r="H794">
        <v>3.78</v>
      </c>
      <c r="I794">
        <v>3.98</v>
      </c>
      <c r="J794">
        <v>4.05</v>
      </c>
      <c r="K794">
        <v>4.7699999999999996</v>
      </c>
      <c r="L794">
        <v>4.41</v>
      </c>
      <c r="M794">
        <f t="shared" si="36"/>
        <v>4.0299999999999994</v>
      </c>
      <c r="N794">
        <f t="shared" si="37"/>
        <v>4.03</v>
      </c>
      <c r="O794">
        <f t="shared" si="38"/>
        <v>4.1979999999999995</v>
      </c>
    </row>
    <row r="795" spans="1:15" ht="15" customHeight="1" x14ac:dyDescent="0.3">
      <c r="A795" t="s">
        <v>1625</v>
      </c>
      <c r="B795" t="s">
        <v>2657</v>
      </c>
      <c r="C795">
        <v>3.93</v>
      </c>
      <c r="D795">
        <v>3.76</v>
      </c>
      <c r="E795">
        <v>3.78</v>
      </c>
      <c r="F795">
        <v>4.6900000000000004</v>
      </c>
      <c r="G795">
        <v>4.12</v>
      </c>
      <c r="H795">
        <v>3.86</v>
      </c>
      <c r="I795">
        <v>4.25</v>
      </c>
      <c r="J795">
        <v>4.0599999999999996</v>
      </c>
      <c r="K795">
        <v>3.65</v>
      </c>
      <c r="L795">
        <v>3.87</v>
      </c>
      <c r="M795">
        <f t="shared" si="36"/>
        <v>4.056</v>
      </c>
      <c r="N795">
        <f t="shared" si="37"/>
        <v>4.0599999999999996</v>
      </c>
      <c r="O795">
        <f t="shared" si="38"/>
        <v>3.9379999999999997</v>
      </c>
    </row>
    <row r="796" spans="1:15" ht="15" customHeight="1" x14ac:dyDescent="0.3">
      <c r="A796" t="s">
        <v>1627</v>
      </c>
      <c r="B796" t="s">
        <v>1628</v>
      </c>
      <c r="C796">
        <v>5.0599999999999996</v>
      </c>
      <c r="D796">
        <v>3.9</v>
      </c>
      <c r="E796" t="s">
        <v>211</v>
      </c>
      <c r="F796">
        <v>4.09</v>
      </c>
      <c r="G796">
        <v>3.87</v>
      </c>
      <c r="H796">
        <v>4</v>
      </c>
      <c r="I796">
        <v>4.01</v>
      </c>
      <c r="J796">
        <v>3.32</v>
      </c>
      <c r="K796">
        <v>4.08</v>
      </c>
      <c r="L796">
        <v>4.12</v>
      </c>
      <c r="M796">
        <f t="shared" si="36"/>
        <v>4.2299999999999995</v>
      </c>
      <c r="N796">
        <f t="shared" si="37"/>
        <v>4.2300000000000004</v>
      </c>
      <c r="O796">
        <f t="shared" si="38"/>
        <v>3.9060000000000001</v>
      </c>
    </row>
    <row r="797" spans="1:15" ht="15" customHeight="1" x14ac:dyDescent="0.3">
      <c r="A797" t="s">
        <v>1629</v>
      </c>
      <c r="B797" t="s">
        <v>2658</v>
      </c>
      <c r="C797">
        <v>3.87</v>
      </c>
      <c r="D797">
        <v>4.04</v>
      </c>
      <c r="E797" t="s">
        <v>211</v>
      </c>
      <c r="F797">
        <v>3.93</v>
      </c>
      <c r="G797">
        <v>4.1100000000000003</v>
      </c>
      <c r="H797">
        <v>4.33</v>
      </c>
      <c r="I797">
        <v>4.1500000000000004</v>
      </c>
      <c r="J797">
        <v>4.5599999999999996</v>
      </c>
      <c r="K797">
        <v>4.28</v>
      </c>
      <c r="L797">
        <v>3.96</v>
      </c>
      <c r="M797">
        <f t="shared" si="36"/>
        <v>3.9874999999999998</v>
      </c>
      <c r="N797">
        <f t="shared" si="37"/>
        <v>3.99</v>
      </c>
      <c r="O797">
        <f t="shared" si="38"/>
        <v>4.2560000000000002</v>
      </c>
    </row>
    <row r="798" spans="1:15" ht="15" customHeight="1" x14ac:dyDescent="0.3">
      <c r="A798" t="s">
        <v>1631</v>
      </c>
      <c r="B798" t="s">
        <v>2659</v>
      </c>
      <c r="C798">
        <v>4.33</v>
      </c>
      <c r="D798">
        <v>3.96</v>
      </c>
      <c r="E798">
        <v>3.8</v>
      </c>
      <c r="F798">
        <v>3.97</v>
      </c>
      <c r="G798">
        <v>4.04</v>
      </c>
      <c r="H798">
        <v>3.68</v>
      </c>
      <c r="I798">
        <v>3.73</v>
      </c>
      <c r="J798">
        <v>4.0199999999999996</v>
      </c>
      <c r="K798">
        <v>4.12</v>
      </c>
      <c r="L798">
        <v>4.2300000000000004</v>
      </c>
      <c r="M798">
        <f t="shared" si="36"/>
        <v>4.0199999999999996</v>
      </c>
      <c r="N798">
        <f t="shared" si="37"/>
        <v>4.0199999999999996</v>
      </c>
      <c r="O798">
        <f t="shared" si="38"/>
        <v>3.9560000000000004</v>
      </c>
    </row>
    <row r="799" spans="1:15" ht="15" customHeight="1" x14ac:dyDescent="0.3">
      <c r="A799" t="s">
        <v>1633</v>
      </c>
      <c r="B799" t="s">
        <v>2660</v>
      </c>
      <c r="C799">
        <v>4.5</v>
      </c>
      <c r="D799">
        <v>4.3899999999999997</v>
      </c>
      <c r="E799">
        <v>3.89</v>
      </c>
      <c r="F799">
        <v>3.95</v>
      </c>
      <c r="G799">
        <v>4.1900000000000004</v>
      </c>
      <c r="H799">
        <v>4.54</v>
      </c>
      <c r="I799">
        <v>3.73</v>
      </c>
      <c r="J799">
        <v>4.1900000000000004</v>
      </c>
      <c r="K799" t="s">
        <v>211</v>
      </c>
      <c r="L799">
        <v>3.91</v>
      </c>
      <c r="M799">
        <f t="shared" si="36"/>
        <v>4.1840000000000002</v>
      </c>
      <c r="N799">
        <f t="shared" si="37"/>
        <v>4.18</v>
      </c>
      <c r="O799">
        <f t="shared" si="38"/>
        <v>4.0925000000000002</v>
      </c>
    </row>
    <row r="800" spans="1:15" ht="15" customHeight="1" x14ac:dyDescent="0.3">
      <c r="A800" t="s">
        <v>1635</v>
      </c>
      <c r="B800" t="s">
        <v>1636</v>
      </c>
      <c r="C800">
        <v>3.79</v>
      </c>
      <c r="D800">
        <v>3.84</v>
      </c>
      <c r="E800">
        <v>3.77</v>
      </c>
      <c r="F800">
        <v>3.92</v>
      </c>
      <c r="G800">
        <v>3.97</v>
      </c>
      <c r="H800">
        <v>3.96</v>
      </c>
      <c r="I800">
        <v>4.09</v>
      </c>
      <c r="J800">
        <v>4.12</v>
      </c>
      <c r="K800">
        <v>3.63</v>
      </c>
      <c r="L800">
        <v>4.0199999999999996</v>
      </c>
      <c r="M800">
        <f t="shared" si="36"/>
        <v>3.8579999999999997</v>
      </c>
      <c r="N800">
        <f t="shared" si="37"/>
        <v>3.86</v>
      </c>
      <c r="O800">
        <f t="shared" si="38"/>
        <v>3.964</v>
      </c>
    </row>
    <row r="801" spans="1:15" ht="15" customHeight="1" x14ac:dyDescent="0.3">
      <c r="A801" t="s">
        <v>1637</v>
      </c>
      <c r="B801" t="s">
        <v>2661</v>
      </c>
      <c r="C801">
        <v>4</v>
      </c>
      <c r="D801">
        <v>4.1100000000000003</v>
      </c>
      <c r="E801">
        <v>4.17</v>
      </c>
      <c r="F801">
        <v>4.3099999999999996</v>
      </c>
      <c r="G801">
        <v>4.13</v>
      </c>
      <c r="H801">
        <v>3.76</v>
      </c>
      <c r="I801">
        <v>4.47</v>
      </c>
      <c r="J801">
        <v>4.26</v>
      </c>
      <c r="K801">
        <v>3.66</v>
      </c>
      <c r="L801">
        <v>4.45</v>
      </c>
      <c r="M801">
        <f t="shared" si="36"/>
        <v>4.1440000000000001</v>
      </c>
      <c r="N801">
        <f t="shared" si="37"/>
        <v>4.1399999999999997</v>
      </c>
      <c r="O801">
        <f t="shared" si="38"/>
        <v>4.1199999999999992</v>
      </c>
    </row>
    <row r="802" spans="1:15" ht="15" customHeight="1" x14ac:dyDescent="0.3">
      <c r="A802" t="s">
        <v>1639</v>
      </c>
      <c r="B802" t="s">
        <v>2662</v>
      </c>
      <c r="C802">
        <v>4.03</v>
      </c>
      <c r="D802">
        <v>4.09</v>
      </c>
      <c r="E802">
        <v>3.88</v>
      </c>
      <c r="F802">
        <v>4.37</v>
      </c>
      <c r="G802">
        <v>4.24</v>
      </c>
      <c r="H802">
        <v>3.39</v>
      </c>
      <c r="I802">
        <v>3.76</v>
      </c>
      <c r="J802">
        <v>3.93</v>
      </c>
      <c r="K802">
        <v>3.74</v>
      </c>
      <c r="L802">
        <v>3.82</v>
      </c>
      <c r="M802">
        <f t="shared" si="36"/>
        <v>4.1219999999999999</v>
      </c>
      <c r="N802">
        <f t="shared" si="37"/>
        <v>4.12</v>
      </c>
      <c r="O802">
        <f t="shared" si="38"/>
        <v>3.7280000000000002</v>
      </c>
    </row>
    <row r="803" spans="1:15" ht="15" customHeight="1" x14ac:dyDescent="0.3">
      <c r="A803" t="s">
        <v>1641</v>
      </c>
      <c r="B803" t="s">
        <v>2663</v>
      </c>
      <c r="C803">
        <v>3.89</v>
      </c>
      <c r="D803">
        <v>3.29</v>
      </c>
      <c r="E803">
        <v>4.22</v>
      </c>
      <c r="F803" t="s">
        <v>211</v>
      </c>
      <c r="G803">
        <v>3.64</v>
      </c>
      <c r="H803">
        <v>3.84</v>
      </c>
      <c r="I803">
        <v>3.91</v>
      </c>
      <c r="J803">
        <v>3.74</v>
      </c>
      <c r="K803">
        <v>4.13</v>
      </c>
      <c r="L803">
        <v>3.85</v>
      </c>
      <c r="M803">
        <f t="shared" si="36"/>
        <v>3.76</v>
      </c>
      <c r="N803">
        <f t="shared" si="37"/>
        <v>3.76</v>
      </c>
      <c r="O803">
        <f t="shared" si="38"/>
        <v>3.8940000000000006</v>
      </c>
    </row>
    <row r="804" spans="1:15" ht="15" customHeight="1" x14ac:dyDescent="0.3">
      <c r="A804" t="s">
        <v>1643</v>
      </c>
      <c r="B804" t="s">
        <v>2664</v>
      </c>
      <c r="C804">
        <v>3.08</v>
      </c>
      <c r="D804" t="s">
        <v>211</v>
      </c>
      <c r="E804">
        <v>3.91</v>
      </c>
      <c r="F804">
        <v>4.13</v>
      </c>
      <c r="G804">
        <v>4.1900000000000004</v>
      </c>
      <c r="H804">
        <v>4.3</v>
      </c>
      <c r="I804">
        <v>3.74</v>
      </c>
      <c r="J804">
        <v>4.33</v>
      </c>
      <c r="K804">
        <v>3.95</v>
      </c>
      <c r="L804">
        <v>4.5</v>
      </c>
      <c r="M804">
        <f t="shared" si="36"/>
        <v>3.8275000000000006</v>
      </c>
      <c r="N804">
        <f t="shared" si="37"/>
        <v>3.83</v>
      </c>
      <c r="O804">
        <f t="shared" si="38"/>
        <v>4.1639999999999997</v>
      </c>
    </row>
    <row r="805" spans="1:15" ht="15" customHeight="1" x14ac:dyDescent="0.3">
      <c r="A805" t="s">
        <v>1645</v>
      </c>
      <c r="B805" t="s">
        <v>1646</v>
      </c>
      <c r="C805">
        <v>4.2699999999999996</v>
      </c>
      <c r="D805">
        <v>3.91</v>
      </c>
      <c r="E805">
        <v>4.2300000000000004</v>
      </c>
      <c r="F805">
        <v>3.78</v>
      </c>
      <c r="G805">
        <v>4.62</v>
      </c>
      <c r="H805">
        <v>3.61</v>
      </c>
      <c r="I805">
        <v>4.5</v>
      </c>
      <c r="J805">
        <v>4.16</v>
      </c>
      <c r="K805">
        <v>4.18</v>
      </c>
      <c r="L805">
        <v>4.1100000000000003</v>
      </c>
      <c r="M805">
        <f t="shared" si="36"/>
        <v>4.1620000000000008</v>
      </c>
      <c r="N805">
        <f t="shared" si="37"/>
        <v>4.16</v>
      </c>
      <c r="O805">
        <f t="shared" si="38"/>
        <v>4.1120000000000001</v>
      </c>
    </row>
    <row r="806" spans="1:15" ht="15" customHeight="1" x14ac:dyDescent="0.3">
      <c r="A806" t="s">
        <v>1647</v>
      </c>
      <c r="B806" t="s">
        <v>2665</v>
      </c>
      <c r="C806">
        <v>3.97</v>
      </c>
      <c r="D806">
        <v>4.58</v>
      </c>
      <c r="E806">
        <v>3.72</v>
      </c>
      <c r="F806">
        <v>4.29</v>
      </c>
      <c r="G806">
        <v>3.88</v>
      </c>
      <c r="H806">
        <v>4.46</v>
      </c>
      <c r="I806">
        <v>3.66</v>
      </c>
      <c r="J806">
        <v>4.3600000000000003</v>
      </c>
      <c r="K806">
        <v>3.45</v>
      </c>
      <c r="L806">
        <v>4.2300000000000004</v>
      </c>
      <c r="M806">
        <f t="shared" si="36"/>
        <v>4.0880000000000001</v>
      </c>
      <c r="N806">
        <f t="shared" si="37"/>
        <v>4.09</v>
      </c>
      <c r="O806">
        <f t="shared" si="38"/>
        <v>4.032</v>
      </c>
    </row>
    <row r="807" spans="1:15" ht="15" customHeight="1" x14ac:dyDescent="0.3">
      <c r="A807" t="s">
        <v>1649</v>
      </c>
      <c r="B807" t="s">
        <v>1650</v>
      </c>
      <c r="C807">
        <v>4.1900000000000004</v>
      </c>
      <c r="D807">
        <v>3.99</v>
      </c>
      <c r="E807">
        <v>4.1500000000000004</v>
      </c>
      <c r="F807">
        <v>4.6399999999999997</v>
      </c>
      <c r="G807">
        <v>4.7</v>
      </c>
      <c r="H807">
        <v>4.83</v>
      </c>
      <c r="I807">
        <v>4.38</v>
      </c>
      <c r="J807">
        <v>3.66</v>
      </c>
      <c r="K807">
        <v>4.07</v>
      </c>
      <c r="L807">
        <v>4.1900000000000004</v>
      </c>
      <c r="M807">
        <f t="shared" si="36"/>
        <v>4.3339999999999996</v>
      </c>
      <c r="N807">
        <f t="shared" si="37"/>
        <v>4.33</v>
      </c>
      <c r="O807">
        <f t="shared" si="38"/>
        <v>4.2260000000000009</v>
      </c>
    </row>
    <row r="808" spans="1:15" ht="15" customHeight="1" x14ac:dyDescent="0.3">
      <c r="A808" t="s">
        <v>1651</v>
      </c>
      <c r="B808" t="s">
        <v>2666</v>
      </c>
      <c r="C808">
        <v>4.79</v>
      </c>
      <c r="D808">
        <v>4</v>
      </c>
      <c r="E808">
        <v>4.22</v>
      </c>
      <c r="F808">
        <v>3.87</v>
      </c>
      <c r="G808">
        <v>4.08</v>
      </c>
      <c r="H808">
        <v>3.9</v>
      </c>
      <c r="I808">
        <v>4.17</v>
      </c>
      <c r="J808">
        <v>4.01</v>
      </c>
      <c r="K808" t="s">
        <v>1653</v>
      </c>
      <c r="L808">
        <v>4.4400000000000004</v>
      </c>
      <c r="M808">
        <f t="shared" si="36"/>
        <v>4.1920000000000002</v>
      </c>
      <c r="N808">
        <f t="shared" si="37"/>
        <v>4.1900000000000004</v>
      </c>
      <c r="O808">
        <f t="shared" si="38"/>
        <v>4.13</v>
      </c>
    </row>
    <row r="809" spans="1:15" ht="15" customHeight="1" x14ac:dyDescent="0.3">
      <c r="A809" t="s">
        <v>1654</v>
      </c>
      <c r="B809" t="s">
        <v>2667</v>
      </c>
      <c r="C809">
        <v>3.82</v>
      </c>
      <c r="D809">
        <v>3.36</v>
      </c>
      <c r="E809">
        <v>3.91</v>
      </c>
      <c r="F809">
        <v>3.97</v>
      </c>
      <c r="G809">
        <v>3.97</v>
      </c>
      <c r="H809">
        <v>4.21</v>
      </c>
      <c r="I809" t="s">
        <v>1656</v>
      </c>
      <c r="J809">
        <v>3.74</v>
      </c>
      <c r="K809">
        <v>4.41</v>
      </c>
      <c r="L809">
        <v>3.77</v>
      </c>
      <c r="M809">
        <f t="shared" si="36"/>
        <v>3.806</v>
      </c>
      <c r="N809">
        <f t="shared" si="37"/>
        <v>3.81</v>
      </c>
      <c r="O809">
        <f t="shared" si="38"/>
        <v>4.0324999999999998</v>
      </c>
    </row>
    <row r="810" spans="1:15" ht="15" customHeight="1" x14ac:dyDescent="0.3">
      <c r="A810" t="s">
        <v>1657</v>
      </c>
      <c r="B810" t="s">
        <v>1658</v>
      </c>
      <c r="C810">
        <v>3.64</v>
      </c>
      <c r="D810">
        <v>3.98</v>
      </c>
      <c r="E810">
        <v>3.59</v>
      </c>
      <c r="F810">
        <v>3.31</v>
      </c>
      <c r="G810">
        <v>3.82</v>
      </c>
      <c r="H810">
        <v>4.5199999999999996</v>
      </c>
      <c r="I810">
        <v>4.09</v>
      </c>
      <c r="J810">
        <v>4.3</v>
      </c>
      <c r="K810">
        <v>4.01</v>
      </c>
      <c r="L810">
        <v>4.18</v>
      </c>
      <c r="M810">
        <f t="shared" si="36"/>
        <v>3.6680000000000001</v>
      </c>
      <c r="N810">
        <f t="shared" si="37"/>
        <v>3.67</v>
      </c>
      <c r="O810">
        <f t="shared" si="38"/>
        <v>4.2200000000000006</v>
      </c>
    </row>
    <row r="811" spans="1:15" ht="15" customHeight="1" x14ac:dyDescent="0.3">
      <c r="A811" t="s">
        <v>1659</v>
      </c>
      <c r="B811" t="s">
        <v>2668</v>
      </c>
      <c r="C811">
        <v>3.77</v>
      </c>
      <c r="D811">
        <v>3.61</v>
      </c>
      <c r="E811">
        <v>4.09</v>
      </c>
      <c r="F811">
        <v>4.17</v>
      </c>
      <c r="G811">
        <v>4.16</v>
      </c>
      <c r="H811">
        <v>4.03</v>
      </c>
      <c r="I811">
        <v>4.2699999999999996</v>
      </c>
      <c r="J811">
        <v>4.07</v>
      </c>
      <c r="K811">
        <v>4.1399999999999997</v>
      </c>
      <c r="L811">
        <v>3.86</v>
      </c>
      <c r="M811">
        <f t="shared" si="36"/>
        <v>3.9599999999999995</v>
      </c>
      <c r="N811">
        <f t="shared" si="37"/>
        <v>3.96</v>
      </c>
      <c r="O811">
        <f t="shared" si="38"/>
        <v>4.0739999999999998</v>
      </c>
    </row>
    <row r="812" spans="1:15" ht="15" customHeight="1" x14ac:dyDescent="0.3">
      <c r="A812" t="s">
        <v>1661</v>
      </c>
      <c r="B812" t="s">
        <v>1662</v>
      </c>
      <c r="C812">
        <v>4.16</v>
      </c>
      <c r="D812">
        <v>4.46</v>
      </c>
      <c r="E812">
        <v>3.43</v>
      </c>
      <c r="F812">
        <v>3.94</v>
      </c>
      <c r="G812">
        <v>4.07</v>
      </c>
      <c r="H812">
        <v>3.77</v>
      </c>
      <c r="I812">
        <v>3.87</v>
      </c>
      <c r="J812">
        <v>4.0999999999999996</v>
      </c>
      <c r="K812">
        <v>3.34</v>
      </c>
      <c r="L812">
        <v>4.03</v>
      </c>
      <c r="M812">
        <f t="shared" si="36"/>
        <v>4.0120000000000005</v>
      </c>
      <c r="N812">
        <f t="shared" si="37"/>
        <v>4.01</v>
      </c>
      <c r="O812">
        <f t="shared" si="38"/>
        <v>3.8220000000000001</v>
      </c>
    </row>
    <row r="813" spans="1:15" ht="15" customHeight="1" x14ac:dyDescent="0.3">
      <c r="A813" t="s">
        <v>1663</v>
      </c>
      <c r="B813" t="s">
        <v>2669</v>
      </c>
      <c r="C813">
        <v>3.79</v>
      </c>
      <c r="D813">
        <v>4.28</v>
      </c>
      <c r="E813">
        <v>3.89</v>
      </c>
      <c r="F813">
        <v>3.9</v>
      </c>
      <c r="G813">
        <v>3.95</v>
      </c>
      <c r="H813">
        <v>4.12</v>
      </c>
      <c r="I813">
        <v>3.62</v>
      </c>
      <c r="J813">
        <v>4.28</v>
      </c>
      <c r="K813">
        <v>4.45</v>
      </c>
      <c r="L813">
        <v>3.92</v>
      </c>
      <c r="M813">
        <f t="shared" si="36"/>
        <v>3.9620000000000006</v>
      </c>
      <c r="N813">
        <f t="shared" si="37"/>
        <v>3.96</v>
      </c>
      <c r="O813">
        <f t="shared" si="38"/>
        <v>4.0780000000000003</v>
      </c>
    </row>
    <row r="814" spans="1:15" ht="15" customHeight="1" x14ac:dyDescent="0.3">
      <c r="A814" t="s">
        <v>1665</v>
      </c>
      <c r="B814" t="s">
        <v>1666</v>
      </c>
      <c r="C814">
        <v>3.9</v>
      </c>
      <c r="D814">
        <v>4.09</v>
      </c>
      <c r="E814">
        <v>4.0999999999999996</v>
      </c>
      <c r="F814">
        <v>4.09</v>
      </c>
      <c r="G814">
        <v>3.81</v>
      </c>
      <c r="H814">
        <v>4.1100000000000003</v>
      </c>
      <c r="I814">
        <v>3.66</v>
      </c>
      <c r="J814">
        <v>4.1100000000000003</v>
      </c>
      <c r="K814">
        <v>3.95</v>
      </c>
      <c r="L814">
        <v>4.18</v>
      </c>
      <c r="M814">
        <f t="shared" si="36"/>
        <v>3.9979999999999998</v>
      </c>
      <c r="N814">
        <f t="shared" si="37"/>
        <v>4</v>
      </c>
      <c r="O814">
        <f t="shared" si="38"/>
        <v>4.0020000000000007</v>
      </c>
    </row>
    <row r="815" spans="1:15" ht="15" customHeight="1" x14ac:dyDescent="0.3">
      <c r="A815" t="s">
        <v>1667</v>
      </c>
      <c r="B815" t="s">
        <v>2670</v>
      </c>
      <c r="C815">
        <v>3.92</v>
      </c>
      <c r="D815">
        <v>4.2300000000000004</v>
      </c>
      <c r="E815">
        <v>3.78</v>
      </c>
      <c r="F815">
        <v>4.25</v>
      </c>
      <c r="G815">
        <v>3.88</v>
      </c>
      <c r="H815">
        <v>4.3499999999999996</v>
      </c>
      <c r="I815">
        <v>3.98</v>
      </c>
      <c r="J815">
        <v>4.12</v>
      </c>
      <c r="K815">
        <v>3.51</v>
      </c>
      <c r="L815">
        <v>4.54</v>
      </c>
      <c r="M815">
        <f t="shared" si="36"/>
        <v>4.0119999999999996</v>
      </c>
      <c r="N815">
        <f t="shared" si="37"/>
        <v>4.01</v>
      </c>
      <c r="O815">
        <f t="shared" si="38"/>
        <v>4.0999999999999996</v>
      </c>
    </row>
    <row r="816" spans="1:15" ht="15" customHeight="1" x14ac:dyDescent="0.3">
      <c r="A816" t="s">
        <v>1669</v>
      </c>
      <c r="B816" t="s">
        <v>1670</v>
      </c>
      <c r="C816">
        <v>4.12</v>
      </c>
      <c r="D816">
        <v>4.24</v>
      </c>
      <c r="E816">
        <v>3.98</v>
      </c>
      <c r="F816">
        <v>4.4800000000000004</v>
      </c>
      <c r="G816">
        <v>3.9</v>
      </c>
      <c r="H816">
        <v>4.03</v>
      </c>
      <c r="I816">
        <v>4.28</v>
      </c>
      <c r="J816">
        <v>4.12</v>
      </c>
      <c r="K816">
        <v>4.17</v>
      </c>
      <c r="L816">
        <v>4.1500000000000004</v>
      </c>
      <c r="M816">
        <f t="shared" si="36"/>
        <v>4.1440000000000001</v>
      </c>
      <c r="N816">
        <f t="shared" si="37"/>
        <v>4.1399999999999997</v>
      </c>
      <c r="O816">
        <f t="shared" si="38"/>
        <v>4.1500000000000004</v>
      </c>
    </row>
    <row r="817" spans="1:15" ht="15" customHeight="1" x14ac:dyDescent="0.3">
      <c r="A817" t="s">
        <v>1671</v>
      </c>
      <c r="B817" t="s">
        <v>2671</v>
      </c>
      <c r="C817">
        <v>4.08</v>
      </c>
      <c r="D817">
        <v>4.4400000000000004</v>
      </c>
      <c r="E817">
        <v>3.94</v>
      </c>
      <c r="F817">
        <v>4.7</v>
      </c>
      <c r="G817">
        <v>3.95</v>
      </c>
      <c r="H817">
        <v>3.74</v>
      </c>
      <c r="I817">
        <v>3.87</v>
      </c>
      <c r="J817">
        <v>4.1900000000000004</v>
      </c>
      <c r="K817">
        <v>4.2699999999999996</v>
      </c>
      <c r="L817">
        <v>3.61</v>
      </c>
      <c r="M817">
        <f t="shared" si="36"/>
        <v>4.2219999999999995</v>
      </c>
      <c r="N817">
        <f t="shared" si="37"/>
        <v>4.22</v>
      </c>
      <c r="O817">
        <f t="shared" si="38"/>
        <v>3.9359999999999999</v>
      </c>
    </row>
    <row r="818" spans="1:15" ht="15" customHeight="1" x14ac:dyDescent="0.3">
      <c r="A818" t="s">
        <v>1673</v>
      </c>
      <c r="B818" t="s">
        <v>2672</v>
      </c>
      <c r="C818">
        <v>4.1500000000000004</v>
      </c>
      <c r="D818">
        <v>4.24</v>
      </c>
      <c r="E818">
        <v>3.72</v>
      </c>
      <c r="F818">
        <v>3.67</v>
      </c>
      <c r="G818">
        <v>4.04</v>
      </c>
      <c r="H818">
        <v>4.07</v>
      </c>
      <c r="I818">
        <v>4.33</v>
      </c>
      <c r="J818">
        <v>4.6900000000000004</v>
      </c>
      <c r="K818">
        <v>3.67</v>
      </c>
      <c r="L818">
        <v>3.69</v>
      </c>
      <c r="M818">
        <f t="shared" si="36"/>
        <v>3.964</v>
      </c>
      <c r="N818">
        <f t="shared" si="37"/>
        <v>3.96</v>
      </c>
      <c r="O818">
        <f t="shared" si="38"/>
        <v>4.09</v>
      </c>
    </row>
    <row r="819" spans="1:15" ht="15" customHeight="1" x14ac:dyDescent="0.3">
      <c r="A819" t="s">
        <v>1675</v>
      </c>
      <c r="B819" t="s">
        <v>1676</v>
      </c>
      <c r="C819">
        <v>4</v>
      </c>
      <c r="D819">
        <v>4.16</v>
      </c>
      <c r="E819">
        <v>4.3099999999999996</v>
      </c>
      <c r="F819">
        <v>4.68</v>
      </c>
      <c r="G819">
        <v>4.08</v>
      </c>
      <c r="H819">
        <v>4.09</v>
      </c>
      <c r="I819">
        <v>3.77</v>
      </c>
      <c r="J819">
        <v>4.0999999999999996</v>
      </c>
      <c r="K819">
        <v>4.16</v>
      </c>
      <c r="L819">
        <v>4.2699999999999996</v>
      </c>
      <c r="M819">
        <f t="shared" si="36"/>
        <v>4.2459999999999996</v>
      </c>
      <c r="N819">
        <f t="shared" si="37"/>
        <v>4.25</v>
      </c>
      <c r="O819">
        <f t="shared" si="38"/>
        <v>4.0779999999999994</v>
      </c>
    </row>
    <row r="820" spans="1:15" ht="15" customHeight="1" x14ac:dyDescent="0.3">
      <c r="A820" t="s">
        <v>1677</v>
      </c>
      <c r="B820" t="s">
        <v>2673</v>
      </c>
      <c r="C820">
        <v>3.78</v>
      </c>
      <c r="D820" t="s">
        <v>211</v>
      </c>
      <c r="E820">
        <v>3.35</v>
      </c>
      <c r="F820">
        <v>3.58</v>
      </c>
      <c r="G820">
        <v>3.73</v>
      </c>
      <c r="H820">
        <v>3.87</v>
      </c>
      <c r="I820">
        <v>4.05</v>
      </c>
      <c r="J820">
        <v>4.2</v>
      </c>
      <c r="K820">
        <v>4.22</v>
      </c>
      <c r="L820">
        <v>3.67</v>
      </c>
      <c r="M820">
        <f t="shared" si="36"/>
        <v>3.6100000000000003</v>
      </c>
      <c r="N820">
        <f t="shared" si="37"/>
        <v>3.61</v>
      </c>
      <c r="O820">
        <f t="shared" si="38"/>
        <v>4.0019999999999998</v>
      </c>
    </row>
    <row r="821" spans="1:15" ht="15" customHeight="1" x14ac:dyDescent="0.3">
      <c r="A821" t="s">
        <v>1679</v>
      </c>
      <c r="B821" t="s">
        <v>2674</v>
      </c>
      <c r="C821">
        <v>3.86</v>
      </c>
      <c r="D821">
        <v>4.0199999999999996</v>
      </c>
      <c r="E821">
        <v>4.1399999999999997</v>
      </c>
      <c r="F821">
        <v>4.16</v>
      </c>
      <c r="G821">
        <v>3.87</v>
      </c>
      <c r="H821">
        <v>4.54</v>
      </c>
      <c r="I821">
        <v>3.55</v>
      </c>
      <c r="J821">
        <v>4.2</v>
      </c>
      <c r="K821">
        <v>4.3</v>
      </c>
      <c r="L821">
        <v>4.03</v>
      </c>
      <c r="M821">
        <f t="shared" si="36"/>
        <v>4.01</v>
      </c>
      <c r="N821">
        <f t="shared" si="37"/>
        <v>4.01</v>
      </c>
      <c r="O821">
        <f t="shared" si="38"/>
        <v>4.1240000000000006</v>
      </c>
    </row>
    <row r="822" spans="1:15" ht="15" customHeight="1" x14ac:dyDescent="0.3">
      <c r="A822" t="s">
        <v>1681</v>
      </c>
      <c r="B822" t="s">
        <v>2675</v>
      </c>
      <c r="C822">
        <v>4.0199999999999996</v>
      </c>
      <c r="D822">
        <v>4.09</v>
      </c>
      <c r="E822">
        <v>3.75</v>
      </c>
      <c r="F822">
        <v>4.45</v>
      </c>
      <c r="G822" t="s">
        <v>211</v>
      </c>
      <c r="H822">
        <v>3.7</v>
      </c>
      <c r="I822">
        <v>4.4800000000000004</v>
      </c>
      <c r="J822">
        <v>3.51</v>
      </c>
      <c r="K822">
        <v>3.92</v>
      </c>
      <c r="L822">
        <v>3.96</v>
      </c>
      <c r="M822">
        <f t="shared" si="36"/>
        <v>4.0774999999999997</v>
      </c>
      <c r="N822">
        <f t="shared" si="37"/>
        <v>4.08</v>
      </c>
      <c r="O822">
        <f t="shared" si="38"/>
        <v>3.9140000000000001</v>
      </c>
    </row>
    <row r="823" spans="1:15" ht="15" customHeight="1" x14ac:dyDescent="0.3">
      <c r="A823" t="s">
        <v>1683</v>
      </c>
      <c r="B823" t="s">
        <v>2676</v>
      </c>
      <c r="C823">
        <v>4.25</v>
      </c>
      <c r="D823">
        <v>4.3099999999999996</v>
      </c>
      <c r="E823">
        <v>4.24</v>
      </c>
      <c r="F823">
        <v>5.0599999999999996</v>
      </c>
      <c r="G823">
        <v>4</v>
      </c>
      <c r="H823">
        <v>4.1100000000000003</v>
      </c>
      <c r="I823">
        <v>3.61</v>
      </c>
      <c r="J823">
        <v>3.82</v>
      </c>
      <c r="K823">
        <v>3.85</v>
      </c>
      <c r="L823">
        <v>4.1399999999999997</v>
      </c>
      <c r="M823">
        <f t="shared" si="36"/>
        <v>4.3719999999999999</v>
      </c>
      <c r="N823">
        <f t="shared" si="37"/>
        <v>4.37</v>
      </c>
      <c r="O823">
        <f t="shared" si="38"/>
        <v>3.9060000000000001</v>
      </c>
    </row>
    <row r="824" spans="1:15" ht="15" customHeight="1" x14ac:dyDescent="0.3">
      <c r="A824" t="s">
        <v>1685</v>
      </c>
      <c r="B824" t="s">
        <v>1686</v>
      </c>
      <c r="C824" t="s">
        <v>211</v>
      </c>
      <c r="D824">
        <v>3.9</v>
      </c>
      <c r="E824">
        <v>4.25</v>
      </c>
      <c r="F824">
        <v>4.21</v>
      </c>
      <c r="G824">
        <v>3.77</v>
      </c>
      <c r="H824">
        <v>3.76</v>
      </c>
      <c r="I824">
        <v>4.8600000000000003</v>
      </c>
      <c r="J824">
        <v>3.56</v>
      </c>
      <c r="K824">
        <v>4.1900000000000004</v>
      </c>
      <c r="L824">
        <v>3.91</v>
      </c>
      <c r="M824">
        <f t="shared" si="36"/>
        <v>4.0324999999999998</v>
      </c>
      <c r="N824">
        <f t="shared" si="37"/>
        <v>4.03</v>
      </c>
      <c r="O824">
        <f t="shared" si="38"/>
        <v>4.056</v>
      </c>
    </row>
    <row r="825" spans="1:15" ht="15" customHeight="1" x14ac:dyDescent="0.3">
      <c r="A825" t="s">
        <v>1687</v>
      </c>
      <c r="B825" t="s">
        <v>2677</v>
      </c>
      <c r="C825">
        <v>3.79</v>
      </c>
      <c r="D825">
        <v>4.26</v>
      </c>
      <c r="E825">
        <v>4.33</v>
      </c>
      <c r="F825">
        <v>4.04</v>
      </c>
      <c r="G825">
        <v>4.42</v>
      </c>
      <c r="H825">
        <v>4.1500000000000004</v>
      </c>
      <c r="I825">
        <v>3.81</v>
      </c>
      <c r="J825">
        <v>4.42</v>
      </c>
      <c r="K825">
        <v>3.73</v>
      </c>
      <c r="L825">
        <v>4.1900000000000004</v>
      </c>
      <c r="M825">
        <f t="shared" si="36"/>
        <v>4.168000000000001</v>
      </c>
      <c r="N825">
        <f t="shared" si="37"/>
        <v>4.17</v>
      </c>
      <c r="O825">
        <f t="shared" si="38"/>
        <v>4.0600000000000005</v>
      </c>
    </row>
    <row r="826" spans="1:15" ht="15" customHeight="1" x14ac:dyDescent="0.3">
      <c r="A826" t="s">
        <v>1689</v>
      </c>
      <c r="B826" t="s">
        <v>2678</v>
      </c>
      <c r="C826">
        <v>4.08</v>
      </c>
      <c r="D826">
        <v>4.08</v>
      </c>
      <c r="E826">
        <v>4.21</v>
      </c>
      <c r="F826">
        <v>3.97</v>
      </c>
      <c r="G826">
        <v>3.89</v>
      </c>
      <c r="H826">
        <v>3.7</v>
      </c>
      <c r="I826">
        <v>3.95</v>
      </c>
      <c r="J826">
        <v>4.45</v>
      </c>
      <c r="K826">
        <v>4.24</v>
      </c>
      <c r="L826">
        <v>4.37</v>
      </c>
      <c r="M826">
        <f t="shared" si="36"/>
        <v>4.0460000000000003</v>
      </c>
      <c r="N826">
        <f t="shared" si="37"/>
        <v>4.05</v>
      </c>
      <c r="O826">
        <f t="shared" si="38"/>
        <v>4.1420000000000012</v>
      </c>
    </row>
    <row r="827" spans="1:15" ht="15" customHeight="1" x14ac:dyDescent="0.3">
      <c r="A827" t="s">
        <v>1691</v>
      </c>
      <c r="B827" t="s">
        <v>2679</v>
      </c>
      <c r="C827">
        <v>4.1399999999999997</v>
      </c>
      <c r="D827">
        <v>4.0599999999999996</v>
      </c>
      <c r="E827" t="s">
        <v>211</v>
      </c>
      <c r="F827" t="s">
        <v>211</v>
      </c>
      <c r="G827">
        <v>4.3099999999999996</v>
      </c>
      <c r="H827">
        <v>4.1399999999999997</v>
      </c>
      <c r="I827">
        <v>3.62</v>
      </c>
      <c r="J827">
        <v>4.25</v>
      </c>
      <c r="K827">
        <v>4.29</v>
      </c>
      <c r="L827">
        <v>4.05</v>
      </c>
      <c r="M827">
        <f t="shared" si="36"/>
        <v>4.169999999999999</v>
      </c>
      <c r="N827">
        <f t="shared" si="37"/>
        <v>4.17</v>
      </c>
      <c r="O827">
        <f t="shared" si="38"/>
        <v>4.07</v>
      </c>
    </row>
    <row r="828" spans="1:15" ht="15" customHeight="1" x14ac:dyDescent="0.3">
      <c r="A828" t="s">
        <v>1693</v>
      </c>
      <c r="B828" t="s">
        <v>1694</v>
      </c>
      <c r="C828">
        <v>4.13</v>
      </c>
      <c r="D828">
        <v>3.68</v>
      </c>
      <c r="E828">
        <v>4.45</v>
      </c>
      <c r="F828">
        <v>3.94</v>
      </c>
      <c r="G828">
        <v>4.53</v>
      </c>
      <c r="H828">
        <v>3.9</v>
      </c>
      <c r="I828">
        <v>4.37</v>
      </c>
      <c r="J828">
        <v>4.46</v>
      </c>
      <c r="K828">
        <v>3.4</v>
      </c>
      <c r="L828">
        <v>4.3499999999999996</v>
      </c>
      <c r="M828">
        <f t="shared" si="36"/>
        <v>4.1460000000000008</v>
      </c>
      <c r="N828">
        <f t="shared" si="37"/>
        <v>4.1500000000000004</v>
      </c>
      <c r="O828">
        <f t="shared" si="38"/>
        <v>4.0959999999999992</v>
      </c>
    </row>
    <row r="829" spans="1:15" ht="15" customHeight="1" x14ac:dyDescent="0.3">
      <c r="A829" t="s">
        <v>1695</v>
      </c>
      <c r="B829" t="s">
        <v>1696</v>
      </c>
      <c r="C829">
        <v>4.78</v>
      </c>
      <c r="D829">
        <v>4.2</v>
      </c>
      <c r="E829">
        <v>4.05</v>
      </c>
      <c r="F829">
        <v>4.53</v>
      </c>
      <c r="G829">
        <v>3.81</v>
      </c>
      <c r="H829">
        <v>4.26</v>
      </c>
      <c r="I829">
        <v>4.6100000000000003</v>
      </c>
      <c r="J829">
        <v>3.67</v>
      </c>
      <c r="K829">
        <v>4.43</v>
      </c>
      <c r="L829">
        <v>3.84</v>
      </c>
      <c r="M829">
        <f t="shared" si="36"/>
        <v>4.274</v>
      </c>
      <c r="N829">
        <f t="shared" si="37"/>
        <v>4.2699999999999996</v>
      </c>
      <c r="O829">
        <f t="shared" si="38"/>
        <v>4.1619999999999999</v>
      </c>
    </row>
    <row r="830" spans="1:15" ht="15" customHeight="1" x14ac:dyDescent="0.3">
      <c r="A830" t="s">
        <v>1697</v>
      </c>
      <c r="B830" t="s">
        <v>2680</v>
      </c>
      <c r="C830">
        <v>3.93</v>
      </c>
      <c r="D830">
        <v>3.8</v>
      </c>
      <c r="E830">
        <v>3.62</v>
      </c>
      <c r="F830">
        <v>3.82</v>
      </c>
      <c r="G830">
        <v>4.0999999999999996</v>
      </c>
      <c r="H830">
        <v>4.21</v>
      </c>
      <c r="I830">
        <v>3.79</v>
      </c>
      <c r="J830">
        <v>3.96</v>
      </c>
      <c r="K830">
        <v>4.41</v>
      </c>
      <c r="L830">
        <v>4.26</v>
      </c>
      <c r="M830">
        <f t="shared" si="36"/>
        <v>3.8540000000000005</v>
      </c>
      <c r="N830">
        <f t="shared" si="37"/>
        <v>3.85</v>
      </c>
      <c r="O830">
        <f t="shared" si="38"/>
        <v>4.1260000000000003</v>
      </c>
    </row>
    <row r="831" spans="1:15" ht="15" customHeight="1" x14ac:dyDescent="0.3">
      <c r="A831" t="s">
        <v>1699</v>
      </c>
      <c r="B831" t="s">
        <v>2681</v>
      </c>
      <c r="C831">
        <v>4.28</v>
      </c>
      <c r="D831">
        <v>4.5599999999999996</v>
      </c>
      <c r="E831">
        <v>4.12</v>
      </c>
      <c r="F831">
        <v>3.93</v>
      </c>
      <c r="G831">
        <v>3.56</v>
      </c>
      <c r="H831">
        <v>3.97</v>
      </c>
      <c r="I831">
        <v>3.56</v>
      </c>
      <c r="J831">
        <v>4.04</v>
      </c>
      <c r="K831">
        <v>3.86</v>
      </c>
      <c r="L831">
        <v>4.28</v>
      </c>
      <c r="M831">
        <f t="shared" si="36"/>
        <v>4.09</v>
      </c>
      <c r="N831">
        <f t="shared" si="37"/>
        <v>4.09</v>
      </c>
      <c r="O831">
        <f t="shared" si="38"/>
        <v>3.9420000000000002</v>
      </c>
    </row>
    <row r="832" spans="1:15" ht="15" customHeight="1" x14ac:dyDescent="0.3">
      <c r="A832" t="s">
        <v>1701</v>
      </c>
      <c r="B832" t="s">
        <v>2682</v>
      </c>
      <c r="C832">
        <v>4.4000000000000004</v>
      </c>
      <c r="D832">
        <v>3.96</v>
      </c>
      <c r="E832">
        <v>4.1100000000000003</v>
      </c>
      <c r="F832">
        <v>4.01</v>
      </c>
      <c r="G832">
        <v>4.0599999999999996</v>
      </c>
      <c r="H832">
        <v>3.91</v>
      </c>
      <c r="I832">
        <v>4.49</v>
      </c>
      <c r="J832">
        <v>4.59</v>
      </c>
      <c r="K832">
        <v>4.1500000000000004</v>
      </c>
      <c r="L832">
        <v>3.64</v>
      </c>
      <c r="M832">
        <f t="shared" si="36"/>
        <v>4.1079999999999988</v>
      </c>
      <c r="N832">
        <f t="shared" si="37"/>
        <v>4.1100000000000003</v>
      </c>
      <c r="O832">
        <f t="shared" si="38"/>
        <v>4.1560000000000006</v>
      </c>
    </row>
    <row r="833" spans="1:15" ht="15" customHeight="1" x14ac:dyDescent="0.3">
      <c r="A833" t="s">
        <v>1703</v>
      </c>
      <c r="B833" t="s">
        <v>2683</v>
      </c>
      <c r="C833">
        <v>3.55</v>
      </c>
      <c r="D833">
        <v>3.58</v>
      </c>
      <c r="E833">
        <v>4.13</v>
      </c>
      <c r="F833">
        <v>3.98</v>
      </c>
      <c r="G833">
        <v>4.1399999999999997</v>
      </c>
      <c r="H833">
        <v>3.91</v>
      </c>
      <c r="I833">
        <v>3.88</v>
      </c>
      <c r="J833">
        <v>3.74</v>
      </c>
      <c r="K833">
        <v>4.08</v>
      </c>
      <c r="L833">
        <v>3.66</v>
      </c>
      <c r="M833">
        <f t="shared" si="36"/>
        <v>3.8759999999999999</v>
      </c>
      <c r="N833">
        <f t="shared" si="37"/>
        <v>3.88</v>
      </c>
      <c r="O833">
        <f t="shared" si="38"/>
        <v>3.8540000000000005</v>
      </c>
    </row>
    <row r="834" spans="1:15" ht="15" customHeight="1" x14ac:dyDescent="0.3">
      <c r="A834" t="s">
        <v>1705</v>
      </c>
      <c r="B834" t="s">
        <v>2684</v>
      </c>
      <c r="C834">
        <v>4.62</v>
      </c>
      <c r="D834">
        <v>4.25</v>
      </c>
      <c r="E834">
        <v>3.88</v>
      </c>
      <c r="F834">
        <v>3.82</v>
      </c>
      <c r="G834">
        <v>4.2699999999999996</v>
      </c>
      <c r="H834">
        <v>4.2</v>
      </c>
      <c r="I834">
        <v>3.76</v>
      </c>
      <c r="J834">
        <v>4.08</v>
      </c>
      <c r="K834">
        <v>4.54</v>
      </c>
      <c r="L834">
        <v>4.25</v>
      </c>
      <c r="M834">
        <f t="shared" ref="M834:M897" si="39">AVERAGE(C834:G834)</f>
        <v>4.1680000000000001</v>
      </c>
      <c r="N834">
        <f t="shared" ref="N834:N897" si="40">ROUND(M834,2)</f>
        <v>4.17</v>
      </c>
      <c r="O834">
        <f t="shared" ref="O834:O897" si="41">AVERAGE(H834:L834)</f>
        <v>4.1659999999999995</v>
      </c>
    </row>
    <row r="835" spans="1:15" ht="15" customHeight="1" x14ac:dyDescent="0.3">
      <c r="A835" t="s">
        <v>1707</v>
      </c>
      <c r="B835" t="s">
        <v>1708</v>
      </c>
      <c r="C835">
        <v>3.93</v>
      </c>
      <c r="D835">
        <v>3.68</v>
      </c>
      <c r="E835">
        <v>3.28</v>
      </c>
      <c r="F835">
        <v>3.73</v>
      </c>
      <c r="G835">
        <v>4.49</v>
      </c>
      <c r="H835">
        <v>4.5599999999999996</v>
      </c>
      <c r="I835">
        <v>3.93</v>
      </c>
      <c r="J835">
        <v>3.91</v>
      </c>
      <c r="K835">
        <v>3.7</v>
      </c>
      <c r="L835">
        <v>3.68</v>
      </c>
      <c r="M835">
        <f t="shared" si="39"/>
        <v>3.8220000000000001</v>
      </c>
      <c r="N835">
        <f t="shared" si="40"/>
        <v>3.82</v>
      </c>
      <c r="O835">
        <f t="shared" si="41"/>
        <v>3.9560000000000004</v>
      </c>
    </row>
    <row r="836" spans="1:15" ht="15" customHeight="1" x14ac:dyDescent="0.3">
      <c r="A836" t="s">
        <v>1709</v>
      </c>
      <c r="B836" t="s">
        <v>1710</v>
      </c>
      <c r="C836">
        <v>3.9</v>
      </c>
      <c r="D836">
        <v>3.9</v>
      </c>
      <c r="E836">
        <v>4.22</v>
      </c>
      <c r="F836" t="s">
        <v>1711</v>
      </c>
      <c r="G836">
        <v>4.33</v>
      </c>
      <c r="H836">
        <v>3.78</v>
      </c>
      <c r="I836">
        <v>4.05</v>
      </c>
      <c r="J836">
        <v>4.2</v>
      </c>
      <c r="K836" t="s">
        <v>211</v>
      </c>
      <c r="L836">
        <v>4.1100000000000003</v>
      </c>
      <c r="M836">
        <f t="shared" si="39"/>
        <v>4.0875000000000004</v>
      </c>
      <c r="N836">
        <f t="shared" si="40"/>
        <v>4.09</v>
      </c>
      <c r="O836">
        <f t="shared" si="41"/>
        <v>4.0350000000000001</v>
      </c>
    </row>
    <row r="837" spans="1:15" ht="15" customHeight="1" x14ac:dyDescent="0.3">
      <c r="A837" t="s">
        <v>1712</v>
      </c>
      <c r="B837" t="s">
        <v>2685</v>
      </c>
      <c r="C837">
        <v>4.29</v>
      </c>
      <c r="D837">
        <v>3.93</v>
      </c>
      <c r="E837" t="s">
        <v>211</v>
      </c>
      <c r="F837">
        <v>4.07</v>
      </c>
      <c r="G837">
        <v>4.1100000000000003</v>
      </c>
      <c r="H837">
        <v>4.67</v>
      </c>
      <c r="I837">
        <v>4.0199999999999996</v>
      </c>
      <c r="J837">
        <v>4.49</v>
      </c>
      <c r="K837">
        <v>3.62</v>
      </c>
      <c r="L837">
        <v>4.22</v>
      </c>
      <c r="M837">
        <f t="shared" si="39"/>
        <v>4.1000000000000005</v>
      </c>
      <c r="N837">
        <f t="shared" si="40"/>
        <v>4.0999999999999996</v>
      </c>
      <c r="O837">
        <f t="shared" si="41"/>
        <v>4.2039999999999997</v>
      </c>
    </row>
    <row r="838" spans="1:15" ht="15" customHeight="1" x14ac:dyDescent="0.3">
      <c r="A838" t="s">
        <v>1714</v>
      </c>
      <c r="B838" t="s">
        <v>2686</v>
      </c>
      <c r="C838">
        <v>4.09</v>
      </c>
      <c r="D838">
        <v>4.0999999999999996</v>
      </c>
      <c r="E838">
        <v>4.38</v>
      </c>
      <c r="F838">
        <v>4.46</v>
      </c>
      <c r="G838">
        <v>4.07</v>
      </c>
      <c r="H838">
        <v>4.43</v>
      </c>
      <c r="I838">
        <v>3.98</v>
      </c>
      <c r="J838">
        <v>3.85</v>
      </c>
      <c r="K838">
        <v>3.79</v>
      </c>
      <c r="L838">
        <v>4.08</v>
      </c>
      <c r="M838">
        <f t="shared" si="39"/>
        <v>4.2200000000000006</v>
      </c>
      <c r="N838">
        <f t="shared" si="40"/>
        <v>4.22</v>
      </c>
      <c r="O838">
        <f t="shared" si="41"/>
        <v>4.0260000000000007</v>
      </c>
    </row>
    <row r="839" spans="1:15" ht="15" customHeight="1" x14ac:dyDescent="0.3">
      <c r="A839" t="s">
        <v>1716</v>
      </c>
      <c r="B839" t="s">
        <v>1717</v>
      </c>
      <c r="C839">
        <v>3.88</v>
      </c>
      <c r="D839">
        <v>4.24</v>
      </c>
      <c r="E839">
        <v>3.62</v>
      </c>
      <c r="F839">
        <v>4.43</v>
      </c>
      <c r="G839">
        <v>3.48</v>
      </c>
      <c r="H839">
        <v>4.18</v>
      </c>
      <c r="I839" t="s">
        <v>211</v>
      </c>
      <c r="J839">
        <v>4.26</v>
      </c>
      <c r="K839">
        <v>4.28</v>
      </c>
      <c r="L839">
        <v>4.2699999999999996</v>
      </c>
      <c r="M839">
        <f t="shared" si="39"/>
        <v>3.9300000000000006</v>
      </c>
      <c r="N839">
        <f t="shared" si="40"/>
        <v>3.93</v>
      </c>
      <c r="O839">
        <f t="shared" si="41"/>
        <v>4.2474999999999996</v>
      </c>
    </row>
    <row r="840" spans="1:15" ht="15" customHeight="1" x14ac:dyDescent="0.3">
      <c r="A840" t="s">
        <v>1718</v>
      </c>
      <c r="B840" t="s">
        <v>2687</v>
      </c>
      <c r="C840">
        <v>4.5</v>
      </c>
      <c r="D840">
        <v>4.1500000000000004</v>
      </c>
      <c r="E840">
        <v>3.86</v>
      </c>
      <c r="F840">
        <v>3.76</v>
      </c>
      <c r="G840">
        <v>4.3</v>
      </c>
      <c r="H840">
        <v>3.89</v>
      </c>
      <c r="I840" t="s">
        <v>211</v>
      </c>
      <c r="J840">
        <v>4.5599999999999996</v>
      </c>
      <c r="K840">
        <v>4.01</v>
      </c>
      <c r="L840">
        <v>4.0599999999999996</v>
      </c>
      <c r="M840">
        <f t="shared" si="39"/>
        <v>4.1139999999999999</v>
      </c>
      <c r="N840">
        <f t="shared" si="40"/>
        <v>4.1100000000000003</v>
      </c>
      <c r="O840">
        <f t="shared" si="41"/>
        <v>4.13</v>
      </c>
    </row>
    <row r="841" spans="1:15" ht="15" customHeight="1" x14ac:dyDescent="0.3">
      <c r="A841" t="s">
        <v>1720</v>
      </c>
      <c r="B841" t="s">
        <v>2688</v>
      </c>
      <c r="C841">
        <v>3.41</v>
      </c>
      <c r="D841">
        <v>4.05</v>
      </c>
      <c r="E841">
        <v>4.22</v>
      </c>
      <c r="F841">
        <v>4.72</v>
      </c>
      <c r="G841">
        <v>3.67</v>
      </c>
      <c r="H841">
        <v>3.99</v>
      </c>
      <c r="I841" t="s">
        <v>211</v>
      </c>
      <c r="J841">
        <v>4.21</v>
      </c>
      <c r="K841">
        <v>3.82</v>
      </c>
      <c r="L841">
        <v>3.71</v>
      </c>
      <c r="M841">
        <f t="shared" si="39"/>
        <v>4.0140000000000002</v>
      </c>
      <c r="N841">
        <f t="shared" si="40"/>
        <v>4.01</v>
      </c>
      <c r="O841">
        <f t="shared" si="41"/>
        <v>3.9325000000000001</v>
      </c>
    </row>
    <row r="842" spans="1:15" ht="15" customHeight="1" x14ac:dyDescent="0.3">
      <c r="A842" t="s">
        <v>1722</v>
      </c>
      <c r="B842" t="s">
        <v>2689</v>
      </c>
      <c r="C842">
        <v>3.95</v>
      </c>
      <c r="D842">
        <v>4.58</v>
      </c>
      <c r="E842">
        <v>3.95</v>
      </c>
      <c r="F842">
        <v>4.3499999999999996</v>
      </c>
      <c r="G842">
        <v>4.45</v>
      </c>
      <c r="H842">
        <v>3.82</v>
      </c>
      <c r="I842">
        <v>3.79</v>
      </c>
      <c r="J842">
        <v>4.3</v>
      </c>
      <c r="K842">
        <v>3.82</v>
      </c>
      <c r="L842">
        <v>3.7</v>
      </c>
      <c r="M842">
        <f t="shared" si="39"/>
        <v>4.2559999999999993</v>
      </c>
      <c r="N842">
        <f t="shared" si="40"/>
        <v>4.26</v>
      </c>
      <c r="O842">
        <f t="shared" si="41"/>
        <v>3.8860000000000001</v>
      </c>
    </row>
    <row r="843" spans="1:15" ht="15" customHeight="1" x14ac:dyDescent="0.3">
      <c r="A843" t="s">
        <v>1724</v>
      </c>
      <c r="B843" t="s">
        <v>1725</v>
      </c>
      <c r="C843">
        <v>4.0199999999999996</v>
      </c>
      <c r="D843">
        <v>4.54</v>
      </c>
      <c r="E843">
        <v>3.69</v>
      </c>
      <c r="F843">
        <v>3.83</v>
      </c>
      <c r="G843">
        <v>3.53</v>
      </c>
      <c r="H843">
        <v>3.75</v>
      </c>
      <c r="I843">
        <v>4.12</v>
      </c>
      <c r="J843">
        <v>4.08</v>
      </c>
      <c r="K843">
        <v>4.03</v>
      </c>
      <c r="L843">
        <v>3.82</v>
      </c>
      <c r="M843">
        <f t="shared" si="39"/>
        <v>3.9219999999999997</v>
      </c>
      <c r="N843">
        <f t="shared" si="40"/>
        <v>3.92</v>
      </c>
      <c r="O843">
        <f t="shared" si="41"/>
        <v>3.96</v>
      </c>
    </row>
    <row r="844" spans="1:15" ht="15" customHeight="1" x14ac:dyDescent="0.3">
      <c r="A844" t="s">
        <v>1726</v>
      </c>
      <c r="B844" t="s">
        <v>2690</v>
      </c>
      <c r="C844">
        <v>4.38</v>
      </c>
      <c r="D844">
        <v>3.9</v>
      </c>
      <c r="E844">
        <v>4.1100000000000003</v>
      </c>
      <c r="F844">
        <v>3.15</v>
      </c>
      <c r="G844">
        <v>4.24</v>
      </c>
      <c r="H844">
        <v>3.57</v>
      </c>
      <c r="I844">
        <v>4.1100000000000003</v>
      </c>
      <c r="J844">
        <v>4.7300000000000004</v>
      </c>
      <c r="K844">
        <v>4.3600000000000003</v>
      </c>
      <c r="L844">
        <v>4.6500000000000004</v>
      </c>
      <c r="M844">
        <f t="shared" si="39"/>
        <v>3.9560000000000004</v>
      </c>
      <c r="N844">
        <f t="shared" si="40"/>
        <v>3.96</v>
      </c>
      <c r="O844">
        <f t="shared" si="41"/>
        <v>4.2840000000000007</v>
      </c>
    </row>
    <row r="845" spans="1:15" ht="15" customHeight="1" x14ac:dyDescent="0.3">
      <c r="A845" t="s">
        <v>1728</v>
      </c>
      <c r="B845" t="s">
        <v>2691</v>
      </c>
      <c r="C845">
        <v>4.2699999999999996</v>
      </c>
      <c r="D845">
        <v>4.1399999999999997</v>
      </c>
      <c r="E845">
        <v>4.57</v>
      </c>
      <c r="F845">
        <v>4.17</v>
      </c>
      <c r="G845">
        <v>3.76</v>
      </c>
      <c r="H845">
        <v>4.16</v>
      </c>
      <c r="I845">
        <v>4</v>
      </c>
      <c r="J845">
        <v>3.99</v>
      </c>
      <c r="K845">
        <v>4.12</v>
      </c>
      <c r="L845">
        <v>4.1900000000000004</v>
      </c>
      <c r="M845">
        <f t="shared" si="39"/>
        <v>4.1819999999999995</v>
      </c>
      <c r="N845">
        <f t="shared" si="40"/>
        <v>4.18</v>
      </c>
      <c r="O845">
        <f t="shared" si="41"/>
        <v>4.0920000000000005</v>
      </c>
    </row>
    <row r="846" spans="1:15" ht="15" customHeight="1" x14ac:dyDescent="0.3">
      <c r="A846" t="s">
        <v>1730</v>
      </c>
      <c r="B846" t="s">
        <v>2692</v>
      </c>
      <c r="C846">
        <v>4.3600000000000003</v>
      </c>
      <c r="D846">
        <v>4.3899999999999997</v>
      </c>
      <c r="E846">
        <v>3.85</v>
      </c>
      <c r="F846">
        <v>3.98</v>
      </c>
      <c r="G846">
        <v>3.57</v>
      </c>
      <c r="H846">
        <v>4.08</v>
      </c>
      <c r="I846">
        <v>4.13</v>
      </c>
      <c r="J846">
        <v>4.57</v>
      </c>
      <c r="K846">
        <v>3.69</v>
      </c>
      <c r="L846">
        <v>4.21</v>
      </c>
      <c r="M846">
        <f t="shared" si="39"/>
        <v>4.0299999999999994</v>
      </c>
      <c r="N846">
        <f t="shared" si="40"/>
        <v>4.03</v>
      </c>
      <c r="O846">
        <f t="shared" si="41"/>
        <v>4.136000000000001</v>
      </c>
    </row>
    <row r="847" spans="1:15" ht="15" customHeight="1" x14ac:dyDescent="0.3">
      <c r="A847" t="s">
        <v>1732</v>
      </c>
      <c r="B847" t="s">
        <v>2693</v>
      </c>
      <c r="C847">
        <v>3.66</v>
      </c>
      <c r="D847">
        <v>3.83</v>
      </c>
      <c r="E847">
        <v>3.94</v>
      </c>
      <c r="F847" t="s">
        <v>211</v>
      </c>
      <c r="G847">
        <v>4.3</v>
      </c>
      <c r="H847">
        <v>3.42</v>
      </c>
      <c r="I847">
        <v>3.84</v>
      </c>
      <c r="J847">
        <v>4.3</v>
      </c>
      <c r="K847">
        <v>3.93</v>
      </c>
      <c r="L847">
        <v>4.01</v>
      </c>
      <c r="M847">
        <f t="shared" si="39"/>
        <v>3.9325000000000001</v>
      </c>
      <c r="N847">
        <f t="shared" si="40"/>
        <v>3.93</v>
      </c>
      <c r="O847">
        <f t="shared" si="41"/>
        <v>3.9</v>
      </c>
    </row>
    <row r="848" spans="1:15" ht="15" customHeight="1" x14ac:dyDescent="0.3">
      <c r="A848" t="s">
        <v>1734</v>
      </c>
      <c r="B848" t="s">
        <v>1735</v>
      </c>
      <c r="C848">
        <v>3.45</v>
      </c>
      <c r="D848">
        <v>4.0599999999999996</v>
      </c>
      <c r="E848">
        <v>3.72</v>
      </c>
      <c r="F848">
        <v>3.89</v>
      </c>
      <c r="G848">
        <v>3.78</v>
      </c>
      <c r="H848">
        <v>4.41</v>
      </c>
      <c r="I848">
        <v>3.89</v>
      </c>
      <c r="J848">
        <v>3.99</v>
      </c>
      <c r="K848">
        <v>4.3600000000000003</v>
      </c>
      <c r="L848">
        <v>4.1900000000000004</v>
      </c>
      <c r="M848">
        <f t="shared" si="39"/>
        <v>3.7800000000000002</v>
      </c>
      <c r="N848">
        <f t="shared" si="40"/>
        <v>3.78</v>
      </c>
      <c r="O848">
        <f t="shared" si="41"/>
        <v>4.168000000000001</v>
      </c>
    </row>
    <row r="849" spans="1:15" ht="15" customHeight="1" x14ac:dyDescent="0.3">
      <c r="A849" t="s">
        <v>1736</v>
      </c>
      <c r="B849" t="s">
        <v>1737</v>
      </c>
      <c r="C849">
        <v>3.9</v>
      </c>
      <c r="D849">
        <v>3.98</v>
      </c>
      <c r="E849">
        <v>3.9</v>
      </c>
      <c r="F849">
        <v>4.03</v>
      </c>
      <c r="G849">
        <v>3.95</v>
      </c>
      <c r="H849">
        <v>4.05</v>
      </c>
      <c r="I849">
        <v>3.98</v>
      </c>
      <c r="J849">
        <v>4.03</v>
      </c>
      <c r="K849">
        <v>4.16</v>
      </c>
      <c r="L849">
        <v>3.81</v>
      </c>
      <c r="M849">
        <f t="shared" si="39"/>
        <v>3.9519999999999995</v>
      </c>
      <c r="N849">
        <f t="shared" si="40"/>
        <v>3.95</v>
      </c>
      <c r="O849">
        <f t="shared" si="41"/>
        <v>4.0059999999999993</v>
      </c>
    </row>
    <row r="850" spans="1:15" ht="15" customHeight="1" x14ac:dyDescent="0.3">
      <c r="A850" t="s">
        <v>1738</v>
      </c>
      <c r="B850" t="s">
        <v>2694</v>
      </c>
      <c r="C850">
        <v>4.0199999999999996</v>
      </c>
      <c r="D850">
        <v>3.94</v>
      </c>
      <c r="E850">
        <v>4.63</v>
      </c>
      <c r="F850">
        <v>3.44</v>
      </c>
      <c r="G850">
        <v>4.42</v>
      </c>
      <c r="H850">
        <v>4.24</v>
      </c>
      <c r="I850">
        <v>4.5</v>
      </c>
      <c r="J850">
        <v>3.46</v>
      </c>
      <c r="K850">
        <v>3.73</v>
      </c>
      <c r="L850">
        <v>4.05</v>
      </c>
      <c r="M850">
        <f t="shared" si="39"/>
        <v>4.0900000000000007</v>
      </c>
      <c r="N850">
        <f t="shared" si="40"/>
        <v>4.09</v>
      </c>
      <c r="O850">
        <f t="shared" si="41"/>
        <v>3.996</v>
      </c>
    </row>
    <row r="851" spans="1:15" ht="15" customHeight="1" x14ac:dyDescent="0.3">
      <c r="A851" t="s">
        <v>1740</v>
      </c>
      <c r="B851" t="s">
        <v>2695</v>
      </c>
      <c r="C851">
        <v>4</v>
      </c>
      <c r="D851">
        <v>3.9</v>
      </c>
      <c r="E851">
        <v>3.35</v>
      </c>
      <c r="F851">
        <v>4.18</v>
      </c>
      <c r="G851">
        <v>4.04</v>
      </c>
      <c r="H851">
        <v>4.13</v>
      </c>
      <c r="I851">
        <v>3.92</v>
      </c>
      <c r="J851">
        <v>4.26</v>
      </c>
      <c r="K851">
        <v>3.77</v>
      </c>
      <c r="L851">
        <v>4.5199999999999996</v>
      </c>
      <c r="M851">
        <f t="shared" si="39"/>
        <v>3.8939999999999997</v>
      </c>
      <c r="N851">
        <f t="shared" si="40"/>
        <v>3.89</v>
      </c>
      <c r="O851">
        <f t="shared" si="41"/>
        <v>4.12</v>
      </c>
    </row>
    <row r="852" spans="1:15" ht="15" customHeight="1" x14ac:dyDescent="0.3">
      <c r="A852" t="s">
        <v>1742</v>
      </c>
      <c r="B852" t="s">
        <v>2696</v>
      </c>
      <c r="C852">
        <v>3.55</v>
      </c>
      <c r="D852">
        <v>3.9</v>
      </c>
      <c r="E852">
        <v>4.47</v>
      </c>
      <c r="F852">
        <v>3.83</v>
      </c>
      <c r="G852">
        <v>4.22</v>
      </c>
      <c r="H852">
        <v>3.89</v>
      </c>
      <c r="I852">
        <v>4.75</v>
      </c>
      <c r="J852">
        <v>4.3899999999999997</v>
      </c>
      <c r="K852">
        <v>4.46</v>
      </c>
      <c r="L852">
        <v>3.77</v>
      </c>
      <c r="M852">
        <f t="shared" si="39"/>
        <v>3.9939999999999998</v>
      </c>
      <c r="N852">
        <f t="shared" si="40"/>
        <v>3.99</v>
      </c>
      <c r="O852">
        <f t="shared" si="41"/>
        <v>4.2520000000000007</v>
      </c>
    </row>
    <row r="853" spans="1:15" ht="15" customHeight="1" x14ac:dyDescent="0.3">
      <c r="A853" t="s">
        <v>1744</v>
      </c>
      <c r="B853" t="s">
        <v>1745</v>
      </c>
      <c r="C853">
        <v>4.83</v>
      </c>
      <c r="D853">
        <v>3.96</v>
      </c>
      <c r="E853">
        <v>3.69</v>
      </c>
      <c r="F853">
        <v>3.8</v>
      </c>
      <c r="G853">
        <v>4.4000000000000004</v>
      </c>
      <c r="H853">
        <v>4.25</v>
      </c>
      <c r="I853">
        <v>4.29</v>
      </c>
      <c r="J853">
        <v>3.97</v>
      </c>
      <c r="K853">
        <v>4.13</v>
      </c>
      <c r="L853" t="s">
        <v>211</v>
      </c>
      <c r="M853">
        <f t="shared" si="39"/>
        <v>4.1360000000000001</v>
      </c>
      <c r="N853">
        <f t="shared" si="40"/>
        <v>4.1399999999999997</v>
      </c>
      <c r="O853">
        <f t="shared" si="41"/>
        <v>4.16</v>
      </c>
    </row>
    <row r="854" spans="1:15" ht="15" customHeight="1" x14ac:dyDescent="0.3">
      <c r="A854" t="s">
        <v>1746</v>
      </c>
      <c r="B854" t="s">
        <v>2697</v>
      </c>
      <c r="C854">
        <v>3.5</v>
      </c>
      <c r="D854">
        <v>4.13</v>
      </c>
      <c r="E854">
        <v>4.21</v>
      </c>
      <c r="F854">
        <v>3.89</v>
      </c>
      <c r="G854">
        <v>4.12</v>
      </c>
      <c r="H854">
        <v>4.0199999999999996</v>
      </c>
      <c r="I854">
        <v>4.09</v>
      </c>
      <c r="J854">
        <v>3.84</v>
      </c>
      <c r="K854">
        <v>3.81</v>
      </c>
      <c r="L854">
        <v>3.85</v>
      </c>
      <c r="M854">
        <f t="shared" si="39"/>
        <v>3.97</v>
      </c>
      <c r="N854">
        <f t="shared" si="40"/>
        <v>3.97</v>
      </c>
      <c r="O854">
        <f t="shared" si="41"/>
        <v>3.9219999999999997</v>
      </c>
    </row>
    <row r="855" spans="1:15" ht="15" customHeight="1" x14ac:dyDescent="0.3">
      <c r="A855" t="s">
        <v>1748</v>
      </c>
      <c r="B855" t="s">
        <v>1749</v>
      </c>
      <c r="C855">
        <v>4.57</v>
      </c>
      <c r="D855">
        <v>4.2300000000000004</v>
      </c>
      <c r="E855">
        <v>3.94</v>
      </c>
      <c r="F855">
        <v>3.73</v>
      </c>
      <c r="G855">
        <v>3.89</v>
      </c>
      <c r="H855">
        <v>4.13</v>
      </c>
      <c r="I855">
        <v>3.42</v>
      </c>
      <c r="J855">
        <v>4.3099999999999996</v>
      </c>
      <c r="K855">
        <v>4.3499999999999996</v>
      </c>
      <c r="L855">
        <v>4.0199999999999996</v>
      </c>
      <c r="M855">
        <f t="shared" si="39"/>
        <v>4.0720000000000001</v>
      </c>
      <c r="N855">
        <f t="shared" si="40"/>
        <v>4.07</v>
      </c>
      <c r="O855">
        <f t="shared" si="41"/>
        <v>4.0460000000000003</v>
      </c>
    </row>
    <row r="856" spans="1:15" ht="15" customHeight="1" x14ac:dyDescent="0.3">
      <c r="A856" t="s">
        <v>1750</v>
      </c>
      <c r="B856" t="s">
        <v>2698</v>
      </c>
      <c r="C856">
        <v>3.95</v>
      </c>
      <c r="D856" t="s">
        <v>211</v>
      </c>
      <c r="E856" t="s">
        <v>211</v>
      </c>
      <c r="F856">
        <v>4.47</v>
      </c>
      <c r="G856">
        <v>4.13</v>
      </c>
      <c r="H856">
        <v>4.58</v>
      </c>
      <c r="I856">
        <v>4.4800000000000004</v>
      </c>
      <c r="J856">
        <v>3.68</v>
      </c>
      <c r="K856">
        <v>3.16</v>
      </c>
      <c r="L856">
        <v>3.64</v>
      </c>
      <c r="M856">
        <f t="shared" si="39"/>
        <v>4.1833333333333336</v>
      </c>
      <c r="N856">
        <f t="shared" si="40"/>
        <v>4.18</v>
      </c>
      <c r="O856">
        <f t="shared" si="41"/>
        <v>3.9079999999999999</v>
      </c>
    </row>
    <row r="857" spans="1:15" ht="15" customHeight="1" x14ac:dyDescent="0.3">
      <c r="A857" t="s">
        <v>1752</v>
      </c>
      <c r="B857" t="s">
        <v>2699</v>
      </c>
      <c r="C857">
        <v>4.0999999999999996</v>
      </c>
      <c r="D857">
        <v>3.93</v>
      </c>
      <c r="E857">
        <v>4.1900000000000004</v>
      </c>
      <c r="F857">
        <v>4.1900000000000004</v>
      </c>
      <c r="G857">
        <v>4.34</v>
      </c>
      <c r="H857">
        <v>4.13</v>
      </c>
      <c r="I857">
        <v>3.92</v>
      </c>
      <c r="J857">
        <v>3.85</v>
      </c>
      <c r="K857">
        <v>3.93</v>
      </c>
      <c r="L857">
        <v>4.47</v>
      </c>
      <c r="M857">
        <f t="shared" si="39"/>
        <v>4.1500000000000004</v>
      </c>
      <c r="N857">
        <f t="shared" si="40"/>
        <v>4.1500000000000004</v>
      </c>
      <c r="O857">
        <f t="shared" si="41"/>
        <v>4.0600000000000005</v>
      </c>
    </row>
    <row r="858" spans="1:15" ht="15" customHeight="1" x14ac:dyDescent="0.3">
      <c r="A858" t="s">
        <v>1754</v>
      </c>
      <c r="B858" t="s">
        <v>1755</v>
      </c>
      <c r="C858">
        <v>3.98</v>
      </c>
      <c r="D858">
        <v>3.94</v>
      </c>
      <c r="E858">
        <v>4.25</v>
      </c>
      <c r="F858">
        <v>3.97</v>
      </c>
      <c r="G858">
        <v>3.89</v>
      </c>
      <c r="H858">
        <v>3.49</v>
      </c>
      <c r="I858">
        <v>4.5599999999999996</v>
      </c>
      <c r="J858">
        <v>3.67</v>
      </c>
      <c r="K858">
        <v>3.8</v>
      </c>
      <c r="L858">
        <v>4.1399999999999997</v>
      </c>
      <c r="M858">
        <f t="shared" si="39"/>
        <v>4.0060000000000002</v>
      </c>
      <c r="N858">
        <f t="shared" si="40"/>
        <v>4.01</v>
      </c>
      <c r="O858">
        <f t="shared" si="41"/>
        <v>3.9319999999999999</v>
      </c>
    </row>
    <row r="859" spans="1:15" ht="15" customHeight="1" x14ac:dyDescent="0.3">
      <c r="A859" t="s">
        <v>1756</v>
      </c>
      <c r="B859" t="s">
        <v>1757</v>
      </c>
      <c r="C859">
        <v>4.21</v>
      </c>
      <c r="D859">
        <v>3.87</v>
      </c>
      <c r="E859">
        <v>4.2699999999999996</v>
      </c>
      <c r="F859">
        <v>3.88</v>
      </c>
      <c r="G859">
        <v>3.9</v>
      </c>
      <c r="H859">
        <v>4.01</v>
      </c>
      <c r="I859">
        <v>3.86</v>
      </c>
      <c r="J859">
        <v>4.32</v>
      </c>
      <c r="K859">
        <v>4.4000000000000004</v>
      </c>
      <c r="L859">
        <v>3.94</v>
      </c>
      <c r="M859">
        <f t="shared" si="39"/>
        <v>4.0259999999999998</v>
      </c>
      <c r="N859">
        <f t="shared" si="40"/>
        <v>4.03</v>
      </c>
      <c r="O859">
        <f t="shared" si="41"/>
        <v>4.1059999999999999</v>
      </c>
    </row>
    <row r="860" spans="1:15" ht="15" customHeight="1" x14ac:dyDescent="0.3">
      <c r="A860" t="s">
        <v>1758</v>
      </c>
      <c r="B860" t="s">
        <v>2700</v>
      </c>
      <c r="C860">
        <v>4.57</v>
      </c>
      <c r="D860">
        <v>3.73</v>
      </c>
      <c r="E860">
        <v>3.78</v>
      </c>
      <c r="F860">
        <v>4.01</v>
      </c>
      <c r="G860">
        <v>3.9</v>
      </c>
      <c r="H860">
        <v>4</v>
      </c>
      <c r="I860">
        <v>3.96</v>
      </c>
      <c r="J860">
        <v>3.49</v>
      </c>
      <c r="K860">
        <v>4.28</v>
      </c>
      <c r="L860">
        <v>4.0999999999999996</v>
      </c>
      <c r="M860">
        <f t="shared" si="39"/>
        <v>3.9979999999999998</v>
      </c>
      <c r="N860">
        <f t="shared" si="40"/>
        <v>4</v>
      </c>
      <c r="O860">
        <f t="shared" si="41"/>
        <v>3.9659999999999997</v>
      </c>
    </row>
    <row r="861" spans="1:15" ht="15" customHeight="1" x14ac:dyDescent="0.3">
      <c r="A861" t="s">
        <v>1760</v>
      </c>
      <c r="B861" t="s">
        <v>2701</v>
      </c>
      <c r="C861">
        <v>4.1100000000000003</v>
      </c>
      <c r="D861">
        <v>4.03</v>
      </c>
      <c r="E861">
        <v>4.18</v>
      </c>
      <c r="F861">
        <v>3.83</v>
      </c>
      <c r="G861">
        <v>3.82</v>
      </c>
      <c r="H861">
        <v>3.91</v>
      </c>
      <c r="I861">
        <v>4.16</v>
      </c>
      <c r="J861">
        <v>4.03</v>
      </c>
      <c r="K861">
        <v>4.24</v>
      </c>
      <c r="L861">
        <v>3.8</v>
      </c>
      <c r="M861">
        <f t="shared" si="39"/>
        <v>3.9939999999999998</v>
      </c>
      <c r="N861">
        <f t="shared" si="40"/>
        <v>3.99</v>
      </c>
      <c r="O861">
        <f t="shared" si="41"/>
        <v>4.0280000000000005</v>
      </c>
    </row>
    <row r="862" spans="1:15" ht="15" customHeight="1" x14ac:dyDescent="0.3">
      <c r="A862" t="s">
        <v>1762</v>
      </c>
      <c r="B862" t="s">
        <v>2702</v>
      </c>
      <c r="C862" t="s">
        <v>211</v>
      </c>
      <c r="D862">
        <v>4.1100000000000003</v>
      </c>
      <c r="E862">
        <v>4.1100000000000003</v>
      </c>
      <c r="F862">
        <v>4.25</v>
      </c>
      <c r="G862">
        <v>3.95</v>
      </c>
      <c r="H862">
        <v>4.09</v>
      </c>
      <c r="I862">
        <v>3.91</v>
      </c>
      <c r="J862" t="s">
        <v>211</v>
      </c>
      <c r="K862">
        <v>4.01</v>
      </c>
      <c r="L862">
        <v>4.1100000000000003</v>
      </c>
      <c r="M862">
        <f t="shared" si="39"/>
        <v>4.1050000000000004</v>
      </c>
      <c r="N862">
        <f t="shared" si="40"/>
        <v>4.1100000000000003</v>
      </c>
      <c r="O862">
        <f t="shared" si="41"/>
        <v>4.03</v>
      </c>
    </row>
    <row r="863" spans="1:15" ht="15" customHeight="1" x14ac:dyDescent="0.3">
      <c r="A863" t="s">
        <v>1764</v>
      </c>
      <c r="B863" t="s">
        <v>2703</v>
      </c>
      <c r="C863">
        <v>4.67</v>
      </c>
      <c r="D863">
        <v>3.72</v>
      </c>
      <c r="E863">
        <v>4.21</v>
      </c>
      <c r="F863">
        <v>3.65</v>
      </c>
      <c r="G863">
        <v>4.0599999999999996</v>
      </c>
      <c r="H863">
        <v>3.76</v>
      </c>
      <c r="I863">
        <v>4.21</v>
      </c>
      <c r="J863">
        <v>3.75</v>
      </c>
      <c r="K863">
        <v>3.59</v>
      </c>
      <c r="L863">
        <v>4.28</v>
      </c>
      <c r="M863">
        <f t="shared" si="39"/>
        <v>4.0619999999999994</v>
      </c>
      <c r="N863">
        <f t="shared" si="40"/>
        <v>4.0599999999999996</v>
      </c>
      <c r="O863">
        <f t="shared" si="41"/>
        <v>3.9180000000000001</v>
      </c>
    </row>
    <row r="864" spans="1:15" ht="15" customHeight="1" x14ac:dyDescent="0.3">
      <c r="A864" t="s">
        <v>1766</v>
      </c>
      <c r="B864" t="s">
        <v>2704</v>
      </c>
      <c r="C864">
        <v>3.3</v>
      </c>
      <c r="D864">
        <v>3.79</v>
      </c>
      <c r="E864">
        <v>4.29</v>
      </c>
      <c r="F864">
        <v>3.94</v>
      </c>
      <c r="G864">
        <v>4.45</v>
      </c>
      <c r="H864">
        <v>4.03</v>
      </c>
      <c r="I864">
        <v>3.6</v>
      </c>
      <c r="J864">
        <v>4.28</v>
      </c>
      <c r="K864">
        <v>4.08</v>
      </c>
      <c r="L864">
        <v>3.8</v>
      </c>
      <c r="M864">
        <f t="shared" si="39"/>
        <v>3.9539999999999997</v>
      </c>
      <c r="N864">
        <f t="shared" si="40"/>
        <v>3.95</v>
      </c>
      <c r="O864">
        <f t="shared" si="41"/>
        <v>3.9579999999999997</v>
      </c>
    </row>
    <row r="865" spans="1:15" ht="15" customHeight="1" x14ac:dyDescent="0.3">
      <c r="A865" t="s">
        <v>1768</v>
      </c>
      <c r="B865" t="s">
        <v>2705</v>
      </c>
      <c r="C865">
        <v>4.03</v>
      </c>
      <c r="D865">
        <v>3.32</v>
      </c>
      <c r="E865">
        <v>4.09</v>
      </c>
      <c r="F865">
        <v>4.09</v>
      </c>
      <c r="G865">
        <v>4.29</v>
      </c>
      <c r="H865">
        <v>3.3</v>
      </c>
      <c r="I865">
        <v>4.26</v>
      </c>
      <c r="J865">
        <v>4.17</v>
      </c>
      <c r="K865">
        <v>3.77</v>
      </c>
      <c r="L865">
        <v>3.97</v>
      </c>
      <c r="M865">
        <f t="shared" si="39"/>
        <v>3.964</v>
      </c>
      <c r="N865">
        <f t="shared" si="40"/>
        <v>3.96</v>
      </c>
      <c r="O865">
        <f t="shared" si="41"/>
        <v>3.8939999999999997</v>
      </c>
    </row>
    <row r="866" spans="1:15" ht="15" customHeight="1" x14ac:dyDescent="0.3">
      <c r="A866" t="s">
        <v>1770</v>
      </c>
      <c r="B866" t="s">
        <v>1771</v>
      </c>
      <c r="C866">
        <v>3.75</v>
      </c>
      <c r="D866">
        <v>4.41</v>
      </c>
      <c r="E866">
        <v>4.17</v>
      </c>
      <c r="F866">
        <v>3.48</v>
      </c>
      <c r="G866">
        <v>3.92</v>
      </c>
      <c r="H866">
        <v>3.95</v>
      </c>
      <c r="I866">
        <v>3.79</v>
      </c>
      <c r="J866">
        <v>3.93</v>
      </c>
      <c r="K866">
        <v>4.03</v>
      </c>
      <c r="L866">
        <v>4.25</v>
      </c>
      <c r="M866">
        <f t="shared" si="39"/>
        <v>3.9460000000000002</v>
      </c>
      <c r="N866">
        <f t="shared" si="40"/>
        <v>3.95</v>
      </c>
      <c r="O866">
        <f t="shared" si="41"/>
        <v>3.9899999999999998</v>
      </c>
    </row>
    <row r="867" spans="1:15" ht="15" customHeight="1" x14ac:dyDescent="0.3">
      <c r="A867" t="s">
        <v>1772</v>
      </c>
      <c r="B867" t="s">
        <v>2706</v>
      </c>
      <c r="C867">
        <v>3.72</v>
      </c>
      <c r="D867">
        <v>4.18</v>
      </c>
      <c r="E867">
        <v>4.41</v>
      </c>
      <c r="F867">
        <v>3.97</v>
      </c>
      <c r="G867">
        <v>4.18</v>
      </c>
      <c r="H867">
        <v>3.86</v>
      </c>
      <c r="I867">
        <v>4.76</v>
      </c>
      <c r="J867">
        <v>4.32</v>
      </c>
      <c r="K867">
        <v>3.98</v>
      </c>
      <c r="L867">
        <v>4.4800000000000004</v>
      </c>
      <c r="M867">
        <f t="shared" si="39"/>
        <v>4.0920000000000005</v>
      </c>
      <c r="N867">
        <f t="shared" si="40"/>
        <v>4.09</v>
      </c>
      <c r="O867">
        <f t="shared" si="41"/>
        <v>4.2799999999999994</v>
      </c>
    </row>
    <row r="868" spans="1:15" ht="15" customHeight="1" x14ac:dyDescent="0.3">
      <c r="A868" t="s">
        <v>1774</v>
      </c>
      <c r="B868" t="s">
        <v>1775</v>
      </c>
      <c r="C868">
        <v>3.82</v>
      </c>
      <c r="D868">
        <v>4.1399999999999997</v>
      </c>
      <c r="E868">
        <v>4.1100000000000003</v>
      </c>
      <c r="F868">
        <v>3.81</v>
      </c>
      <c r="G868">
        <v>3.82</v>
      </c>
      <c r="H868">
        <v>4.0599999999999996</v>
      </c>
      <c r="I868">
        <v>4.3499999999999996</v>
      </c>
      <c r="J868">
        <v>4.63</v>
      </c>
      <c r="K868">
        <v>3.92</v>
      </c>
      <c r="L868">
        <v>3.86</v>
      </c>
      <c r="M868">
        <f t="shared" si="39"/>
        <v>3.94</v>
      </c>
      <c r="N868">
        <f t="shared" si="40"/>
        <v>3.94</v>
      </c>
      <c r="O868">
        <f t="shared" si="41"/>
        <v>4.1639999999999997</v>
      </c>
    </row>
    <row r="869" spans="1:15" ht="15" customHeight="1" x14ac:dyDescent="0.3">
      <c r="A869" t="s">
        <v>1776</v>
      </c>
      <c r="B869" t="s">
        <v>1777</v>
      </c>
      <c r="C869">
        <v>3.8</v>
      </c>
      <c r="D869">
        <v>3.47</v>
      </c>
      <c r="E869">
        <v>3.97</v>
      </c>
      <c r="F869">
        <v>4</v>
      </c>
      <c r="G869">
        <v>4.03</v>
      </c>
      <c r="H869">
        <v>3.94</v>
      </c>
      <c r="I869">
        <v>4</v>
      </c>
      <c r="J869">
        <v>3.81</v>
      </c>
      <c r="K869">
        <v>4.03</v>
      </c>
      <c r="L869">
        <v>4.53</v>
      </c>
      <c r="M869">
        <f t="shared" si="39"/>
        <v>3.8540000000000001</v>
      </c>
      <c r="N869">
        <f t="shared" si="40"/>
        <v>3.85</v>
      </c>
      <c r="O869">
        <f t="shared" si="41"/>
        <v>4.0620000000000003</v>
      </c>
    </row>
    <row r="870" spans="1:15" ht="15" customHeight="1" x14ac:dyDescent="0.3">
      <c r="A870" t="s">
        <v>1778</v>
      </c>
      <c r="B870" t="s">
        <v>1779</v>
      </c>
      <c r="C870">
        <v>3.96</v>
      </c>
      <c r="D870">
        <v>3.63</v>
      </c>
      <c r="E870">
        <v>3.97</v>
      </c>
      <c r="F870">
        <v>4.1500000000000004</v>
      </c>
      <c r="G870">
        <v>3.69</v>
      </c>
      <c r="H870">
        <v>4.18</v>
      </c>
      <c r="I870">
        <v>4.07</v>
      </c>
      <c r="J870">
        <v>4.33</v>
      </c>
      <c r="K870">
        <v>3.64</v>
      </c>
      <c r="L870">
        <v>4.4800000000000004</v>
      </c>
      <c r="M870">
        <f t="shared" si="39"/>
        <v>3.8800000000000003</v>
      </c>
      <c r="N870">
        <f t="shared" si="40"/>
        <v>3.88</v>
      </c>
      <c r="O870">
        <f t="shared" si="41"/>
        <v>4.1399999999999997</v>
      </c>
    </row>
    <row r="871" spans="1:15" ht="15" customHeight="1" x14ac:dyDescent="0.3">
      <c r="A871" t="s">
        <v>1780</v>
      </c>
      <c r="B871" t="s">
        <v>2707</v>
      </c>
      <c r="C871">
        <v>3.64</v>
      </c>
      <c r="D871">
        <v>3.54</v>
      </c>
      <c r="E871">
        <v>4.2300000000000004</v>
      </c>
      <c r="F871">
        <v>4.2699999999999996</v>
      </c>
      <c r="G871" t="s">
        <v>211</v>
      </c>
      <c r="H871">
        <v>3.77</v>
      </c>
      <c r="I871">
        <v>3.66</v>
      </c>
      <c r="J871">
        <v>4.3</v>
      </c>
      <c r="K871">
        <v>3.2</v>
      </c>
      <c r="L871">
        <v>4.21</v>
      </c>
      <c r="M871">
        <f t="shared" si="39"/>
        <v>3.92</v>
      </c>
      <c r="N871">
        <f t="shared" si="40"/>
        <v>3.92</v>
      </c>
      <c r="O871">
        <f t="shared" si="41"/>
        <v>3.8280000000000003</v>
      </c>
    </row>
    <row r="872" spans="1:15" ht="15" customHeight="1" x14ac:dyDescent="0.3">
      <c r="A872" t="s">
        <v>1782</v>
      </c>
      <c r="B872" t="s">
        <v>2708</v>
      </c>
      <c r="C872">
        <v>4.0999999999999996</v>
      </c>
      <c r="D872">
        <v>4.13</v>
      </c>
      <c r="E872">
        <v>4.6900000000000004</v>
      </c>
      <c r="F872">
        <v>3.75</v>
      </c>
      <c r="G872">
        <v>4.4800000000000004</v>
      </c>
      <c r="H872">
        <v>4.12</v>
      </c>
      <c r="I872">
        <v>4.1900000000000004</v>
      </c>
      <c r="J872">
        <v>3.69</v>
      </c>
      <c r="K872">
        <v>4.12</v>
      </c>
      <c r="L872">
        <v>3.68</v>
      </c>
      <c r="M872">
        <f t="shared" si="39"/>
        <v>4.2300000000000004</v>
      </c>
      <c r="N872">
        <f t="shared" si="40"/>
        <v>4.2300000000000004</v>
      </c>
      <c r="O872">
        <f t="shared" si="41"/>
        <v>3.96</v>
      </c>
    </row>
    <row r="873" spans="1:15" ht="15" customHeight="1" x14ac:dyDescent="0.3">
      <c r="A873" t="s">
        <v>1784</v>
      </c>
      <c r="B873" t="s">
        <v>2709</v>
      </c>
      <c r="C873">
        <v>4.34</v>
      </c>
      <c r="D873">
        <v>3.93</v>
      </c>
      <c r="E873">
        <v>3.64</v>
      </c>
      <c r="F873">
        <v>3.82</v>
      </c>
      <c r="G873" t="s">
        <v>438</v>
      </c>
      <c r="H873">
        <v>4.49</v>
      </c>
      <c r="I873">
        <v>3.58</v>
      </c>
      <c r="J873">
        <v>3.41</v>
      </c>
      <c r="K873">
        <v>5.0199999999999996</v>
      </c>
      <c r="L873">
        <v>3.79</v>
      </c>
      <c r="M873">
        <f t="shared" si="39"/>
        <v>3.9325000000000001</v>
      </c>
      <c r="N873">
        <f t="shared" si="40"/>
        <v>3.93</v>
      </c>
      <c r="O873">
        <f t="shared" si="41"/>
        <v>4.0579999999999998</v>
      </c>
    </row>
    <row r="874" spans="1:15" ht="15" customHeight="1" x14ac:dyDescent="0.3">
      <c r="A874" t="s">
        <v>1786</v>
      </c>
      <c r="B874" t="s">
        <v>2710</v>
      </c>
      <c r="C874">
        <v>4.5</v>
      </c>
      <c r="D874">
        <v>4.04</v>
      </c>
      <c r="E874">
        <v>4.01</v>
      </c>
      <c r="F874">
        <v>3.65</v>
      </c>
      <c r="G874">
        <v>4.53</v>
      </c>
      <c r="H874">
        <v>4.5</v>
      </c>
      <c r="I874">
        <v>4.18</v>
      </c>
      <c r="J874">
        <v>3.63</v>
      </c>
      <c r="K874">
        <v>3.84</v>
      </c>
      <c r="L874">
        <v>3.72</v>
      </c>
      <c r="M874">
        <f t="shared" si="39"/>
        <v>4.1459999999999999</v>
      </c>
      <c r="N874">
        <f t="shared" si="40"/>
        <v>4.1500000000000004</v>
      </c>
      <c r="O874">
        <f t="shared" si="41"/>
        <v>3.9739999999999993</v>
      </c>
    </row>
    <row r="875" spans="1:15" ht="15" customHeight="1" x14ac:dyDescent="0.3">
      <c r="A875" t="s">
        <v>1788</v>
      </c>
      <c r="B875" t="s">
        <v>2711</v>
      </c>
      <c r="C875">
        <v>4.1900000000000004</v>
      </c>
      <c r="D875">
        <v>4.4400000000000004</v>
      </c>
      <c r="E875">
        <v>4.29</v>
      </c>
      <c r="F875">
        <v>3.9</v>
      </c>
      <c r="G875">
        <v>4.32</v>
      </c>
      <c r="H875">
        <v>3.21</v>
      </c>
      <c r="I875">
        <v>4.08</v>
      </c>
      <c r="J875">
        <v>4.33</v>
      </c>
      <c r="K875">
        <v>4.53</v>
      </c>
      <c r="L875">
        <v>3.97</v>
      </c>
      <c r="M875">
        <f t="shared" si="39"/>
        <v>4.2279999999999998</v>
      </c>
      <c r="N875">
        <f t="shared" si="40"/>
        <v>4.2300000000000004</v>
      </c>
      <c r="O875">
        <f t="shared" si="41"/>
        <v>4.024</v>
      </c>
    </row>
    <row r="876" spans="1:15" ht="15" customHeight="1" x14ac:dyDescent="0.3">
      <c r="A876" t="s">
        <v>1790</v>
      </c>
      <c r="B876" t="s">
        <v>1791</v>
      </c>
      <c r="C876">
        <v>3.86</v>
      </c>
      <c r="D876">
        <v>4.28</v>
      </c>
      <c r="E876">
        <v>3.34</v>
      </c>
      <c r="F876">
        <v>4.0199999999999996</v>
      </c>
      <c r="G876">
        <v>3.8</v>
      </c>
      <c r="H876">
        <v>3.69</v>
      </c>
      <c r="I876">
        <v>3.73</v>
      </c>
      <c r="J876">
        <v>4.16</v>
      </c>
      <c r="K876">
        <v>3.51</v>
      </c>
      <c r="L876">
        <v>3.8</v>
      </c>
      <c r="M876">
        <f t="shared" si="39"/>
        <v>3.8600000000000003</v>
      </c>
      <c r="N876">
        <f t="shared" si="40"/>
        <v>3.86</v>
      </c>
      <c r="O876">
        <f t="shared" si="41"/>
        <v>3.778</v>
      </c>
    </row>
    <row r="877" spans="1:15" ht="15" customHeight="1" x14ac:dyDescent="0.3">
      <c r="A877" t="s">
        <v>1792</v>
      </c>
      <c r="B877" t="s">
        <v>2712</v>
      </c>
      <c r="C877">
        <v>4.07</v>
      </c>
      <c r="D877">
        <v>4.75</v>
      </c>
      <c r="E877">
        <v>3.83</v>
      </c>
      <c r="F877">
        <v>3.63</v>
      </c>
      <c r="G877">
        <v>3.6</v>
      </c>
      <c r="H877">
        <v>3.7</v>
      </c>
      <c r="I877">
        <v>3.96</v>
      </c>
      <c r="J877">
        <v>4.18</v>
      </c>
      <c r="K877">
        <v>3.73</v>
      </c>
      <c r="L877">
        <v>4.26</v>
      </c>
      <c r="M877">
        <f t="shared" si="39"/>
        <v>3.9760000000000004</v>
      </c>
      <c r="N877">
        <f t="shared" si="40"/>
        <v>3.98</v>
      </c>
      <c r="O877">
        <f t="shared" si="41"/>
        <v>3.9659999999999997</v>
      </c>
    </row>
    <row r="878" spans="1:15" ht="15" customHeight="1" x14ac:dyDescent="0.3">
      <c r="A878" t="s">
        <v>1794</v>
      </c>
      <c r="B878" t="s">
        <v>1795</v>
      </c>
      <c r="C878">
        <v>3.68</v>
      </c>
      <c r="D878">
        <v>3.64</v>
      </c>
      <c r="E878">
        <v>4.58</v>
      </c>
      <c r="F878" t="s">
        <v>211</v>
      </c>
      <c r="G878">
        <v>4.21</v>
      </c>
      <c r="H878">
        <v>4.07</v>
      </c>
      <c r="I878">
        <v>4.0199999999999996</v>
      </c>
      <c r="J878">
        <v>4.46</v>
      </c>
      <c r="K878">
        <v>4.53</v>
      </c>
      <c r="L878">
        <v>3.83</v>
      </c>
      <c r="M878">
        <f t="shared" si="39"/>
        <v>4.0274999999999999</v>
      </c>
      <c r="N878">
        <f t="shared" si="40"/>
        <v>4.03</v>
      </c>
      <c r="O878">
        <f t="shared" si="41"/>
        <v>4.1820000000000004</v>
      </c>
    </row>
    <row r="879" spans="1:15" ht="15" customHeight="1" x14ac:dyDescent="0.3">
      <c r="A879" t="s">
        <v>1796</v>
      </c>
      <c r="B879" t="s">
        <v>2713</v>
      </c>
      <c r="C879">
        <v>4.09</v>
      </c>
      <c r="D879">
        <v>3.99</v>
      </c>
      <c r="E879">
        <v>4.1100000000000003</v>
      </c>
      <c r="F879">
        <v>4.16</v>
      </c>
      <c r="G879">
        <v>3.66</v>
      </c>
      <c r="H879">
        <v>4.01</v>
      </c>
      <c r="I879">
        <v>3.79</v>
      </c>
      <c r="J879">
        <v>4.2699999999999996</v>
      </c>
      <c r="K879">
        <v>4.3899999999999997</v>
      </c>
      <c r="L879" t="s">
        <v>1798</v>
      </c>
      <c r="M879">
        <f t="shared" si="39"/>
        <v>4.0020000000000007</v>
      </c>
      <c r="N879">
        <f t="shared" si="40"/>
        <v>4</v>
      </c>
      <c r="O879">
        <f t="shared" si="41"/>
        <v>4.1150000000000002</v>
      </c>
    </row>
    <row r="880" spans="1:15" ht="15" customHeight="1" x14ac:dyDescent="0.3">
      <c r="A880" t="s">
        <v>1799</v>
      </c>
      <c r="B880" t="s">
        <v>2714</v>
      </c>
      <c r="C880">
        <v>4.55</v>
      </c>
      <c r="D880">
        <v>4.51</v>
      </c>
      <c r="E880">
        <v>4.3899999999999997</v>
      </c>
      <c r="F880">
        <v>3.79</v>
      </c>
      <c r="G880">
        <v>3.29</v>
      </c>
      <c r="H880">
        <v>3.36</v>
      </c>
      <c r="I880">
        <v>4.55</v>
      </c>
      <c r="J880">
        <v>4.2</v>
      </c>
      <c r="K880">
        <v>3.84</v>
      </c>
      <c r="L880">
        <v>4.33</v>
      </c>
      <c r="M880">
        <f t="shared" si="39"/>
        <v>4.1059999999999999</v>
      </c>
      <c r="N880">
        <f t="shared" si="40"/>
        <v>4.1100000000000003</v>
      </c>
      <c r="O880">
        <f t="shared" si="41"/>
        <v>4.056</v>
      </c>
    </row>
    <row r="881" spans="1:15" ht="15" customHeight="1" x14ac:dyDescent="0.3">
      <c r="A881" t="s">
        <v>1801</v>
      </c>
      <c r="B881" t="s">
        <v>1802</v>
      </c>
      <c r="C881">
        <v>4.03</v>
      </c>
      <c r="D881">
        <v>3.71</v>
      </c>
      <c r="E881" t="s">
        <v>211</v>
      </c>
      <c r="F881">
        <v>3.55</v>
      </c>
      <c r="G881">
        <v>4</v>
      </c>
      <c r="H881">
        <v>3.54</v>
      </c>
      <c r="I881">
        <v>3.55</v>
      </c>
      <c r="J881">
        <v>3.73</v>
      </c>
      <c r="K881">
        <v>3.87</v>
      </c>
      <c r="L881">
        <v>4.04</v>
      </c>
      <c r="M881">
        <f t="shared" si="39"/>
        <v>3.8224999999999998</v>
      </c>
      <c r="N881">
        <f t="shared" si="40"/>
        <v>3.82</v>
      </c>
      <c r="O881">
        <f t="shared" si="41"/>
        <v>3.746</v>
      </c>
    </row>
    <row r="882" spans="1:15" ht="15" customHeight="1" x14ac:dyDescent="0.3">
      <c r="A882" t="s">
        <v>1803</v>
      </c>
      <c r="B882" t="s">
        <v>2715</v>
      </c>
      <c r="C882">
        <v>3.89</v>
      </c>
      <c r="D882">
        <v>3.74</v>
      </c>
      <c r="E882">
        <v>3.96</v>
      </c>
      <c r="F882">
        <v>4.2300000000000004</v>
      </c>
      <c r="G882">
        <v>4.01</v>
      </c>
      <c r="H882">
        <v>3.79</v>
      </c>
      <c r="I882">
        <v>4.08</v>
      </c>
      <c r="J882">
        <v>3.82</v>
      </c>
      <c r="K882">
        <v>3.95</v>
      </c>
      <c r="L882">
        <v>4.05</v>
      </c>
      <c r="M882">
        <f t="shared" si="39"/>
        <v>3.9659999999999997</v>
      </c>
      <c r="N882">
        <f t="shared" si="40"/>
        <v>3.97</v>
      </c>
      <c r="O882">
        <f t="shared" si="41"/>
        <v>3.9380000000000002</v>
      </c>
    </row>
    <row r="883" spans="1:15" ht="15" customHeight="1" x14ac:dyDescent="0.3">
      <c r="A883" t="s">
        <v>1805</v>
      </c>
      <c r="B883" t="s">
        <v>2716</v>
      </c>
      <c r="C883">
        <v>3.51</v>
      </c>
      <c r="D883">
        <v>3.75</v>
      </c>
      <c r="E883">
        <v>3.8</v>
      </c>
      <c r="F883">
        <v>4.18</v>
      </c>
      <c r="G883">
        <v>3.97</v>
      </c>
      <c r="H883">
        <v>4.2300000000000004</v>
      </c>
      <c r="I883">
        <v>4.41</v>
      </c>
      <c r="J883">
        <v>4.51</v>
      </c>
      <c r="K883">
        <v>3.96</v>
      </c>
      <c r="L883">
        <v>3.09</v>
      </c>
      <c r="M883">
        <f t="shared" si="39"/>
        <v>3.8419999999999996</v>
      </c>
      <c r="N883">
        <f t="shared" si="40"/>
        <v>3.84</v>
      </c>
      <c r="O883">
        <f t="shared" si="41"/>
        <v>4.04</v>
      </c>
    </row>
    <row r="884" spans="1:15" ht="15" customHeight="1" x14ac:dyDescent="0.3">
      <c r="A884" t="s">
        <v>1807</v>
      </c>
      <c r="B884" t="s">
        <v>2717</v>
      </c>
      <c r="C884">
        <v>3.63</v>
      </c>
      <c r="D884">
        <v>4</v>
      </c>
      <c r="E884">
        <v>3.94</v>
      </c>
      <c r="F884">
        <v>3.95</v>
      </c>
      <c r="G884">
        <v>4.0199999999999996</v>
      </c>
      <c r="H884">
        <v>4.21</v>
      </c>
      <c r="I884">
        <v>4</v>
      </c>
      <c r="J884">
        <v>4.3899999999999997</v>
      </c>
      <c r="K884">
        <v>4.25</v>
      </c>
      <c r="L884">
        <v>3.88</v>
      </c>
      <c r="M884">
        <f t="shared" si="39"/>
        <v>3.9079999999999999</v>
      </c>
      <c r="N884">
        <f t="shared" si="40"/>
        <v>3.91</v>
      </c>
      <c r="O884">
        <f t="shared" si="41"/>
        <v>4.1459999999999999</v>
      </c>
    </row>
    <row r="885" spans="1:15" ht="15" customHeight="1" x14ac:dyDescent="0.3">
      <c r="A885" t="s">
        <v>1809</v>
      </c>
      <c r="B885" t="s">
        <v>2718</v>
      </c>
      <c r="C885">
        <v>4.47</v>
      </c>
      <c r="D885" t="s">
        <v>211</v>
      </c>
      <c r="E885">
        <v>4.1900000000000004</v>
      </c>
      <c r="F885">
        <v>4.22</v>
      </c>
      <c r="G885">
        <v>4.33</v>
      </c>
      <c r="H885">
        <v>3.59</v>
      </c>
      <c r="I885">
        <v>4.7300000000000004</v>
      </c>
      <c r="J885">
        <v>4.17</v>
      </c>
      <c r="K885">
        <v>4.4400000000000004</v>
      </c>
      <c r="L885">
        <v>3.95</v>
      </c>
      <c r="M885">
        <f t="shared" si="39"/>
        <v>4.3025000000000002</v>
      </c>
      <c r="N885">
        <f t="shared" si="40"/>
        <v>4.3</v>
      </c>
      <c r="O885">
        <f t="shared" si="41"/>
        <v>4.1760000000000002</v>
      </c>
    </row>
    <row r="886" spans="1:15" ht="15" customHeight="1" x14ac:dyDescent="0.3">
      <c r="A886" t="s">
        <v>1811</v>
      </c>
      <c r="B886" t="s">
        <v>2719</v>
      </c>
      <c r="C886">
        <v>3.46</v>
      </c>
      <c r="D886">
        <v>4.09</v>
      </c>
      <c r="E886">
        <v>3.87</v>
      </c>
      <c r="F886">
        <v>4.24</v>
      </c>
      <c r="G886">
        <v>4.37</v>
      </c>
      <c r="H886">
        <v>3.94</v>
      </c>
      <c r="I886">
        <v>3.89</v>
      </c>
      <c r="J886">
        <v>4.1100000000000003</v>
      </c>
      <c r="K886" t="s">
        <v>211</v>
      </c>
      <c r="L886">
        <v>4.25</v>
      </c>
      <c r="M886">
        <f t="shared" si="39"/>
        <v>4.0060000000000002</v>
      </c>
      <c r="N886">
        <f t="shared" si="40"/>
        <v>4.01</v>
      </c>
      <c r="O886">
        <f t="shared" si="41"/>
        <v>4.0475000000000003</v>
      </c>
    </row>
    <row r="887" spans="1:15" ht="15" customHeight="1" x14ac:dyDescent="0.3">
      <c r="A887" t="s">
        <v>1813</v>
      </c>
      <c r="B887" t="s">
        <v>2720</v>
      </c>
      <c r="C887">
        <v>4.34</v>
      </c>
      <c r="D887">
        <v>3.81</v>
      </c>
      <c r="E887">
        <v>4.2</v>
      </c>
      <c r="F887">
        <v>4.1399999999999997</v>
      </c>
      <c r="G887">
        <v>3.97</v>
      </c>
      <c r="H887">
        <v>4.5199999999999996</v>
      </c>
      <c r="I887">
        <v>4.62</v>
      </c>
      <c r="J887">
        <v>3.94</v>
      </c>
      <c r="K887">
        <v>4.04</v>
      </c>
      <c r="L887">
        <v>3.82</v>
      </c>
      <c r="M887">
        <f t="shared" si="39"/>
        <v>4.0920000000000005</v>
      </c>
      <c r="N887">
        <f t="shared" si="40"/>
        <v>4.09</v>
      </c>
      <c r="O887">
        <f t="shared" si="41"/>
        <v>4.1880000000000006</v>
      </c>
    </row>
    <row r="888" spans="1:15" ht="15" customHeight="1" x14ac:dyDescent="0.3">
      <c r="A888" t="s">
        <v>1815</v>
      </c>
      <c r="B888" t="s">
        <v>2721</v>
      </c>
      <c r="C888">
        <v>4.21</v>
      </c>
      <c r="D888">
        <v>4.29</v>
      </c>
      <c r="E888">
        <v>3.55</v>
      </c>
      <c r="F888">
        <v>4.2</v>
      </c>
      <c r="G888">
        <v>3.99</v>
      </c>
      <c r="H888">
        <v>3.94</v>
      </c>
      <c r="I888">
        <v>3.79</v>
      </c>
      <c r="J888">
        <v>3.43</v>
      </c>
      <c r="K888">
        <v>4.1900000000000004</v>
      </c>
      <c r="L888">
        <v>4.09</v>
      </c>
      <c r="M888">
        <f t="shared" si="39"/>
        <v>4.048</v>
      </c>
      <c r="N888">
        <f t="shared" si="40"/>
        <v>4.05</v>
      </c>
      <c r="O888">
        <f t="shared" si="41"/>
        <v>3.8880000000000003</v>
      </c>
    </row>
    <row r="889" spans="1:15" ht="15" customHeight="1" x14ac:dyDescent="0.3">
      <c r="A889" t="s">
        <v>1817</v>
      </c>
      <c r="B889" t="s">
        <v>2722</v>
      </c>
      <c r="C889">
        <v>4.2</v>
      </c>
      <c r="D889">
        <v>4.43</v>
      </c>
      <c r="E889">
        <v>4.28</v>
      </c>
      <c r="F889">
        <v>3.67</v>
      </c>
      <c r="G889">
        <v>4.4800000000000004</v>
      </c>
      <c r="H889">
        <v>3.91</v>
      </c>
      <c r="I889">
        <v>4.0599999999999996</v>
      </c>
      <c r="J889">
        <v>4.4800000000000004</v>
      </c>
      <c r="K889">
        <v>4.21</v>
      </c>
      <c r="L889">
        <v>3.89</v>
      </c>
      <c r="M889">
        <f t="shared" si="39"/>
        <v>4.2119999999999997</v>
      </c>
      <c r="N889">
        <f t="shared" si="40"/>
        <v>4.21</v>
      </c>
      <c r="O889">
        <f t="shared" si="41"/>
        <v>4.1100000000000003</v>
      </c>
    </row>
    <row r="890" spans="1:15" ht="15" customHeight="1" x14ac:dyDescent="0.3">
      <c r="A890" t="s">
        <v>1819</v>
      </c>
      <c r="B890" t="s">
        <v>2723</v>
      </c>
      <c r="C890">
        <v>3.69</v>
      </c>
      <c r="D890">
        <v>4.12</v>
      </c>
      <c r="E890">
        <v>4.1900000000000004</v>
      </c>
      <c r="F890">
        <v>4.4000000000000004</v>
      </c>
      <c r="G890">
        <v>4.3600000000000003</v>
      </c>
      <c r="H890">
        <v>4.38</v>
      </c>
      <c r="I890">
        <v>4.38</v>
      </c>
      <c r="J890">
        <v>4.25</v>
      </c>
      <c r="K890">
        <v>4.01</v>
      </c>
      <c r="L890">
        <v>3.83</v>
      </c>
      <c r="M890">
        <f t="shared" si="39"/>
        <v>4.1519999999999992</v>
      </c>
      <c r="N890">
        <f t="shared" si="40"/>
        <v>4.1500000000000004</v>
      </c>
      <c r="O890">
        <f t="shared" si="41"/>
        <v>4.17</v>
      </c>
    </row>
    <row r="891" spans="1:15" ht="15" customHeight="1" x14ac:dyDescent="0.3">
      <c r="A891" t="s">
        <v>1821</v>
      </c>
      <c r="B891" t="s">
        <v>2724</v>
      </c>
      <c r="C891">
        <v>3.61</v>
      </c>
      <c r="D891">
        <v>4.08</v>
      </c>
      <c r="E891">
        <v>4.03</v>
      </c>
      <c r="F891">
        <v>3.96</v>
      </c>
      <c r="G891">
        <v>3.88</v>
      </c>
      <c r="H891">
        <v>3.64</v>
      </c>
      <c r="I891">
        <v>3.89</v>
      </c>
      <c r="J891">
        <v>3.88</v>
      </c>
      <c r="K891">
        <v>3.82</v>
      </c>
      <c r="L891">
        <v>4.37</v>
      </c>
      <c r="M891">
        <f t="shared" si="39"/>
        <v>3.9119999999999999</v>
      </c>
      <c r="N891">
        <f t="shared" si="40"/>
        <v>3.91</v>
      </c>
      <c r="O891">
        <f t="shared" si="41"/>
        <v>3.9200000000000004</v>
      </c>
    </row>
    <row r="892" spans="1:15" ht="15" customHeight="1" x14ac:dyDescent="0.3">
      <c r="A892" t="s">
        <v>1823</v>
      </c>
      <c r="B892" t="s">
        <v>1824</v>
      </c>
      <c r="C892">
        <v>4.4000000000000004</v>
      </c>
      <c r="D892">
        <v>3.5</v>
      </c>
      <c r="E892">
        <v>3.87</v>
      </c>
      <c r="F892">
        <v>3.73</v>
      </c>
      <c r="G892">
        <v>3.75</v>
      </c>
      <c r="H892">
        <v>3.74</v>
      </c>
      <c r="I892">
        <v>3.79</v>
      </c>
      <c r="J892">
        <v>3.98</v>
      </c>
      <c r="K892">
        <v>4.21</v>
      </c>
      <c r="L892">
        <v>4.8600000000000003</v>
      </c>
      <c r="M892">
        <f t="shared" si="39"/>
        <v>3.85</v>
      </c>
      <c r="N892">
        <f t="shared" si="40"/>
        <v>3.85</v>
      </c>
      <c r="O892">
        <f t="shared" si="41"/>
        <v>4.1159999999999997</v>
      </c>
    </row>
    <row r="893" spans="1:15" ht="15" customHeight="1" x14ac:dyDescent="0.3">
      <c r="A893" t="s">
        <v>1825</v>
      </c>
      <c r="B893" t="s">
        <v>1826</v>
      </c>
      <c r="C893">
        <v>4.33</v>
      </c>
      <c r="D893">
        <v>4</v>
      </c>
      <c r="E893">
        <v>3.97</v>
      </c>
      <c r="F893">
        <v>3.91</v>
      </c>
      <c r="G893">
        <v>3.78</v>
      </c>
      <c r="H893">
        <v>4.1100000000000003</v>
      </c>
      <c r="I893">
        <v>4.42</v>
      </c>
      <c r="J893">
        <v>4.37</v>
      </c>
      <c r="K893">
        <v>3.9</v>
      </c>
      <c r="L893">
        <v>3.52</v>
      </c>
      <c r="M893">
        <f t="shared" si="39"/>
        <v>3.9980000000000002</v>
      </c>
      <c r="N893">
        <f t="shared" si="40"/>
        <v>4</v>
      </c>
      <c r="O893">
        <f t="shared" si="41"/>
        <v>4.0640000000000001</v>
      </c>
    </row>
    <row r="894" spans="1:15" ht="15" customHeight="1" x14ac:dyDescent="0.3">
      <c r="A894" t="s">
        <v>1827</v>
      </c>
      <c r="B894" t="s">
        <v>2725</v>
      </c>
      <c r="C894">
        <v>3.66</v>
      </c>
      <c r="D894">
        <v>3.76</v>
      </c>
      <c r="E894">
        <v>4.3</v>
      </c>
      <c r="F894">
        <v>4.0999999999999996</v>
      </c>
      <c r="G894">
        <v>4.1900000000000004</v>
      </c>
      <c r="H894">
        <v>4.66</v>
      </c>
      <c r="I894">
        <v>3.7</v>
      </c>
      <c r="J894">
        <v>4.2699999999999996</v>
      </c>
      <c r="K894">
        <v>3.84</v>
      </c>
      <c r="L894">
        <v>4.4800000000000004</v>
      </c>
      <c r="M894">
        <f t="shared" si="39"/>
        <v>4.0019999999999998</v>
      </c>
      <c r="N894">
        <f t="shared" si="40"/>
        <v>4</v>
      </c>
      <c r="O894">
        <f t="shared" si="41"/>
        <v>4.1899999999999995</v>
      </c>
    </row>
    <row r="895" spans="1:15" ht="15" customHeight="1" x14ac:dyDescent="0.3">
      <c r="A895" t="s">
        <v>1829</v>
      </c>
      <c r="B895" t="s">
        <v>2726</v>
      </c>
      <c r="C895">
        <v>4.17</v>
      </c>
      <c r="D895">
        <v>3.74</v>
      </c>
      <c r="E895">
        <v>4.04</v>
      </c>
      <c r="F895">
        <v>4.16</v>
      </c>
      <c r="G895">
        <v>3.83</v>
      </c>
      <c r="H895">
        <v>4.07</v>
      </c>
      <c r="I895">
        <v>3.99</v>
      </c>
      <c r="J895" t="s">
        <v>211</v>
      </c>
      <c r="K895">
        <v>3.84</v>
      </c>
      <c r="L895">
        <v>4.12</v>
      </c>
      <c r="M895">
        <f t="shared" si="39"/>
        <v>3.9879999999999995</v>
      </c>
      <c r="N895">
        <f t="shared" si="40"/>
        <v>3.99</v>
      </c>
      <c r="O895">
        <f t="shared" si="41"/>
        <v>4.0049999999999999</v>
      </c>
    </row>
    <row r="896" spans="1:15" ht="15" customHeight="1" x14ac:dyDescent="0.3">
      <c r="A896" t="s">
        <v>1831</v>
      </c>
      <c r="B896" t="s">
        <v>1832</v>
      </c>
      <c r="C896">
        <v>4.17</v>
      </c>
      <c r="D896">
        <v>4.4800000000000004</v>
      </c>
      <c r="E896">
        <v>4.47</v>
      </c>
      <c r="F896">
        <v>3.91</v>
      </c>
      <c r="G896">
        <v>3.84</v>
      </c>
      <c r="H896">
        <v>4.43</v>
      </c>
      <c r="I896">
        <v>4.5599999999999996</v>
      </c>
      <c r="J896">
        <v>4.1100000000000003</v>
      </c>
      <c r="K896">
        <v>4.0999999999999996</v>
      </c>
      <c r="L896">
        <v>3.92</v>
      </c>
      <c r="M896">
        <f t="shared" si="39"/>
        <v>4.1740000000000004</v>
      </c>
      <c r="N896">
        <f t="shared" si="40"/>
        <v>4.17</v>
      </c>
      <c r="O896">
        <f t="shared" si="41"/>
        <v>4.2239999999999993</v>
      </c>
    </row>
    <row r="897" spans="1:15" ht="15" customHeight="1" x14ac:dyDescent="0.3">
      <c r="A897" t="s">
        <v>1833</v>
      </c>
      <c r="B897" t="s">
        <v>2727</v>
      </c>
      <c r="C897">
        <v>4.09</v>
      </c>
      <c r="D897">
        <v>3.65</v>
      </c>
      <c r="E897">
        <v>3.83</v>
      </c>
      <c r="F897">
        <v>3.73</v>
      </c>
      <c r="G897">
        <v>3.91</v>
      </c>
      <c r="H897">
        <v>4.21</v>
      </c>
      <c r="I897">
        <v>4.2699999999999996</v>
      </c>
      <c r="J897">
        <v>4.38</v>
      </c>
      <c r="K897">
        <v>4.2</v>
      </c>
      <c r="L897">
        <v>3.87</v>
      </c>
      <c r="M897">
        <f t="shared" si="39"/>
        <v>3.8420000000000001</v>
      </c>
      <c r="N897">
        <f t="shared" si="40"/>
        <v>3.84</v>
      </c>
      <c r="O897">
        <f t="shared" si="41"/>
        <v>4.1859999999999999</v>
      </c>
    </row>
    <row r="898" spans="1:15" ht="15" customHeight="1" x14ac:dyDescent="0.3">
      <c r="A898" t="s">
        <v>1835</v>
      </c>
      <c r="B898" t="s">
        <v>2728</v>
      </c>
      <c r="C898">
        <v>3.94</v>
      </c>
      <c r="D898">
        <v>4.24</v>
      </c>
      <c r="E898">
        <v>3.97</v>
      </c>
      <c r="F898">
        <v>3.3</v>
      </c>
      <c r="G898">
        <v>4.1100000000000003</v>
      </c>
      <c r="H898">
        <v>4.0599999999999996</v>
      </c>
      <c r="I898">
        <v>4.1900000000000004</v>
      </c>
      <c r="J898">
        <v>4</v>
      </c>
      <c r="K898">
        <v>3.75</v>
      </c>
      <c r="L898">
        <v>4.2699999999999996</v>
      </c>
      <c r="M898">
        <f t="shared" ref="M898:M961" si="42">AVERAGE(C898:G898)</f>
        <v>3.9119999999999999</v>
      </c>
      <c r="N898">
        <f t="shared" ref="N898:N961" si="43">ROUND(M898,2)</f>
        <v>3.91</v>
      </c>
      <c r="O898">
        <f t="shared" ref="O898:O961" si="44">AVERAGE(H898:L898)</f>
        <v>4.0540000000000003</v>
      </c>
    </row>
    <row r="899" spans="1:15" ht="15" customHeight="1" x14ac:dyDescent="0.3">
      <c r="A899" t="s">
        <v>1837</v>
      </c>
      <c r="B899" t="s">
        <v>2729</v>
      </c>
      <c r="C899">
        <v>3.98</v>
      </c>
      <c r="D899">
        <v>4.2699999999999996</v>
      </c>
      <c r="E899">
        <v>4.08</v>
      </c>
      <c r="F899">
        <v>3.81</v>
      </c>
      <c r="G899" t="s">
        <v>211</v>
      </c>
      <c r="H899">
        <v>4.21</v>
      </c>
      <c r="I899">
        <v>4.1500000000000004</v>
      </c>
      <c r="J899">
        <v>3.59</v>
      </c>
      <c r="K899">
        <v>4.41</v>
      </c>
      <c r="L899">
        <v>4.4400000000000004</v>
      </c>
      <c r="M899">
        <f t="shared" si="42"/>
        <v>4.0350000000000001</v>
      </c>
      <c r="N899">
        <f t="shared" si="43"/>
        <v>4.04</v>
      </c>
      <c r="O899">
        <f t="shared" si="44"/>
        <v>4.16</v>
      </c>
    </row>
    <row r="900" spans="1:15" ht="15" customHeight="1" x14ac:dyDescent="0.3">
      <c r="A900" t="s">
        <v>1839</v>
      </c>
      <c r="B900" t="s">
        <v>2730</v>
      </c>
      <c r="C900">
        <v>4.3899999999999997</v>
      </c>
      <c r="D900">
        <v>4.2300000000000004</v>
      </c>
      <c r="E900">
        <v>3.9</v>
      </c>
      <c r="F900">
        <v>3.55</v>
      </c>
      <c r="G900">
        <v>4.57</v>
      </c>
      <c r="H900">
        <v>4.12</v>
      </c>
      <c r="I900">
        <v>3.36</v>
      </c>
      <c r="J900">
        <v>3.86</v>
      </c>
      <c r="K900">
        <v>4.4000000000000004</v>
      </c>
      <c r="L900">
        <v>4.29</v>
      </c>
      <c r="M900">
        <f t="shared" si="42"/>
        <v>4.1280000000000001</v>
      </c>
      <c r="N900">
        <f t="shared" si="43"/>
        <v>4.13</v>
      </c>
      <c r="O900">
        <f t="shared" si="44"/>
        <v>4.0060000000000002</v>
      </c>
    </row>
    <row r="901" spans="1:15" ht="15" customHeight="1" x14ac:dyDescent="0.3">
      <c r="A901" t="s">
        <v>1841</v>
      </c>
      <c r="B901" t="s">
        <v>1842</v>
      </c>
      <c r="C901">
        <v>4.3600000000000003</v>
      </c>
      <c r="D901">
        <v>3.5</v>
      </c>
      <c r="E901">
        <v>4.12</v>
      </c>
      <c r="F901">
        <v>3.72</v>
      </c>
      <c r="G901">
        <v>4.04</v>
      </c>
      <c r="H901">
        <v>3.78</v>
      </c>
      <c r="I901">
        <v>3.91</v>
      </c>
      <c r="J901">
        <v>4.09</v>
      </c>
      <c r="K901">
        <v>4.46</v>
      </c>
      <c r="L901">
        <v>3.97</v>
      </c>
      <c r="M901">
        <f t="shared" si="42"/>
        <v>3.9480000000000004</v>
      </c>
      <c r="N901">
        <f t="shared" si="43"/>
        <v>3.95</v>
      </c>
      <c r="O901">
        <f t="shared" si="44"/>
        <v>4.0419999999999998</v>
      </c>
    </row>
    <row r="902" spans="1:15" ht="15" customHeight="1" x14ac:dyDescent="0.3">
      <c r="A902" t="s">
        <v>1843</v>
      </c>
      <c r="B902" t="s">
        <v>2731</v>
      </c>
      <c r="C902">
        <v>3.84</v>
      </c>
      <c r="D902">
        <v>4.1500000000000004</v>
      </c>
      <c r="E902">
        <v>3.83</v>
      </c>
      <c r="F902">
        <v>4.1900000000000004</v>
      </c>
      <c r="G902">
        <v>3.94</v>
      </c>
      <c r="H902">
        <v>4.54</v>
      </c>
      <c r="I902">
        <v>3.74</v>
      </c>
      <c r="J902">
        <v>4.04</v>
      </c>
      <c r="K902">
        <v>4.57</v>
      </c>
      <c r="L902">
        <v>4.03</v>
      </c>
      <c r="M902">
        <f t="shared" si="42"/>
        <v>3.9900000000000007</v>
      </c>
      <c r="N902">
        <f t="shared" si="43"/>
        <v>3.99</v>
      </c>
      <c r="O902">
        <f t="shared" si="44"/>
        <v>4.1840000000000002</v>
      </c>
    </row>
    <row r="903" spans="1:15" ht="15" customHeight="1" x14ac:dyDescent="0.3">
      <c r="A903" t="s">
        <v>1845</v>
      </c>
      <c r="B903" t="s">
        <v>2732</v>
      </c>
      <c r="C903">
        <v>3.97</v>
      </c>
      <c r="D903">
        <v>3.71</v>
      </c>
      <c r="E903">
        <v>3.99</v>
      </c>
      <c r="F903">
        <v>4.0199999999999996</v>
      </c>
      <c r="G903">
        <v>4.0999999999999996</v>
      </c>
      <c r="H903">
        <v>3.7</v>
      </c>
      <c r="I903">
        <v>3.9</v>
      </c>
      <c r="J903">
        <v>4.07</v>
      </c>
      <c r="K903">
        <v>3.98</v>
      </c>
      <c r="L903">
        <v>4.22</v>
      </c>
      <c r="M903">
        <f t="shared" si="42"/>
        <v>3.9579999999999997</v>
      </c>
      <c r="N903">
        <f t="shared" si="43"/>
        <v>3.96</v>
      </c>
      <c r="O903">
        <f t="shared" si="44"/>
        <v>3.9740000000000002</v>
      </c>
    </row>
    <row r="904" spans="1:15" ht="15" customHeight="1" x14ac:dyDescent="0.3">
      <c r="A904" t="s">
        <v>1847</v>
      </c>
      <c r="B904" t="s">
        <v>2733</v>
      </c>
      <c r="C904">
        <v>4.25</v>
      </c>
      <c r="D904">
        <v>4.79</v>
      </c>
      <c r="E904">
        <v>3.94</v>
      </c>
      <c r="F904">
        <v>3.98</v>
      </c>
      <c r="G904">
        <v>3.55</v>
      </c>
      <c r="H904">
        <v>4.4000000000000004</v>
      </c>
      <c r="I904">
        <v>3.44</v>
      </c>
      <c r="J904">
        <v>3.96</v>
      </c>
      <c r="K904">
        <v>4.0599999999999996</v>
      </c>
      <c r="L904">
        <v>3.94</v>
      </c>
      <c r="M904">
        <f t="shared" si="42"/>
        <v>4.1019999999999994</v>
      </c>
      <c r="N904">
        <f t="shared" si="43"/>
        <v>4.0999999999999996</v>
      </c>
      <c r="O904">
        <f t="shared" si="44"/>
        <v>3.96</v>
      </c>
    </row>
    <row r="905" spans="1:15" ht="15" customHeight="1" x14ac:dyDescent="0.3">
      <c r="A905" t="s">
        <v>1849</v>
      </c>
      <c r="B905" t="s">
        <v>1850</v>
      </c>
      <c r="C905">
        <v>3.6</v>
      </c>
      <c r="D905">
        <v>4.33</v>
      </c>
      <c r="E905">
        <v>4.09</v>
      </c>
      <c r="F905">
        <v>3.97</v>
      </c>
      <c r="G905">
        <v>3.89</v>
      </c>
      <c r="H905">
        <v>3.65</v>
      </c>
      <c r="I905">
        <v>4.22</v>
      </c>
      <c r="J905">
        <v>3.87</v>
      </c>
      <c r="K905">
        <v>4.1500000000000004</v>
      </c>
      <c r="L905">
        <v>4.45</v>
      </c>
      <c r="M905">
        <f t="shared" si="42"/>
        <v>3.976</v>
      </c>
      <c r="N905">
        <f t="shared" si="43"/>
        <v>3.98</v>
      </c>
      <c r="O905">
        <f t="shared" si="44"/>
        <v>4.0679999999999996</v>
      </c>
    </row>
    <row r="906" spans="1:15" ht="15" customHeight="1" x14ac:dyDescent="0.3">
      <c r="A906" t="s">
        <v>1851</v>
      </c>
      <c r="B906" t="s">
        <v>2734</v>
      </c>
      <c r="C906">
        <v>3.24</v>
      </c>
      <c r="D906">
        <v>4.05</v>
      </c>
      <c r="E906" t="s">
        <v>211</v>
      </c>
      <c r="F906">
        <v>4.4000000000000004</v>
      </c>
      <c r="G906">
        <v>3.65</v>
      </c>
      <c r="H906">
        <v>4.09</v>
      </c>
      <c r="I906">
        <v>4.0199999999999996</v>
      </c>
      <c r="J906">
        <v>3.53</v>
      </c>
      <c r="K906" t="s">
        <v>211</v>
      </c>
      <c r="L906">
        <v>3.89</v>
      </c>
      <c r="M906">
        <f t="shared" si="42"/>
        <v>3.8350000000000004</v>
      </c>
      <c r="N906">
        <f t="shared" si="43"/>
        <v>3.84</v>
      </c>
      <c r="O906">
        <f t="shared" si="44"/>
        <v>3.8824999999999998</v>
      </c>
    </row>
    <row r="907" spans="1:15" ht="15" customHeight="1" x14ac:dyDescent="0.3">
      <c r="A907" t="s">
        <v>1853</v>
      </c>
      <c r="B907" t="s">
        <v>2735</v>
      </c>
      <c r="C907">
        <v>4.09</v>
      </c>
      <c r="D907">
        <v>4.09</v>
      </c>
      <c r="E907">
        <v>3.89</v>
      </c>
      <c r="F907">
        <v>4.03</v>
      </c>
      <c r="G907">
        <v>4.26</v>
      </c>
      <c r="H907">
        <v>4.66</v>
      </c>
      <c r="I907">
        <v>4.55</v>
      </c>
      <c r="J907">
        <v>4.49</v>
      </c>
      <c r="K907">
        <v>3.6</v>
      </c>
      <c r="L907">
        <v>4.0599999999999996</v>
      </c>
      <c r="M907">
        <f t="shared" si="42"/>
        <v>4.0720000000000001</v>
      </c>
      <c r="N907">
        <f t="shared" si="43"/>
        <v>4.07</v>
      </c>
      <c r="O907">
        <f t="shared" si="44"/>
        <v>4.2720000000000002</v>
      </c>
    </row>
    <row r="908" spans="1:15" ht="15" customHeight="1" x14ac:dyDescent="0.3">
      <c r="A908" t="s">
        <v>1855</v>
      </c>
      <c r="B908" t="s">
        <v>2736</v>
      </c>
      <c r="C908">
        <v>4.47</v>
      </c>
      <c r="D908">
        <v>4.55</v>
      </c>
      <c r="E908">
        <v>4.01</v>
      </c>
      <c r="F908">
        <v>4.07</v>
      </c>
      <c r="G908">
        <v>4.83</v>
      </c>
      <c r="H908">
        <v>4.76</v>
      </c>
      <c r="I908">
        <v>3.93</v>
      </c>
      <c r="J908">
        <v>3.4</v>
      </c>
      <c r="K908">
        <v>4.01</v>
      </c>
      <c r="L908">
        <v>4.33</v>
      </c>
      <c r="M908">
        <f t="shared" si="42"/>
        <v>4.3860000000000001</v>
      </c>
      <c r="N908">
        <f t="shared" si="43"/>
        <v>4.3899999999999997</v>
      </c>
      <c r="O908">
        <f t="shared" si="44"/>
        <v>4.0860000000000003</v>
      </c>
    </row>
    <row r="909" spans="1:15" ht="15" customHeight="1" x14ac:dyDescent="0.3">
      <c r="A909" t="s">
        <v>1857</v>
      </c>
      <c r="B909" t="s">
        <v>2737</v>
      </c>
      <c r="C909">
        <v>4.3</v>
      </c>
      <c r="D909">
        <v>4.3499999999999996</v>
      </c>
      <c r="E909">
        <v>4.17</v>
      </c>
      <c r="F909">
        <v>4.47</v>
      </c>
      <c r="G909">
        <v>3.96</v>
      </c>
      <c r="H909">
        <v>3.67</v>
      </c>
      <c r="I909">
        <v>4.05</v>
      </c>
      <c r="J909">
        <v>4.41</v>
      </c>
      <c r="K909">
        <v>4.72</v>
      </c>
      <c r="L909">
        <v>3.76</v>
      </c>
      <c r="M909">
        <f t="shared" si="42"/>
        <v>4.25</v>
      </c>
      <c r="N909">
        <f t="shared" si="43"/>
        <v>4.25</v>
      </c>
      <c r="O909">
        <f t="shared" si="44"/>
        <v>4.1219999999999999</v>
      </c>
    </row>
    <row r="910" spans="1:15" ht="15" customHeight="1" x14ac:dyDescent="0.3">
      <c r="A910" t="s">
        <v>1859</v>
      </c>
      <c r="B910" t="s">
        <v>2738</v>
      </c>
      <c r="C910">
        <v>3.46</v>
      </c>
      <c r="D910">
        <v>3.96</v>
      </c>
      <c r="E910">
        <v>4.38</v>
      </c>
      <c r="F910">
        <v>4.07</v>
      </c>
      <c r="G910">
        <v>4.12</v>
      </c>
      <c r="H910" t="s">
        <v>211</v>
      </c>
      <c r="I910">
        <v>4.32</v>
      </c>
      <c r="J910">
        <v>4.01</v>
      </c>
      <c r="K910">
        <v>4.24</v>
      </c>
      <c r="L910">
        <v>4.51</v>
      </c>
      <c r="M910">
        <f t="shared" si="42"/>
        <v>3.9980000000000002</v>
      </c>
      <c r="N910">
        <f t="shared" si="43"/>
        <v>4</v>
      </c>
      <c r="O910">
        <f t="shared" si="44"/>
        <v>4.2699999999999996</v>
      </c>
    </row>
    <row r="911" spans="1:15" ht="15" customHeight="1" x14ac:dyDescent="0.3">
      <c r="A911" t="s">
        <v>1861</v>
      </c>
      <c r="B911" t="s">
        <v>2739</v>
      </c>
      <c r="C911" t="s">
        <v>1247</v>
      </c>
      <c r="D911">
        <v>4.1500000000000004</v>
      </c>
      <c r="E911">
        <v>3.87</v>
      </c>
      <c r="F911">
        <v>4.09</v>
      </c>
      <c r="G911">
        <v>3.81</v>
      </c>
      <c r="H911">
        <v>4.38</v>
      </c>
      <c r="I911">
        <v>4.12</v>
      </c>
      <c r="J911">
        <v>4.5</v>
      </c>
      <c r="K911">
        <v>4.28</v>
      </c>
      <c r="L911">
        <v>3.94</v>
      </c>
      <c r="M911">
        <f t="shared" si="42"/>
        <v>3.98</v>
      </c>
      <c r="N911">
        <f t="shared" si="43"/>
        <v>3.98</v>
      </c>
      <c r="O911">
        <f t="shared" si="44"/>
        <v>4.2440000000000007</v>
      </c>
    </row>
    <row r="912" spans="1:15" ht="15" customHeight="1" x14ac:dyDescent="0.3">
      <c r="A912" t="s">
        <v>1863</v>
      </c>
      <c r="B912" t="s">
        <v>1864</v>
      </c>
      <c r="C912">
        <v>3.68</v>
      </c>
      <c r="D912">
        <v>4.45</v>
      </c>
      <c r="E912">
        <v>4.43</v>
      </c>
      <c r="F912">
        <v>3.89</v>
      </c>
      <c r="G912">
        <v>3.91</v>
      </c>
      <c r="H912">
        <v>3.88</v>
      </c>
      <c r="I912">
        <v>3.93</v>
      </c>
      <c r="J912">
        <v>3.97</v>
      </c>
      <c r="K912">
        <v>4.09</v>
      </c>
      <c r="L912">
        <v>4.25</v>
      </c>
      <c r="M912">
        <f t="shared" si="42"/>
        <v>4.0720000000000001</v>
      </c>
      <c r="N912">
        <f t="shared" si="43"/>
        <v>4.07</v>
      </c>
      <c r="O912">
        <f t="shared" si="44"/>
        <v>4.024</v>
      </c>
    </row>
    <row r="913" spans="1:15" ht="15" customHeight="1" x14ac:dyDescent="0.3">
      <c r="A913" t="s">
        <v>1865</v>
      </c>
      <c r="B913" t="s">
        <v>2740</v>
      </c>
      <c r="C913">
        <v>4.32</v>
      </c>
      <c r="D913">
        <v>4.33</v>
      </c>
      <c r="E913">
        <v>3.86</v>
      </c>
      <c r="F913">
        <v>3.8</v>
      </c>
      <c r="G913">
        <v>3.49</v>
      </c>
      <c r="H913">
        <v>3.76</v>
      </c>
      <c r="I913">
        <v>3.39</v>
      </c>
      <c r="J913">
        <v>3.54</v>
      </c>
      <c r="K913">
        <v>4.01</v>
      </c>
      <c r="L913">
        <v>3.61</v>
      </c>
      <c r="M913">
        <f t="shared" si="42"/>
        <v>3.9599999999999995</v>
      </c>
      <c r="N913">
        <f t="shared" si="43"/>
        <v>3.96</v>
      </c>
      <c r="O913">
        <f t="shared" si="44"/>
        <v>3.6620000000000004</v>
      </c>
    </row>
    <row r="914" spans="1:15" ht="15" customHeight="1" x14ac:dyDescent="0.3">
      <c r="A914" t="s">
        <v>1867</v>
      </c>
      <c r="B914" t="s">
        <v>2741</v>
      </c>
      <c r="C914">
        <v>4.33</v>
      </c>
      <c r="D914" t="s">
        <v>211</v>
      </c>
      <c r="E914">
        <v>4.1900000000000004</v>
      </c>
      <c r="F914">
        <v>4.04</v>
      </c>
      <c r="G914">
        <v>4.1100000000000003</v>
      </c>
      <c r="H914">
        <v>3.88</v>
      </c>
      <c r="I914">
        <v>4.38</v>
      </c>
      <c r="J914">
        <v>4.6100000000000003</v>
      </c>
      <c r="K914">
        <v>3.75</v>
      </c>
      <c r="L914">
        <v>4.66</v>
      </c>
      <c r="M914">
        <f t="shared" si="42"/>
        <v>4.1674999999999995</v>
      </c>
      <c r="N914">
        <f t="shared" si="43"/>
        <v>4.17</v>
      </c>
      <c r="O914">
        <f t="shared" si="44"/>
        <v>4.2560000000000002</v>
      </c>
    </row>
    <row r="915" spans="1:15" ht="15" customHeight="1" x14ac:dyDescent="0.3">
      <c r="A915" t="s">
        <v>1869</v>
      </c>
      <c r="B915" t="s">
        <v>2742</v>
      </c>
      <c r="C915">
        <v>3.71</v>
      </c>
      <c r="D915" t="s">
        <v>211</v>
      </c>
      <c r="E915">
        <v>3.9</v>
      </c>
      <c r="F915">
        <v>3.8</v>
      </c>
      <c r="G915">
        <v>3.89</v>
      </c>
      <c r="H915">
        <v>4.05</v>
      </c>
      <c r="I915">
        <v>3.76</v>
      </c>
      <c r="J915">
        <v>3.94</v>
      </c>
      <c r="K915">
        <v>3.78</v>
      </c>
      <c r="L915">
        <v>4.29</v>
      </c>
      <c r="M915">
        <f t="shared" si="42"/>
        <v>3.8250000000000002</v>
      </c>
      <c r="N915">
        <f t="shared" si="43"/>
        <v>3.83</v>
      </c>
      <c r="O915">
        <f t="shared" si="44"/>
        <v>3.964</v>
      </c>
    </row>
    <row r="916" spans="1:15" ht="15" customHeight="1" x14ac:dyDescent="0.3">
      <c r="A916" t="s">
        <v>1871</v>
      </c>
      <c r="B916" t="s">
        <v>1872</v>
      </c>
      <c r="C916">
        <v>4</v>
      </c>
      <c r="D916">
        <v>4.17</v>
      </c>
      <c r="E916">
        <v>3.87</v>
      </c>
      <c r="F916" t="s">
        <v>211</v>
      </c>
      <c r="G916">
        <v>4.28</v>
      </c>
      <c r="H916">
        <v>4.4400000000000004</v>
      </c>
      <c r="I916">
        <v>4.0199999999999996</v>
      </c>
      <c r="J916">
        <v>4.2300000000000004</v>
      </c>
      <c r="K916">
        <v>3.73</v>
      </c>
      <c r="L916">
        <v>4.18</v>
      </c>
      <c r="M916">
        <f t="shared" si="42"/>
        <v>4.08</v>
      </c>
      <c r="N916">
        <f t="shared" si="43"/>
        <v>4.08</v>
      </c>
      <c r="O916">
        <f t="shared" si="44"/>
        <v>4.12</v>
      </c>
    </row>
    <row r="917" spans="1:15" ht="15" customHeight="1" x14ac:dyDescent="0.3">
      <c r="A917" t="s">
        <v>1873</v>
      </c>
      <c r="B917" t="s">
        <v>1874</v>
      </c>
      <c r="C917">
        <v>3.73</v>
      </c>
      <c r="D917">
        <v>3.93</v>
      </c>
      <c r="E917">
        <v>4.01</v>
      </c>
      <c r="F917">
        <v>4.1100000000000003</v>
      </c>
      <c r="G917">
        <v>3.81</v>
      </c>
      <c r="H917">
        <v>4.32</v>
      </c>
      <c r="I917">
        <v>3.8</v>
      </c>
      <c r="J917">
        <v>3.6</v>
      </c>
      <c r="K917">
        <v>4.1399999999999997</v>
      </c>
      <c r="L917">
        <v>4.45</v>
      </c>
      <c r="M917">
        <f t="shared" si="42"/>
        <v>3.9180000000000001</v>
      </c>
      <c r="N917">
        <f t="shared" si="43"/>
        <v>3.92</v>
      </c>
      <c r="O917">
        <f t="shared" si="44"/>
        <v>4.0619999999999994</v>
      </c>
    </row>
    <row r="918" spans="1:15" ht="15" customHeight="1" x14ac:dyDescent="0.3">
      <c r="A918" t="s">
        <v>1875</v>
      </c>
      <c r="B918" t="s">
        <v>2743</v>
      </c>
      <c r="C918">
        <v>3.53</v>
      </c>
      <c r="D918">
        <v>4.58</v>
      </c>
      <c r="E918">
        <v>4.26</v>
      </c>
      <c r="F918">
        <v>4.04</v>
      </c>
      <c r="G918">
        <v>3.91</v>
      </c>
      <c r="H918">
        <v>4.21</v>
      </c>
      <c r="I918">
        <v>3.81</v>
      </c>
      <c r="J918">
        <v>3.9</v>
      </c>
      <c r="K918">
        <v>4.6500000000000004</v>
      </c>
      <c r="L918">
        <v>3.67</v>
      </c>
      <c r="M918">
        <f t="shared" si="42"/>
        <v>4.0640000000000001</v>
      </c>
      <c r="N918">
        <f t="shared" si="43"/>
        <v>4.0599999999999996</v>
      </c>
      <c r="O918">
        <f t="shared" si="44"/>
        <v>4.048</v>
      </c>
    </row>
    <row r="919" spans="1:15" ht="15" customHeight="1" x14ac:dyDescent="0.3">
      <c r="A919" t="s">
        <v>1877</v>
      </c>
      <c r="B919" t="s">
        <v>1878</v>
      </c>
      <c r="C919">
        <v>3.98</v>
      </c>
      <c r="D919">
        <v>4</v>
      </c>
      <c r="E919">
        <v>3.99</v>
      </c>
      <c r="F919">
        <v>4.41</v>
      </c>
      <c r="G919">
        <v>4.5199999999999996</v>
      </c>
      <c r="H919">
        <v>4.18</v>
      </c>
      <c r="I919">
        <v>4.04</v>
      </c>
      <c r="J919">
        <v>4.5</v>
      </c>
      <c r="K919">
        <v>4.6399999999999997</v>
      </c>
      <c r="L919">
        <v>3.94</v>
      </c>
      <c r="M919">
        <f t="shared" si="42"/>
        <v>4.1800000000000006</v>
      </c>
      <c r="N919">
        <f t="shared" si="43"/>
        <v>4.18</v>
      </c>
      <c r="O919">
        <f t="shared" si="44"/>
        <v>4.26</v>
      </c>
    </row>
    <row r="920" spans="1:15" ht="15" customHeight="1" x14ac:dyDescent="0.3">
      <c r="A920" t="s">
        <v>1879</v>
      </c>
      <c r="B920" t="s">
        <v>2744</v>
      </c>
      <c r="C920">
        <v>3.69</v>
      </c>
      <c r="D920">
        <v>4.07</v>
      </c>
      <c r="E920" t="s">
        <v>211</v>
      </c>
      <c r="F920">
        <v>3.67</v>
      </c>
      <c r="G920">
        <v>4.08</v>
      </c>
      <c r="H920">
        <v>3.97</v>
      </c>
      <c r="I920">
        <v>4.72</v>
      </c>
      <c r="J920">
        <v>4.17</v>
      </c>
      <c r="K920">
        <v>4.3499999999999996</v>
      </c>
      <c r="L920">
        <v>4.4800000000000004</v>
      </c>
      <c r="M920">
        <f t="shared" si="42"/>
        <v>3.8774999999999999</v>
      </c>
      <c r="N920">
        <f t="shared" si="43"/>
        <v>3.88</v>
      </c>
      <c r="O920">
        <f t="shared" si="44"/>
        <v>4.3380000000000001</v>
      </c>
    </row>
    <row r="921" spans="1:15" ht="15" customHeight="1" x14ac:dyDescent="0.3">
      <c r="A921" t="s">
        <v>1881</v>
      </c>
      <c r="B921" t="s">
        <v>2745</v>
      </c>
      <c r="C921">
        <v>3.51</v>
      </c>
      <c r="D921">
        <v>4.3499999999999996</v>
      </c>
      <c r="E921">
        <v>4.4800000000000004</v>
      </c>
      <c r="F921">
        <v>4.21</v>
      </c>
      <c r="G921">
        <v>4.18</v>
      </c>
      <c r="H921">
        <v>4.1100000000000003</v>
      </c>
      <c r="I921">
        <v>3.17</v>
      </c>
      <c r="J921" t="s">
        <v>211</v>
      </c>
      <c r="K921">
        <v>4.2</v>
      </c>
      <c r="L921">
        <v>4.46</v>
      </c>
      <c r="M921">
        <f t="shared" si="42"/>
        <v>4.1459999999999999</v>
      </c>
      <c r="N921">
        <f t="shared" si="43"/>
        <v>4.1500000000000004</v>
      </c>
      <c r="O921">
        <f t="shared" si="44"/>
        <v>3.9850000000000003</v>
      </c>
    </row>
    <row r="922" spans="1:15" ht="15" customHeight="1" x14ac:dyDescent="0.3">
      <c r="A922" t="s">
        <v>1883</v>
      </c>
      <c r="B922" t="s">
        <v>1884</v>
      </c>
      <c r="C922">
        <v>4.37</v>
      </c>
      <c r="D922">
        <v>3.52</v>
      </c>
      <c r="E922">
        <v>3.85</v>
      </c>
      <c r="F922">
        <v>4.51</v>
      </c>
      <c r="G922">
        <v>4.4000000000000004</v>
      </c>
      <c r="H922">
        <v>3.81</v>
      </c>
      <c r="I922">
        <v>4.41</v>
      </c>
      <c r="J922">
        <v>3.92</v>
      </c>
      <c r="K922">
        <v>4.3499999999999996</v>
      </c>
      <c r="L922">
        <v>3.93</v>
      </c>
      <c r="M922">
        <f t="shared" si="42"/>
        <v>4.13</v>
      </c>
      <c r="N922">
        <f t="shared" si="43"/>
        <v>4.13</v>
      </c>
      <c r="O922">
        <f t="shared" si="44"/>
        <v>4.0840000000000005</v>
      </c>
    </row>
    <row r="923" spans="1:15" ht="15" customHeight="1" x14ac:dyDescent="0.3">
      <c r="A923" t="s">
        <v>1885</v>
      </c>
      <c r="B923" t="s">
        <v>2746</v>
      </c>
      <c r="C923">
        <v>4.24</v>
      </c>
      <c r="D923">
        <v>4.5599999999999996</v>
      </c>
      <c r="E923">
        <v>4.2</v>
      </c>
      <c r="F923">
        <v>4.25</v>
      </c>
      <c r="G923">
        <v>4.0999999999999996</v>
      </c>
      <c r="H923">
        <v>4.1399999999999997</v>
      </c>
      <c r="I923">
        <v>3.67</v>
      </c>
      <c r="J923">
        <v>3.74</v>
      </c>
      <c r="K923">
        <v>3.67</v>
      </c>
      <c r="L923" t="s">
        <v>211</v>
      </c>
      <c r="M923">
        <f t="shared" si="42"/>
        <v>4.2700000000000005</v>
      </c>
      <c r="N923">
        <f t="shared" si="43"/>
        <v>4.2699999999999996</v>
      </c>
      <c r="O923">
        <f t="shared" si="44"/>
        <v>3.8050000000000002</v>
      </c>
    </row>
    <row r="924" spans="1:15" ht="15" customHeight="1" x14ac:dyDescent="0.3">
      <c r="A924" t="s">
        <v>1887</v>
      </c>
      <c r="B924" t="s">
        <v>1888</v>
      </c>
      <c r="C924">
        <v>4.01</v>
      </c>
      <c r="D924">
        <v>4.34</v>
      </c>
      <c r="E924">
        <v>3.82</v>
      </c>
      <c r="F924">
        <v>4.4000000000000004</v>
      </c>
      <c r="G924">
        <v>3.91</v>
      </c>
      <c r="H924">
        <v>3.66</v>
      </c>
      <c r="I924">
        <v>3.9</v>
      </c>
      <c r="J924">
        <v>4.09</v>
      </c>
      <c r="K924">
        <v>4.49</v>
      </c>
      <c r="L924">
        <v>4.33</v>
      </c>
      <c r="M924">
        <f t="shared" si="42"/>
        <v>4.0960000000000001</v>
      </c>
      <c r="N924">
        <f t="shared" si="43"/>
        <v>4.0999999999999996</v>
      </c>
      <c r="O924">
        <f t="shared" si="44"/>
        <v>4.0939999999999994</v>
      </c>
    </row>
    <row r="925" spans="1:15" ht="15" customHeight="1" x14ac:dyDescent="0.3">
      <c r="A925" t="s">
        <v>1889</v>
      </c>
      <c r="B925" t="s">
        <v>2747</v>
      </c>
      <c r="C925">
        <v>3.35</v>
      </c>
      <c r="D925">
        <v>3.6</v>
      </c>
      <c r="E925">
        <v>4.1100000000000003</v>
      </c>
      <c r="F925">
        <v>3.49</v>
      </c>
      <c r="G925">
        <v>4.1100000000000003</v>
      </c>
      <c r="H925">
        <v>4.3499999999999996</v>
      </c>
      <c r="I925">
        <v>4.5</v>
      </c>
      <c r="J925">
        <v>4.3</v>
      </c>
      <c r="K925">
        <v>4.0599999999999996</v>
      </c>
      <c r="L925">
        <v>4.66</v>
      </c>
      <c r="M925">
        <f t="shared" si="42"/>
        <v>3.7320000000000002</v>
      </c>
      <c r="N925">
        <f t="shared" si="43"/>
        <v>3.73</v>
      </c>
      <c r="O925">
        <f t="shared" si="44"/>
        <v>4.3739999999999997</v>
      </c>
    </row>
    <row r="926" spans="1:15" ht="15" customHeight="1" x14ac:dyDescent="0.3">
      <c r="A926" t="s">
        <v>1891</v>
      </c>
      <c r="B926" t="s">
        <v>1892</v>
      </c>
      <c r="C926">
        <v>3.93</v>
      </c>
      <c r="D926">
        <v>4.34</v>
      </c>
      <c r="E926">
        <v>3.99</v>
      </c>
      <c r="F926">
        <v>4.3</v>
      </c>
      <c r="G926">
        <v>3.75</v>
      </c>
      <c r="H926">
        <v>3.92</v>
      </c>
      <c r="I926">
        <v>4.18</v>
      </c>
      <c r="J926">
        <v>3.83</v>
      </c>
      <c r="K926">
        <v>4.33</v>
      </c>
      <c r="L926">
        <v>4.9000000000000004</v>
      </c>
      <c r="M926">
        <f t="shared" si="42"/>
        <v>4.0619999999999994</v>
      </c>
      <c r="N926">
        <f t="shared" si="43"/>
        <v>4.0599999999999996</v>
      </c>
      <c r="O926">
        <f t="shared" si="44"/>
        <v>4.2319999999999993</v>
      </c>
    </row>
    <row r="927" spans="1:15" ht="15" customHeight="1" x14ac:dyDescent="0.3">
      <c r="A927" t="s">
        <v>1893</v>
      </c>
      <c r="B927" t="s">
        <v>2748</v>
      </c>
      <c r="C927">
        <v>4.0199999999999996</v>
      </c>
      <c r="D927">
        <v>4.42</v>
      </c>
      <c r="E927">
        <v>3.79</v>
      </c>
      <c r="F927">
        <v>3.91</v>
      </c>
      <c r="G927">
        <v>3.83</v>
      </c>
      <c r="H927">
        <v>3.78</v>
      </c>
      <c r="I927">
        <v>3.64</v>
      </c>
      <c r="J927">
        <v>3.61</v>
      </c>
      <c r="K927">
        <v>4.6399999999999997</v>
      </c>
      <c r="L927">
        <v>4.1900000000000004</v>
      </c>
      <c r="M927">
        <f t="shared" si="42"/>
        <v>3.9939999999999998</v>
      </c>
      <c r="N927">
        <f t="shared" si="43"/>
        <v>3.99</v>
      </c>
      <c r="O927">
        <f t="shared" si="44"/>
        <v>3.972</v>
      </c>
    </row>
    <row r="928" spans="1:15" ht="15" customHeight="1" x14ac:dyDescent="0.3">
      <c r="A928" t="s">
        <v>1895</v>
      </c>
      <c r="B928" t="s">
        <v>2749</v>
      </c>
      <c r="C928">
        <v>3.84</v>
      </c>
      <c r="D928">
        <v>4</v>
      </c>
      <c r="E928">
        <v>3.96</v>
      </c>
      <c r="F928">
        <v>3.77</v>
      </c>
      <c r="G928">
        <v>4.26</v>
      </c>
      <c r="H928">
        <v>3.52</v>
      </c>
      <c r="I928">
        <v>4.18</v>
      </c>
      <c r="J928">
        <v>4.53</v>
      </c>
      <c r="K928">
        <v>3.45</v>
      </c>
      <c r="L928">
        <v>4.04</v>
      </c>
      <c r="M928">
        <f t="shared" si="42"/>
        <v>3.9659999999999997</v>
      </c>
      <c r="N928">
        <f t="shared" si="43"/>
        <v>3.97</v>
      </c>
      <c r="O928">
        <f t="shared" si="44"/>
        <v>3.944</v>
      </c>
    </row>
    <row r="929" spans="1:15" ht="15" customHeight="1" x14ac:dyDescent="0.3">
      <c r="A929" t="s">
        <v>1897</v>
      </c>
      <c r="B929" t="s">
        <v>2750</v>
      </c>
      <c r="C929">
        <v>3.83</v>
      </c>
      <c r="D929">
        <v>4.03</v>
      </c>
      <c r="E929" t="s">
        <v>211</v>
      </c>
      <c r="F929">
        <v>4.29</v>
      </c>
      <c r="G929">
        <v>4.3899999999999997</v>
      </c>
      <c r="H929">
        <v>3.87</v>
      </c>
      <c r="I929">
        <v>3.8</v>
      </c>
      <c r="J929">
        <v>3.78</v>
      </c>
      <c r="K929">
        <v>3.77</v>
      </c>
      <c r="L929">
        <v>4.1100000000000003</v>
      </c>
      <c r="M929">
        <f t="shared" si="42"/>
        <v>4.1349999999999998</v>
      </c>
      <c r="N929">
        <f t="shared" si="43"/>
        <v>4.1399999999999997</v>
      </c>
      <c r="O929">
        <f t="shared" si="44"/>
        <v>3.8659999999999997</v>
      </c>
    </row>
    <row r="930" spans="1:15" ht="15" customHeight="1" x14ac:dyDescent="0.3">
      <c r="A930" t="s">
        <v>1899</v>
      </c>
      <c r="B930" t="s">
        <v>2751</v>
      </c>
      <c r="C930">
        <v>3.67</v>
      </c>
      <c r="D930">
        <v>3.47</v>
      </c>
      <c r="E930">
        <v>3.98</v>
      </c>
      <c r="F930">
        <v>4.1900000000000004</v>
      </c>
      <c r="G930">
        <v>3.62</v>
      </c>
      <c r="H930">
        <v>4.58</v>
      </c>
      <c r="I930">
        <v>4.25</v>
      </c>
      <c r="J930">
        <v>4.3600000000000003</v>
      </c>
      <c r="K930">
        <v>3.69</v>
      </c>
      <c r="L930">
        <v>4.6399999999999997</v>
      </c>
      <c r="M930">
        <f t="shared" si="42"/>
        <v>3.7860000000000005</v>
      </c>
      <c r="N930">
        <f t="shared" si="43"/>
        <v>3.79</v>
      </c>
      <c r="O930">
        <f t="shared" si="44"/>
        <v>4.3040000000000003</v>
      </c>
    </row>
    <row r="931" spans="1:15" ht="15" customHeight="1" x14ac:dyDescent="0.3">
      <c r="A931" t="s">
        <v>1901</v>
      </c>
      <c r="B931" t="s">
        <v>2752</v>
      </c>
      <c r="C931">
        <v>3.93</v>
      </c>
      <c r="D931">
        <v>4.3899999999999997</v>
      </c>
      <c r="E931">
        <v>4.08</v>
      </c>
      <c r="F931">
        <v>4.1100000000000003</v>
      </c>
      <c r="G931">
        <v>4.18</v>
      </c>
      <c r="H931">
        <v>3.72</v>
      </c>
      <c r="I931">
        <v>3.75</v>
      </c>
      <c r="J931">
        <v>3.89</v>
      </c>
      <c r="K931">
        <v>3.56</v>
      </c>
      <c r="L931">
        <v>4.41</v>
      </c>
      <c r="M931">
        <f t="shared" si="42"/>
        <v>4.1379999999999999</v>
      </c>
      <c r="N931">
        <f t="shared" si="43"/>
        <v>4.1399999999999997</v>
      </c>
      <c r="O931">
        <f t="shared" si="44"/>
        <v>3.8660000000000005</v>
      </c>
    </row>
    <row r="932" spans="1:15" ht="15" customHeight="1" x14ac:dyDescent="0.3">
      <c r="A932" t="s">
        <v>1903</v>
      </c>
      <c r="B932" t="s">
        <v>2753</v>
      </c>
      <c r="C932">
        <v>3.75</v>
      </c>
      <c r="D932">
        <v>3.83</v>
      </c>
      <c r="E932" t="s">
        <v>211</v>
      </c>
      <c r="F932">
        <v>4.0999999999999996</v>
      </c>
      <c r="G932">
        <v>4.26</v>
      </c>
      <c r="H932">
        <v>3.95</v>
      </c>
      <c r="I932">
        <v>4.72</v>
      </c>
      <c r="J932">
        <v>3.76</v>
      </c>
      <c r="K932">
        <v>4.3099999999999996</v>
      </c>
      <c r="L932">
        <v>4.26</v>
      </c>
      <c r="M932">
        <f t="shared" si="42"/>
        <v>3.9849999999999999</v>
      </c>
      <c r="N932">
        <f t="shared" si="43"/>
        <v>3.99</v>
      </c>
      <c r="O932">
        <f t="shared" si="44"/>
        <v>4.2</v>
      </c>
    </row>
    <row r="933" spans="1:15" ht="15" customHeight="1" x14ac:dyDescent="0.3">
      <c r="A933" t="s">
        <v>1905</v>
      </c>
      <c r="B933" t="s">
        <v>2754</v>
      </c>
      <c r="C933">
        <v>3.89</v>
      </c>
      <c r="D933">
        <v>3.94</v>
      </c>
      <c r="E933">
        <v>4.1900000000000004</v>
      </c>
      <c r="F933">
        <v>4.28</v>
      </c>
      <c r="G933">
        <v>3.64</v>
      </c>
      <c r="H933">
        <v>3.77</v>
      </c>
      <c r="I933" t="s">
        <v>211</v>
      </c>
      <c r="J933">
        <v>3.93</v>
      </c>
      <c r="K933" t="s">
        <v>211</v>
      </c>
      <c r="L933">
        <v>3.98</v>
      </c>
      <c r="M933">
        <f t="shared" si="42"/>
        <v>3.9880000000000004</v>
      </c>
      <c r="N933">
        <f t="shared" si="43"/>
        <v>3.99</v>
      </c>
      <c r="O933">
        <f t="shared" si="44"/>
        <v>3.8933333333333331</v>
      </c>
    </row>
    <row r="934" spans="1:15" ht="15" customHeight="1" x14ac:dyDescent="0.3">
      <c r="A934" t="s">
        <v>1907</v>
      </c>
      <c r="B934" t="s">
        <v>2755</v>
      </c>
      <c r="C934">
        <v>4.32</v>
      </c>
      <c r="D934">
        <v>4</v>
      </c>
      <c r="E934">
        <v>4.1100000000000003</v>
      </c>
      <c r="F934">
        <v>3.48</v>
      </c>
      <c r="G934">
        <v>3.86</v>
      </c>
      <c r="H934">
        <v>4.0999999999999996</v>
      </c>
      <c r="I934">
        <v>4.2300000000000004</v>
      </c>
      <c r="J934">
        <v>4.05</v>
      </c>
      <c r="K934">
        <v>4.25</v>
      </c>
      <c r="L934">
        <v>3.87</v>
      </c>
      <c r="M934">
        <f t="shared" si="42"/>
        <v>3.9539999999999997</v>
      </c>
      <c r="N934">
        <f t="shared" si="43"/>
        <v>3.95</v>
      </c>
      <c r="O934">
        <f t="shared" si="44"/>
        <v>4.0999999999999996</v>
      </c>
    </row>
    <row r="935" spans="1:15" ht="15" customHeight="1" x14ac:dyDescent="0.3">
      <c r="A935" t="s">
        <v>1909</v>
      </c>
      <c r="B935" t="s">
        <v>2756</v>
      </c>
      <c r="C935">
        <v>4.07</v>
      </c>
      <c r="D935">
        <v>4.26</v>
      </c>
      <c r="E935">
        <v>4.25</v>
      </c>
      <c r="F935">
        <v>4.18</v>
      </c>
      <c r="G935">
        <v>3.8</v>
      </c>
      <c r="H935">
        <v>3.48</v>
      </c>
      <c r="I935">
        <v>3.79</v>
      </c>
      <c r="J935">
        <v>4.3099999999999996</v>
      </c>
      <c r="K935">
        <v>3.85</v>
      </c>
      <c r="L935">
        <v>4.3499999999999996</v>
      </c>
      <c r="M935">
        <f t="shared" si="42"/>
        <v>4.1120000000000001</v>
      </c>
      <c r="N935">
        <f t="shared" si="43"/>
        <v>4.1100000000000003</v>
      </c>
      <c r="O935">
        <f t="shared" si="44"/>
        <v>3.9559999999999995</v>
      </c>
    </row>
    <row r="936" spans="1:15" ht="15" customHeight="1" x14ac:dyDescent="0.3">
      <c r="A936" t="s">
        <v>1911</v>
      </c>
      <c r="B936" t="s">
        <v>2757</v>
      </c>
      <c r="C936">
        <v>4.46</v>
      </c>
      <c r="D936">
        <v>3.8</v>
      </c>
      <c r="E936">
        <v>4.3</v>
      </c>
      <c r="F936">
        <v>3.61</v>
      </c>
      <c r="G936">
        <v>4.0599999999999996</v>
      </c>
      <c r="H936">
        <v>3.91</v>
      </c>
      <c r="I936">
        <v>4.43</v>
      </c>
      <c r="J936">
        <v>4.4400000000000004</v>
      </c>
      <c r="K936">
        <v>4.42</v>
      </c>
      <c r="L936">
        <v>4.46</v>
      </c>
      <c r="M936">
        <f t="shared" si="42"/>
        <v>4.0459999999999994</v>
      </c>
      <c r="N936">
        <f t="shared" si="43"/>
        <v>4.05</v>
      </c>
      <c r="O936">
        <f t="shared" si="44"/>
        <v>4.3320000000000007</v>
      </c>
    </row>
    <row r="937" spans="1:15" ht="15" customHeight="1" x14ac:dyDescent="0.3">
      <c r="A937" t="s">
        <v>1913</v>
      </c>
      <c r="B937" t="s">
        <v>2758</v>
      </c>
      <c r="C937">
        <v>3.73</v>
      </c>
      <c r="D937">
        <v>3.82</v>
      </c>
      <c r="E937">
        <v>3.78</v>
      </c>
      <c r="F937">
        <v>4.4400000000000004</v>
      </c>
      <c r="G937">
        <v>4.12</v>
      </c>
      <c r="H937">
        <v>4.04</v>
      </c>
      <c r="I937">
        <v>4.2</v>
      </c>
      <c r="J937">
        <v>3.92</v>
      </c>
      <c r="K937">
        <v>4.08</v>
      </c>
      <c r="L937">
        <v>4.3499999999999996</v>
      </c>
      <c r="M937">
        <f t="shared" si="42"/>
        <v>3.9780000000000002</v>
      </c>
      <c r="N937">
        <f t="shared" si="43"/>
        <v>3.98</v>
      </c>
      <c r="O937">
        <f t="shared" si="44"/>
        <v>4.1180000000000003</v>
      </c>
    </row>
    <row r="938" spans="1:15" ht="15" customHeight="1" x14ac:dyDescent="0.3">
      <c r="A938" t="s">
        <v>1915</v>
      </c>
      <c r="B938" t="s">
        <v>2759</v>
      </c>
      <c r="C938" t="s">
        <v>211</v>
      </c>
      <c r="D938">
        <v>3.71</v>
      </c>
      <c r="E938">
        <v>4.45</v>
      </c>
      <c r="F938">
        <v>3.81</v>
      </c>
      <c r="G938">
        <v>4.18</v>
      </c>
      <c r="H938">
        <v>4.21</v>
      </c>
      <c r="I938">
        <v>4.13</v>
      </c>
      <c r="J938">
        <v>4.38</v>
      </c>
      <c r="K938">
        <v>3.8</v>
      </c>
      <c r="L938">
        <v>4.4400000000000004</v>
      </c>
      <c r="M938">
        <f t="shared" si="42"/>
        <v>4.0374999999999996</v>
      </c>
      <c r="N938">
        <f t="shared" si="43"/>
        <v>4.04</v>
      </c>
      <c r="O938">
        <f t="shared" si="44"/>
        <v>4.1920000000000002</v>
      </c>
    </row>
    <row r="939" spans="1:15" ht="15" customHeight="1" x14ac:dyDescent="0.3">
      <c r="A939" t="s">
        <v>1917</v>
      </c>
      <c r="B939" t="s">
        <v>2760</v>
      </c>
      <c r="C939">
        <v>3.98</v>
      </c>
      <c r="D939">
        <v>4.3600000000000003</v>
      </c>
      <c r="E939">
        <v>4.09</v>
      </c>
      <c r="F939">
        <v>3.97</v>
      </c>
      <c r="G939">
        <v>4.37</v>
      </c>
      <c r="H939">
        <v>3.96</v>
      </c>
      <c r="I939">
        <v>4.3</v>
      </c>
      <c r="J939">
        <v>4.46</v>
      </c>
      <c r="K939">
        <v>4.2300000000000004</v>
      </c>
      <c r="L939">
        <v>3.74</v>
      </c>
      <c r="M939">
        <f t="shared" si="42"/>
        <v>4.1539999999999999</v>
      </c>
      <c r="N939">
        <f t="shared" si="43"/>
        <v>4.1500000000000004</v>
      </c>
      <c r="O939">
        <f t="shared" si="44"/>
        <v>4.1379999999999999</v>
      </c>
    </row>
    <row r="940" spans="1:15" ht="15" customHeight="1" x14ac:dyDescent="0.3">
      <c r="A940" t="s">
        <v>1919</v>
      </c>
      <c r="B940" t="s">
        <v>2761</v>
      </c>
      <c r="C940">
        <v>3.99</v>
      </c>
      <c r="D940">
        <v>3.91</v>
      </c>
      <c r="E940">
        <v>4.42</v>
      </c>
      <c r="F940">
        <v>3.61</v>
      </c>
      <c r="G940">
        <v>4.33</v>
      </c>
      <c r="H940">
        <v>4.07</v>
      </c>
      <c r="I940">
        <v>3.77</v>
      </c>
      <c r="J940" t="s">
        <v>211</v>
      </c>
      <c r="K940">
        <v>3.7</v>
      </c>
      <c r="L940">
        <v>4.1500000000000004</v>
      </c>
      <c r="M940">
        <f t="shared" si="42"/>
        <v>4.0519999999999996</v>
      </c>
      <c r="N940">
        <f t="shared" si="43"/>
        <v>4.05</v>
      </c>
      <c r="O940">
        <f t="shared" si="44"/>
        <v>3.9224999999999999</v>
      </c>
    </row>
    <row r="941" spans="1:15" ht="15" customHeight="1" x14ac:dyDescent="0.3">
      <c r="A941" t="s">
        <v>1921</v>
      </c>
      <c r="B941" t="s">
        <v>2762</v>
      </c>
      <c r="C941">
        <v>4.09</v>
      </c>
      <c r="D941">
        <v>3.78</v>
      </c>
      <c r="E941">
        <v>4.03</v>
      </c>
      <c r="F941">
        <v>4.5</v>
      </c>
      <c r="G941">
        <v>3.59</v>
      </c>
      <c r="H941">
        <v>3.7</v>
      </c>
      <c r="I941">
        <v>3.76</v>
      </c>
      <c r="J941">
        <v>4.1500000000000004</v>
      </c>
      <c r="K941">
        <v>3.76</v>
      </c>
      <c r="L941">
        <v>4.0999999999999996</v>
      </c>
      <c r="M941">
        <f t="shared" si="42"/>
        <v>3.9979999999999998</v>
      </c>
      <c r="N941">
        <f t="shared" si="43"/>
        <v>4</v>
      </c>
      <c r="O941">
        <f t="shared" si="44"/>
        <v>3.8939999999999997</v>
      </c>
    </row>
    <row r="942" spans="1:15" ht="15" customHeight="1" x14ac:dyDescent="0.3">
      <c r="A942" t="s">
        <v>1923</v>
      </c>
      <c r="B942" t="s">
        <v>2763</v>
      </c>
      <c r="C942">
        <v>4.2</v>
      </c>
      <c r="D942">
        <v>4.18</v>
      </c>
      <c r="E942">
        <v>3.57</v>
      </c>
      <c r="F942">
        <v>4.3</v>
      </c>
      <c r="G942">
        <v>4.1399999999999997</v>
      </c>
      <c r="H942">
        <v>3.95</v>
      </c>
      <c r="I942">
        <v>4.83</v>
      </c>
      <c r="J942">
        <v>4.08</v>
      </c>
      <c r="K942">
        <v>3.98</v>
      </c>
      <c r="L942">
        <v>3.81</v>
      </c>
      <c r="M942">
        <f t="shared" si="42"/>
        <v>4.0780000000000003</v>
      </c>
      <c r="N942">
        <f t="shared" si="43"/>
        <v>4.08</v>
      </c>
      <c r="O942">
        <f t="shared" si="44"/>
        <v>4.13</v>
      </c>
    </row>
    <row r="943" spans="1:15" ht="15" customHeight="1" x14ac:dyDescent="0.3">
      <c r="A943" t="s">
        <v>1925</v>
      </c>
      <c r="B943" t="s">
        <v>2764</v>
      </c>
      <c r="C943">
        <v>3.72</v>
      </c>
      <c r="D943">
        <v>4.1900000000000004</v>
      </c>
      <c r="E943">
        <v>4.67</v>
      </c>
      <c r="F943">
        <v>4.21</v>
      </c>
      <c r="G943">
        <v>3.95</v>
      </c>
      <c r="H943">
        <v>4.08</v>
      </c>
      <c r="I943">
        <v>3.8</v>
      </c>
      <c r="J943">
        <v>3.87</v>
      </c>
      <c r="K943">
        <v>3.62</v>
      </c>
      <c r="L943">
        <v>4.2699999999999996</v>
      </c>
      <c r="M943">
        <f t="shared" si="42"/>
        <v>4.1479999999999997</v>
      </c>
      <c r="N943">
        <f t="shared" si="43"/>
        <v>4.1500000000000004</v>
      </c>
      <c r="O943">
        <f t="shared" si="44"/>
        <v>3.9279999999999999</v>
      </c>
    </row>
    <row r="944" spans="1:15" ht="15" customHeight="1" x14ac:dyDescent="0.3">
      <c r="A944" t="s">
        <v>1927</v>
      </c>
      <c r="B944" t="s">
        <v>2765</v>
      </c>
      <c r="C944">
        <v>4.0199999999999996</v>
      </c>
      <c r="D944">
        <v>4.32</v>
      </c>
      <c r="E944">
        <v>3.75</v>
      </c>
      <c r="F944">
        <v>4.22</v>
      </c>
      <c r="G944">
        <v>4.0199999999999996</v>
      </c>
      <c r="H944">
        <v>4.13</v>
      </c>
      <c r="I944">
        <v>4.45</v>
      </c>
      <c r="J944">
        <v>4.3899999999999997</v>
      </c>
      <c r="K944">
        <v>3.73</v>
      </c>
      <c r="L944">
        <v>3.99</v>
      </c>
      <c r="M944">
        <f t="shared" si="42"/>
        <v>4.0659999999999998</v>
      </c>
      <c r="N944">
        <f t="shared" si="43"/>
        <v>4.07</v>
      </c>
      <c r="O944">
        <f t="shared" si="44"/>
        <v>4.1379999999999999</v>
      </c>
    </row>
    <row r="945" spans="1:15" ht="15" customHeight="1" x14ac:dyDescent="0.3">
      <c r="A945" t="s">
        <v>1929</v>
      </c>
      <c r="B945" t="s">
        <v>2766</v>
      </c>
      <c r="C945">
        <v>3.89</v>
      </c>
      <c r="D945">
        <v>4.01</v>
      </c>
      <c r="E945">
        <v>4.28</v>
      </c>
      <c r="F945">
        <v>4.34</v>
      </c>
      <c r="G945">
        <v>4.28</v>
      </c>
      <c r="H945">
        <v>3.87</v>
      </c>
      <c r="I945">
        <v>3.62</v>
      </c>
      <c r="J945">
        <v>4.17</v>
      </c>
      <c r="K945">
        <v>4.6500000000000004</v>
      </c>
      <c r="L945">
        <v>3.71</v>
      </c>
      <c r="M945">
        <f t="shared" si="42"/>
        <v>4.16</v>
      </c>
      <c r="N945">
        <f t="shared" si="43"/>
        <v>4.16</v>
      </c>
      <c r="O945">
        <f t="shared" si="44"/>
        <v>4.0040000000000004</v>
      </c>
    </row>
    <row r="946" spans="1:15" ht="15" customHeight="1" x14ac:dyDescent="0.3">
      <c r="A946" t="s">
        <v>1931</v>
      </c>
      <c r="B946" t="s">
        <v>2767</v>
      </c>
      <c r="C946">
        <v>4.33</v>
      </c>
      <c r="D946">
        <v>4.12</v>
      </c>
      <c r="E946">
        <v>4.4800000000000004</v>
      </c>
      <c r="F946">
        <v>4.1500000000000004</v>
      </c>
      <c r="G946">
        <v>3.95</v>
      </c>
      <c r="H946">
        <v>3.47</v>
      </c>
      <c r="I946">
        <v>4.3600000000000003</v>
      </c>
      <c r="J946">
        <v>4.28</v>
      </c>
      <c r="K946" t="s">
        <v>211</v>
      </c>
      <c r="L946">
        <v>3.76</v>
      </c>
      <c r="M946">
        <f t="shared" si="42"/>
        <v>4.2059999999999995</v>
      </c>
      <c r="N946">
        <f t="shared" si="43"/>
        <v>4.21</v>
      </c>
      <c r="O946">
        <f t="shared" si="44"/>
        <v>3.9674999999999998</v>
      </c>
    </row>
    <row r="947" spans="1:15" ht="15" customHeight="1" x14ac:dyDescent="0.3">
      <c r="A947" t="s">
        <v>1933</v>
      </c>
      <c r="B947" t="s">
        <v>1934</v>
      </c>
      <c r="C947">
        <v>3.88</v>
      </c>
      <c r="D947">
        <v>4.17</v>
      </c>
      <c r="E947">
        <v>4.04</v>
      </c>
      <c r="F947">
        <v>3.54</v>
      </c>
      <c r="G947">
        <v>4.04</v>
      </c>
      <c r="H947">
        <v>3.92</v>
      </c>
      <c r="I947">
        <v>4.76</v>
      </c>
      <c r="J947" t="s">
        <v>211</v>
      </c>
      <c r="K947">
        <v>4.16</v>
      </c>
      <c r="L947">
        <v>3.65</v>
      </c>
      <c r="M947">
        <f t="shared" si="42"/>
        <v>3.9339999999999997</v>
      </c>
      <c r="N947">
        <f t="shared" si="43"/>
        <v>3.93</v>
      </c>
      <c r="O947">
        <f t="shared" si="44"/>
        <v>4.1224999999999996</v>
      </c>
    </row>
    <row r="948" spans="1:15" ht="15" customHeight="1" x14ac:dyDescent="0.3">
      <c r="A948" t="s">
        <v>1935</v>
      </c>
      <c r="B948" t="s">
        <v>2768</v>
      </c>
      <c r="C948">
        <v>3.5</v>
      </c>
      <c r="D948">
        <v>3.91</v>
      </c>
      <c r="E948">
        <v>4.0199999999999996</v>
      </c>
      <c r="F948">
        <v>3.95</v>
      </c>
      <c r="G948">
        <v>3.85</v>
      </c>
      <c r="H948">
        <v>3.95</v>
      </c>
      <c r="I948">
        <v>4.29</v>
      </c>
      <c r="J948">
        <v>3.95</v>
      </c>
      <c r="K948">
        <v>3.97</v>
      </c>
      <c r="L948">
        <v>3.86</v>
      </c>
      <c r="M948">
        <f t="shared" si="42"/>
        <v>3.8460000000000001</v>
      </c>
      <c r="N948">
        <f t="shared" si="43"/>
        <v>3.85</v>
      </c>
      <c r="O948">
        <f t="shared" si="44"/>
        <v>4.0039999999999996</v>
      </c>
    </row>
    <row r="949" spans="1:15" ht="15" customHeight="1" x14ac:dyDescent="0.3">
      <c r="A949" t="s">
        <v>1937</v>
      </c>
      <c r="B949" t="s">
        <v>2769</v>
      </c>
      <c r="C949">
        <v>3.49</v>
      </c>
      <c r="D949">
        <v>3.62</v>
      </c>
      <c r="E949">
        <v>3.94</v>
      </c>
      <c r="F949">
        <v>3.82</v>
      </c>
      <c r="G949">
        <v>4</v>
      </c>
      <c r="H949">
        <v>4.08</v>
      </c>
      <c r="I949">
        <v>3.91</v>
      </c>
      <c r="J949">
        <v>4.1399999999999997</v>
      </c>
      <c r="K949">
        <v>4</v>
      </c>
      <c r="L949">
        <v>4.4800000000000004</v>
      </c>
      <c r="M949">
        <f t="shared" si="42"/>
        <v>3.774</v>
      </c>
      <c r="N949">
        <f t="shared" si="43"/>
        <v>3.77</v>
      </c>
      <c r="O949">
        <f t="shared" si="44"/>
        <v>4.1219999999999999</v>
      </c>
    </row>
    <row r="950" spans="1:15" ht="15" customHeight="1" x14ac:dyDescent="0.3">
      <c r="A950" t="s">
        <v>1939</v>
      </c>
      <c r="B950" t="s">
        <v>2770</v>
      </c>
      <c r="C950">
        <v>4.0599999999999996</v>
      </c>
      <c r="D950">
        <v>4.1100000000000003</v>
      </c>
      <c r="E950">
        <v>4</v>
      </c>
      <c r="F950">
        <v>4.1500000000000004</v>
      </c>
      <c r="G950">
        <v>3.93</v>
      </c>
      <c r="H950">
        <v>4.54</v>
      </c>
      <c r="I950">
        <v>4.25</v>
      </c>
      <c r="J950">
        <v>3.67</v>
      </c>
      <c r="K950">
        <v>3.86</v>
      </c>
      <c r="L950">
        <v>3.84</v>
      </c>
      <c r="M950">
        <f t="shared" si="42"/>
        <v>4.05</v>
      </c>
      <c r="N950">
        <f t="shared" si="43"/>
        <v>4.05</v>
      </c>
      <c r="O950">
        <f t="shared" si="44"/>
        <v>4.032</v>
      </c>
    </row>
    <row r="951" spans="1:15" ht="15" customHeight="1" x14ac:dyDescent="0.3">
      <c r="A951" t="s">
        <v>1941</v>
      </c>
      <c r="B951" t="s">
        <v>2771</v>
      </c>
      <c r="C951">
        <v>4.0999999999999996</v>
      </c>
      <c r="D951">
        <v>4.03</v>
      </c>
      <c r="E951">
        <v>3.89</v>
      </c>
      <c r="F951">
        <v>4.3</v>
      </c>
      <c r="G951">
        <v>3.72</v>
      </c>
      <c r="H951">
        <v>4.17</v>
      </c>
      <c r="I951">
        <v>4.04</v>
      </c>
      <c r="J951">
        <v>3.83</v>
      </c>
      <c r="K951">
        <v>3.9</v>
      </c>
      <c r="L951">
        <v>3.6</v>
      </c>
      <c r="M951">
        <f t="shared" si="42"/>
        <v>4.008</v>
      </c>
      <c r="N951">
        <f t="shared" si="43"/>
        <v>4.01</v>
      </c>
      <c r="O951">
        <f t="shared" si="44"/>
        <v>3.9080000000000004</v>
      </c>
    </row>
    <row r="952" spans="1:15" ht="15" customHeight="1" x14ac:dyDescent="0.3">
      <c r="A952" t="s">
        <v>1943</v>
      </c>
      <c r="B952" t="s">
        <v>2772</v>
      </c>
      <c r="C952">
        <v>4.66</v>
      </c>
      <c r="D952">
        <v>4.18</v>
      </c>
      <c r="E952">
        <v>4.49</v>
      </c>
      <c r="F952">
        <v>3.96</v>
      </c>
      <c r="G952">
        <v>3.78</v>
      </c>
      <c r="H952">
        <v>3.94</v>
      </c>
      <c r="I952">
        <v>4.29</v>
      </c>
      <c r="J952">
        <v>4.9400000000000004</v>
      </c>
      <c r="K952">
        <v>3.87</v>
      </c>
      <c r="L952">
        <v>4.24</v>
      </c>
      <c r="M952">
        <f t="shared" si="42"/>
        <v>4.2140000000000004</v>
      </c>
      <c r="N952">
        <f t="shared" si="43"/>
        <v>4.21</v>
      </c>
      <c r="O952">
        <f t="shared" si="44"/>
        <v>4.2560000000000002</v>
      </c>
    </row>
    <row r="953" spans="1:15" ht="15" customHeight="1" x14ac:dyDescent="0.3">
      <c r="A953" t="s">
        <v>1945</v>
      </c>
      <c r="B953" t="s">
        <v>1946</v>
      </c>
      <c r="C953">
        <v>4.01</v>
      </c>
      <c r="D953">
        <v>3.98</v>
      </c>
      <c r="E953">
        <v>3.91</v>
      </c>
      <c r="F953">
        <v>3.91</v>
      </c>
      <c r="G953">
        <v>3.85</v>
      </c>
      <c r="H953">
        <v>4.32</v>
      </c>
      <c r="I953">
        <v>4.12</v>
      </c>
      <c r="J953">
        <v>4.05</v>
      </c>
      <c r="K953">
        <v>4.45</v>
      </c>
      <c r="L953">
        <v>3.98</v>
      </c>
      <c r="M953">
        <f t="shared" si="42"/>
        <v>3.9319999999999999</v>
      </c>
      <c r="N953">
        <f t="shared" si="43"/>
        <v>3.93</v>
      </c>
      <c r="O953">
        <f t="shared" si="44"/>
        <v>4.1840000000000002</v>
      </c>
    </row>
    <row r="954" spans="1:15" ht="15" customHeight="1" x14ac:dyDescent="0.3">
      <c r="A954" t="s">
        <v>1947</v>
      </c>
      <c r="B954" t="s">
        <v>1948</v>
      </c>
      <c r="C954">
        <v>3.77</v>
      </c>
      <c r="D954">
        <v>4.33</v>
      </c>
      <c r="E954">
        <v>3.49</v>
      </c>
      <c r="F954">
        <v>4.59</v>
      </c>
      <c r="G954">
        <v>4.28</v>
      </c>
      <c r="H954">
        <v>4.2699999999999996</v>
      </c>
      <c r="I954">
        <v>4.09</v>
      </c>
      <c r="J954">
        <v>4.2</v>
      </c>
      <c r="K954">
        <v>3.89</v>
      </c>
      <c r="L954">
        <v>4.67</v>
      </c>
      <c r="M954">
        <f t="shared" si="42"/>
        <v>4.0920000000000005</v>
      </c>
      <c r="N954">
        <f t="shared" si="43"/>
        <v>4.09</v>
      </c>
      <c r="O954">
        <f t="shared" si="44"/>
        <v>4.2239999999999993</v>
      </c>
    </row>
    <row r="955" spans="1:15" ht="15" customHeight="1" x14ac:dyDescent="0.3">
      <c r="A955" t="s">
        <v>1949</v>
      </c>
      <c r="B955" t="s">
        <v>2773</v>
      </c>
      <c r="C955">
        <v>3.92</v>
      </c>
      <c r="D955">
        <v>4.2300000000000004</v>
      </c>
      <c r="E955">
        <v>4.26</v>
      </c>
      <c r="F955">
        <v>3.9</v>
      </c>
      <c r="G955">
        <v>4.1100000000000003</v>
      </c>
      <c r="H955">
        <v>3.6</v>
      </c>
      <c r="I955">
        <v>3.8</v>
      </c>
      <c r="J955">
        <v>3.63</v>
      </c>
      <c r="K955">
        <v>3.75</v>
      </c>
      <c r="L955">
        <v>3.71</v>
      </c>
      <c r="M955">
        <f t="shared" si="42"/>
        <v>4.0839999999999996</v>
      </c>
      <c r="N955">
        <f t="shared" si="43"/>
        <v>4.08</v>
      </c>
      <c r="O955">
        <f t="shared" si="44"/>
        <v>3.6980000000000004</v>
      </c>
    </row>
    <row r="956" spans="1:15" ht="15" customHeight="1" x14ac:dyDescent="0.3">
      <c r="A956" t="s">
        <v>1951</v>
      </c>
      <c r="B956" t="s">
        <v>2774</v>
      </c>
      <c r="C956">
        <v>3.83</v>
      </c>
      <c r="D956">
        <v>4</v>
      </c>
      <c r="E956">
        <v>3.61</v>
      </c>
      <c r="F956">
        <v>4.3600000000000003</v>
      </c>
      <c r="G956" t="s">
        <v>211</v>
      </c>
      <c r="H956">
        <v>4.76</v>
      </c>
      <c r="I956">
        <v>4.41</v>
      </c>
      <c r="J956">
        <v>4.59</v>
      </c>
      <c r="K956">
        <v>4.03</v>
      </c>
      <c r="L956">
        <v>4.07</v>
      </c>
      <c r="M956">
        <f t="shared" si="42"/>
        <v>3.95</v>
      </c>
      <c r="N956">
        <f t="shared" si="43"/>
        <v>3.95</v>
      </c>
      <c r="O956">
        <f t="shared" si="44"/>
        <v>4.3719999999999999</v>
      </c>
    </row>
    <row r="957" spans="1:15" ht="15" customHeight="1" x14ac:dyDescent="0.3">
      <c r="A957" t="s">
        <v>1953</v>
      </c>
      <c r="B957" t="s">
        <v>2775</v>
      </c>
      <c r="C957">
        <v>3.78</v>
      </c>
      <c r="D957">
        <v>3.65</v>
      </c>
      <c r="E957">
        <v>4.3899999999999997</v>
      </c>
      <c r="F957">
        <v>4.29</v>
      </c>
      <c r="G957">
        <v>3.76</v>
      </c>
      <c r="H957">
        <v>4.21</v>
      </c>
      <c r="I957">
        <v>4.08</v>
      </c>
      <c r="J957">
        <v>4.12</v>
      </c>
      <c r="K957">
        <v>4.12</v>
      </c>
      <c r="L957">
        <v>4.4800000000000004</v>
      </c>
      <c r="M957">
        <f t="shared" si="42"/>
        <v>3.9739999999999993</v>
      </c>
      <c r="N957">
        <f t="shared" si="43"/>
        <v>3.97</v>
      </c>
      <c r="O957">
        <f t="shared" si="44"/>
        <v>4.202</v>
      </c>
    </row>
    <row r="958" spans="1:15" ht="15" customHeight="1" x14ac:dyDescent="0.3">
      <c r="A958" t="s">
        <v>1955</v>
      </c>
      <c r="B958" t="s">
        <v>2776</v>
      </c>
      <c r="C958">
        <v>3.63</v>
      </c>
      <c r="D958">
        <v>3.75</v>
      </c>
      <c r="E958">
        <v>4.32</v>
      </c>
      <c r="F958">
        <v>3.95</v>
      </c>
      <c r="G958">
        <v>4.05</v>
      </c>
      <c r="H958">
        <v>4.47</v>
      </c>
      <c r="I958">
        <v>3.91</v>
      </c>
      <c r="J958">
        <v>4.07</v>
      </c>
      <c r="K958">
        <v>3.69</v>
      </c>
      <c r="L958">
        <v>4.43</v>
      </c>
      <c r="M958">
        <f t="shared" si="42"/>
        <v>3.94</v>
      </c>
      <c r="N958">
        <f t="shared" si="43"/>
        <v>3.94</v>
      </c>
      <c r="O958">
        <f t="shared" si="44"/>
        <v>4.1139999999999999</v>
      </c>
    </row>
    <row r="959" spans="1:15" ht="15" customHeight="1" x14ac:dyDescent="0.3">
      <c r="A959" t="s">
        <v>1957</v>
      </c>
      <c r="B959" t="s">
        <v>1958</v>
      </c>
      <c r="C959">
        <v>4.46</v>
      </c>
      <c r="D959">
        <v>3.58</v>
      </c>
      <c r="E959">
        <v>4.21</v>
      </c>
      <c r="F959">
        <v>4.3099999999999996</v>
      </c>
      <c r="G959">
        <v>4.1900000000000004</v>
      </c>
      <c r="H959">
        <v>3.91</v>
      </c>
      <c r="I959">
        <v>4.72</v>
      </c>
      <c r="J959">
        <v>3.77</v>
      </c>
      <c r="K959">
        <v>3.93</v>
      </c>
      <c r="L959">
        <v>4.29</v>
      </c>
      <c r="M959">
        <f t="shared" si="42"/>
        <v>4.1500000000000004</v>
      </c>
      <c r="N959">
        <f t="shared" si="43"/>
        <v>4.1500000000000004</v>
      </c>
      <c r="O959">
        <f t="shared" si="44"/>
        <v>4.1239999999999997</v>
      </c>
    </row>
    <row r="960" spans="1:15" ht="15" customHeight="1" x14ac:dyDescent="0.3">
      <c r="A960" t="s">
        <v>1959</v>
      </c>
      <c r="B960" t="s">
        <v>2777</v>
      </c>
      <c r="C960">
        <v>3.74</v>
      </c>
      <c r="D960">
        <v>3.88</v>
      </c>
      <c r="E960">
        <v>3.91</v>
      </c>
      <c r="F960">
        <v>3.73</v>
      </c>
      <c r="G960">
        <v>4.0599999999999996</v>
      </c>
      <c r="H960">
        <v>4.25</v>
      </c>
      <c r="I960">
        <v>3.61</v>
      </c>
      <c r="J960">
        <v>4.16</v>
      </c>
      <c r="K960">
        <v>4.25</v>
      </c>
      <c r="L960">
        <v>3.47</v>
      </c>
      <c r="M960">
        <f t="shared" si="42"/>
        <v>3.8639999999999999</v>
      </c>
      <c r="N960">
        <f t="shared" si="43"/>
        <v>3.86</v>
      </c>
      <c r="O960">
        <f t="shared" si="44"/>
        <v>3.9479999999999995</v>
      </c>
    </row>
    <row r="961" spans="1:15" ht="15" customHeight="1" x14ac:dyDescent="0.3">
      <c r="A961" t="s">
        <v>1961</v>
      </c>
      <c r="B961" t="s">
        <v>1962</v>
      </c>
      <c r="C961">
        <v>3.25</v>
      </c>
      <c r="D961">
        <v>4.24</v>
      </c>
      <c r="E961">
        <v>4.13</v>
      </c>
      <c r="F961">
        <v>4.05</v>
      </c>
      <c r="G961">
        <v>3.76</v>
      </c>
      <c r="H961">
        <v>3.47</v>
      </c>
      <c r="I961">
        <v>4.6900000000000004</v>
      </c>
      <c r="J961">
        <v>4.03</v>
      </c>
      <c r="K961">
        <v>4.3499999999999996</v>
      </c>
      <c r="L961">
        <v>4.1900000000000004</v>
      </c>
      <c r="M961">
        <f t="shared" si="42"/>
        <v>3.8860000000000001</v>
      </c>
      <c r="N961">
        <f t="shared" si="43"/>
        <v>3.89</v>
      </c>
      <c r="O961">
        <f t="shared" si="44"/>
        <v>4.1459999999999999</v>
      </c>
    </row>
    <row r="962" spans="1:15" ht="15" customHeight="1" x14ac:dyDescent="0.3">
      <c r="A962" t="s">
        <v>1963</v>
      </c>
      <c r="B962" t="s">
        <v>2778</v>
      </c>
      <c r="C962">
        <v>4.45</v>
      </c>
      <c r="D962" t="s">
        <v>211</v>
      </c>
      <c r="E962">
        <v>3.81</v>
      </c>
      <c r="F962">
        <v>3.73</v>
      </c>
      <c r="G962">
        <v>4.41</v>
      </c>
      <c r="H962">
        <v>4.0999999999999996</v>
      </c>
      <c r="I962">
        <v>4.01</v>
      </c>
      <c r="J962">
        <v>3.79</v>
      </c>
      <c r="K962">
        <v>3.57</v>
      </c>
      <c r="L962">
        <v>4.4000000000000004</v>
      </c>
      <c r="M962">
        <f t="shared" ref="M962:M1003" si="45">AVERAGE(C962:G962)</f>
        <v>4.0999999999999996</v>
      </c>
      <c r="N962">
        <f t="shared" ref="N962:N1003" si="46">ROUND(M962,2)</f>
        <v>4.0999999999999996</v>
      </c>
      <c r="O962">
        <f t="shared" ref="O962:O1003" si="47">AVERAGE(H962:L962)</f>
        <v>3.9739999999999993</v>
      </c>
    </row>
    <row r="963" spans="1:15" ht="15" customHeight="1" x14ac:dyDescent="0.3">
      <c r="A963" t="s">
        <v>1965</v>
      </c>
      <c r="B963" t="s">
        <v>1966</v>
      </c>
      <c r="C963">
        <v>3.46</v>
      </c>
      <c r="D963" t="s">
        <v>211</v>
      </c>
      <c r="E963">
        <v>3.81</v>
      </c>
      <c r="F963">
        <v>3.8</v>
      </c>
      <c r="G963">
        <v>4.08</v>
      </c>
      <c r="H963">
        <v>3.9</v>
      </c>
      <c r="I963">
        <v>4.3600000000000003</v>
      </c>
      <c r="J963">
        <v>3.61</v>
      </c>
      <c r="K963">
        <v>3.55</v>
      </c>
      <c r="L963">
        <v>3.78</v>
      </c>
      <c r="M963">
        <f t="shared" si="45"/>
        <v>3.7875000000000001</v>
      </c>
      <c r="N963">
        <f t="shared" si="46"/>
        <v>3.79</v>
      </c>
      <c r="O963">
        <f t="shared" si="47"/>
        <v>3.84</v>
      </c>
    </row>
    <row r="964" spans="1:15" ht="15" customHeight="1" x14ac:dyDescent="0.3">
      <c r="A964" t="s">
        <v>1967</v>
      </c>
      <c r="B964" t="s">
        <v>1968</v>
      </c>
      <c r="C964">
        <v>3.8</v>
      </c>
      <c r="D964">
        <v>4.2</v>
      </c>
      <c r="E964">
        <v>4.54</v>
      </c>
      <c r="F964">
        <v>3.75</v>
      </c>
      <c r="G964">
        <v>4.09</v>
      </c>
      <c r="H964" t="s">
        <v>211</v>
      </c>
      <c r="I964">
        <v>3.97</v>
      </c>
      <c r="J964">
        <v>3.95</v>
      </c>
      <c r="K964">
        <v>4.3499999999999996</v>
      </c>
      <c r="L964">
        <v>3.83</v>
      </c>
      <c r="M964">
        <f t="shared" si="45"/>
        <v>4.0759999999999996</v>
      </c>
      <c r="N964">
        <f t="shared" si="46"/>
        <v>4.08</v>
      </c>
      <c r="O964">
        <f t="shared" si="47"/>
        <v>4.0250000000000004</v>
      </c>
    </row>
    <row r="965" spans="1:15" ht="15" customHeight="1" x14ac:dyDescent="0.3">
      <c r="A965" t="s">
        <v>1969</v>
      </c>
      <c r="B965" t="s">
        <v>2779</v>
      </c>
      <c r="C965">
        <v>3.78</v>
      </c>
      <c r="D965">
        <v>4.46</v>
      </c>
      <c r="E965">
        <v>3.88</v>
      </c>
      <c r="F965">
        <v>4.3600000000000003</v>
      </c>
      <c r="G965">
        <v>4.04</v>
      </c>
      <c r="H965">
        <v>4.3099999999999996</v>
      </c>
      <c r="I965">
        <v>4.22</v>
      </c>
      <c r="J965">
        <v>4.09</v>
      </c>
      <c r="K965">
        <v>3.98</v>
      </c>
      <c r="L965">
        <v>4.04</v>
      </c>
      <c r="M965">
        <f t="shared" si="45"/>
        <v>4.1040000000000001</v>
      </c>
      <c r="N965">
        <f t="shared" si="46"/>
        <v>4.0999999999999996</v>
      </c>
      <c r="O965">
        <f t="shared" si="47"/>
        <v>4.1279999999999992</v>
      </c>
    </row>
    <row r="966" spans="1:15" ht="15" customHeight="1" x14ac:dyDescent="0.3">
      <c r="A966" t="s">
        <v>1971</v>
      </c>
      <c r="B966" t="s">
        <v>2780</v>
      </c>
      <c r="C966">
        <v>3.99</v>
      </c>
      <c r="D966">
        <v>3.78</v>
      </c>
      <c r="E966">
        <v>3.96</v>
      </c>
      <c r="F966">
        <v>3.65</v>
      </c>
      <c r="G966">
        <v>3.88</v>
      </c>
      <c r="H966">
        <v>4.53</v>
      </c>
      <c r="I966">
        <v>3.96</v>
      </c>
      <c r="J966">
        <v>3.89</v>
      </c>
      <c r="K966">
        <v>4.1100000000000003</v>
      </c>
      <c r="L966">
        <v>3.89</v>
      </c>
      <c r="M966">
        <f t="shared" si="45"/>
        <v>3.8520000000000003</v>
      </c>
      <c r="N966">
        <f t="shared" si="46"/>
        <v>3.85</v>
      </c>
      <c r="O966">
        <f t="shared" si="47"/>
        <v>4.0760000000000005</v>
      </c>
    </row>
    <row r="967" spans="1:15" ht="15" customHeight="1" x14ac:dyDescent="0.3">
      <c r="A967" t="s">
        <v>1973</v>
      </c>
      <c r="B967" t="s">
        <v>2781</v>
      </c>
      <c r="C967">
        <v>4.21</v>
      </c>
      <c r="D967">
        <v>3.86</v>
      </c>
      <c r="E967">
        <v>4.1399999999999997</v>
      </c>
      <c r="F967">
        <v>4.67</v>
      </c>
      <c r="G967">
        <v>3.89</v>
      </c>
      <c r="H967">
        <v>3.96</v>
      </c>
      <c r="I967">
        <v>4.3499999999999996</v>
      </c>
      <c r="J967">
        <v>4.07</v>
      </c>
      <c r="K967">
        <v>3.4</v>
      </c>
      <c r="L967">
        <v>4.0199999999999996</v>
      </c>
      <c r="M967">
        <f t="shared" si="45"/>
        <v>4.1540000000000008</v>
      </c>
      <c r="N967">
        <f t="shared" si="46"/>
        <v>4.1500000000000004</v>
      </c>
      <c r="O967">
        <f t="shared" si="47"/>
        <v>3.9599999999999995</v>
      </c>
    </row>
    <row r="968" spans="1:15" ht="15" customHeight="1" x14ac:dyDescent="0.3">
      <c r="A968" t="s">
        <v>1975</v>
      </c>
      <c r="B968" t="s">
        <v>2782</v>
      </c>
      <c r="C968">
        <v>3.37</v>
      </c>
      <c r="D968">
        <v>4.1500000000000004</v>
      </c>
      <c r="E968">
        <v>4.5</v>
      </c>
      <c r="F968">
        <v>3.97</v>
      </c>
      <c r="G968">
        <v>3.73</v>
      </c>
      <c r="H968">
        <v>3.85</v>
      </c>
      <c r="I968">
        <v>3.74</v>
      </c>
      <c r="J968">
        <v>4</v>
      </c>
      <c r="K968">
        <v>4.46</v>
      </c>
      <c r="L968">
        <v>3.84</v>
      </c>
      <c r="M968">
        <f t="shared" si="45"/>
        <v>3.944</v>
      </c>
      <c r="N968">
        <f t="shared" si="46"/>
        <v>3.94</v>
      </c>
      <c r="O968">
        <f t="shared" si="47"/>
        <v>3.9780000000000002</v>
      </c>
    </row>
    <row r="969" spans="1:15" ht="15" customHeight="1" x14ac:dyDescent="0.3">
      <c r="A969" t="s">
        <v>1977</v>
      </c>
      <c r="B969" t="s">
        <v>2783</v>
      </c>
      <c r="C969">
        <v>4.3600000000000003</v>
      </c>
      <c r="D969">
        <v>4.66</v>
      </c>
      <c r="E969">
        <v>4.82</v>
      </c>
      <c r="F969">
        <v>4.12</v>
      </c>
      <c r="G969" t="s">
        <v>211</v>
      </c>
      <c r="H969">
        <v>4.28</v>
      </c>
      <c r="I969">
        <v>4.09</v>
      </c>
      <c r="J969">
        <v>4.3099999999999996</v>
      </c>
      <c r="K969">
        <v>4.1500000000000004</v>
      </c>
      <c r="L969">
        <v>3.49</v>
      </c>
      <c r="M969">
        <f t="shared" si="45"/>
        <v>4.49</v>
      </c>
      <c r="N969">
        <f t="shared" si="46"/>
        <v>4.49</v>
      </c>
      <c r="O969">
        <f t="shared" si="47"/>
        <v>4.0640000000000001</v>
      </c>
    </row>
    <row r="970" spans="1:15" ht="15" customHeight="1" x14ac:dyDescent="0.3">
      <c r="A970" t="s">
        <v>1979</v>
      </c>
      <c r="B970" t="s">
        <v>1980</v>
      </c>
      <c r="C970">
        <v>3.63</v>
      </c>
      <c r="D970">
        <v>4.05</v>
      </c>
      <c r="E970">
        <v>4.0199999999999996</v>
      </c>
      <c r="F970">
        <v>4.01</v>
      </c>
      <c r="G970">
        <v>4.04</v>
      </c>
      <c r="H970">
        <v>3.46</v>
      </c>
      <c r="I970">
        <v>4.21</v>
      </c>
      <c r="J970">
        <v>3.39</v>
      </c>
      <c r="K970">
        <v>4.03</v>
      </c>
      <c r="L970">
        <v>3.75</v>
      </c>
      <c r="M970">
        <f t="shared" si="45"/>
        <v>3.95</v>
      </c>
      <c r="N970">
        <f t="shared" si="46"/>
        <v>3.95</v>
      </c>
      <c r="O970">
        <f t="shared" si="47"/>
        <v>3.7679999999999998</v>
      </c>
    </row>
    <row r="971" spans="1:15" ht="15" customHeight="1" x14ac:dyDescent="0.3">
      <c r="A971" t="s">
        <v>1981</v>
      </c>
      <c r="B971" t="s">
        <v>2784</v>
      </c>
      <c r="C971">
        <v>3.5</v>
      </c>
      <c r="D971">
        <v>3.49</v>
      </c>
      <c r="E971">
        <v>3.8</v>
      </c>
      <c r="F971">
        <v>4.04</v>
      </c>
      <c r="G971">
        <v>4.6500000000000004</v>
      </c>
      <c r="H971">
        <v>3.9</v>
      </c>
      <c r="I971">
        <v>3.92</v>
      </c>
      <c r="J971">
        <v>4.0199999999999996</v>
      </c>
      <c r="K971">
        <v>4.1500000000000004</v>
      </c>
      <c r="L971">
        <v>3.72</v>
      </c>
      <c r="M971">
        <f t="shared" si="45"/>
        <v>3.8959999999999995</v>
      </c>
      <c r="N971">
        <f t="shared" si="46"/>
        <v>3.9</v>
      </c>
      <c r="O971">
        <f t="shared" si="47"/>
        <v>3.9420000000000002</v>
      </c>
    </row>
    <row r="972" spans="1:15" ht="15" customHeight="1" x14ac:dyDescent="0.3">
      <c r="A972" t="s">
        <v>1983</v>
      </c>
      <c r="B972" t="s">
        <v>2785</v>
      </c>
      <c r="C972" t="s">
        <v>211</v>
      </c>
      <c r="D972">
        <v>4.62</v>
      </c>
      <c r="E972">
        <v>4.3600000000000003</v>
      </c>
      <c r="F972">
        <v>4.7300000000000004</v>
      </c>
      <c r="G972">
        <v>4.1900000000000004</v>
      </c>
      <c r="H972">
        <v>3.87</v>
      </c>
      <c r="I972">
        <v>4.01</v>
      </c>
      <c r="J972">
        <v>3.85</v>
      </c>
      <c r="K972">
        <v>4.3</v>
      </c>
      <c r="L972">
        <v>4.0199999999999996</v>
      </c>
      <c r="M972">
        <f t="shared" si="45"/>
        <v>4.4750000000000005</v>
      </c>
      <c r="N972">
        <f t="shared" si="46"/>
        <v>4.4800000000000004</v>
      </c>
      <c r="O972">
        <f t="shared" si="47"/>
        <v>4.01</v>
      </c>
    </row>
    <row r="973" spans="1:15" ht="15" customHeight="1" x14ac:dyDescent="0.3">
      <c r="A973" t="s">
        <v>1985</v>
      </c>
      <c r="B973" t="s">
        <v>2786</v>
      </c>
      <c r="C973">
        <v>4.03</v>
      </c>
      <c r="D973">
        <v>3.53</v>
      </c>
      <c r="E973">
        <v>4.6500000000000004</v>
      </c>
      <c r="F973">
        <v>3.7</v>
      </c>
      <c r="G973">
        <v>4.2300000000000004</v>
      </c>
      <c r="H973" t="s">
        <v>211</v>
      </c>
      <c r="I973">
        <v>4.1100000000000003</v>
      </c>
      <c r="J973">
        <v>4.28</v>
      </c>
      <c r="K973">
        <v>4.08</v>
      </c>
      <c r="L973">
        <v>3.69</v>
      </c>
      <c r="M973">
        <f t="shared" si="45"/>
        <v>4.0280000000000005</v>
      </c>
      <c r="N973">
        <f t="shared" si="46"/>
        <v>4.03</v>
      </c>
      <c r="O973">
        <f t="shared" si="47"/>
        <v>4.04</v>
      </c>
    </row>
    <row r="974" spans="1:15" ht="15" customHeight="1" x14ac:dyDescent="0.3">
      <c r="A974" t="s">
        <v>1987</v>
      </c>
      <c r="B974" t="s">
        <v>1988</v>
      </c>
      <c r="C974">
        <v>4.13</v>
      </c>
      <c r="D974">
        <v>3.98</v>
      </c>
      <c r="E974">
        <v>4.08</v>
      </c>
      <c r="F974">
        <v>3.93</v>
      </c>
      <c r="G974">
        <v>3.71</v>
      </c>
      <c r="H974">
        <v>4.0999999999999996</v>
      </c>
      <c r="I974">
        <v>3.9</v>
      </c>
      <c r="J974">
        <v>4.07</v>
      </c>
      <c r="K974">
        <v>3.68</v>
      </c>
      <c r="L974">
        <v>3.82</v>
      </c>
      <c r="M974">
        <f t="shared" si="45"/>
        <v>3.9660000000000002</v>
      </c>
      <c r="N974">
        <f t="shared" si="46"/>
        <v>3.97</v>
      </c>
      <c r="O974">
        <f t="shared" si="47"/>
        <v>3.9140000000000001</v>
      </c>
    </row>
    <row r="975" spans="1:15" ht="15" customHeight="1" x14ac:dyDescent="0.3">
      <c r="A975" t="s">
        <v>1989</v>
      </c>
      <c r="B975" t="s">
        <v>2787</v>
      </c>
      <c r="C975">
        <v>3.5</v>
      </c>
      <c r="D975">
        <v>3.74</v>
      </c>
      <c r="E975">
        <v>4.5599999999999996</v>
      </c>
      <c r="F975">
        <v>4.4800000000000004</v>
      </c>
      <c r="G975">
        <v>4.09</v>
      </c>
      <c r="H975">
        <v>3.84</v>
      </c>
      <c r="I975">
        <v>4.2</v>
      </c>
      <c r="J975">
        <v>3.64</v>
      </c>
      <c r="K975">
        <v>4.04</v>
      </c>
      <c r="L975" t="s">
        <v>211</v>
      </c>
      <c r="M975">
        <f t="shared" si="45"/>
        <v>4.0739999999999998</v>
      </c>
      <c r="N975">
        <f t="shared" si="46"/>
        <v>4.07</v>
      </c>
      <c r="O975">
        <f t="shared" si="47"/>
        <v>3.9299999999999997</v>
      </c>
    </row>
    <row r="976" spans="1:15" ht="15" customHeight="1" x14ac:dyDescent="0.3">
      <c r="A976" t="s">
        <v>1991</v>
      </c>
      <c r="B976" t="s">
        <v>2788</v>
      </c>
      <c r="C976">
        <v>3.85</v>
      </c>
      <c r="D976">
        <v>4.0599999999999996</v>
      </c>
      <c r="E976">
        <v>3.67</v>
      </c>
      <c r="F976">
        <v>4.03</v>
      </c>
      <c r="G976">
        <v>4.3099999999999996</v>
      </c>
      <c r="H976">
        <v>3.97</v>
      </c>
      <c r="I976">
        <v>4.21</v>
      </c>
      <c r="J976">
        <v>3.87</v>
      </c>
      <c r="K976">
        <v>3.99</v>
      </c>
      <c r="L976">
        <v>4.46</v>
      </c>
      <c r="M976">
        <f t="shared" si="45"/>
        <v>3.9839999999999995</v>
      </c>
      <c r="N976">
        <f t="shared" si="46"/>
        <v>3.98</v>
      </c>
      <c r="O976">
        <f t="shared" si="47"/>
        <v>4.0999999999999996</v>
      </c>
    </row>
    <row r="977" spans="1:15" ht="15" customHeight="1" x14ac:dyDescent="0.3">
      <c r="A977" t="s">
        <v>1993</v>
      </c>
      <c r="B977" t="s">
        <v>2789</v>
      </c>
      <c r="C977">
        <v>4.46</v>
      </c>
      <c r="D977">
        <v>4.4000000000000004</v>
      </c>
      <c r="E977">
        <v>4.07</v>
      </c>
      <c r="F977">
        <v>4.08</v>
      </c>
      <c r="G977">
        <v>4.3499999999999996</v>
      </c>
      <c r="H977">
        <v>3.81</v>
      </c>
      <c r="I977">
        <v>3.85</v>
      </c>
      <c r="J977">
        <v>4.0599999999999996</v>
      </c>
      <c r="K977">
        <v>4.08</v>
      </c>
      <c r="L977">
        <v>3.57</v>
      </c>
      <c r="M977">
        <f t="shared" si="45"/>
        <v>4.2720000000000002</v>
      </c>
      <c r="N977">
        <f t="shared" si="46"/>
        <v>4.2699999999999996</v>
      </c>
      <c r="O977">
        <f t="shared" si="47"/>
        <v>3.8739999999999997</v>
      </c>
    </row>
    <row r="978" spans="1:15" ht="15" customHeight="1" x14ac:dyDescent="0.3">
      <c r="A978" t="s">
        <v>1995</v>
      </c>
      <c r="B978" t="s">
        <v>1996</v>
      </c>
      <c r="C978">
        <v>3.78</v>
      </c>
      <c r="D978">
        <v>4.46</v>
      </c>
      <c r="E978">
        <v>4.1399999999999997</v>
      </c>
      <c r="F978">
        <v>3.86</v>
      </c>
      <c r="G978">
        <v>4.2300000000000004</v>
      </c>
      <c r="H978">
        <v>4.2</v>
      </c>
      <c r="I978">
        <v>3.95</v>
      </c>
      <c r="J978">
        <v>4.3099999999999996</v>
      </c>
      <c r="K978">
        <v>4.09</v>
      </c>
      <c r="L978">
        <v>3.69</v>
      </c>
      <c r="M978">
        <f t="shared" si="45"/>
        <v>4.0939999999999994</v>
      </c>
      <c r="N978">
        <f t="shared" si="46"/>
        <v>4.09</v>
      </c>
      <c r="O978">
        <f t="shared" si="47"/>
        <v>4.048</v>
      </c>
    </row>
    <row r="979" spans="1:15" ht="15" customHeight="1" x14ac:dyDescent="0.3">
      <c r="A979" t="s">
        <v>1997</v>
      </c>
      <c r="B979" t="s">
        <v>1998</v>
      </c>
      <c r="C979">
        <v>3.88</v>
      </c>
      <c r="D979">
        <v>3.97</v>
      </c>
      <c r="E979">
        <v>4.3499999999999996</v>
      </c>
      <c r="F979">
        <v>4.5</v>
      </c>
      <c r="G979">
        <v>4.1900000000000004</v>
      </c>
      <c r="H979" t="s">
        <v>211</v>
      </c>
      <c r="I979">
        <v>3.91</v>
      </c>
      <c r="J979">
        <v>3.93</v>
      </c>
      <c r="K979">
        <v>4.92</v>
      </c>
      <c r="L979">
        <v>3.81</v>
      </c>
      <c r="M979">
        <f t="shared" si="45"/>
        <v>4.1779999999999999</v>
      </c>
      <c r="N979">
        <f t="shared" si="46"/>
        <v>4.18</v>
      </c>
      <c r="O979">
        <f t="shared" si="47"/>
        <v>4.1425000000000001</v>
      </c>
    </row>
    <row r="980" spans="1:15" ht="15" customHeight="1" x14ac:dyDescent="0.3">
      <c r="A980" t="s">
        <v>1999</v>
      </c>
      <c r="B980" t="s">
        <v>2790</v>
      </c>
      <c r="C980">
        <v>4.0999999999999996</v>
      </c>
      <c r="D980">
        <v>3.8</v>
      </c>
      <c r="E980">
        <v>4.38</v>
      </c>
      <c r="F980">
        <v>3.9</v>
      </c>
      <c r="G980">
        <v>4.22</v>
      </c>
      <c r="H980" t="s">
        <v>211</v>
      </c>
      <c r="I980">
        <v>4.2300000000000004</v>
      </c>
      <c r="J980">
        <v>4.28</v>
      </c>
      <c r="K980">
        <v>3.73</v>
      </c>
      <c r="L980">
        <v>4.47</v>
      </c>
      <c r="M980">
        <f t="shared" si="45"/>
        <v>4.08</v>
      </c>
      <c r="N980">
        <f t="shared" si="46"/>
        <v>4.08</v>
      </c>
      <c r="O980">
        <f t="shared" si="47"/>
        <v>4.1775000000000002</v>
      </c>
    </row>
    <row r="981" spans="1:15" ht="15" customHeight="1" x14ac:dyDescent="0.3">
      <c r="A981" t="s">
        <v>2001</v>
      </c>
      <c r="B981" t="s">
        <v>2002</v>
      </c>
      <c r="C981">
        <v>3.76</v>
      </c>
      <c r="D981">
        <v>4.1900000000000004</v>
      </c>
      <c r="E981">
        <v>3.58</v>
      </c>
      <c r="F981">
        <v>4.32</v>
      </c>
      <c r="G981">
        <v>3.36</v>
      </c>
      <c r="H981" t="s">
        <v>211</v>
      </c>
      <c r="I981">
        <v>3.7</v>
      </c>
      <c r="J981">
        <v>4.51</v>
      </c>
      <c r="K981">
        <v>4.59</v>
      </c>
      <c r="L981">
        <v>3.96</v>
      </c>
      <c r="M981">
        <f t="shared" si="45"/>
        <v>3.8420000000000001</v>
      </c>
      <c r="N981">
        <f t="shared" si="46"/>
        <v>3.84</v>
      </c>
      <c r="O981">
        <f t="shared" si="47"/>
        <v>4.1900000000000004</v>
      </c>
    </row>
    <row r="982" spans="1:15" ht="15" customHeight="1" x14ac:dyDescent="0.3">
      <c r="A982" t="s">
        <v>2003</v>
      </c>
      <c r="B982" t="s">
        <v>2004</v>
      </c>
      <c r="C982">
        <v>4.18</v>
      </c>
      <c r="D982">
        <v>4.54</v>
      </c>
      <c r="E982">
        <v>3.96</v>
      </c>
      <c r="F982" t="s">
        <v>211</v>
      </c>
      <c r="G982">
        <v>3.8</v>
      </c>
      <c r="H982">
        <v>4.5599999999999996</v>
      </c>
      <c r="I982">
        <v>3.86</v>
      </c>
      <c r="J982">
        <v>4.41</v>
      </c>
      <c r="K982">
        <v>4.12</v>
      </c>
      <c r="L982">
        <v>4.26</v>
      </c>
      <c r="M982">
        <f t="shared" si="45"/>
        <v>4.12</v>
      </c>
      <c r="N982">
        <f t="shared" si="46"/>
        <v>4.12</v>
      </c>
      <c r="O982">
        <f t="shared" si="47"/>
        <v>4.242</v>
      </c>
    </row>
    <row r="983" spans="1:15" ht="15" customHeight="1" x14ac:dyDescent="0.3">
      <c r="A983" t="s">
        <v>2005</v>
      </c>
      <c r="B983" t="s">
        <v>2006</v>
      </c>
      <c r="C983">
        <v>4.1399999999999997</v>
      </c>
      <c r="D983">
        <v>3.93</v>
      </c>
      <c r="E983">
        <v>4.0599999999999996</v>
      </c>
      <c r="F983">
        <v>4.33</v>
      </c>
      <c r="G983">
        <v>3.54</v>
      </c>
      <c r="H983">
        <v>4.12</v>
      </c>
      <c r="I983">
        <v>3.21</v>
      </c>
      <c r="J983">
        <v>4.21</v>
      </c>
      <c r="K983">
        <v>4.5</v>
      </c>
      <c r="L983">
        <v>4.18</v>
      </c>
      <c r="M983">
        <f t="shared" si="45"/>
        <v>4</v>
      </c>
      <c r="N983">
        <f t="shared" si="46"/>
        <v>4</v>
      </c>
      <c r="O983">
        <f t="shared" si="47"/>
        <v>4.0439999999999996</v>
      </c>
    </row>
    <row r="984" spans="1:15" ht="15" customHeight="1" x14ac:dyDescent="0.3">
      <c r="A984" t="s">
        <v>2007</v>
      </c>
      <c r="B984" t="s">
        <v>2008</v>
      </c>
      <c r="C984">
        <v>3.97</v>
      </c>
      <c r="D984">
        <v>4.4800000000000004</v>
      </c>
      <c r="E984">
        <v>3.95</v>
      </c>
      <c r="F984">
        <v>4.1500000000000004</v>
      </c>
      <c r="G984">
        <v>3.89</v>
      </c>
      <c r="H984">
        <v>3.85</v>
      </c>
      <c r="I984">
        <v>3.56</v>
      </c>
      <c r="J984">
        <v>4.58</v>
      </c>
      <c r="K984">
        <v>4.18</v>
      </c>
      <c r="L984">
        <v>4.16</v>
      </c>
      <c r="M984">
        <f t="shared" si="45"/>
        <v>4.088000000000001</v>
      </c>
      <c r="N984">
        <f t="shared" si="46"/>
        <v>4.09</v>
      </c>
      <c r="O984">
        <f t="shared" si="47"/>
        <v>4.0660000000000007</v>
      </c>
    </row>
    <row r="985" spans="1:15" ht="15" customHeight="1" x14ac:dyDescent="0.3">
      <c r="A985" t="s">
        <v>2009</v>
      </c>
      <c r="B985" t="s">
        <v>2791</v>
      </c>
      <c r="C985">
        <v>4.5599999999999996</v>
      </c>
      <c r="D985" t="s">
        <v>211</v>
      </c>
      <c r="E985">
        <v>4.34</v>
      </c>
      <c r="F985">
        <v>3.47</v>
      </c>
      <c r="G985">
        <v>3.7</v>
      </c>
      <c r="H985">
        <v>3.83</v>
      </c>
      <c r="I985">
        <v>3.73</v>
      </c>
      <c r="J985">
        <v>3.92</v>
      </c>
      <c r="K985">
        <v>3.86</v>
      </c>
      <c r="L985">
        <v>4.41</v>
      </c>
      <c r="M985">
        <f t="shared" si="45"/>
        <v>4.0175000000000001</v>
      </c>
      <c r="N985">
        <f t="shared" si="46"/>
        <v>4.0199999999999996</v>
      </c>
      <c r="O985">
        <f t="shared" si="47"/>
        <v>3.95</v>
      </c>
    </row>
    <row r="986" spans="1:15" ht="15" customHeight="1" x14ac:dyDescent="0.3">
      <c r="A986" t="s">
        <v>2011</v>
      </c>
      <c r="B986" t="s">
        <v>2012</v>
      </c>
      <c r="C986">
        <v>4.25</v>
      </c>
      <c r="D986">
        <v>3.6</v>
      </c>
      <c r="E986">
        <v>4.4000000000000004</v>
      </c>
      <c r="F986">
        <v>4.47</v>
      </c>
      <c r="G986">
        <v>4.3899999999999997</v>
      </c>
      <c r="H986">
        <v>3.69</v>
      </c>
      <c r="I986">
        <v>3.99</v>
      </c>
      <c r="J986">
        <v>3.25</v>
      </c>
      <c r="K986">
        <v>3.7</v>
      </c>
      <c r="L986">
        <v>4.47</v>
      </c>
      <c r="M986">
        <f t="shared" si="45"/>
        <v>4.2219999999999995</v>
      </c>
      <c r="N986">
        <f t="shared" si="46"/>
        <v>4.22</v>
      </c>
      <c r="O986">
        <f t="shared" si="47"/>
        <v>3.8199999999999994</v>
      </c>
    </row>
    <row r="987" spans="1:15" ht="15" customHeight="1" x14ac:dyDescent="0.3">
      <c r="A987" t="s">
        <v>2013</v>
      </c>
      <c r="B987" t="s">
        <v>2014</v>
      </c>
      <c r="C987">
        <v>3.95</v>
      </c>
      <c r="D987" t="s">
        <v>211</v>
      </c>
      <c r="E987">
        <v>3.91</v>
      </c>
      <c r="F987">
        <v>4.21</v>
      </c>
      <c r="G987">
        <v>4.29</v>
      </c>
      <c r="H987">
        <v>4.01</v>
      </c>
      <c r="I987">
        <v>3.46</v>
      </c>
      <c r="J987">
        <v>3.6</v>
      </c>
      <c r="K987">
        <v>4.34</v>
      </c>
      <c r="L987">
        <v>4.4000000000000004</v>
      </c>
      <c r="M987">
        <f t="shared" si="45"/>
        <v>4.09</v>
      </c>
      <c r="N987">
        <f t="shared" si="46"/>
        <v>4.09</v>
      </c>
      <c r="O987">
        <f t="shared" si="47"/>
        <v>3.9620000000000006</v>
      </c>
    </row>
    <row r="988" spans="1:15" ht="15" customHeight="1" x14ac:dyDescent="0.3">
      <c r="A988" t="s">
        <v>2015</v>
      </c>
      <c r="B988" t="s">
        <v>2792</v>
      </c>
      <c r="C988">
        <v>4.25</v>
      </c>
      <c r="D988">
        <v>3.51</v>
      </c>
      <c r="E988">
        <v>4.1100000000000003</v>
      </c>
      <c r="F988">
        <v>3.95</v>
      </c>
      <c r="G988">
        <v>4.3600000000000003</v>
      </c>
      <c r="H988">
        <v>4.03</v>
      </c>
      <c r="I988">
        <v>3.08</v>
      </c>
      <c r="J988">
        <v>3.63</v>
      </c>
      <c r="K988">
        <v>4.68</v>
      </c>
      <c r="L988">
        <v>3.89</v>
      </c>
      <c r="M988">
        <f t="shared" si="45"/>
        <v>4.0359999999999996</v>
      </c>
      <c r="N988">
        <f t="shared" si="46"/>
        <v>4.04</v>
      </c>
      <c r="O988">
        <f t="shared" si="47"/>
        <v>3.8619999999999997</v>
      </c>
    </row>
    <row r="989" spans="1:15" ht="15" customHeight="1" x14ac:dyDescent="0.3">
      <c r="A989" t="s">
        <v>2017</v>
      </c>
      <c r="B989" t="s">
        <v>2793</v>
      </c>
      <c r="C989">
        <v>3.63</v>
      </c>
      <c r="D989">
        <v>4.07</v>
      </c>
      <c r="E989">
        <v>3.7</v>
      </c>
      <c r="F989">
        <v>3.66</v>
      </c>
      <c r="G989">
        <v>3.26</v>
      </c>
      <c r="H989">
        <v>3.7</v>
      </c>
      <c r="I989">
        <v>4.13</v>
      </c>
      <c r="J989">
        <v>3.66</v>
      </c>
      <c r="K989">
        <v>4.24</v>
      </c>
      <c r="L989">
        <v>3.46</v>
      </c>
      <c r="M989">
        <f t="shared" si="45"/>
        <v>3.6640000000000001</v>
      </c>
      <c r="N989">
        <f t="shared" si="46"/>
        <v>3.66</v>
      </c>
      <c r="O989">
        <f t="shared" si="47"/>
        <v>3.8380000000000001</v>
      </c>
    </row>
    <row r="990" spans="1:15" ht="15" customHeight="1" x14ac:dyDescent="0.3">
      <c r="A990" t="s">
        <v>2019</v>
      </c>
      <c r="B990" t="s">
        <v>2794</v>
      </c>
      <c r="C990">
        <v>3.27</v>
      </c>
      <c r="D990">
        <v>3.41</v>
      </c>
      <c r="E990">
        <v>4.0599999999999996</v>
      </c>
      <c r="F990">
        <v>3.5</v>
      </c>
      <c r="G990">
        <v>3.82</v>
      </c>
      <c r="H990">
        <v>4.16</v>
      </c>
      <c r="I990">
        <v>3.42</v>
      </c>
      <c r="J990">
        <v>4.25</v>
      </c>
      <c r="K990">
        <v>4.0199999999999996</v>
      </c>
      <c r="L990">
        <v>3.59</v>
      </c>
      <c r="M990">
        <f t="shared" si="45"/>
        <v>3.6119999999999997</v>
      </c>
      <c r="N990">
        <f t="shared" si="46"/>
        <v>3.61</v>
      </c>
      <c r="O990">
        <f t="shared" si="47"/>
        <v>3.8879999999999995</v>
      </c>
    </row>
    <row r="991" spans="1:15" ht="15" customHeight="1" x14ac:dyDescent="0.3">
      <c r="A991" t="s">
        <v>2021</v>
      </c>
      <c r="B991" t="s">
        <v>2795</v>
      </c>
      <c r="C991">
        <v>3.88</v>
      </c>
      <c r="D991">
        <v>3.82</v>
      </c>
      <c r="E991">
        <v>3.57</v>
      </c>
      <c r="F991">
        <v>3.96</v>
      </c>
      <c r="G991">
        <v>4.2</v>
      </c>
      <c r="H991">
        <v>3.74</v>
      </c>
      <c r="I991">
        <v>4.46</v>
      </c>
      <c r="J991">
        <v>4.1100000000000003</v>
      </c>
      <c r="K991">
        <v>4.6500000000000004</v>
      </c>
      <c r="L991">
        <v>4.07</v>
      </c>
      <c r="M991">
        <f t="shared" si="45"/>
        <v>3.8860000000000001</v>
      </c>
      <c r="N991">
        <f t="shared" si="46"/>
        <v>3.89</v>
      </c>
      <c r="O991">
        <f t="shared" si="47"/>
        <v>4.2060000000000004</v>
      </c>
    </row>
    <row r="992" spans="1:15" ht="15" customHeight="1" x14ac:dyDescent="0.3">
      <c r="A992" t="s">
        <v>2023</v>
      </c>
      <c r="B992" t="s">
        <v>2796</v>
      </c>
      <c r="C992">
        <v>4.0999999999999996</v>
      </c>
      <c r="D992">
        <v>4.38</v>
      </c>
      <c r="E992">
        <v>4.04</v>
      </c>
      <c r="F992">
        <v>4.28</v>
      </c>
      <c r="G992">
        <v>3.92</v>
      </c>
      <c r="H992">
        <v>3.8</v>
      </c>
      <c r="I992">
        <v>3.59</v>
      </c>
      <c r="J992" t="s">
        <v>211</v>
      </c>
      <c r="K992">
        <v>4.0999999999999996</v>
      </c>
      <c r="L992">
        <v>3.63</v>
      </c>
      <c r="M992">
        <f t="shared" si="45"/>
        <v>4.1440000000000001</v>
      </c>
      <c r="N992">
        <f t="shared" si="46"/>
        <v>4.1399999999999997</v>
      </c>
      <c r="O992">
        <f t="shared" si="47"/>
        <v>3.7799999999999994</v>
      </c>
    </row>
    <row r="993" spans="1:15" ht="15" customHeight="1" x14ac:dyDescent="0.3">
      <c r="A993" t="s">
        <v>2025</v>
      </c>
      <c r="B993" t="s">
        <v>2026</v>
      </c>
      <c r="C993">
        <v>4.12</v>
      </c>
      <c r="D993">
        <v>4.22</v>
      </c>
      <c r="E993">
        <v>4</v>
      </c>
      <c r="F993">
        <v>4.1900000000000004</v>
      </c>
      <c r="G993">
        <v>3.3</v>
      </c>
      <c r="H993">
        <v>3.89</v>
      </c>
      <c r="I993">
        <v>4.21</v>
      </c>
      <c r="J993">
        <v>4.09</v>
      </c>
      <c r="K993">
        <v>3.98</v>
      </c>
      <c r="L993">
        <v>4.1500000000000004</v>
      </c>
      <c r="M993">
        <f t="shared" si="45"/>
        <v>3.9660000000000002</v>
      </c>
      <c r="N993">
        <f t="shared" si="46"/>
        <v>3.97</v>
      </c>
      <c r="O993">
        <f t="shared" si="47"/>
        <v>4.0640000000000001</v>
      </c>
    </row>
    <row r="994" spans="1:15" ht="15" customHeight="1" x14ac:dyDescent="0.3">
      <c r="A994" t="s">
        <v>2027</v>
      </c>
      <c r="B994" t="s">
        <v>2797</v>
      </c>
      <c r="C994">
        <v>3.93</v>
      </c>
      <c r="D994">
        <v>3.87</v>
      </c>
      <c r="E994" t="s">
        <v>211</v>
      </c>
      <c r="F994">
        <v>4.8899999999999997</v>
      </c>
      <c r="G994">
        <v>4.13</v>
      </c>
      <c r="H994">
        <v>4.76</v>
      </c>
      <c r="I994">
        <v>4.0599999999999996</v>
      </c>
      <c r="J994">
        <v>3.98</v>
      </c>
      <c r="K994">
        <v>4.5999999999999996</v>
      </c>
      <c r="L994">
        <v>3.52</v>
      </c>
      <c r="M994">
        <f t="shared" si="45"/>
        <v>4.2050000000000001</v>
      </c>
      <c r="N994">
        <f t="shared" si="46"/>
        <v>4.21</v>
      </c>
      <c r="O994">
        <f t="shared" si="47"/>
        <v>4.1839999999999993</v>
      </c>
    </row>
    <row r="995" spans="1:15" ht="15" customHeight="1" x14ac:dyDescent="0.3">
      <c r="A995" t="s">
        <v>2029</v>
      </c>
      <c r="B995" t="s">
        <v>2030</v>
      </c>
      <c r="C995">
        <v>4.6900000000000004</v>
      </c>
      <c r="D995">
        <v>4.1500000000000004</v>
      </c>
      <c r="E995">
        <v>4.18</v>
      </c>
      <c r="F995">
        <v>3.88</v>
      </c>
      <c r="G995">
        <v>4.38</v>
      </c>
      <c r="H995">
        <v>4.1500000000000004</v>
      </c>
      <c r="I995">
        <v>4.22</v>
      </c>
      <c r="J995">
        <v>4.57</v>
      </c>
      <c r="K995">
        <v>3.91</v>
      </c>
      <c r="L995">
        <v>3.96</v>
      </c>
      <c r="M995">
        <f t="shared" si="45"/>
        <v>4.2559999999999993</v>
      </c>
      <c r="N995">
        <f t="shared" si="46"/>
        <v>4.26</v>
      </c>
      <c r="O995">
        <f t="shared" si="47"/>
        <v>4.1620000000000008</v>
      </c>
    </row>
    <row r="996" spans="1:15" ht="15" customHeight="1" x14ac:dyDescent="0.3">
      <c r="A996" t="s">
        <v>2031</v>
      </c>
      <c r="B996" t="s">
        <v>2798</v>
      </c>
      <c r="C996">
        <v>4.49</v>
      </c>
      <c r="D996">
        <v>3.78</v>
      </c>
      <c r="E996">
        <v>4.4400000000000004</v>
      </c>
      <c r="F996">
        <v>4.42</v>
      </c>
      <c r="G996">
        <v>4.32</v>
      </c>
      <c r="H996">
        <v>4.3</v>
      </c>
      <c r="I996">
        <v>3.63</v>
      </c>
      <c r="J996">
        <v>3.72</v>
      </c>
      <c r="K996">
        <v>3.97</v>
      </c>
      <c r="L996">
        <v>4.24</v>
      </c>
      <c r="M996">
        <f t="shared" si="45"/>
        <v>4.2900000000000009</v>
      </c>
      <c r="N996">
        <f t="shared" si="46"/>
        <v>4.29</v>
      </c>
      <c r="O996">
        <f t="shared" si="47"/>
        <v>3.972</v>
      </c>
    </row>
    <row r="997" spans="1:15" ht="15" customHeight="1" x14ac:dyDescent="0.3">
      <c r="A997" t="s">
        <v>2033</v>
      </c>
      <c r="B997" t="s">
        <v>2034</v>
      </c>
      <c r="C997">
        <v>3.89</v>
      </c>
      <c r="D997" t="s">
        <v>211</v>
      </c>
      <c r="E997">
        <v>4.32</v>
      </c>
      <c r="F997">
        <v>4.28</v>
      </c>
      <c r="G997">
        <v>4.63</v>
      </c>
      <c r="H997">
        <v>4.08</v>
      </c>
      <c r="I997">
        <v>3.54</v>
      </c>
      <c r="J997">
        <v>4.42</v>
      </c>
      <c r="K997">
        <v>3.58</v>
      </c>
      <c r="L997">
        <v>4.66</v>
      </c>
      <c r="M997">
        <f t="shared" si="45"/>
        <v>4.28</v>
      </c>
      <c r="N997">
        <f t="shared" si="46"/>
        <v>4.28</v>
      </c>
      <c r="O997">
        <f t="shared" si="47"/>
        <v>4.056</v>
      </c>
    </row>
    <row r="998" spans="1:15" ht="15" customHeight="1" x14ac:dyDescent="0.3">
      <c r="A998" t="s">
        <v>2035</v>
      </c>
      <c r="B998" t="s">
        <v>2799</v>
      </c>
      <c r="C998">
        <v>4.49</v>
      </c>
      <c r="D998">
        <v>3.9</v>
      </c>
      <c r="E998">
        <v>4.1100000000000003</v>
      </c>
      <c r="F998">
        <v>4.54</v>
      </c>
      <c r="G998">
        <v>3.71</v>
      </c>
      <c r="H998">
        <v>3.58</v>
      </c>
      <c r="I998">
        <v>4.09</v>
      </c>
      <c r="J998">
        <v>4.01</v>
      </c>
      <c r="K998">
        <v>4.55</v>
      </c>
      <c r="L998">
        <v>3.93</v>
      </c>
      <c r="M998">
        <f t="shared" si="45"/>
        <v>4.1500000000000004</v>
      </c>
      <c r="N998">
        <f t="shared" si="46"/>
        <v>4.1500000000000004</v>
      </c>
      <c r="O998">
        <f t="shared" si="47"/>
        <v>4.032</v>
      </c>
    </row>
    <row r="999" spans="1:15" ht="15" customHeight="1" x14ac:dyDescent="0.3">
      <c r="A999" t="s">
        <v>2037</v>
      </c>
      <c r="B999" t="s">
        <v>2800</v>
      </c>
      <c r="C999">
        <v>4.2</v>
      </c>
      <c r="D999">
        <v>4.24</v>
      </c>
      <c r="E999">
        <v>3.9</v>
      </c>
      <c r="F999">
        <v>3.98</v>
      </c>
      <c r="G999">
        <v>4.33</v>
      </c>
      <c r="H999">
        <v>4.46</v>
      </c>
      <c r="I999">
        <v>4.0599999999999996</v>
      </c>
      <c r="J999">
        <v>3.94</v>
      </c>
      <c r="K999">
        <v>4.26</v>
      </c>
      <c r="L999">
        <v>3.44</v>
      </c>
      <c r="M999">
        <f t="shared" si="45"/>
        <v>4.13</v>
      </c>
      <c r="N999">
        <f t="shared" si="46"/>
        <v>4.13</v>
      </c>
      <c r="O999">
        <f t="shared" si="47"/>
        <v>4.032</v>
      </c>
    </row>
    <row r="1000" spans="1:15" ht="15" customHeight="1" x14ac:dyDescent="0.3">
      <c r="A1000" t="s">
        <v>2039</v>
      </c>
      <c r="B1000" t="s">
        <v>2040</v>
      </c>
      <c r="C1000">
        <v>3.61</v>
      </c>
      <c r="D1000">
        <v>3.65</v>
      </c>
      <c r="E1000">
        <v>3.88</v>
      </c>
      <c r="F1000">
        <v>4.1500000000000004</v>
      </c>
      <c r="G1000">
        <v>3.87</v>
      </c>
      <c r="H1000">
        <v>4.03</v>
      </c>
      <c r="I1000">
        <v>4.22</v>
      </c>
      <c r="J1000">
        <v>3.61</v>
      </c>
      <c r="K1000">
        <v>3.57</v>
      </c>
      <c r="L1000">
        <v>4.5999999999999996</v>
      </c>
      <c r="M1000">
        <f t="shared" si="45"/>
        <v>3.8319999999999999</v>
      </c>
      <c r="N1000">
        <f t="shared" si="46"/>
        <v>3.83</v>
      </c>
      <c r="O1000">
        <f t="shared" si="47"/>
        <v>4.0060000000000002</v>
      </c>
    </row>
    <row r="1001" spans="1:15" ht="15" customHeight="1" x14ac:dyDescent="0.3">
      <c r="A1001" t="s">
        <v>2041</v>
      </c>
      <c r="B1001" t="s">
        <v>2801</v>
      </c>
      <c r="C1001">
        <v>3.78</v>
      </c>
      <c r="D1001">
        <v>4.05</v>
      </c>
      <c r="E1001">
        <v>3.56</v>
      </c>
      <c r="F1001" t="s">
        <v>211</v>
      </c>
      <c r="G1001">
        <v>4.0199999999999996</v>
      </c>
      <c r="H1001">
        <v>4.33</v>
      </c>
      <c r="I1001">
        <v>4.1100000000000003</v>
      </c>
      <c r="J1001">
        <v>3.77</v>
      </c>
      <c r="K1001">
        <v>4.1100000000000003</v>
      </c>
      <c r="L1001">
        <v>4</v>
      </c>
      <c r="M1001">
        <f t="shared" si="45"/>
        <v>3.8525</v>
      </c>
      <c r="N1001">
        <f t="shared" si="46"/>
        <v>3.85</v>
      </c>
      <c r="O1001">
        <f t="shared" si="47"/>
        <v>4.0640000000000001</v>
      </c>
    </row>
    <row r="1002" spans="1:15" ht="14.25" customHeight="1" x14ac:dyDescent="0.3">
      <c r="A1002" t="s">
        <v>2043</v>
      </c>
      <c r="B1002" t="s">
        <v>2802</v>
      </c>
      <c r="C1002">
        <v>4.59</v>
      </c>
      <c r="D1002">
        <v>3.79</v>
      </c>
      <c r="E1002">
        <v>3.6</v>
      </c>
      <c r="F1002">
        <v>4.1399999999999997</v>
      </c>
      <c r="G1002">
        <v>3.71</v>
      </c>
      <c r="H1002">
        <v>4.45</v>
      </c>
      <c r="I1002">
        <v>4.51</v>
      </c>
      <c r="J1002">
        <v>3.67</v>
      </c>
      <c r="K1002">
        <v>4.08</v>
      </c>
      <c r="L1002">
        <v>3.94</v>
      </c>
      <c r="M1002">
        <f t="shared" si="45"/>
        <v>3.9659999999999997</v>
      </c>
      <c r="N1002">
        <f t="shared" si="46"/>
        <v>3.97</v>
      </c>
      <c r="O1002">
        <f t="shared" si="47"/>
        <v>4.1300000000000008</v>
      </c>
    </row>
    <row r="1003" spans="1:15" ht="14.25" customHeight="1" x14ac:dyDescent="0.3">
      <c r="A1003" t="s">
        <v>2044</v>
      </c>
      <c r="B1003" t="s">
        <v>2803</v>
      </c>
      <c r="C1003">
        <v>4</v>
      </c>
      <c r="D1003">
        <v>3.98</v>
      </c>
      <c r="E1003">
        <v>3.79</v>
      </c>
      <c r="F1003">
        <v>3.1</v>
      </c>
      <c r="G1003">
        <v>3.62</v>
      </c>
      <c r="H1003">
        <v>3.98</v>
      </c>
      <c r="I1003">
        <v>3.58</v>
      </c>
      <c r="J1003">
        <v>4.59</v>
      </c>
      <c r="K1003">
        <v>3.63</v>
      </c>
      <c r="L1003">
        <v>4.41</v>
      </c>
      <c r="M1003">
        <f t="shared" si="45"/>
        <v>3.6979999999999995</v>
      </c>
      <c r="N1003">
        <f t="shared" si="46"/>
        <v>3.7</v>
      </c>
      <c r="O1003">
        <f t="shared" si="47"/>
        <v>4.0380000000000003</v>
      </c>
    </row>
    <row r="1005" spans="1:15" ht="14.25" customHeight="1" x14ac:dyDescent="0.3"/>
    <row r="1006" spans="1:15" ht="14.25" customHeight="1" x14ac:dyDescent="0.3"/>
    <row r="1007" spans="1:15" ht="14.25" customHeight="1" x14ac:dyDescent="0.3"/>
    <row r="1008" spans="1:15"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row r="1028" ht="14.25" customHeight="1" x14ac:dyDescent="0.3"/>
    <row r="1029" ht="14.25" customHeight="1" x14ac:dyDescent="0.3"/>
    <row r="1030" ht="14.25" customHeight="1" x14ac:dyDescent="0.3"/>
    <row r="1031" ht="14.25" customHeight="1" x14ac:dyDescent="0.3"/>
    <row r="1032" ht="14.25" customHeight="1" x14ac:dyDescent="0.3"/>
    <row r="1033" ht="14.25" customHeight="1" x14ac:dyDescent="0.3"/>
    <row r="1034" ht="14.25" customHeight="1" x14ac:dyDescent="0.3"/>
    <row r="1035" ht="14.25" customHeight="1" x14ac:dyDescent="0.3"/>
    <row r="1036" ht="14.25" customHeight="1" x14ac:dyDescent="0.3"/>
    <row r="1037" ht="14.25" customHeight="1" x14ac:dyDescent="0.3"/>
    <row r="1038" ht="14.25" customHeight="1" x14ac:dyDescent="0.3"/>
    <row r="1039" ht="14.25" customHeight="1" x14ac:dyDescent="0.3"/>
    <row r="1040" ht="14.25" customHeight="1" x14ac:dyDescent="0.3"/>
    <row r="1041" ht="14.25" customHeight="1" x14ac:dyDescent="0.3"/>
    <row r="1042" ht="14.25" customHeight="1" x14ac:dyDescent="0.3"/>
    <row r="1043" ht="14.25" customHeight="1" x14ac:dyDescent="0.3"/>
    <row r="1044" ht="14.25" customHeight="1" x14ac:dyDescent="0.3"/>
    <row r="1045" ht="14.25" customHeight="1" x14ac:dyDescent="0.3"/>
    <row r="1046" ht="14.25" customHeight="1" x14ac:dyDescent="0.3"/>
    <row r="1047" ht="14.25" customHeight="1" x14ac:dyDescent="0.3"/>
    <row r="1048" ht="14.25" customHeight="1" x14ac:dyDescent="0.3"/>
    <row r="1049" ht="14.25" customHeight="1" x14ac:dyDescent="0.3"/>
    <row r="1050" ht="14.25" customHeight="1" x14ac:dyDescent="0.3"/>
    <row r="1051" ht="14.25" customHeight="1" x14ac:dyDescent="0.3"/>
  </sheetData>
  <conditionalFormatting sqref="B1:O1003 B1005:O1050 B1051:D1051 F1051:O1051">
    <cfRule type="cellIs" dxfId="56" priority="2" operator="equal">
      <formula>"N/A"</formula>
    </cfRule>
    <cfRule type="cellIs" dxfId="55" priority="3" operator="equal">
      <formula>"NA"</formula>
    </cfRule>
  </conditionalFormatting>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003"/>
  <sheetViews>
    <sheetView topLeftCell="A979" zoomScaleNormal="100" workbookViewId="0">
      <selection activeCell="A1003" sqref="A1003"/>
    </sheetView>
  </sheetViews>
  <sheetFormatPr defaultColWidth="8.6640625" defaultRowHeight="14.4" x14ac:dyDescent="0.3"/>
  <cols>
    <col min="1" max="1" width="21" customWidth="1"/>
    <col min="2" max="2" width="26.33203125" customWidth="1"/>
    <col min="3" max="3" width="30.6640625" customWidth="1"/>
    <col min="4" max="4" width="25" customWidth="1"/>
    <col min="5" max="5" width="29.33203125" customWidth="1"/>
    <col min="6" max="6" width="26.44140625" customWidth="1"/>
    <col min="7" max="7" width="30.77734375" customWidth="1"/>
    <col min="8" max="8" width="32.109375" customWidth="1"/>
    <col min="9" max="9" width="36.44140625" customWidth="1"/>
  </cols>
  <sheetData>
    <row r="1" spans="1:9" ht="14.25" customHeight="1" x14ac:dyDescent="0.3">
      <c r="A1" s="4" t="s">
        <v>1</v>
      </c>
      <c r="B1" s="4" t="s">
        <v>2804</v>
      </c>
      <c r="C1" s="4" t="s">
        <v>2805</v>
      </c>
      <c r="D1" s="4" t="s">
        <v>2806</v>
      </c>
      <c r="E1" s="4" t="s">
        <v>2807</v>
      </c>
      <c r="F1" s="4" t="s">
        <v>2808</v>
      </c>
      <c r="G1" s="4" t="s">
        <v>2809</v>
      </c>
      <c r="H1" s="4" t="s">
        <v>2810</v>
      </c>
      <c r="I1" s="4" t="s">
        <v>2811</v>
      </c>
    </row>
    <row r="2" spans="1:9" ht="14.25" customHeight="1" x14ac:dyDescent="0.3">
      <c r="A2" t="s">
        <v>15</v>
      </c>
      <c r="B2">
        <v>91.665353280000005</v>
      </c>
      <c r="C2">
        <v>64.472586280000002</v>
      </c>
      <c r="D2">
        <v>75.446229990000006</v>
      </c>
      <c r="E2">
        <v>66.947884400000007</v>
      </c>
      <c r="F2">
        <v>80.535501749999995</v>
      </c>
      <c r="G2">
        <v>78.052880979999998</v>
      </c>
      <c r="H2">
        <v>74.805507469999995</v>
      </c>
      <c r="I2">
        <v>54.760030229999998</v>
      </c>
    </row>
    <row r="3" spans="1:9" ht="14.25" customHeight="1" x14ac:dyDescent="0.3">
      <c r="A3" t="s">
        <v>17</v>
      </c>
      <c r="B3">
        <v>87.654193460000002</v>
      </c>
      <c r="C3">
        <v>67.820685659999995</v>
      </c>
      <c r="D3">
        <v>77.648152760000002</v>
      </c>
      <c r="E3">
        <v>67.762033419999995</v>
      </c>
      <c r="F3">
        <v>90.721900270000006</v>
      </c>
      <c r="G3">
        <v>73.554424710000006</v>
      </c>
      <c r="H3">
        <v>67.865059930000001</v>
      </c>
      <c r="I3">
        <v>59.274791329999999</v>
      </c>
    </row>
    <row r="4" spans="1:9" ht="14.25" customHeight="1" x14ac:dyDescent="0.3">
      <c r="A4" t="s">
        <v>19</v>
      </c>
      <c r="B4">
        <v>87.049486520000002</v>
      </c>
      <c r="C4">
        <v>73.833676740000001</v>
      </c>
      <c r="D4">
        <v>75.678608949999997</v>
      </c>
      <c r="E4">
        <v>68.029196159999998</v>
      </c>
      <c r="F4">
        <v>94.535746309999993</v>
      </c>
      <c r="G4">
        <v>71.574285459999999</v>
      </c>
      <c r="H4">
        <v>67.194050880000006</v>
      </c>
      <c r="I4">
        <v>50</v>
      </c>
    </row>
    <row r="5" spans="1:9" ht="14.25" customHeight="1" x14ac:dyDescent="0.3">
      <c r="A5" t="s">
        <v>21</v>
      </c>
      <c r="B5">
        <v>85.713902700000006</v>
      </c>
      <c r="C5">
        <v>70.380426999999997</v>
      </c>
      <c r="D5">
        <v>76.472089890000007</v>
      </c>
      <c r="E5">
        <v>60.393160709999997</v>
      </c>
      <c r="F5">
        <v>93.241402170000001</v>
      </c>
      <c r="G5">
        <v>75.730622420000003</v>
      </c>
      <c r="H5">
        <v>76.560149409999994</v>
      </c>
      <c r="I5">
        <v>64.492761169999994</v>
      </c>
    </row>
    <row r="6" spans="1:9" ht="14.25" customHeight="1" x14ac:dyDescent="0.3">
      <c r="A6" t="s">
        <v>23</v>
      </c>
      <c r="B6">
        <v>93.12175637</v>
      </c>
      <c r="C6">
        <v>68.620500980000003</v>
      </c>
      <c r="D6">
        <v>77.653629089999995</v>
      </c>
      <c r="E6">
        <v>66.811238650000007</v>
      </c>
      <c r="F6">
        <v>90.971236309999995</v>
      </c>
      <c r="G6">
        <v>79.839091310000001</v>
      </c>
      <c r="H6">
        <v>74.383354449999999</v>
      </c>
      <c r="I6">
        <v>65.949048860000005</v>
      </c>
    </row>
    <row r="7" spans="1:9" ht="14.25" customHeight="1" x14ac:dyDescent="0.3">
      <c r="A7" t="s">
        <v>25</v>
      </c>
      <c r="B7">
        <v>91.202608589999997</v>
      </c>
      <c r="C7">
        <v>77.368115180000004</v>
      </c>
      <c r="D7">
        <v>70</v>
      </c>
      <c r="E7">
        <v>65.027168689999996</v>
      </c>
      <c r="F7">
        <v>93.457185719999998</v>
      </c>
      <c r="G7">
        <v>83.671175930000004</v>
      </c>
      <c r="H7">
        <v>77.504628969999999</v>
      </c>
      <c r="I7">
        <v>50</v>
      </c>
    </row>
    <row r="8" spans="1:9" ht="14.25" customHeight="1" x14ac:dyDescent="0.3">
      <c r="A8" t="s">
        <v>27</v>
      </c>
      <c r="B8">
        <v>78.806084679999998</v>
      </c>
      <c r="C8">
        <v>65.087842980000005</v>
      </c>
      <c r="D8">
        <v>74.683539510000003</v>
      </c>
      <c r="E8">
        <v>60.436103039999999</v>
      </c>
      <c r="F8">
        <v>94.145564179999994</v>
      </c>
      <c r="G8">
        <v>71.491548039999998</v>
      </c>
      <c r="H8">
        <v>67.209314149999997</v>
      </c>
      <c r="I8">
        <v>52.915449979999998</v>
      </c>
    </row>
    <row r="9" spans="1:9" ht="14.25" customHeight="1" x14ac:dyDescent="0.3">
      <c r="A9" t="s">
        <v>29</v>
      </c>
      <c r="B9">
        <v>80.045044959999998</v>
      </c>
      <c r="C9">
        <v>60</v>
      </c>
      <c r="D9">
        <v>81.150110040000001</v>
      </c>
      <c r="E9">
        <v>75</v>
      </c>
      <c r="F9">
        <v>80</v>
      </c>
      <c r="G9">
        <v>74.297456819999994</v>
      </c>
      <c r="H9">
        <v>72.593604130000003</v>
      </c>
      <c r="I9">
        <v>57.801526729999999</v>
      </c>
    </row>
    <row r="10" spans="1:9" ht="14.25" customHeight="1" x14ac:dyDescent="0.3">
      <c r="A10" t="s">
        <v>31</v>
      </c>
      <c r="B10">
        <v>84.226793729999997</v>
      </c>
      <c r="C10">
        <v>69.953556890000002</v>
      </c>
      <c r="D10">
        <v>70</v>
      </c>
      <c r="E10">
        <v>63.358897419999998</v>
      </c>
      <c r="F10">
        <v>88.499793220000001</v>
      </c>
      <c r="G10">
        <v>79.561852569999999</v>
      </c>
      <c r="H10">
        <v>69.863281580000006</v>
      </c>
      <c r="I10">
        <v>69.679202419999996</v>
      </c>
    </row>
    <row r="11" spans="1:9" ht="14.25" customHeight="1" x14ac:dyDescent="0.3">
      <c r="A11" t="s">
        <v>33</v>
      </c>
      <c r="B11">
        <v>89.602269509999999</v>
      </c>
      <c r="C11">
        <v>66.597591859999994</v>
      </c>
      <c r="D11">
        <v>77.567887429999999</v>
      </c>
      <c r="E11">
        <v>68.086795670000001</v>
      </c>
      <c r="F11">
        <v>99.9</v>
      </c>
      <c r="G11">
        <v>76.946860009999995</v>
      </c>
      <c r="H11">
        <v>70.401646209999996</v>
      </c>
      <c r="I11">
        <v>60.821486470000004</v>
      </c>
    </row>
    <row r="12" spans="1:9" ht="14.25" customHeight="1" x14ac:dyDescent="0.3">
      <c r="A12" t="s">
        <v>35</v>
      </c>
      <c r="B12">
        <v>91.396171170000002</v>
      </c>
      <c r="C12">
        <v>68.689777309999997</v>
      </c>
      <c r="D12">
        <v>70</v>
      </c>
      <c r="E12">
        <v>60.844100160000004</v>
      </c>
      <c r="F12">
        <v>95.907413899999995</v>
      </c>
      <c r="G12">
        <v>79.423690019999995</v>
      </c>
      <c r="H12">
        <v>72.160361469999998</v>
      </c>
      <c r="I12">
        <v>51.529862919999999</v>
      </c>
    </row>
    <row r="13" spans="1:9" ht="14.25" customHeight="1" x14ac:dyDescent="0.3">
      <c r="A13" t="s">
        <v>37</v>
      </c>
      <c r="B13">
        <v>78.267945229999995</v>
      </c>
      <c r="C13">
        <v>79.35764795</v>
      </c>
      <c r="D13">
        <v>74.445449670000002</v>
      </c>
      <c r="E13">
        <v>73.167360130000006</v>
      </c>
      <c r="F13">
        <v>95.395274659999998</v>
      </c>
      <c r="G13">
        <v>75.139835730000001</v>
      </c>
      <c r="H13">
        <v>73.560245069999993</v>
      </c>
      <c r="I13">
        <v>59.764703019999999</v>
      </c>
    </row>
    <row r="14" spans="1:9" ht="14.25" customHeight="1" x14ac:dyDescent="0.3">
      <c r="A14" t="s">
        <v>39</v>
      </c>
      <c r="B14">
        <v>87.21558417</v>
      </c>
      <c r="C14">
        <v>70.434878269999999</v>
      </c>
      <c r="D14">
        <v>73.375498250000007</v>
      </c>
      <c r="E14">
        <v>69.797155380000007</v>
      </c>
      <c r="F14">
        <v>80.246712900000006</v>
      </c>
      <c r="G14">
        <v>80.552681649999997</v>
      </c>
      <c r="H14">
        <v>68.592786599999997</v>
      </c>
      <c r="I14">
        <v>50</v>
      </c>
    </row>
    <row r="15" spans="1:9" ht="14.25" customHeight="1" x14ac:dyDescent="0.3">
      <c r="A15" t="s">
        <v>41</v>
      </c>
      <c r="B15">
        <v>81.453963520000002</v>
      </c>
      <c r="C15">
        <v>62.267088459999997</v>
      </c>
      <c r="D15">
        <v>82.207744039999994</v>
      </c>
      <c r="E15">
        <v>70.302207850000002</v>
      </c>
      <c r="F15">
        <v>85.587294139999997</v>
      </c>
      <c r="G15">
        <v>84.887672670000001</v>
      </c>
      <c r="H15">
        <v>70.837715549999999</v>
      </c>
      <c r="I15">
        <v>53.719754000000002</v>
      </c>
    </row>
    <row r="16" spans="1:9" ht="14.25" customHeight="1" x14ac:dyDescent="0.3">
      <c r="A16" t="s">
        <v>43</v>
      </c>
      <c r="B16">
        <v>80.564782260000001</v>
      </c>
      <c r="C16">
        <v>69.490667639999998</v>
      </c>
      <c r="D16">
        <v>78.645091960000002</v>
      </c>
      <c r="E16">
        <v>66.10962705</v>
      </c>
      <c r="F16">
        <v>99.9</v>
      </c>
      <c r="G16">
        <v>77.837270880000005</v>
      </c>
      <c r="H16">
        <v>66.016498479999996</v>
      </c>
      <c r="I16">
        <v>61.749554009999997</v>
      </c>
    </row>
    <row r="17" spans="1:9" ht="14.25" customHeight="1" x14ac:dyDescent="0.3">
      <c r="A17" t="s">
        <v>45</v>
      </c>
      <c r="B17">
        <v>95.246557999999993</v>
      </c>
      <c r="C17">
        <v>65.319337930000003</v>
      </c>
      <c r="D17">
        <v>70</v>
      </c>
      <c r="E17">
        <v>68.874663479999995</v>
      </c>
      <c r="F17">
        <v>92.0097588</v>
      </c>
      <c r="G17">
        <v>77.401859490000007</v>
      </c>
      <c r="H17">
        <v>67.648610180000006</v>
      </c>
      <c r="I17">
        <v>61.878284430000001</v>
      </c>
    </row>
    <row r="18" spans="1:9" ht="14.25" customHeight="1" x14ac:dyDescent="0.3">
      <c r="A18" t="s">
        <v>47</v>
      </c>
      <c r="B18">
        <v>75</v>
      </c>
      <c r="C18">
        <v>68.987092140000001</v>
      </c>
      <c r="D18">
        <v>75.584455680000005</v>
      </c>
      <c r="E18">
        <v>64.66537744</v>
      </c>
      <c r="F18">
        <v>96.335242530000002</v>
      </c>
      <c r="G18">
        <v>73.336466610000002</v>
      </c>
      <c r="H18">
        <v>72.236646449999995</v>
      </c>
      <c r="I18">
        <v>60.115408289999998</v>
      </c>
    </row>
    <row r="19" spans="1:9" ht="14.25" customHeight="1" x14ac:dyDescent="0.3">
      <c r="A19" t="s">
        <v>49</v>
      </c>
      <c r="B19">
        <v>80.250771259999993</v>
      </c>
      <c r="C19">
        <v>75.746034769999994</v>
      </c>
      <c r="D19">
        <v>82.716875560000005</v>
      </c>
      <c r="E19">
        <v>72.128401539999999</v>
      </c>
      <c r="F19">
        <v>85.200885420000006</v>
      </c>
      <c r="G19">
        <v>80.113230239999993</v>
      </c>
      <c r="H19">
        <v>71.28658978</v>
      </c>
      <c r="I19">
        <v>62.62283652</v>
      </c>
    </row>
    <row r="20" spans="1:9" ht="14.25" customHeight="1" x14ac:dyDescent="0.3">
      <c r="A20" t="s">
        <v>51</v>
      </c>
      <c r="B20">
        <v>95.091433670000001</v>
      </c>
      <c r="C20">
        <v>67.156055350000003</v>
      </c>
      <c r="D20">
        <v>74.449300949999994</v>
      </c>
      <c r="E20">
        <v>63.150566120000001</v>
      </c>
      <c r="F20">
        <v>99.9</v>
      </c>
      <c r="G20">
        <v>73.898048029999998</v>
      </c>
      <c r="H20">
        <v>70.937344499999995</v>
      </c>
      <c r="I20">
        <v>54.261797700000002</v>
      </c>
    </row>
    <row r="21" spans="1:9" ht="14.25" customHeight="1" x14ac:dyDescent="0.3">
      <c r="A21" t="s">
        <v>53</v>
      </c>
      <c r="B21">
        <v>98.118804010000005</v>
      </c>
      <c r="C21">
        <v>67.144920499999998</v>
      </c>
      <c r="D21">
        <v>87.167290390000005</v>
      </c>
      <c r="E21">
        <v>62.460245520000001</v>
      </c>
      <c r="F21">
        <v>84.123701780000005</v>
      </c>
      <c r="G21">
        <v>68.975103439999998</v>
      </c>
      <c r="H21">
        <v>74.679737070000002</v>
      </c>
      <c r="I21">
        <v>62.953719939999999</v>
      </c>
    </row>
    <row r="22" spans="1:9" ht="14.25" customHeight="1" x14ac:dyDescent="0.3">
      <c r="A22" t="s">
        <v>55</v>
      </c>
      <c r="B22">
        <v>91.229112270000002</v>
      </c>
      <c r="C22">
        <v>64.401921680000001</v>
      </c>
      <c r="D22">
        <v>83.111886780000006</v>
      </c>
      <c r="E22">
        <v>71.098371999999998</v>
      </c>
      <c r="F22">
        <v>92.681232570000006</v>
      </c>
      <c r="G22">
        <v>76.904634909999999</v>
      </c>
      <c r="H22">
        <v>75.124816559999999</v>
      </c>
      <c r="I22">
        <v>57.803730459999997</v>
      </c>
    </row>
    <row r="23" spans="1:9" ht="14.25" customHeight="1" x14ac:dyDescent="0.3">
      <c r="A23" t="s">
        <v>57</v>
      </c>
      <c r="B23">
        <v>91.488793630000004</v>
      </c>
      <c r="C23">
        <v>67.981841110000005</v>
      </c>
      <c r="D23">
        <v>78.171675429999993</v>
      </c>
      <c r="E23">
        <v>67.032847250000003</v>
      </c>
      <c r="F23">
        <v>87.880431470000005</v>
      </c>
      <c r="G23">
        <v>84.05463555</v>
      </c>
      <c r="H23">
        <v>74.195987070000001</v>
      </c>
      <c r="I23">
        <v>57.84925982</v>
      </c>
    </row>
    <row r="24" spans="1:9" ht="14.25" customHeight="1" x14ac:dyDescent="0.3">
      <c r="A24" t="s">
        <v>59</v>
      </c>
      <c r="B24">
        <v>84.404177259999997</v>
      </c>
      <c r="C24">
        <v>62.822724460000003</v>
      </c>
      <c r="D24">
        <v>73.330048149999996</v>
      </c>
      <c r="E24">
        <v>64.651730029999996</v>
      </c>
      <c r="F24">
        <v>99.255977329999993</v>
      </c>
      <c r="G24">
        <v>69.438640079999999</v>
      </c>
      <c r="H24">
        <v>71.378401859999997</v>
      </c>
      <c r="I24">
        <v>50</v>
      </c>
    </row>
    <row r="25" spans="1:9" ht="14.25" customHeight="1" x14ac:dyDescent="0.3">
      <c r="A25" t="s">
        <v>61</v>
      </c>
      <c r="B25">
        <v>85.768657259999998</v>
      </c>
      <c r="C25">
        <v>73.651689039999994</v>
      </c>
      <c r="D25">
        <v>76.950234440000003</v>
      </c>
      <c r="E25">
        <v>69.501881119999993</v>
      </c>
      <c r="F25">
        <v>82.095925100000002</v>
      </c>
      <c r="G25">
        <v>81.816794290000004</v>
      </c>
      <c r="H25">
        <v>66.827223250000003</v>
      </c>
      <c r="I25">
        <v>58.502323740000001</v>
      </c>
    </row>
    <row r="26" spans="1:9" ht="14.25" customHeight="1" x14ac:dyDescent="0.3">
      <c r="A26" t="s">
        <v>63</v>
      </c>
      <c r="B26">
        <v>85.890560269999995</v>
      </c>
      <c r="C26">
        <v>60</v>
      </c>
      <c r="D26">
        <v>80.665877519999995</v>
      </c>
      <c r="E26">
        <v>73.938607200000007</v>
      </c>
      <c r="F26">
        <v>91.269685910000007</v>
      </c>
      <c r="G26">
        <v>84.105181090000002</v>
      </c>
      <c r="H26">
        <v>78.74034872</v>
      </c>
      <c r="I26">
        <v>61.033969290000002</v>
      </c>
    </row>
    <row r="27" spans="1:9" ht="14.25" customHeight="1" x14ac:dyDescent="0.3">
      <c r="A27" t="s">
        <v>65</v>
      </c>
      <c r="B27">
        <v>78.016351999999998</v>
      </c>
      <c r="C27">
        <v>63.744302220000002</v>
      </c>
      <c r="D27">
        <v>70.803684070000003</v>
      </c>
      <c r="E27">
        <v>59.628201850000004</v>
      </c>
      <c r="F27">
        <v>81.564761469999993</v>
      </c>
      <c r="G27">
        <v>84.558017879999994</v>
      </c>
      <c r="H27">
        <v>75.848272159999993</v>
      </c>
      <c r="I27">
        <v>55.060473999999999</v>
      </c>
    </row>
    <row r="28" spans="1:9" ht="14.25" customHeight="1" x14ac:dyDescent="0.3">
      <c r="A28" t="s">
        <v>67</v>
      </c>
      <c r="B28">
        <v>80.531329229999997</v>
      </c>
      <c r="C28">
        <v>69.548489349999997</v>
      </c>
      <c r="D28">
        <v>77.2793736</v>
      </c>
      <c r="E28">
        <v>66.641511350000002</v>
      </c>
      <c r="F28">
        <v>80</v>
      </c>
      <c r="G28">
        <v>79.635200879999999</v>
      </c>
      <c r="H28">
        <v>73.282151780000007</v>
      </c>
      <c r="I28">
        <v>53.409700749999999</v>
      </c>
    </row>
    <row r="29" spans="1:9" ht="14.25" customHeight="1" x14ac:dyDescent="0.3">
      <c r="A29" t="s">
        <v>69</v>
      </c>
      <c r="B29">
        <v>86.069954929999994</v>
      </c>
      <c r="C29">
        <v>73.541631539999997</v>
      </c>
      <c r="D29">
        <v>70.436095390000006</v>
      </c>
      <c r="E29">
        <v>66.054767850000005</v>
      </c>
      <c r="F29">
        <v>98.806944029999997</v>
      </c>
      <c r="G29">
        <v>83.058811599999999</v>
      </c>
      <c r="H29">
        <v>66.315981010000002</v>
      </c>
      <c r="I29">
        <v>62.650614400000002</v>
      </c>
    </row>
    <row r="30" spans="1:9" ht="14.25" customHeight="1" x14ac:dyDescent="0.3">
      <c r="A30" t="s">
        <v>71</v>
      </c>
      <c r="B30">
        <v>77.830275709999995</v>
      </c>
      <c r="C30">
        <v>75.687532570000002</v>
      </c>
      <c r="D30">
        <v>78.576517749999994</v>
      </c>
      <c r="E30">
        <v>72.397237590000003</v>
      </c>
      <c r="F30">
        <v>92.180650630000002</v>
      </c>
      <c r="G30">
        <v>76.075625180000003</v>
      </c>
      <c r="H30">
        <v>73.901631230000007</v>
      </c>
      <c r="I30">
        <v>66.156974829999996</v>
      </c>
    </row>
    <row r="31" spans="1:9" ht="14.25" customHeight="1" x14ac:dyDescent="0.3">
      <c r="A31" t="s">
        <v>73</v>
      </c>
      <c r="B31">
        <v>75</v>
      </c>
      <c r="C31">
        <v>73.415563950000006</v>
      </c>
      <c r="D31">
        <v>84.114769120000005</v>
      </c>
      <c r="E31">
        <v>67.515852350000003</v>
      </c>
      <c r="F31">
        <v>89.666777030000006</v>
      </c>
      <c r="G31">
        <v>77.50044905</v>
      </c>
      <c r="H31">
        <v>70.095182070000007</v>
      </c>
      <c r="I31">
        <v>53.497259390000004</v>
      </c>
    </row>
    <row r="32" spans="1:9" ht="14.25" customHeight="1" x14ac:dyDescent="0.3">
      <c r="A32" t="s">
        <v>75</v>
      </c>
      <c r="B32">
        <v>94.822873599999994</v>
      </c>
      <c r="C32">
        <v>78.176471000000006</v>
      </c>
      <c r="D32">
        <v>76.858711189999994</v>
      </c>
      <c r="E32">
        <v>68.459489750000003</v>
      </c>
      <c r="F32">
        <v>87.552001369999999</v>
      </c>
      <c r="G32">
        <v>78.827724040000007</v>
      </c>
      <c r="H32">
        <v>76.138774150000003</v>
      </c>
      <c r="I32">
        <v>64.53831701</v>
      </c>
    </row>
    <row r="33" spans="1:9" ht="14.25" customHeight="1" x14ac:dyDescent="0.3">
      <c r="A33" t="s">
        <v>77</v>
      </c>
      <c r="B33">
        <v>90.361917039999994</v>
      </c>
      <c r="C33">
        <v>64.212671110000002</v>
      </c>
      <c r="D33">
        <v>81.375180200000003</v>
      </c>
      <c r="E33">
        <v>56.871590179999998</v>
      </c>
      <c r="F33">
        <v>91.307878689999995</v>
      </c>
      <c r="G33">
        <v>79.879860140000005</v>
      </c>
      <c r="H33">
        <v>72.683469130000006</v>
      </c>
      <c r="I33">
        <v>50</v>
      </c>
    </row>
    <row r="34" spans="1:9" ht="14.25" customHeight="1" x14ac:dyDescent="0.3">
      <c r="A34" t="s">
        <v>79</v>
      </c>
      <c r="B34">
        <v>86.028271000000004</v>
      </c>
      <c r="C34">
        <v>62.513459599999997</v>
      </c>
      <c r="D34">
        <v>73.315255239999999</v>
      </c>
      <c r="E34">
        <v>67.23914714</v>
      </c>
      <c r="F34">
        <v>87.620922030000003</v>
      </c>
      <c r="G34">
        <v>73.734891869999998</v>
      </c>
      <c r="H34">
        <v>71.977678010000005</v>
      </c>
      <c r="I34">
        <v>55.807803300000003</v>
      </c>
    </row>
    <row r="35" spans="1:9" ht="14.25" customHeight="1" x14ac:dyDescent="0.3">
      <c r="A35" t="s">
        <v>81</v>
      </c>
      <c r="B35">
        <v>86.904041800000002</v>
      </c>
      <c r="C35">
        <v>65.280095900000006</v>
      </c>
      <c r="D35">
        <v>83.772282230000002</v>
      </c>
      <c r="E35">
        <v>71.515390679999996</v>
      </c>
      <c r="F35">
        <v>80.939950670000002</v>
      </c>
      <c r="G35">
        <v>77.022811939999997</v>
      </c>
      <c r="H35">
        <v>69.866920809999996</v>
      </c>
      <c r="I35">
        <v>54.11724925</v>
      </c>
    </row>
    <row r="36" spans="1:9" ht="14.25" customHeight="1" x14ac:dyDescent="0.3">
      <c r="A36" t="s">
        <v>83</v>
      </c>
      <c r="B36">
        <v>86.081716249999999</v>
      </c>
      <c r="C36">
        <v>69.868300840000003</v>
      </c>
      <c r="D36">
        <v>79.433423570000002</v>
      </c>
      <c r="E36">
        <v>71.062247310000004</v>
      </c>
      <c r="F36">
        <v>83.676283060000003</v>
      </c>
      <c r="G36">
        <v>74.725147609999993</v>
      </c>
      <c r="H36">
        <v>73.418354249999993</v>
      </c>
      <c r="I36">
        <v>57.569532189999997</v>
      </c>
    </row>
    <row r="37" spans="1:9" ht="14.25" customHeight="1" x14ac:dyDescent="0.3">
      <c r="A37" t="s">
        <v>85</v>
      </c>
      <c r="B37">
        <v>78.528705560000006</v>
      </c>
      <c r="C37">
        <v>68.237020029999996</v>
      </c>
      <c r="D37">
        <v>82.225165059999995</v>
      </c>
      <c r="E37">
        <v>67.456678519999997</v>
      </c>
      <c r="F37">
        <v>96.678157560000002</v>
      </c>
      <c r="G37">
        <v>74.040904710000007</v>
      </c>
      <c r="H37">
        <v>71.25295362</v>
      </c>
      <c r="I37">
        <v>58.83731229</v>
      </c>
    </row>
    <row r="38" spans="1:9" ht="14.25" customHeight="1" x14ac:dyDescent="0.3">
      <c r="A38" t="s">
        <v>88</v>
      </c>
      <c r="B38">
        <v>87.852590890000002</v>
      </c>
      <c r="C38">
        <v>71.484289430000004</v>
      </c>
      <c r="D38">
        <v>79.510799039999995</v>
      </c>
      <c r="E38">
        <v>63.737842430000001</v>
      </c>
      <c r="F38">
        <v>87.059123009999993</v>
      </c>
      <c r="G38">
        <v>67.632326950000007</v>
      </c>
      <c r="H38">
        <v>71.282053700000006</v>
      </c>
      <c r="I38">
        <v>70</v>
      </c>
    </row>
    <row r="39" spans="1:9" ht="14.25" customHeight="1" x14ac:dyDescent="0.3">
      <c r="A39" t="s">
        <v>90</v>
      </c>
      <c r="B39">
        <v>86.524516890000001</v>
      </c>
      <c r="C39">
        <v>61.020121099999997</v>
      </c>
      <c r="D39">
        <v>70</v>
      </c>
      <c r="E39">
        <v>74.282686389999995</v>
      </c>
      <c r="F39">
        <v>87.878844150000006</v>
      </c>
      <c r="G39">
        <v>74.149972570000003</v>
      </c>
      <c r="H39">
        <v>68.332400449999994</v>
      </c>
      <c r="I39">
        <v>55.99698137</v>
      </c>
    </row>
    <row r="40" spans="1:9" ht="14.25" customHeight="1" x14ac:dyDescent="0.3">
      <c r="A40" t="s">
        <v>92</v>
      </c>
      <c r="B40">
        <v>99.9</v>
      </c>
      <c r="C40">
        <v>62.542192960000001</v>
      </c>
      <c r="D40">
        <v>84.37815028</v>
      </c>
      <c r="E40">
        <v>75</v>
      </c>
      <c r="F40">
        <v>89.667792840000004</v>
      </c>
      <c r="G40">
        <v>77.486759070000005</v>
      </c>
      <c r="H40">
        <v>74.178111119999997</v>
      </c>
      <c r="I40">
        <v>62.470672100000002</v>
      </c>
    </row>
    <row r="41" spans="1:9" ht="14.25" customHeight="1" x14ac:dyDescent="0.3">
      <c r="A41" t="s">
        <v>94</v>
      </c>
      <c r="B41">
        <v>87.065629380000004</v>
      </c>
      <c r="C41">
        <v>74.430480700000004</v>
      </c>
      <c r="D41">
        <v>73.820604680000002</v>
      </c>
      <c r="E41">
        <v>64.461986749999994</v>
      </c>
      <c r="F41">
        <v>99.9</v>
      </c>
      <c r="G41">
        <v>83.296212130000001</v>
      </c>
      <c r="H41">
        <v>72.309090260000005</v>
      </c>
      <c r="I41">
        <v>52.408817020000001</v>
      </c>
    </row>
    <row r="42" spans="1:9" ht="14.25" customHeight="1" x14ac:dyDescent="0.3">
      <c r="A42" t="s">
        <v>96</v>
      </c>
      <c r="B42">
        <v>86.819791109999997</v>
      </c>
      <c r="C42">
        <v>70.773139889999996</v>
      </c>
      <c r="D42">
        <v>71.401748519999998</v>
      </c>
      <c r="E42">
        <v>62.753369399999997</v>
      </c>
      <c r="F42">
        <v>98.326877109999998</v>
      </c>
      <c r="G42">
        <v>75.026828640000005</v>
      </c>
      <c r="H42">
        <v>66.864579989999996</v>
      </c>
      <c r="I42">
        <v>52.060562519999998</v>
      </c>
    </row>
    <row r="43" spans="1:9" ht="14.25" customHeight="1" x14ac:dyDescent="0.3">
      <c r="A43" t="s">
        <v>98</v>
      </c>
      <c r="B43">
        <v>86.148160649999994</v>
      </c>
      <c r="C43">
        <v>64.885632529999995</v>
      </c>
      <c r="D43">
        <v>82.370762369999994</v>
      </c>
      <c r="E43">
        <v>67.296148610000003</v>
      </c>
      <c r="F43">
        <v>88.946745089999993</v>
      </c>
      <c r="G43">
        <v>74.990346349999996</v>
      </c>
      <c r="H43">
        <v>76.062193339999993</v>
      </c>
      <c r="I43">
        <v>50</v>
      </c>
    </row>
    <row r="44" spans="1:9" ht="14.25" customHeight="1" x14ac:dyDescent="0.3">
      <c r="A44" t="s">
        <v>100</v>
      </c>
      <c r="B44">
        <v>84.039018859999999</v>
      </c>
      <c r="C44">
        <v>64.410989060000006</v>
      </c>
      <c r="D44">
        <v>76.055999720000003</v>
      </c>
      <c r="E44">
        <v>66.309070439999999</v>
      </c>
      <c r="F44">
        <v>80</v>
      </c>
      <c r="G44">
        <v>80.458758169999996</v>
      </c>
      <c r="H44">
        <v>69.538645500000001</v>
      </c>
      <c r="I44">
        <v>53.650755109999999</v>
      </c>
    </row>
    <row r="45" spans="1:9" ht="14.25" customHeight="1" x14ac:dyDescent="0.3">
      <c r="A45" t="s">
        <v>102</v>
      </c>
      <c r="B45">
        <v>93.484336099999993</v>
      </c>
      <c r="C45">
        <v>71.639472839999996</v>
      </c>
      <c r="D45">
        <v>70</v>
      </c>
      <c r="E45">
        <v>74.684443999999999</v>
      </c>
      <c r="F45">
        <v>87.768307100000001</v>
      </c>
      <c r="G45">
        <v>73.930160040000004</v>
      </c>
      <c r="H45">
        <v>72.489525810000004</v>
      </c>
      <c r="I45">
        <v>58.888346749999997</v>
      </c>
    </row>
    <row r="46" spans="1:9" ht="14.25" customHeight="1" x14ac:dyDescent="0.3">
      <c r="A46" t="s">
        <v>104</v>
      </c>
      <c r="B46">
        <v>87.436674580000002</v>
      </c>
      <c r="C46">
        <v>67.814593209999998</v>
      </c>
      <c r="D46">
        <v>78.551042640000006</v>
      </c>
      <c r="E46">
        <v>60.167187300000002</v>
      </c>
      <c r="F46">
        <v>88.196512659999996</v>
      </c>
      <c r="G46">
        <v>81.935166080000002</v>
      </c>
      <c r="H46">
        <v>72.541781349999994</v>
      </c>
      <c r="I46">
        <v>69.989938370000004</v>
      </c>
    </row>
    <row r="47" spans="1:9" ht="14.25" customHeight="1" x14ac:dyDescent="0.3">
      <c r="A47" t="s">
        <v>106</v>
      </c>
      <c r="B47">
        <v>80.510269100000002</v>
      </c>
      <c r="C47">
        <v>67.732183079999999</v>
      </c>
      <c r="D47">
        <v>78.418237020000007</v>
      </c>
      <c r="E47">
        <v>59.116166139999997</v>
      </c>
      <c r="F47">
        <v>92.778458000000001</v>
      </c>
      <c r="G47">
        <v>76.384545579999994</v>
      </c>
      <c r="H47">
        <v>70.786566120000003</v>
      </c>
      <c r="I47">
        <v>56.92335783</v>
      </c>
    </row>
    <row r="48" spans="1:9" ht="14.25" customHeight="1" x14ac:dyDescent="0.3">
      <c r="A48" t="s">
        <v>108</v>
      </c>
      <c r="B48">
        <v>81.486248200000006</v>
      </c>
      <c r="C48">
        <v>61.726329880000002</v>
      </c>
      <c r="D48">
        <v>72.710268720000002</v>
      </c>
      <c r="E48">
        <v>69.009967329999995</v>
      </c>
      <c r="F48">
        <v>96.183340169999994</v>
      </c>
      <c r="G48">
        <v>83.993429019999994</v>
      </c>
      <c r="H48">
        <v>65</v>
      </c>
      <c r="I48">
        <v>56.827854309999999</v>
      </c>
    </row>
    <row r="49" spans="1:9" ht="14.25" customHeight="1" x14ac:dyDescent="0.3">
      <c r="A49" t="s">
        <v>110</v>
      </c>
      <c r="B49">
        <v>91.113290820000003</v>
      </c>
      <c r="C49">
        <v>68.983937909999995</v>
      </c>
      <c r="D49">
        <v>78.801563950000002</v>
      </c>
      <c r="E49">
        <v>62.374892619999997</v>
      </c>
      <c r="F49">
        <v>87.847807270000004</v>
      </c>
      <c r="G49">
        <v>80.821265049999994</v>
      </c>
      <c r="H49">
        <v>78.562931930000005</v>
      </c>
      <c r="I49">
        <v>56.262502789999999</v>
      </c>
    </row>
    <row r="50" spans="1:9" ht="14.25" customHeight="1" x14ac:dyDescent="0.3">
      <c r="A50" t="s">
        <v>112</v>
      </c>
      <c r="B50">
        <v>82.054217159999993</v>
      </c>
      <c r="C50">
        <v>67.440007420000001</v>
      </c>
      <c r="D50">
        <v>81.12432742</v>
      </c>
      <c r="E50">
        <v>66.108572480000007</v>
      </c>
      <c r="F50">
        <v>87.422110040000007</v>
      </c>
      <c r="G50">
        <v>72.453875150000002</v>
      </c>
      <c r="H50">
        <v>69.965875740000001</v>
      </c>
      <c r="I50">
        <v>66.242100100000002</v>
      </c>
    </row>
    <row r="51" spans="1:9" ht="14.25" customHeight="1" x14ac:dyDescent="0.3">
      <c r="A51" t="s">
        <v>114</v>
      </c>
      <c r="B51">
        <v>83.904247420000004</v>
      </c>
      <c r="C51">
        <v>70.290253849999999</v>
      </c>
      <c r="D51">
        <v>79.483993839999997</v>
      </c>
      <c r="E51">
        <v>61.226161390000001</v>
      </c>
      <c r="F51">
        <v>88.559779610000007</v>
      </c>
      <c r="G51">
        <v>73.872914539999996</v>
      </c>
      <c r="H51">
        <v>66.926739100000006</v>
      </c>
      <c r="I51">
        <v>62.41410621</v>
      </c>
    </row>
    <row r="52" spans="1:9" ht="14.25" customHeight="1" x14ac:dyDescent="0.3">
      <c r="A52" t="s">
        <v>116</v>
      </c>
      <c r="B52">
        <v>75.528219660000005</v>
      </c>
      <c r="C52">
        <v>65.433492999999999</v>
      </c>
      <c r="D52">
        <v>80.448598169999997</v>
      </c>
      <c r="E52">
        <v>67.222315649999999</v>
      </c>
      <c r="F52">
        <v>97.825954370000005</v>
      </c>
      <c r="G52">
        <v>78.924018239999995</v>
      </c>
      <c r="H52">
        <v>74.554995149999996</v>
      </c>
      <c r="I52">
        <v>63.098733279999998</v>
      </c>
    </row>
    <row r="53" spans="1:9" ht="14.25" customHeight="1" x14ac:dyDescent="0.3">
      <c r="A53" t="s">
        <v>118</v>
      </c>
      <c r="B53">
        <v>82.152879690000006</v>
      </c>
      <c r="C53">
        <v>66.241278660000006</v>
      </c>
      <c r="D53">
        <v>70</v>
      </c>
      <c r="E53">
        <v>73.364003569999994</v>
      </c>
      <c r="F53">
        <v>91.468118419999996</v>
      </c>
      <c r="G53">
        <v>76.60530799</v>
      </c>
      <c r="H53">
        <v>72.715040939999994</v>
      </c>
      <c r="I53">
        <v>62.583030970000003</v>
      </c>
    </row>
    <row r="54" spans="1:9" ht="14.25" customHeight="1" x14ac:dyDescent="0.3">
      <c r="A54" t="s">
        <v>120</v>
      </c>
      <c r="B54">
        <v>85.498718940000003</v>
      </c>
      <c r="C54">
        <v>60</v>
      </c>
      <c r="D54">
        <v>70</v>
      </c>
      <c r="E54">
        <v>60.334076039999999</v>
      </c>
      <c r="F54">
        <v>87.590461910000002</v>
      </c>
      <c r="G54">
        <v>85</v>
      </c>
      <c r="H54">
        <v>70.686306110000004</v>
      </c>
      <c r="I54">
        <v>54.414958310000003</v>
      </c>
    </row>
    <row r="55" spans="1:9" ht="14.25" customHeight="1" x14ac:dyDescent="0.3">
      <c r="A55" t="s">
        <v>122</v>
      </c>
      <c r="B55">
        <v>77.998938100000004</v>
      </c>
      <c r="C55">
        <v>72.784214719999994</v>
      </c>
      <c r="D55">
        <v>70</v>
      </c>
      <c r="E55">
        <v>68.66334698</v>
      </c>
      <c r="F55">
        <v>90.970167480000001</v>
      </c>
      <c r="G55">
        <v>76.932413359999998</v>
      </c>
      <c r="H55">
        <v>69.228959399999994</v>
      </c>
      <c r="I55">
        <v>57.362748250000003</v>
      </c>
    </row>
    <row r="56" spans="1:9" ht="14.25" customHeight="1" x14ac:dyDescent="0.3">
      <c r="A56" t="s">
        <v>124</v>
      </c>
      <c r="B56">
        <v>84.963885149999996</v>
      </c>
      <c r="C56">
        <v>65.080778640000005</v>
      </c>
      <c r="D56">
        <v>82.128057609999999</v>
      </c>
      <c r="E56">
        <v>74.491400339999998</v>
      </c>
      <c r="F56">
        <v>83.801138230000007</v>
      </c>
      <c r="G56">
        <v>77.477000959999998</v>
      </c>
      <c r="H56">
        <v>69.607568200000003</v>
      </c>
      <c r="I56">
        <v>58.296394300000003</v>
      </c>
    </row>
    <row r="57" spans="1:9" ht="14.25" customHeight="1" x14ac:dyDescent="0.3">
      <c r="A57" t="s">
        <v>126</v>
      </c>
      <c r="B57">
        <v>88.756395359999999</v>
      </c>
      <c r="C57">
        <v>68.753352500000005</v>
      </c>
      <c r="D57">
        <v>71.29835362</v>
      </c>
      <c r="E57">
        <v>59.557335109999997</v>
      </c>
      <c r="F57">
        <v>87.734711610000005</v>
      </c>
      <c r="G57">
        <v>75.773467839999995</v>
      </c>
      <c r="H57">
        <v>71.013021910000006</v>
      </c>
      <c r="I57">
        <v>50.724176970000002</v>
      </c>
    </row>
    <row r="58" spans="1:9" ht="14.25" customHeight="1" x14ac:dyDescent="0.3">
      <c r="A58" t="s">
        <v>128</v>
      </c>
      <c r="B58">
        <v>84.420705620000007</v>
      </c>
      <c r="C58">
        <v>64.832089310000001</v>
      </c>
      <c r="D58">
        <v>74.765103730000007</v>
      </c>
      <c r="E58">
        <v>62.860506489999999</v>
      </c>
      <c r="F58">
        <v>91.428688399999999</v>
      </c>
      <c r="G58">
        <v>81.518074010000007</v>
      </c>
      <c r="H58">
        <v>65</v>
      </c>
      <c r="I58">
        <v>56.847077749999997</v>
      </c>
    </row>
    <row r="59" spans="1:9" ht="14.25" customHeight="1" x14ac:dyDescent="0.3">
      <c r="A59" t="s">
        <v>130</v>
      </c>
      <c r="B59">
        <v>88.180918430000006</v>
      </c>
      <c r="C59">
        <v>70.899862690000006</v>
      </c>
      <c r="D59">
        <v>76.905058870000005</v>
      </c>
      <c r="E59">
        <v>67.81233297</v>
      </c>
      <c r="F59">
        <v>94.459757100000004</v>
      </c>
      <c r="G59">
        <v>79.208640040000006</v>
      </c>
      <c r="H59">
        <v>71.156047700000002</v>
      </c>
      <c r="I59">
        <v>53.613749400000003</v>
      </c>
    </row>
    <row r="60" spans="1:9" ht="14.25" customHeight="1" x14ac:dyDescent="0.3">
      <c r="A60" t="s">
        <v>132</v>
      </c>
      <c r="B60">
        <v>93.914913560000002</v>
      </c>
      <c r="C60">
        <v>74.920639140000006</v>
      </c>
      <c r="D60">
        <v>85.018022430000002</v>
      </c>
      <c r="E60">
        <v>58.364017169999997</v>
      </c>
      <c r="F60">
        <v>90.459137569999996</v>
      </c>
      <c r="G60">
        <v>74.571905810000004</v>
      </c>
      <c r="H60">
        <v>70.773818660000003</v>
      </c>
      <c r="I60">
        <v>60.229879740000001</v>
      </c>
    </row>
    <row r="61" spans="1:9" ht="14.25" customHeight="1" x14ac:dyDescent="0.3">
      <c r="A61" t="s">
        <v>134</v>
      </c>
      <c r="B61">
        <v>92.891452020000003</v>
      </c>
      <c r="C61">
        <v>65.308723060000005</v>
      </c>
      <c r="D61">
        <v>80.390400369999995</v>
      </c>
      <c r="E61">
        <v>56.306195600000002</v>
      </c>
      <c r="F61">
        <v>91.784682750000002</v>
      </c>
      <c r="G61">
        <v>79.468379409999997</v>
      </c>
      <c r="H61">
        <v>78.111419900000001</v>
      </c>
      <c r="I61">
        <v>50</v>
      </c>
    </row>
    <row r="62" spans="1:9" ht="14.25" customHeight="1" x14ac:dyDescent="0.3">
      <c r="A62" t="s">
        <v>136</v>
      </c>
      <c r="B62">
        <v>94.97159954</v>
      </c>
      <c r="C62">
        <v>62.645941350000001</v>
      </c>
      <c r="D62">
        <v>70.831173370000002</v>
      </c>
      <c r="E62">
        <v>60.341314969999999</v>
      </c>
      <c r="F62">
        <v>91.749324729999998</v>
      </c>
      <c r="G62">
        <v>67.882877879999995</v>
      </c>
      <c r="H62">
        <v>74.355155980000006</v>
      </c>
      <c r="I62">
        <v>64.023091359999995</v>
      </c>
    </row>
    <row r="63" spans="1:9" ht="14.25" customHeight="1" x14ac:dyDescent="0.3">
      <c r="A63" t="s">
        <v>138</v>
      </c>
      <c r="B63">
        <v>78.997678219999997</v>
      </c>
      <c r="C63">
        <v>60.891462490000002</v>
      </c>
      <c r="D63">
        <v>82.253444689999995</v>
      </c>
      <c r="E63">
        <v>69.533885499999997</v>
      </c>
      <c r="F63">
        <v>90.632492450000001</v>
      </c>
      <c r="G63">
        <v>70.421590780000002</v>
      </c>
      <c r="H63">
        <v>72.977603599999995</v>
      </c>
      <c r="I63">
        <v>50.789428839999999</v>
      </c>
    </row>
    <row r="64" spans="1:9" ht="14.25" customHeight="1" x14ac:dyDescent="0.3">
      <c r="A64" t="s">
        <v>140</v>
      </c>
      <c r="B64">
        <v>81.935078300000001</v>
      </c>
      <c r="C64">
        <v>66.754267519999999</v>
      </c>
      <c r="D64">
        <v>70</v>
      </c>
      <c r="E64">
        <v>69.876094499999994</v>
      </c>
      <c r="F64">
        <v>89.886267970000006</v>
      </c>
      <c r="G64">
        <v>79.540892249999999</v>
      </c>
      <c r="H64">
        <v>69.29349302</v>
      </c>
      <c r="I64">
        <v>55.019534700000001</v>
      </c>
    </row>
    <row r="65" spans="1:9" ht="14.25" customHeight="1" x14ac:dyDescent="0.3">
      <c r="A65" t="s">
        <v>142</v>
      </c>
      <c r="B65">
        <v>80.363971199999995</v>
      </c>
      <c r="C65">
        <v>69.83375126</v>
      </c>
      <c r="D65">
        <v>80.733785690000005</v>
      </c>
      <c r="E65">
        <v>63.035432159999999</v>
      </c>
      <c r="F65">
        <v>96.819542949999999</v>
      </c>
      <c r="G65">
        <v>66.161941459999994</v>
      </c>
      <c r="H65">
        <v>69.371790669999996</v>
      </c>
      <c r="I65">
        <v>62.049484649999997</v>
      </c>
    </row>
    <row r="66" spans="1:9" ht="14.25" customHeight="1" x14ac:dyDescent="0.3">
      <c r="A66" t="s">
        <v>144</v>
      </c>
      <c r="B66">
        <v>80.995594100000005</v>
      </c>
      <c r="C66">
        <v>74.412028969999994</v>
      </c>
      <c r="D66">
        <v>76.065119069999994</v>
      </c>
      <c r="E66">
        <v>66.523816569999994</v>
      </c>
      <c r="F66">
        <v>83.919777830000001</v>
      </c>
      <c r="G66">
        <v>77.535356989999997</v>
      </c>
      <c r="H66">
        <v>76.047177590000004</v>
      </c>
      <c r="I66">
        <v>64.584935779999995</v>
      </c>
    </row>
    <row r="67" spans="1:9" ht="14.25" customHeight="1" x14ac:dyDescent="0.3">
      <c r="A67" t="s">
        <v>146</v>
      </c>
      <c r="B67">
        <v>75</v>
      </c>
      <c r="C67">
        <v>69.078029749999999</v>
      </c>
      <c r="D67">
        <v>87.73329536</v>
      </c>
      <c r="E67">
        <v>63.479515990000003</v>
      </c>
      <c r="F67">
        <v>89.758142379999995</v>
      </c>
      <c r="G67">
        <v>85</v>
      </c>
      <c r="H67">
        <v>79.861566319999994</v>
      </c>
      <c r="I67">
        <v>61.683911520000002</v>
      </c>
    </row>
    <row r="68" spans="1:9" ht="14.25" customHeight="1" x14ac:dyDescent="0.3">
      <c r="A68" t="s">
        <v>148</v>
      </c>
      <c r="B68">
        <v>77.010678920000004</v>
      </c>
      <c r="C68">
        <v>72.195932810000002</v>
      </c>
      <c r="D68">
        <v>76.654049540000003</v>
      </c>
      <c r="E68">
        <v>75</v>
      </c>
      <c r="F68">
        <v>90.301474749999997</v>
      </c>
      <c r="G68">
        <v>78.791074989999998</v>
      </c>
      <c r="H68">
        <v>70.072312460000006</v>
      </c>
      <c r="I68">
        <v>67.300395019999996</v>
      </c>
    </row>
    <row r="69" spans="1:9" ht="14.25" customHeight="1" x14ac:dyDescent="0.3">
      <c r="A69" t="s">
        <v>150</v>
      </c>
      <c r="B69">
        <v>88.602067779999999</v>
      </c>
      <c r="C69">
        <v>60.388466510000001</v>
      </c>
      <c r="D69">
        <v>79.565696119999998</v>
      </c>
      <c r="E69">
        <v>55</v>
      </c>
      <c r="F69">
        <v>92.8851674</v>
      </c>
      <c r="G69">
        <v>79.137572379999995</v>
      </c>
      <c r="H69">
        <v>70.625473670000005</v>
      </c>
      <c r="I69">
        <v>61.52468829</v>
      </c>
    </row>
    <row r="70" spans="1:9" ht="14.25" customHeight="1" x14ac:dyDescent="0.3">
      <c r="A70" t="s">
        <v>152</v>
      </c>
      <c r="B70">
        <v>88.327443130000006</v>
      </c>
      <c r="C70">
        <v>74.055900370000003</v>
      </c>
      <c r="D70">
        <v>76.723352410000004</v>
      </c>
      <c r="E70">
        <v>66.645394400000001</v>
      </c>
      <c r="F70">
        <v>89.393448149999998</v>
      </c>
      <c r="G70">
        <v>82.031214680000005</v>
      </c>
      <c r="H70">
        <v>67.390280579999995</v>
      </c>
      <c r="I70">
        <v>50</v>
      </c>
    </row>
    <row r="71" spans="1:9" ht="14.25" customHeight="1" x14ac:dyDescent="0.3">
      <c r="A71" t="s">
        <v>154</v>
      </c>
      <c r="B71">
        <v>78.708773429999994</v>
      </c>
      <c r="C71">
        <v>68.573515169999993</v>
      </c>
      <c r="D71">
        <v>74.220830590000006</v>
      </c>
      <c r="E71">
        <v>63.618805270000003</v>
      </c>
      <c r="F71">
        <v>95.231104909999999</v>
      </c>
      <c r="G71">
        <v>77.13362592</v>
      </c>
      <c r="H71">
        <v>67.761979679999996</v>
      </c>
      <c r="I71">
        <v>55.291787300000003</v>
      </c>
    </row>
    <row r="72" spans="1:9" ht="14.25" customHeight="1" x14ac:dyDescent="0.3">
      <c r="A72" t="s">
        <v>156</v>
      </c>
      <c r="B72">
        <v>78.769742600000001</v>
      </c>
      <c r="C72">
        <v>60</v>
      </c>
      <c r="D72">
        <v>70.537634409999995</v>
      </c>
      <c r="E72">
        <v>68.846735480000007</v>
      </c>
      <c r="F72">
        <v>99.9</v>
      </c>
      <c r="G72">
        <v>84.894565450000002</v>
      </c>
      <c r="H72">
        <v>68.692248300000003</v>
      </c>
      <c r="I72">
        <v>62.792671720000001</v>
      </c>
    </row>
    <row r="73" spans="1:9" ht="14.25" customHeight="1" x14ac:dyDescent="0.3">
      <c r="A73" t="s">
        <v>158</v>
      </c>
      <c r="B73">
        <v>91.69913536</v>
      </c>
      <c r="C73">
        <v>69.161639440000002</v>
      </c>
      <c r="D73">
        <v>71.438795150000004</v>
      </c>
      <c r="E73">
        <v>75</v>
      </c>
      <c r="F73">
        <v>86.894176270000003</v>
      </c>
      <c r="G73">
        <v>71.875031100000001</v>
      </c>
      <c r="H73">
        <v>68.783270759999994</v>
      </c>
      <c r="I73">
        <v>58.573415570000002</v>
      </c>
    </row>
    <row r="74" spans="1:9" ht="14.25" customHeight="1" x14ac:dyDescent="0.3">
      <c r="A74" t="s">
        <v>160</v>
      </c>
      <c r="B74">
        <v>83.147748050000004</v>
      </c>
      <c r="C74">
        <v>60.275464309999997</v>
      </c>
      <c r="D74">
        <v>77.158492390000006</v>
      </c>
      <c r="E74">
        <v>61.349363320000002</v>
      </c>
      <c r="F74">
        <v>80</v>
      </c>
      <c r="G74">
        <v>70.354850639999995</v>
      </c>
      <c r="H74">
        <v>66.087244729999995</v>
      </c>
      <c r="I74">
        <v>55.034495679999999</v>
      </c>
    </row>
    <row r="75" spans="1:9" ht="14.25" customHeight="1" x14ac:dyDescent="0.3">
      <c r="A75" t="s">
        <v>162</v>
      </c>
      <c r="B75">
        <v>85.264815769999998</v>
      </c>
      <c r="C75">
        <v>61.952929040000001</v>
      </c>
      <c r="D75">
        <v>76.48745169</v>
      </c>
      <c r="E75">
        <v>75</v>
      </c>
      <c r="F75">
        <v>94.750628509999999</v>
      </c>
      <c r="G75">
        <v>73.117462470000007</v>
      </c>
      <c r="H75">
        <v>68.443154530000001</v>
      </c>
      <c r="I75">
        <v>59.037464219999997</v>
      </c>
    </row>
    <row r="76" spans="1:9" ht="14.25" customHeight="1" x14ac:dyDescent="0.3">
      <c r="A76" t="s">
        <v>164</v>
      </c>
      <c r="B76">
        <v>85.409182189999996</v>
      </c>
      <c r="C76">
        <v>60</v>
      </c>
      <c r="D76">
        <v>76.301867529999996</v>
      </c>
      <c r="E76">
        <v>75</v>
      </c>
      <c r="F76">
        <v>87.022648200000006</v>
      </c>
      <c r="G76">
        <v>82.488243030000007</v>
      </c>
      <c r="H76">
        <v>65</v>
      </c>
      <c r="I76">
        <v>52.672248330000002</v>
      </c>
    </row>
    <row r="77" spans="1:9" ht="14.25" customHeight="1" x14ac:dyDescent="0.3">
      <c r="A77" t="s">
        <v>166</v>
      </c>
      <c r="B77">
        <v>78.043869790000002</v>
      </c>
      <c r="C77">
        <v>67.481604050000001</v>
      </c>
      <c r="D77">
        <v>70</v>
      </c>
      <c r="E77">
        <v>75</v>
      </c>
      <c r="F77">
        <v>84.059531640000003</v>
      </c>
      <c r="G77">
        <v>80.380540150000002</v>
      </c>
      <c r="H77">
        <v>66.462426429999994</v>
      </c>
      <c r="I77">
        <v>53.93636678</v>
      </c>
    </row>
    <row r="78" spans="1:9" ht="14.25" customHeight="1" x14ac:dyDescent="0.3">
      <c r="A78" t="s">
        <v>168</v>
      </c>
      <c r="B78">
        <v>75</v>
      </c>
      <c r="C78">
        <v>70.153291519999996</v>
      </c>
      <c r="D78">
        <v>77.102862880000004</v>
      </c>
      <c r="E78">
        <v>57.609852429999997</v>
      </c>
      <c r="F78">
        <v>87.15389442</v>
      </c>
      <c r="G78">
        <v>77.81273582</v>
      </c>
      <c r="H78">
        <v>70.982307719999994</v>
      </c>
      <c r="I78">
        <v>57.649865699999999</v>
      </c>
    </row>
    <row r="79" spans="1:9" ht="14.25" customHeight="1" x14ac:dyDescent="0.3">
      <c r="A79" t="s">
        <v>170</v>
      </c>
      <c r="B79">
        <v>80.122592190000006</v>
      </c>
      <c r="C79">
        <v>68.794073470000001</v>
      </c>
      <c r="D79">
        <v>76.942867809999996</v>
      </c>
      <c r="E79">
        <v>66.287795079999995</v>
      </c>
      <c r="F79">
        <v>90.453057270000002</v>
      </c>
      <c r="G79">
        <v>76.551725739999995</v>
      </c>
      <c r="H79">
        <v>65</v>
      </c>
      <c r="I79">
        <v>50</v>
      </c>
    </row>
    <row r="80" spans="1:9" ht="14.25" customHeight="1" x14ac:dyDescent="0.3">
      <c r="A80" t="s">
        <v>172</v>
      </c>
      <c r="B80">
        <v>90.204115959999996</v>
      </c>
      <c r="C80">
        <v>64.261713830000005</v>
      </c>
      <c r="D80">
        <v>78.165766509999997</v>
      </c>
      <c r="E80">
        <v>65.042364919999997</v>
      </c>
      <c r="F80">
        <v>80</v>
      </c>
      <c r="G80">
        <v>74.471553950000001</v>
      </c>
      <c r="H80">
        <v>65</v>
      </c>
      <c r="I80">
        <v>58.760234009999998</v>
      </c>
    </row>
    <row r="81" spans="1:9" ht="14.25" customHeight="1" x14ac:dyDescent="0.3">
      <c r="A81" t="s">
        <v>174</v>
      </c>
      <c r="B81">
        <v>76.284101629999995</v>
      </c>
      <c r="C81">
        <v>69.330561070000002</v>
      </c>
      <c r="D81">
        <v>82.775417230000002</v>
      </c>
      <c r="E81">
        <v>60.543894459999997</v>
      </c>
      <c r="F81">
        <v>94.389537099999998</v>
      </c>
      <c r="G81">
        <v>79.157114649999997</v>
      </c>
      <c r="H81">
        <v>69.692409429999998</v>
      </c>
      <c r="I81">
        <v>56.333680700000002</v>
      </c>
    </row>
    <row r="82" spans="1:9" ht="14.25" customHeight="1" x14ac:dyDescent="0.3">
      <c r="A82" t="s">
        <v>176</v>
      </c>
      <c r="B82">
        <v>75</v>
      </c>
      <c r="C82">
        <v>67.998358179999997</v>
      </c>
      <c r="D82">
        <v>82.458932630000007</v>
      </c>
      <c r="E82">
        <v>58.102996470000001</v>
      </c>
      <c r="F82">
        <v>85.489588179999998</v>
      </c>
      <c r="G82">
        <v>79.931124690000004</v>
      </c>
      <c r="H82">
        <v>73.493302479999997</v>
      </c>
      <c r="I82">
        <v>60.079438189999998</v>
      </c>
    </row>
    <row r="83" spans="1:9" ht="14.25" customHeight="1" x14ac:dyDescent="0.3">
      <c r="A83" t="s">
        <v>178</v>
      </c>
      <c r="B83">
        <v>75</v>
      </c>
      <c r="C83">
        <v>69.698421550000006</v>
      </c>
      <c r="D83">
        <v>72.11824421</v>
      </c>
      <c r="E83">
        <v>73.763444120000003</v>
      </c>
      <c r="F83">
        <v>85.931419399999996</v>
      </c>
      <c r="G83">
        <v>77.295504219999998</v>
      </c>
      <c r="H83">
        <v>70.06065692</v>
      </c>
      <c r="I83">
        <v>50</v>
      </c>
    </row>
    <row r="84" spans="1:9" ht="14.25" customHeight="1" x14ac:dyDescent="0.3">
      <c r="A84" t="s">
        <v>180</v>
      </c>
      <c r="B84">
        <v>80.433093589999999</v>
      </c>
      <c r="C84">
        <v>63.38311633</v>
      </c>
      <c r="D84">
        <v>72.520845789999996</v>
      </c>
      <c r="E84">
        <v>65.653037920000003</v>
      </c>
      <c r="F84">
        <v>90.268743069999999</v>
      </c>
      <c r="G84">
        <v>72.570810649999999</v>
      </c>
      <c r="H84">
        <v>67.801749459999996</v>
      </c>
      <c r="I84">
        <v>61.470168409999999</v>
      </c>
    </row>
    <row r="85" spans="1:9" ht="14.25" customHeight="1" x14ac:dyDescent="0.3">
      <c r="A85" t="s">
        <v>182</v>
      </c>
      <c r="B85">
        <v>97.013962629999995</v>
      </c>
      <c r="C85">
        <v>74.171056789999994</v>
      </c>
      <c r="D85">
        <v>81.231958980000002</v>
      </c>
      <c r="E85">
        <v>58.040417900000001</v>
      </c>
      <c r="F85">
        <v>83.29725612</v>
      </c>
      <c r="G85">
        <v>79.864202140000003</v>
      </c>
      <c r="H85">
        <v>71.595814660000002</v>
      </c>
      <c r="I85">
        <v>63.263308379999998</v>
      </c>
    </row>
    <row r="86" spans="1:9" ht="14.25" customHeight="1" x14ac:dyDescent="0.3">
      <c r="A86" t="s">
        <v>184</v>
      </c>
      <c r="B86">
        <v>99.9</v>
      </c>
      <c r="C86">
        <v>69.952336040000006</v>
      </c>
      <c r="D86">
        <v>81.80300269</v>
      </c>
      <c r="E86">
        <v>75</v>
      </c>
      <c r="F86">
        <v>99.9</v>
      </c>
      <c r="G86">
        <v>74.144986939999995</v>
      </c>
      <c r="H86">
        <v>66.085497059999994</v>
      </c>
      <c r="I86">
        <v>52.548786720000003</v>
      </c>
    </row>
    <row r="87" spans="1:9" ht="14.25" customHeight="1" x14ac:dyDescent="0.3">
      <c r="A87" t="s">
        <v>186</v>
      </c>
      <c r="B87">
        <v>83.511167380000003</v>
      </c>
      <c r="C87">
        <v>67.052209079999997</v>
      </c>
      <c r="D87">
        <v>75.218729830000001</v>
      </c>
      <c r="E87">
        <v>70.321547949999996</v>
      </c>
      <c r="F87">
        <v>87.965677869999993</v>
      </c>
      <c r="G87">
        <v>70.107767050000007</v>
      </c>
      <c r="H87">
        <v>73.058640150000002</v>
      </c>
      <c r="I87">
        <v>66.232228599999999</v>
      </c>
    </row>
    <row r="88" spans="1:9" ht="14.25" customHeight="1" x14ac:dyDescent="0.3">
      <c r="A88" t="s">
        <v>188</v>
      </c>
      <c r="B88">
        <v>99.9</v>
      </c>
      <c r="C88">
        <v>73.935320919999995</v>
      </c>
      <c r="D88">
        <v>71.088720510000002</v>
      </c>
      <c r="E88">
        <v>65.646588980000004</v>
      </c>
      <c r="F88">
        <v>91.808935590000004</v>
      </c>
      <c r="G88">
        <v>76.459147639999998</v>
      </c>
      <c r="H88">
        <v>67.941009269999995</v>
      </c>
      <c r="I88">
        <v>64.566891060000003</v>
      </c>
    </row>
    <row r="89" spans="1:9" ht="14.25" customHeight="1" x14ac:dyDescent="0.3">
      <c r="A89" t="s">
        <v>190</v>
      </c>
      <c r="B89">
        <v>81.551186639999997</v>
      </c>
      <c r="C89">
        <v>67.937079760000003</v>
      </c>
      <c r="D89">
        <v>70</v>
      </c>
      <c r="E89">
        <v>68.923177589999995</v>
      </c>
      <c r="F89">
        <v>80</v>
      </c>
      <c r="G89">
        <v>69.219796130000006</v>
      </c>
      <c r="H89">
        <v>78.137538890000002</v>
      </c>
      <c r="I89">
        <v>55.203547069999999</v>
      </c>
    </row>
    <row r="90" spans="1:9" ht="14.25" customHeight="1" x14ac:dyDescent="0.3">
      <c r="A90" t="s">
        <v>192</v>
      </c>
      <c r="B90">
        <v>87.665213559999998</v>
      </c>
      <c r="C90">
        <v>61.763752709999999</v>
      </c>
      <c r="D90">
        <v>70.620979399999996</v>
      </c>
      <c r="E90">
        <v>63.547469120000002</v>
      </c>
      <c r="F90">
        <v>93.686743879999995</v>
      </c>
      <c r="G90">
        <v>85</v>
      </c>
      <c r="H90">
        <v>78.073006109999994</v>
      </c>
      <c r="I90">
        <v>51.535776949999999</v>
      </c>
    </row>
    <row r="91" spans="1:9" ht="14.25" customHeight="1" x14ac:dyDescent="0.3">
      <c r="A91" t="s">
        <v>194</v>
      </c>
      <c r="B91">
        <v>79.530072200000006</v>
      </c>
      <c r="C91">
        <v>65.577188199999995</v>
      </c>
      <c r="D91">
        <v>90</v>
      </c>
      <c r="E91">
        <v>61.721940930000002</v>
      </c>
      <c r="F91">
        <v>93.827790460000003</v>
      </c>
      <c r="G91">
        <v>76.732324629999994</v>
      </c>
      <c r="H91">
        <v>69.280088269999993</v>
      </c>
      <c r="I91">
        <v>64.31074993</v>
      </c>
    </row>
    <row r="92" spans="1:9" ht="14.25" customHeight="1" x14ac:dyDescent="0.3">
      <c r="A92" t="s">
        <v>196</v>
      </c>
      <c r="B92">
        <v>84.741194419999999</v>
      </c>
      <c r="C92">
        <v>66.628453359999995</v>
      </c>
      <c r="D92">
        <v>76.19578765</v>
      </c>
      <c r="E92">
        <v>63.489579089999999</v>
      </c>
      <c r="F92">
        <v>89.207243239999997</v>
      </c>
      <c r="G92">
        <v>75.603720429999996</v>
      </c>
      <c r="H92">
        <v>66.554182499999996</v>
      </c>
      <c r="I92">
        <v>63.381572949999999</v>
      </c>
    </row>
    <row r="93" spans="1:9" ht="14.25" customHeight="1" x14ac:dyDescent="0.3">
      <c r="A93" t="s">
        <v>198</v>
      </c>
      <c r="B93">
        <v>87.702766199999999</v>
      </c>
      <c r="C93">
        <v>80</v>
      </c>
      <c r="D93">
        <v>79.521272310000001</v>
      </c>
      <c r="E93">
        <v>61.56147696</v>
      </c>
      <c r="F93">
        <v>90.141073390000003</v>
      </c>
      <c r="G93">
        <v>84.904944229999998</v>
      </c>
      <c r="H93">
        <v>73.819191900000007</v>
      </c>
      <c r="I93">
        <v>61.549062040000003</v>
      </c>
    </row>
    <row r="94" spans="1:9" ht="14.25" customHeight="1" x14ac:dyDescent="0.3">
      <c r="A94" t="s">
        <v>200</v>
      </c>
      <c r="B94">
        <v>87.283196950000004</v>
      </c>
      <c r="C94">
        <v>71.902798320000002</v>
      </c>
      <c r="D94">
        <v>83.148344140000006</v>
      </c>
      <c r="E94">
        <v>58.364104949999998</v>
      </c>
      <c r="F94">
        <v>88.559232710000003</v>
      </c>
      <c r="G94">
        <v>78.146097069999996</v>
      </c>
      <c r="H94">
        <v>69.881402899999998</v>
      </c>
      <c r="I94">
        <v>50</v>
      </c>
    </row>
    <row r="95" spans="1:9" ht="14.25" customHeight="1" x14ac:dyDescent="0.3">
      <c r="A95" t="s">
        <v>202</v>
      </c>
      <c r="B95">
        <v>84.079311320000002</v>
      </c>
      <c r="C95">
        <v>73.197278339999997</v>
      </c>
      <c r="D95">
        <v>85.521745550000006</v>
      </c>
      <c r="E95">
        <v>61.405052320000003</v>
      </c>
      <c r="F95">
        <v>90.746474329999998</v>
      </c>
      <c r="G95">
        <v>74.70661681</v>
      </c>
      <c r="H95">
        <v>74.090382149999996</v>
      </c>
      <c r="I95">
        <v>62.13442439</v>
      </c>
    </row>
    <row r="96" spans="1:9" ht="14.25" customHeight="1" x14ac:dyDescent="0.3">
      <c r="A96" t="s">
        <v>204</v>
      </c>
      <c r="B96">
        <v>85.083320839999999</v>
      </c>
      <c r="C96">
        <v>72.332552590000006</v>
      </c>
      <c r="D96">
        <v>79.329478629999997</v>
      </c>
      <c r="E96">
        <v>71.754218890000004</v>
      </c>
      <c r="F96">
        <v>82.093254549999997</v>
      </c>
      <c r="G96">
        <v>79.940226789999997</v>
      </c>
      <c r="H96">
        <v>70.144217249999997</v>
      </c>
      <c r="I96">
        <v>55.772493740000002</v>
      </c>
    </row>
    <row r="97" spans="1:9" ht="14.25" customHeight="1" x14ac:dyDescent="0.3">
      <c r="A97" t="s">
        <v>206</v>
      </c>
      <c r="B97">
        <v>79.673274559999996</v>
      </c>
      <c r="C97">
        <v>62.108291360000003</v>
      </c>
      <c r="D97">
        <v>79.730035849999993</v>
      </c>
      <c r="E97">
        <v>60.487736720000001</v>
      </c>
      <c r="F97">
        <v>96.775996550000002</v>
      </c>
      <c r="G97">
        <v>75.974966190000004</v>
      </c>
      <c r="H97">
        <v>74.319503089999998</v>
      </c>
      <c r="I97">
        <v>55.165272389999998</v>
      </c>
    </row>
    <row r="98" spans="1:9" ht="14.25" customHeight="1" x14ac:dyDescent="0.3">
      <c r="A98" t="s">
        <v>208</v>
      </c>
      <c r="B98">
        <v>81.401309420000004</v>
      </c>
      <c r="C98">
        <v>73.642970980000001</v>
      </c>
      <c r="D98">
        <v>70</v>
      </c>
      <c r="E98">
        <v>66.279692749999995</v>
      </c>
      <c r="F98">
        <v>94.607816970000002</v>
      </c>
      <c r="G98">
        <v>74.181024019999995</v>
      </c>
      <c r="H98">
        <v>77.844570039999994</v>
      </c>
      <c r="I98">
        <v>50</v>
      </c>
    </row>
    <row r="99" spans="1:9" ht="14.25" customHeight="1" x14ac:dyDescent="0.3">
      <c r="A99" t="s">
        <v>210</v>
      </c>
      <c r="B99">
        <v>83.375007420000003</v>
      </c>
      <c r="C99">
        <v>74.779325389999997</v>
      </c>
      <c r="D99">
        <v>78.460337069999994</v>
      </c>
      <c r="E99">
        <v>74.946423569999993</v>
      </c>
      <c r="F99">
        <v>93.018851799999993</v>
      </c>
      <c r="G99">
        <v>83.948619370000003</v>
      </c>
      <c r="H99">
        <v>73.603913649999996</v>
      </c>
      <c r="I99">
        <v>61.877733020000001</v>
      </c>
    </row>
    <row r="100" spans="1:9" ht="14.25" customHeight="1" x14ac:dyDescent="0.3">
      <c r="A100" t="s">
        <v>213</v>
      </c>
      <c r="B100">
        <v>79.139252909999996</v>
      </c>
      <c r="C100">
        <v>75.969781519999998</v>
      </c>
      <c r="D100">
        <v>71.086762100000001</v>
      </c>
      <c r="E100">
        <v>61.07474122</v>
      </c>
      <c r="F100">
        <v>87.303813950000006</v>
      </c>
      <c r="G100">
        <v>75.189164329999997</v>
      </c>
      <c r="H100">
        <v>67.840313269999996</v>
      </c>
      <c r="I100">
        <v>69.715055199999995</v>
      </c>
    </row>
    <row r="101" spans="1:9" ht="14.25" customHeight="1" x14ac:dyDescent="0.3">
      <c r="A101" t="s">
        <v>215</v>
      </c>
      <c r="B101">
        <v>81.756660609999997</v>
      </c>
      <c r="C101">
        <v>61.209392039999997</v>
      </c>
      <c r="D101">
        <v>79.692439469999997</v>
      </c>
      <c r="E101">
        <v>64.349131529999994</v>
      </c>
      <c r="F101">
        <v>86.249097129999996</v>
      </c>
      <c r="G101">
        <v>83.750592380000001</v>
      </c>
      <c r="H101">
        <v>69.673099129999997</v>
      </c>
      <c r="I101">
        <v>66.499358650000005</v>
      </c>
    </row>
    <row r="102" spans="1:9" ht="14.25" customHeight="1" x14ac:dyDescent="0.3">
      <c r="A102" t="s">
        <v>217</v>
      </c>
      <c r="B102">
        <v>92.266531819999997</v>
      </c>
      <c r="C102">
        <v>68.323577900000004</v>
      </c>
      <c r="D102">
        <v>87.157744039999997</v>
      </c>
      <c r="E102">
        <v>56.734073209999998</v>
      </c>
      <c r="F102">
        <v>91.895896899999997</v>
      </c>
      <c r="G102">
        <v>78.873114909999998</v>
      </c>
      <c r="H102">
        <v>69.029636229999994</v>
      </c>
      <c r="I102">
        <v>63.151932369999997</v>
      </c>
    </row>
    <row r="103" spans="1:9" ht="14.25" customHeight="1" x14ac:dyDescent="0.3">
      <c r="A103" t="s">
        <v>220</v>
      </c>
      <c r="B103">
        <v>90.779485809999997</v>
      </c>
      <c r="C103">
        <v>75.455114969999997</v>
      </c>
      <c r="D103">
        <v>83.667133120000003</v>
      </c>
      <c r="E103">
        <v>70.634968639999997</v>
      </c>
      <c r="F103">
        <v>83.515075330000002</v>
      </c>
      <c r="G103">
        <v>75.462677720000002</v>
      </c>
      <c r="H103">
        <v>71.575505710000002</v>
      </c>
      <c r="I103">
        <v>60.940352169999997</v>
      </c>
    </row>
    <row r="104" spans="1:9" ht="14.25" customHeight="1" x14ac:dyDescent="0.3">
      <c r="A104" t="s">
        <v>222</v>
      </c>
      <c r="B104">
        <v>83.871956519999998</v>
      </c>
      <c r="C104">
        <v>70.623763350000004</v>
      </c>
      <c r="D104">
        <v>77.039927120000002</v>
      </c>
      <c r="E104">
        <v>69.520921099999995</v>
      </c>
      <c r="F104">
        <v>80.380406629999996</v>
      </c>
      <c r="G104">
        <v>77.400701850000004</v>
      </c>
      <c r="H104">
        <v>71.071759929999999</v>
      </c>
      <c r="I104">
        <v>64.641627720000002</v>
      </c>
    </row>
    <row r="105" spans="1:9" ht="14.25" customHeight="1" x14ac:dyDescent="0.3">
      <c r="A105" t="s">
        <v>224</v>
      </c>
      <c r="B105">
        <v>93.825192049999998</v>
      </c>
      <c r="C105">
        <v>77.291070189999999</v>
      </c>
      <c r="D105">
        <v>70.714188609999994</v>
      </c>
      <c r="E105">
        <v>63.798457300000003</v>
      </c>
      <c r="F105">
        <v>99.03176139</v>
      </c>
      <c r="G105">
        <v>71.460718229999998</v>
      </c>
      <c r="H105">
        <v>72.485347739999995</v>
      </c>
      <c r="I105">
        <v>53.1673215</v>
      </c>
    </row>
    <row r="106" spans="1:9" ht="14.25" customHeight="1" x14ac:dyDescent="0.3">
      <c r="A106" t="s">
        <v>226</v>
      </c>
      <c r="B106">
        <v>75</v>
      </c>
      <c r="C106">
        <v>67.107567360000004</v>
      </c>
      <c r="D106">
        <v>83.479061700000003</v>
      </c>
      <c r="E106">
        <v>63.039089240000003</v>
      </c>
      <c r="F106">
        <v>97.740679959999994</v>
      </c>
      <c r="G106">
        <v>83.325862479999998</v>
      </c>
      <c r="H106">
        <v>71.41395335</v>
      </c>
      <c r="I106">
        <v>58.978411280000003</v>
      </c>
    </row>
    <row r="107" spans="1:9" ht="14.25" customHeight="1" x14ac:dyDescent="0.3">
      <c r="A107" t="s">
        <v>228</v>
      </c>
      <c r="B107">
        <v>75</v>
      </c>
      <c r="C107">
        <v>72.210884840000006</v>
      </c>
      <c r="D107">
        <v>70</v>
      </c>
      <c r="E107">
        <v>65.809091620000004</v>
      </c>
      <c r="F107">
        <v>80</v>
      </c>
      <c r="G107">
        <v>76.701076299999997</v>
      </c>
      <c r="H107">
        <v>65.143377839999999</v>
      </c>
      <c r="I107">
        <v>57.082847909999998</v>
      </c>
    </row>
    <row r="108" spans="1:9" ht="14.25" customHeight="1" x14ac:dyDescent="0.3">
      <c r="A108" t="s">
        <v>230</v>
      </c>
      <c r="B108">
        <v>75</v>
      </c>
      <c r="C108">
        <v>68.219302020000001</v>
      </c>
      <c r="D108">
        <v>82.411869050000007</v>
      </c>
      <c r="E108">
        <v>57.306776990000003</v>
      </c>
      <c r="F108">
        <v>94.986806349999995</v>
      </c>
      <c r="G108">
        <v>77.564174019999996</v>
      </c>
      <c r="H108">
        <v>69.215678969999999</v>
      </c>
      <c r="I108">
        <v>61.562754740000003</v>
      </c>
    </row>
    <row r="109" spans="1:9" ht="14.25" customHeight="1" x14ac:dyDescent="0.3">
      <c r="A109" t="s">
        <v>232</v>
      </c>
      <c r="B109">
        <v>97.128600410000004</v>
      </c>
      <c r="C109">
        <v>70.816280800000001</v>
      </c>
      <c r="D109">
        <v>80.857295109999995</v>
      </c>
      <c r="E109">
        <v>62.691631719999997</v>
      </c>
      <c r="F109">
        <v>86.842312609999993</v>
      </c>
      <c r="G109">
        <v>79.195138569999997</v>
      </c>
      <c r="H109">
        <v>72.452581620000004</v>
      </c>
      <c r="I109">
        <v>57.294561819999998</v>
      </c>
    </row>
    <row r="110" spans="1:9" ht="14.25" customHeight="1" x14ac:dyDescent="0.3">
      <c r="A110" t="s">
        <v>234</v>
      </c>
      <c r="B110">
        <v>97.165370229999994</v>
      </c>
      <c r="C110">
        <v>69.954533999999995</v>
      </c>
      <c r="D110">
        <v>73.190204379999997</v>
      </c>
      <c r="E110">
        <v>57.422164170000002</v>
      </c>
      <c r="F110">
        <v>80.581252599999999</v>
      </c>
      <c r="G110">
        <v>74.738913210000007</v>
      </c>
      <c r="H110">
        <v>72.420314590000004</v>
      </c>
      <c r="I110">
        <v>56.808086119999999</v>
      </c>
    </row>
    <row r="111" spans="1:9" ht="14.25" customHeight="1" x14ac:dyDescent="0.3">
      <c r="A111" t="s">
        <v>236</v>
      </c>
      <c r="B111">
        <v>90.504890130000007</v>
      </c>
      <c r="C111">
        <v>72.293583670000004</v>
      </c>
      <c r="D111">
        <v>84.762243179999999</v>
      </c>
      <c r="E111">
        <v>68.896664619999996</v>
      </c>
      <c r="F111">
        <v>81.244570730000007</v>
      </c>
      <c r="G111">
        <v>73.377073629999998</v>
      </c>
      <c r="H111">
        <v>71.741102780000006</v>
      </c>
      <c r="I111">
        <v>56.279986839999999</v>
      </c>
    </row>
    <row r="112" spans="1:9" ht="14.25" customHeight="1" x14ac:dyDescent="0.3">
      <c r="A112" t="s">
        <v>239</v>
      </c>
      <c r="B112">
        <v>78.562246979999998</v>
      </c>
      <c r="C112">
        <v>70.462360889999999</v>
      </c>
      <c r="D112">
        <v>75.336569569999995</v>
      </c>
      <c r="E112">
        <v>61.223084309999997</v>
      </c>
      <c r="F112">
        <v>97.755472600000004</v>
      </c>
      <c r="G112">
        <v>75.859706950000003</v>
      </c>
      <c r="H112">
        <v>65.550063780000002</v>
      </c>
      <c r="I112">
        <v>58.965367399999998</v>
      </c>
    </row>
    <row r="113" spans="1:9" ht="14.25" customHeight="1" x14ac:dyDescent="0.3">
      <c r="A113" t="s">
        <v>241</v>
      </c>
      <c r="B113">
        <v>88.339541299999993</v>
      </c>
      <c r="C113">
        <v>65.975786549999995</v>
      </c>
      <c r="D113">
        <v>77.768687020000002</v>
      </c>
      <c r="E113">
        <v>66.401459990000006</v>
      </c>
      <c r="F113">
        <v>80.908874900000001</v>
      </c>
      <c r="G113">
        <v>73.554537159999995</v>
      </c>
      <c r="H113">
        <v>72.804343209999999</v>
      </c>
      <c r="I113">
        <v>66.230151149999998</v>
      </c>
    </row>
    <row r="114" spans="1:9" ht="14.25" customHeight="1" x14ac:dyDescent="0.3">
      <c r="A114" t="s">
        <v>243</v>
      </c>
      <c r="B114">
        <v>75</v>
      </c>
      <c r="C114">
        <v>60</v>
      </c>
      <c r="D114">
        <v>80.258653649999999</v>
      </c>
      <c r="E114">
        <v>62.77020589</v>
      </c>
      <c r="F114">
        <v>94.679254349999994</v>
      </c>
      <c r="G114">
        <v>79.572679809999997</v>
      </c>
      <c r="H114">
        <v>67.807920210000006</v>
      </c>
      <c r="I114">
        <v>57.073870759999998</v>
      </c>
    </row>
    <row r="115" spans="1:9" ht="14.25" customHeight="1" x14ac:dyDescent="0.3">
      <c r="A115" t="s">
        <v>245</v>
      </c>
      <c r="B115">
        <v>85.640322409999996</v>
      </c>
      <c r="C115">
        <v>65.794366740000001</v>
      </c>
      <c r="D115">
        <v>82.215766810000005</v>
      </c>
      <c r="E115">
        <v>67.725019459999999</v>
      </c>
      <c r="F115">
        <v>93.733221090000001</v>
      </c>
      <c r="G115">
        <v>77.489880009999993</v>
      </c>
      <c r="H115">
        <v>76.210308220000002</v>
      </c>
      <c r="I115">
        <v>50</v>
      </c>
    </row>
    <row r="116" spans="1:9" ht="14.25" customHeight="1" x14ac:dyDescent="0.3">
      <c r="A116" t="s">
        <v>247</v>
      </c>
      <c r="B116">
        <v>81.879815219999998</v>
      </c>
      <c r="C116">
        <v>73.555382179999995</v>
      </c>
      <c r="D116">
        <v>76.417470960000003</v>
      </c>
      <c r="E116">
        <v>66.009149410000006</v>
      </c>
      <c r="F116">
        <v>88.132050239999998</v>
      </c>
      <c r="G116">
        <v>70.706037010000003</v>
      </c>
      <c r="H116">
        <v>72.277194690000002</v>
      </c>
      <c r="I116">
        <v>57.843837729999997</v>
      </c>
    </row>
    <row r="117" spans="1:9" ht="14.25" customHeight="1" x14ac:dyDescent="0.3">
      <c r="A117" t="s">
        <v>249</v>
      </c>
      <c r="B117">
        <v>88.292161780000001</v>
      </c>
      <c r="C117">
        <v>71.572738450000003</v>
      </c>
      <c r="D117">
        <v>75.833124659999996</v>
      </c>
      <c r="E117">
        <v>58.076133390000003</v>
      </c>
      <c r="F117">
        <v>91.443687969999999</v>
      </c>
      <c r="G117">
        <v>78.991510980000001</v>
      </c>
      <c r="H117">
        <v>76.881335879999995</v>
      </c>
      <c r="I117">
        <v>56.269634869999997</v>
      </c>
    </row>
    <row r="118" spans="1:9" ht="14.25" customHeight="1" x14ac:dyDescent="0.3">
      <c r="A118" t="s">
        <v>251</v>
      </c>
      <c r="B118">
        <v>94.862989330000005</v>
      </c>
      <c r="C118">
        <v>60</v>
      </c>
      <c r="D118">
        <v>79.805978440000004</v>
      </c>
      <c r="E118">
        <v>65.652456700000002</v>
      </c>
      <c r="F118">
        <v>80</v>
      </c>
      <c r="G118">
        <v>84.61026828</v>
      </c>
      <c r="H118">
        <v>72.775631829999995</v>
      </c>
      <c r="I118">
        <v>59.159786439999998</v>
      </c>
    </row>
    <row r="119" spans="1:9" ht="14.25" customHeight="1" x14ac:dyDescent="0.3">
      <c r="A119" t="s">
        <v>253</v>
      </c>
      <c r="B119">
        <v>80.34552884</v>
      </c>
      <c r="C119">
        <v>62.739240709999997</v>
      </c>
      <c r="D119">
        <v>70</v>
      </c>
      <c r="E119">
        <v>71.707329759999993</v>
      </c>
      <c r="F119">
        <v>90.551502450000001</v>
      </c>
      <c r="G119">
        <v>73.246246720000002</v>
      </c>
      <c r="H119">
        <v>68.187310510000003</v>
      </c>
      <c r="I119">
        <v>57.124647430000003</v>
      </c>
    </row>
    <row r="120" spans="1:9" ht="14.25" customHeight="1" x14ac:dyDescent="0.3">
      <c r="A120" t="s">
        <v>255</v>
      </c>
      <c r="B120">
        <v>83.449529159999997</v>
      </c>
      <c r="C120">
        <v>78.852188859999998</v>
      </c>
      <c r="D120">
        <v>77.382151910000005</v>
      </c>
      <c r="E120">
        <v>69.692219300000005</v>
      </c>
      <c r="F120">
        <v>99.9</v>
      </c>
      <c r="G120">
        <v>81.456899519999993</v>
      </c>
      <c r="H120">
        <v>70.929750429999999</v>
      </c>
      <c r="I120">
        <v>62.309085959999997</v>
      </c>
    </row>
    <row r="121" spans="1:9" ht="14.25" customHeight="1" x14ac:dyDescent="0.3">
      <c r="A121" t="s">
        <v>257</v>
      </c>
      <c r="B121">
        <v>78.393661789999996</v>
      </c>
      <c r="C121">
        <v>66.027561309999996</v>
      </c>
      <c r="D121">
        <v>81.932877469999994</v>
      </c>
      <c r="E121">
        <v>61.224986309999998</v>
      </c>
      <c r="F121">
        <v>87.221036359999999</v>
      </c>
      <c r="G121">
        <v>81.589569499999996</v>
      </c>
      <c r="H121">
        <v>68.536849860000004</v>
      </c>
      <c r="I121">
        <v>56.961141179999998</v>
      </c>
    </row>
    <row r="122" spans="1:9" ht="14.25" customHeight="1" x14ac:dyDescent="0.3">
      <c r="A122" t="s">
        <v>259</v>
      </c>
      <c r="B122">
        <v>83.860455279999996</v>
      </c>
      <c r="C122">
        <v>66.979553330000002</v>
      </c>
      <c r="D122">
        <v>77.913166129999993</v>
      </c>
      <c r="E122">
        <v>62.70737226</v>
      </c>
      <c r="F122">
        <v>99.457873649999996</v>
      </c>
      <c r="G122">
        <v>78.914597229999998</v>
      </c>
      <c r="H122">
        <v>69.922667000000004</v>
      </c>
      <c r="I122">
        <v>52.478717549999999</v>
      </c>
    </row>
    <row r="123" spans="1:9" ht="14.25" customHeight="1" x14ac:dyDescent="0.3">
      <c r="A123" t="s">
        <v>261</v>
      </c>
      <c r="B123">
        <v>77.63082679</v>
      </c>
      <c r="C123">
        <v>60</v>
      </c>
      <c r="D123">
        <v>83.590013170000006</v>
      </c>
      <c r="E123">
        <v>58.183280850000003</v>
      </c>
      <c r="F123">
        <v>98.763581790000003</v>
      </c>
      <c r="G123">
        <v>82.784377719999995</v>
      </c>
      <c r="H123">
        <v>74.917754189999997</v>
      </c>
      <c r="I123">
        <v>55.624064230000002</v>
      </c>
    </row>
    <row r="124" spans="1:9" ht="14.25" customHeight="1" x14ac:dyDescent="0.3">
      <c r="A124" t="s">
        <v>263</v>
      </c>
      <c r="B124">
        <v>85.546968449999994</v>
      </c>
      <c r="C124">
        <v>73.295622719999997</v>
      </c>
      <c r="D124">
        <v>70.226863249999994</v>
      </c>
      <c r="E124">
        <v>68.154790640000002</v>
      </c>
      <c r="F124">
        <v>89.142822809999998</v>
      </c>
      <c r="G124">
        <v>73.723951659999997</v>
      </c>
      <c r="H124">
        <v>75.596978210000003</v>
      </c>
      <c r="I124">
        <v>60.421235729999999</v>
      </c>
    </row>
    <row r="125" spans="1:9" ht="14.25" customHeight="1" x14ac:dyDescent="0.3">
      <c r="A125" t="s">
        <v>265</v>
      </c>
      <c r="B125">
        <v>99.9</v>
      </c>
      <c r="C125">
        <v>67.711277359999997</v>
      </c>
      <c r="D125">
        <v>82.044590529999994</v>
      </c>
      <c r="E125">
        <v>62.117615110000003</v>
      </c>
      <c r="F125">
        <v>87.587564920000005</v>
      </c>
      <c r="G125">
        <v>81.378009180000006</v>
      </c>
      <c r="H125">
        <v>71.005991600000002</v>
      </c>
      <c r="I125">
        <v>63.269888520000002</v>
      </c>
    </row>
    <row r="126" spans="1:9" ht="14.25" customHeight="1" x14ac:dyDescent="0.3">
      <c r="A126" t="s">
        <v>267</v>
      </c>
      <c r="B126">
        <v>90.633831700000002</v>
      </c>
      <c r="C126">
        <v>68.235768719999996</v>
      </c>
      <c r="D126">
        <v>84.545534889999999</v>
      </c>
      <c r="E126">
        <v>71.394955870000004</v>
      </c>
      <c r="F126">
        <v>80</v>
      </c>
      <c r="G126">
        <v>85</v>
      </c>
      <c r="H126">
        <v>69.989077030000004</v>
      </c>
      <c r="I126">
        <v>54.039675410000001</v>
      </c>
    </row>
    <row r="127" spans="1:9" ht="14.25" customHeight="1" x14ac:dyDescent="0.3">
      <c r="A127" t="s">
        <v>269</v>
      </c>
      <c r="B127">
        <v>94.712903179999998</v>
      </c>
      <c r="C127">
        <v>66.679473400000006</v>
      </c>
      <c r="D127">
        <v>76.158257579999997</v>
      </c>
      <c r="E127">
        <v>68.843485909999998</v>
      </c>
      <c r="F127">
        <v>84.493498369999998</v>
      </c>
      <c r="G127">
        <v>80.262444700000003</v>
      </c>
      <c r="H127">
        <v>72.048100509999998</v>
      </c>
      <c r="I127">
        <v>69.210919700000005</v>
      </c>
    </row>
    <row r="128" spans="1:9" ht="14.25" customHeight="1" x14ac:dyDescent="0.3">
      <c r="A128" t="s">
        <v>271</v>
      </c>
      <c r="B128">
        <v>79.739079559999993</v>
      </c>
      <c r="C128">
        <v>67.614747249999994</v>
      </c>
      <c r="D128">
        <v>74.116830480000004</v>
      </c>
      <c r="E128">
        <v>63.307747569999997</v>
      </c>
      <c r="F128">
        <v>86.34307613</v>
      </c>
      <c r="G128">
        <v>81.214236720000002</v>
      </c>
      <c r="H128">
        <v>66.884504440000001</v>
      </c>
      <c r="I128">
        <v>54.362441760000003</v>
      </c>
    </row>
    <row r="129" spans="1:9" ht="14.25" customHeight="1" x14ac:dyDescent="0.3">
      <c r="A129" t="s">
        <v>273</v>
      </c>
      <c r="B129">
        <v>85.436774540000002</v>
      </c>
      <c r="C129">
        <v>60</v>
      </c>
      <c r="D129">
        <v>80.753416779999995</v>
      </c>
      <c r="E129">
        <v>64.050823510000001</v>
      </c>
      <c r="F129">
        <v>86.101359849999994</v>
      </c>
      <c r="G129">
        <v>76.611816050000002</v>
      </c>
      <c r="H129">
        <v>66.862879430000007</v>
      </c>
      <c r="I129">
        <v>51.229871680000002</v>
      </c>
    </row>
    <row r="130" spans="1:9" ht="14.25" customHeight="1" x14ac:dyDescent="0.3">
      <c r="A130" t="s">
        <v>275</v>
      </c>
      <c r="B130">
        <v>78.565185360000001</v>
      </c>
      <c r="C130">
        <v>65.116616339999993</v>
      </c>
      <c r="D130">
        <v>76.897090689999999</v>
      </c>
      <c r="E130">
        <v>67.76487693</v>
      </c>
      <c r="F130">
        <v>92.690855209999995</v>
      </c>
      <c r="G130">
        <v>73.429272760000003</v>
      </c>
      <c r="H130">
        <v>74.597231809999997</v>
      </c>
      <c r="I130">
        <v>63.813843949999999</v>
      </c>
    </row>
    <row r="131" spans="1:9" ht="14.25" customHeight="1" x14ac:dyDescent="0.3">
      <c r="A131" t="s">
        <v>277</v>
      </c>
      <c r="B131">
        <v>81.235271370000007</v>
      </c>
      <c r="C131">
        <v>60</v>
      </c>
      <c r="D131">
        <v>70</v>
      </c>
      <c r="E131">
        <v>75</v>
      </c>
      <c r="F131">
        <v>86.337643979999996</v>
      </c>
      <c r="G131">
        <v>72.098316030000007</v>
      </c>
      <c r="H131">
        <v>69.526521310000007</v>
      </c>
      <c r="I131">
        <v>51.51578997</v>
      </c>
    </row>
    <row r="132" spans="1:9" ht="14.25" customHeight="1" x14ac:dyDescent="0.3">
      <c r="A132" t="s">
        <v>280</v>
      </c>
      <c r="B132">
        <v>85.489238459999996</v>
      </c>
      <c r="C132">
        <v>62.334472650000002</v>
      </c>
      <c r="D132">
        <v>80.819061579999996</v>
      </c>
      <c r="E132">
        <v>66.962604880000001</v>
      </c>
      <c r="F132">
        <v>81.869441449999997</v>
      </c>
      <c r="G132">
        <v>79.286583140000005</v>
      </c>
      <c r="H132">
        <v>74.627422339999995</v>
      </c>
      <c r="I132">
        <v>58.102692279999999</v>
      </c>
    </row>
    <row r="133" spans="1:9" ht="14.25" customHeight="1" x14ac:dyDescent="0.3">
      <c r="A133" t="s">
        <v>282</v>
      </c>
      <c r="B133">
        <v>83.908405400000007</v>
      </c>
      <c r="C133">
        <v>73.382811239999995</v>
      </c>
      <c r="D133">
        <v>79.970282580000003</v>
      </c>
      <c r="E133">
        <v>70.971136979999997</v>
      </c>
      <c r="F133">
        <v>95.664048289999997</v>
      </c>
      <c r="G133">
        <v>83.57676773</v>
      </c>
      <c r="H133">
        <v>68.81539884</v>
      </c>
      <c r="I133">
        <v>59.593124060000001</v>
      </c>
    </row>
    <row r="134" spans="1:9" ht="14.25" customHeight="1" x14ac:dyDescent="0.3">
      <c r="A134" t="s">
        <v>284</v>
      </c>
      <c r="B134">
        <v>80.935797320000006</v>
      </c>
      <c r="C134">
        <v>65.618215190000001</v>
      </c>
      <c r="D134">
        <v>90</v>
      </c>
      <c r="E134">
        <v>63.715516620000002</v>
      </c>
      <c r="F134">
        <v>81.66721253</v>
      </c>
      <c r="G134">
        <v>82.925443110000003</v>
      </c>
      <c r="H134">
        <v>71.117185829999997</v>
      </c>
      <c r="I134">
        <v>62.126310539999999</v>
      </c>
    </row>
    <row r="135" spans="1:9" ht="14.25" customHeight="1" x14ac:dyDescent="0.3">
      <c r="A135" t="s">
        <v>286</v>
      </c>
      <c r="B135">
        <v>90.172266250000007</v>
      </c>
      <c r="C135">
        <v>65.009218959999998</v>
      </c>
      <c r="D135">
        <v>82.859036709999998</v>
      </c>
      <c r="E135">
        <v>67.454859299999995</v>
      </c>
      <c r="F135">
        <v>86.233391150000003</v>
      </c>
      <c r="G135">
        <v>80.724685019999995</v>
      </c>
      <c r="H135">
        <v>74.123948540000001</v>
      </c>
      <c r="I135">
        <v>70</v>
      </c>
    </row>
    <row r="136" spans="1:9" ht="14.25" customHeight="1" x14ac:dyDescent="0.3">
      <c r="A136" t="s">
        <v>288</v>
      </c>
      <c r="B136">
        <v>93.131461020000003</v>
      </c>
      <c r="C136">
        <v>73.457842729999996</v>
      </c>
      <c r="D136">
        <v>70</v>
      </c>
      <c r="E136">
        <v>69.262207250000003</v>
      </c>
      <c r="F136">
        <v>91.383665590000007</v>
      </c>
      <c r="G136">
        <v>78.178579869999993</v>
      </c>
      <c r="H136">
        <v>69.309953579999998</v>
      </c>
      <c r="I136">
        <v>54.644854420000001</v>
      </c>
    </row>
    <row r="137" spans="1:9" ht="14.25" customHeight="1" x14ac:dyDescent="0.3">
      <c r="A137" t="s">
        <v>290</v>
      </c>
      <c r="B137">
        <v>82.269599650000004</v>
      </c>
      <c r="C137">
        <v>67.848530449999998</v>
      </c>
      <c r="D137">
        <v>80.438034029999997</v>
      </c>
      <c r="E137">
        <v>64.755455339999997</v>
      </c>
      <c r="F137">
        <v>98.566274070000006</v>
      </c>
      <c r="G137">
        <v>81.23645046</v>
      </c>
      <c r="H137">
        <v>75.898684410000001</v>
      </c>
      <c r="I137">
        <v>64.644825109999999</v>
      </c>
    </row>
    <row r="138" spans="1:9" ht="14.25" customHeight="1" x14ac:dyDescent="0.3">
      <c r="A138" t="s">
        <v>292</v>
      </c>
      <c r="B138">
        <v>84.856100299999994</v>
      </c>
      <c r="C138">
        <v>61.275485320000001</v>
      </c>
      <c r="D138">
        <v>81.752542969999993</v>
      </c>
      <c r="E138">
        <v>70.288108980000004</v>
      </c>
      <c r="F138">
        <v>89.668311779999996</v>
      </c>
      <c r="G138">
        <v>77.915398940000003</v>
      </c>
      <c r="H138">
        <v>73.507412000000002</v>
      </c>
      <c r="I138">
        <v>62.73240328</v>
      </c>
    </row>
    <row r="139" spans="1:9" ht="14.25" customHeight="1" x14ac:dyDescent="0.3">
      <c r="A139" t="s">
        <v>294</v>
      </c>
      <c r="B139">
        <v>80.305808839999997</v>
      </c>
      <c r="C139">
        <v>71.289224570000002</v>
      </c>
      <c r="D139">
        <v>74.345784969999997</v>
      </c>
      <c r="E139">
        <v>62.418456169999999</v>
      </c>
      <c r="F139">
        <v>87.649681169999994</v>
      </c>
      <c r="G139">
        <v>83.470184880000005</v>
      </c>
      <c r="H139">
        <v>74.551782299999999</v>
      </c>
      <c r="I139">
        <v>55.780609609999999</v>
      </c>
    </row>
    <row r="140" spans="1:9" ht="14.25" customHeight="1" x14ac:dyDescent="0.3">
      <c r="A140" t="s">
        <v>296</v>
      </c>
      <c r="B140">
        <v>86.30689898</v>
      </c>
      <c r="C140">
        <v>74.824071410000002</v>
      </c>
      <c r="D140">
        <v>85.650518840000004</v>
      </c>
      <c r="E140">
        <v>64.582053340000002</v>
      </c>
      <c r="F140">
        <v>84.93946219</v>
      </c>
      <c r="G140">
        <v>77.46506814</v>
      </c>
      <c r="H140">
        <v>67.243083380000002</v>
      </c>
      <c r="I140">
        <v>69.1765659</v>
      </c>
    </row>
    <row r="141" spans="1:9" ht="14.25" customHeight="1" x14ac:dyDescent="0.3">
      <c r="A141" t="s">
        <v>298</v>
      </c>
      <c r="B141">
        <v>94.427836659999997</v>
      </c>
      <c r="C141">
        <v>67.323771350000001</v>
      </c>
      <c r="D141">
        <v>79.981106949999997</v>
      </c>
      <c r="E141">
        <v>69.614550690000002</v>
      </c>
      <c r="F141">
        <v>97.507492360000001</v>
      </c>
      <c r="G141">
        <v>80.70020753</v>
      </c>
      <c r="H141">
        <v>71.905789130000002</v>
      </c>
      <c r="I141">
        <v>59.053070339999998</v>
      </c>
    </row>
    <row r="142" spans="1:9" ht="14.25" customHeight="1" x14ac:dyDescent="0.3">
      <c r="A142" t="s">
        <v>300</v>
      </c>
      <c r="B142">
        <v>81.091962100000003</v>
      </c>
      <c r="C142">
        <v>73.226835370000003</v>
      </c>
      <c r="D142">
        <v>72.941413109999999</v>
      </c>
      <c r="E142">
        <v>75</v>
      </c>
      <c r="F142">
        <v>82.223602080000006</v>
      </c>
      <c r="G142">
        <v>70.15154081</v>
      </c>
      <c r="H142">
        <v>71.840706670000003</v>
      </c>
      <c r="I142">
        <v>68.745965999999996</v>
      </c>
    </row>
    <row r="143" spans="1:9" ht="14.25" customHeight="1" x14ac:dyDescent="0.3">
      <c r="A143" t="s">
        <v>302</v>
      </c>
      <c r="B143">
        <v>85.543475029999996</v>
      </c>
      <c r="C143">
        <v>76.111300580000005</v>
      </c>
      <c r="D143">
        <v>89.18502101</v>
      </c>
      <c r="E143">
        <v>73.247659479999996</v>
      </c>
      <c r="F143">
        <v>97.670537390000007</v>
      </c>
      <c r="G143">
        <v>85</v>
      </c>
      <c r="H143">
        <v>69.196137149999998</v>
      </c>
      <c r="I143">
        <v>59.568981700000002</v>
      </c>
    </row>
    <row r="144" spans="1:9" ht="14.25" customHeight="1" x14ac:dyDescent="0.3">
      <c r="A144" t="s">
        <v>304</v>
      </c>
      <c r="B144">
        <v>81.633178659999999</v>
      </c>
      <c r="C144">
        <v>70.759167880000007</v>
      </c>
      <c r="D144">
        <v>78.079108629999993</v>
      </c>
      <c r="E144">
        <v>69.349193499999998</v>
      </c>
      <c r="F144">
        <v>94.081621190000007</v>
      </c>
      <c r="G144">
        <v>82.199024750000007</v>
      </c>
      <c r="H144">
        <v>72.547724590000001</v>
      </c>
      <c r="I144">
        <v>60.93438544</v>
      </c>
    </row>
    <row r="145" spans="1:9" ht="14.25" customHeight="1" x14ac:dyDescent="0.3">
      <c r="A145" t="s">
        <v>306</v>
      </c>
      <c r="B145">
        <v>84.213273040000004</v>
      </c>
      <c r="C145">
        <v>73.905017189999995</v>
      </c>
      <c r="D145">
        <v>71.871827960000005</v>
      </c>
      <c r="E145">
        <v>68.496292449999999</v>
      </c>
      <c r="F145">
        <v>82.033476379999996</v>
      </c>
      <c r="G145">
        <v>77.531044879999996</v>
      </c>
      <c r="H145">
        <v>69.868586309999998</v>
      </c>
      <c r="I145">
        <v>50</v>
      </c>
    </row>
    <row r="146" spans="1:9" ht="14.25" customHeight="1" x14ac:dyDescent="0.3">
      <c r="A146" t="s">
        <v>308</v>
      </c>
      <c r="B146">
        <v>78.43692197</v>
      </c>
      <c r="C146">
        <v>71.179829229999996</v>
      </c>
      <c r="D146">
        <v>78.060428999999999</v>
      </c>
      <c r="E146">
        <v>67.291805640000007</v>
      </c>
      <c r="F146">
        <v>99.9</v>
      </c>
      <c r="G146">
        <v>80.365039460000006</v>
      </c>
      <c r="H146">
        <v>72.065888240000007</v>
      </c>
      <c r="I146">
        <v>60.77510667</v>
      </c>
    </row>
    <row r="147" spans="1:9" ht="14.25" customHeight="1" x14ac:dyDescent="0.3">
      <c r="A147" t="s">
        <v>310</v>
      </c>
      <c r="B147">
        <v>89.170008229999993</v>
      </c>
      <c r="C147">
        <v>71.308076470000003</v>
      </c>
      <c r="D147">
        <v>73.918545170000002</v>
      </c>
      <c r="E147">
        <v>66.252701360000003</v>
      </c>
      <c r="F147">
        <v>95.017844980000007</v>
      </c>
      <c r="G147">
        <v>72.035925989999996</v>
      </c>
      <c r="H147">
        <v>75.288172880000005</v>
      </c>
      <c r="I147">
        <v>57.780846840000002</v>
      </c>
    </row>
    <row r="148" spans="1:9" ht="14.25" customHeight="1" x14ac:dyDescent="0.3">
      <c r="A148" t="s">
        <v>312</v>
      </c>
      <c r="B148">
        <v>78.226000839999998</v>
      </c>
      <c r="C148">
        <v>77.707509580000007</v>
      </c>
      <c r="D148">
        <v>74.481758999999997</v>
      </c>
      <c r="E148">
        <v>60.757494319999999</v>
      </c>
      <c r="F148">
        <v>80.523243480000005</v>
      </c>
      <c r="G148">
        <v>76.829893440000006</v>
      </c>
      <c r="H148">
        <v>72.844168359999998</v>
      </c>
      <c r="I148">
        <v>52.508756939999998</v>
      </c>
    </row>
    <row r="149" spans="1:9" ht="14.25" customHeight="1" x14ac:dyDescent="0.3">
      <c r="A149" t="s">
        <v>314</v>
      </c>
      <c r="B149">
        <v>96.753519729999994</v>
      </c>
      <c r="C149">
        <v>65.960917850000001</v>
      </c>
      <c r="D149">
        <v>74.478655110000005</v>
      </c>
      <c r="E149">
        <v>66.619925530000003</v>
      </c>
      <c r="F149">
        <v>94.132427250000006</v>
      </c>
      <c r="G149">
        <v>77.714374989999996</v>
      </c>
      <c r="H149">
        <v>71.59985537</v>
      </c>
      <c r="I149">
        <v>65.42788607</v>
      </c>
    </row>
    <row r="150" spans="1:9" ht="14.25" customHeight="1" x14ac:dyDescent="0.3">
      <c r="A150" t="s">
        <v>316</v>
      </c>
      <c r="B150">
        <v>94.624437279999995</v>
      </c>
      <c r="C150">
        <v>72.761120919999996</v>
      </c>
      <c r="D150">
        <v>87.744439259999993</v>
      </c>
      <c r="E150">
        <v>61.259956090000003</v>
      </c>
      <c r="F150">
        <v>82.396114679999997</v>
      </c>
      <c r="G150">
        <v>80.197186970000004</v>
      </c>
      <c r="H150">
        <v>66.144334720000003</v>
      </c>
      <c r="I150">
        <v>69.16010172</v>
      </c>
    </row>
    <row r="151" spans="1:9" ht="14.25" customHeight="1" x14ac:dyDescent="0.3">
      <c r="A151" t="s">
        <v>318</v>
      </c>
      <c r="B151">
        <v>87.373678979999994</v>
      </c>
      <c r="C151">
        <v>70.218469159999998</v>
      </c>
      <c r="D151">
        <v>70</v>
      </c>
      <c r="E151">
        <v>69.305569689999999</v>
      </c>
      <c r="F151">
        <v>96.081286939999998</v>
      </c>
      <c r="G151">
        <v>75.448570889999999</v>
      </c>
      <c r="H151">
        <v>67.398668299999997</v>
      </c>
      <c r="I151">
        <v>51.139518279999997</v>
      </c>
    </row>
    <row r="152" spans="1:9" ht="14.25" customHeight="1" x14ac:dyDescent="0.3">
      <c r="A152" t="s">
        <v>320</v>
      </c>
      <c r="B152">
        <v>85.367464339999998</v>
      </c>
      <c r="C152">
        <v>71.143816990000005</v>
      </c>
      <c r="D152">
        <v>82.807671159999998</v>
      </c>
      <c r="E152">
        <v>63.847245129999997</v>
      </c>
      <c r="F152">
        <v>83.537504350000006</v>
      </c>
      <c r="G152">
        <v>75.905087210000005</v>
      </c>
      <c r="H152">
        <v>67.527540259999995</v>
      </c>
      <c r="I152">
        <v>51.655736589999997</v>
      </c>
    </row>
    <row r="153" spans="1:9" ht="14.25" customHeight="1" x14ac:dyDescent="0.3">
      <c r="A153" t="s">
        <v>322</v>
      </c>
      <c r="B153">
        <v>82.905757859999994</v>
      </c>
      <c r="C153">
        <v>70.478375369999995</v>
      </c>
      <c r="D153">
        <v>80.471397609999997</v>
      </c>
      <c r="E153">
        <v>56.170812820000002</v>
      </c>
      <c r="F153">
        <v>80</v>
      </c>
      <c r="G153">
        <v>81.953759930000004</v>
      </c>
      <c r="H153">
        <v>76.435945610000005</v>
      </c>
      <c r="I153">
        <v>58.082969759999997</v>
      </c>
    </row>
    <row r="154" spans="1:9" ht="14.25" customHeight="1" x14ac:dyDescent="0.3">
      <c r="A154" t="s">
        <v>324</v>
      </c>
      <c r="B154">
        <v>81.9581132</v>
      </c>
      <c r="C154">
        <v>62.050094039999998</v>
      </c>
      <c r="D154">
        <v>71.894139379999999</v>
      </c>
      <c r="E154">
        <v>70.278182670000007</v>
      </c>
      <c r="F154">
        <v>93.185819690000002</v>
      </c>
      <c r="G154">
        <v>75.075051070000001</v>
      </c>
      <c r="H154">
        <v>79.033799689999995</v>
      </c>
      <c r="I154">
        <v>66.536454550000002</v>
      </c>
    </row>
    <row r="155" spans="1:9" ht="14.25" customHeight="1" x14ac:dyDescent="0.3">
      <c r="A155" t="s">
        <v>326</v>
      </c>
      <c r="B155">
        <v>87.194615089999999</v>
      </c>
      <c r="C155">
        <v>72.447946400000006</v>
      </c>
      <c r="D155">
        <v>84.527977430000007</v>
      </c>
      <c r="E155">
        <v>64.328422309999993</v>
      </c>
      <c r="F155">
        <v>94.943813809999995</v>
      </c>
      <c r="G155">
        <v>71.29061514</v>
      </c>
      <c r="H155">
        <v>71.366686349999995</v>
      </c>
      <c r="I155">
        <v>57.263879529999997</v>
      </c>
    </row>
    <row r="156" spans="1:9" ht="14.25" customHeight="1" x14ac:dyDescent="0.3">
      <c r="A156" t="s">
        <v>328</v>
      </c>
      <c r="B156">
        <v>86.532916200000003</v>
      </c>
      <c r="C156">
        <v>62.901995130000003</v>
      </c>
      <c r="D156">
        <v>70</v>
      </c>
      <c r="E156">
        <v>73.566627010000005</v>
      </c>
      <c r="F156">
        <v>91.126777279999999</v>
      </c>
      <c r="G156">
        <v>73.81585887</v>
      </c>
      <c r="H156">
        <v>70.767921540000003</v>
      </c>
      <c r="I156">
        <v>55.864537409999997</v>
      </c>
    </row>
    <row r="157" spans="1:9" ht="14.25" customHeight="1" x14ac:dyDescent="0.3">
      <c r="A157" t="s">
        <v>330</v>
      </c>
      <c r="B157">
        <v>86.516388070000005</v>
      </c>
      <c r="C157">
        <v>66.3917249</v>
      </c>
      <c r="D157">
        <v>73.118028940000002</v>
      </c>
      <c r="E157">
        <v>63.919637100000003</v>
      </c>
      <c r="F157">
        <v>89.379508659999999</v>
      </c>
      <c r="G157">
        <v>84.790553320000001</v>
      </c>
      <c r="H157">
        <v>75.467013449999996</v>
      </c>
      <c r="I157">
        <v>63.774118420000001</v>
      </c>
    </row>
    <row r="158" spans="1:9" ht="14.25" customHeight="1" x14ac:dyDescent="0.3">
      <c r="A158" t="s">
        <v>332</v>
      </c>
      <c r="B158">
        <v>85.481784610000005</v>
      </c>
      <c r="C158">
        <v>70.249937450000004</v>
      </c>
      <c r="D158">
        <v>73.395198019999995</v>
      </c>
      <c r="E158">
        <v>66.227163730000001</v>
      </c>
      <c r="F158">
        <v>95.166705339999993</v>
      </c>
      <c r="G158">
        <v>74.615979010000004</v>
      </c>
      <c r="H158">
        <v>67.114601789999995</v>
      </c>
      <c r="I158">
        <v>56.091241519999997</v>
      </c>
    </row>
    <row r="159" spans="1:9" ht="14.25" customHeight="1" x14ac:dyDescent="0.3">
      <c r="A159" t="s">
        <v>334</v>
      </c>
      <c r="B159">
        <v>83.941666850000004</v>
      </c>
      <c r="C159">
        <v>69.994123729999998</v>
      </c>
      <c r="D159">
        <v>70.0312184</v>
      </c>
      <c r="E159">
        <v>67.190813539999994</v>
      </c>
      <c r="F159">
        <v>91.184334410000005</v>
      </c>
      <c r="G159">
        <v>82.766668199999998</v>
      </c>
      <c r="H159">
        <v>65.638310950000005</v>
      </c>
      <c r="I159">
        <v>55.206648010000002</v>
      </c>
    </row>
    <row r="160" spans="1:9" ht="14.25" customHeight="1" x14ac:dyDescent="0.3">
      <c r="A160" t="s">
        <v>336</v>
      </c>
      <c r="B160">
        <v>90.330020489999995</v>
      </c>
      <c r="C160">
        <v>64.56933257</v>
      </c>
      <c r="D160">
        <v>79.934705730000005</v>
      </c>
      <c r="E160">
        <v>69.433572330000004</v>
      </c>
      <c r="F160">
        <v>90.128236849999993</v>
      </c>
      <c r="G160">
        <v>85</v>
      </c>
      <c r="H160">
        <v>73.65202755</v>
      </c>
      <c r="I160">
        <v>58.579985129999997</v>
      </c>
    </row>
    <row r="161" spans="1:9" ht="14.25" customHeight="1" x14ac:dyDescent="0.3">
      <c r="A161" t="s">
        <v>338</v>
      </c>
      <c r="B161">
        <v>91.885192680000003</v>
      </c>
      <c r="C161">
        <v>60</v>
      </c>
      <c r="D161">
        <v>70</v>
      </c>
      <c r="E161">
        <v>61.450680820000002</v>
      </c>
      <c r="F161">
        <v>93.825520109999999</v>
      </c>
      <c r="G161">
        <v>85</v>
      </c>
      <c r="H161">
        <v>76.251117390000005</v>
      </c>
      <c r="I161">
        <v>53.939248419999998</v>
      </c>
    </row>
    <row r="162" spans="1:9" ht="14.25" customHeight="1" x14ac:dyDescent="0.3">
      <c r="A162" t="s">
        <v>340</v>
      </c>
      <c r="B162">
        <v>76.288659499999994</v>
      </c>
      <c r="C162">
        <v>64.494677850000002</v>
      </c>
      <c r="D162">
        <v>79.857006929999997</v>
      </c>
      <c r="E162">
        <v>68.454356730000001</v>
      </c>
      <c r="F162">
        <v>88.162290409999997</v>
      </c>
      <c r="G162">
        <v>80.877185900000001</v>
      </c>
      <c r="H162">
        <v>74.696826040000005</v>
      </c>
      <c r="I162">
        <v>51.637114709999999</v>
      </c>
    </row>
    <row r="163" spans="1:9" ht="14.25" customHeight="1" x14ac:dyDescent="0.3">
      <c r="A163" t="s">
        <v>342</v>
      </c>
      <c r="B163">
        <v>85.832829320000002</v>
      </c>
      <c r="C163">
        <v>63.451296259999999</v>
      </c>
      <c r="D163">
        <v>77.163394049999994</v>
      </c>
      <c r="E163">
        <v>57.285886640000001</v>
      </c>
      <c r="F163">
        <v>92.789067779999996</v>
      </c>
      <c r="G163">
        <v>69.467395409999995</v>
      </c>
      <c r="H163">
        <v>74.818571559999995</v>
      </c>
      <c r="I163">
        <v>59.366540639999997</v>
      </c>
    </row>
    <row r="164" spans="1:9" ht="14.25" customHeight="1" x14ac:dyDescent="0.3">
      <c r="A164" t="s">
        <v>344</v>
      </c>
      <c r="B164">
        <v>75</v>
      </c>
      <c r="C164">
        <v>74.191244310000002</v>
      </c>
      <c r="D164">
        <v>70</v>
      </c>
      <c r="E164">
        <v>59.668114060000001</v>
      </c>
      <c r="F164">
        <v>83.982186600000006</v>
      </c>
      <c r="G164">
        <v>81.074048989999994</v>
      </c>
      <c r="H164">
        <v>69.972631899999996</v>
      </c>
      <c r="I164">
        <v>66.997141060000004</v>
      </c>
    </row>
    <row r="165" spans="1:9" ht="14.25" customHeight="1" x14ac:dyDescent="0.3">
      <c r="A165" t="s">
        <v>346</v>
      </c>
      <c r="B165">
        <v>80.445408319999999</v>
      </c>
      <c r="C165">
        <v>70.112944959999993</v>
      </c>
      <c r="D165">
        <v>80.080595500000001</v>
      </c>
      <c r="E165">
        <v>66.474027699999994</v>
      </c>
      <c r="F165">
        <v>87.027775599999998</v>
      </c>
      <c r="G165">
        <v>85</v>
      </c>
      <c r="H165">
        <v>67.528348870000002</v>
      </c>
      <c r="I165">
        <v>64.233054100000004</v>
      </c>
    </row>
    <row r="166" spans="1:9" ht="14.25" customHeight="1" x14ac:dyDescent="0.3">
      <c r="A166" t="s">
        <v>348</v>
      </c>
      <c r="B166">
        <v>81.399019499999994</v>
      </c>
      <c r="C166">
        <v>60.172979230000003</v>
      </c>
      <c r="D166">
        <v>71.935692529999997</v>
      </c>
      <c r="E166">
        <v>70.157111490000005</v>
      </c>
      <c r="F166">
        <v>87.334788540000005</v>
      </c>
      <c r="G166">
        <v>75.039760380000004</v>
      </c>
      <c r="H166">
        <v>69.955961180000003</v>
      </c>
      <c r="I166">
        <v>69.021732349999994</v>
      </c>
    </row>
    <row r="167" spans="1:9" ht="14.25" customHeight="1" x14ac:dyDescent="0.3">
      <c r="A167" t="s">
        <v>350</v>
      </c>
      <c r="B167">
        <v>83.111294889999996</v>
      </c>
      <c r="C167">
        <v>63.980648479999999</v>
      </c>
      <c r="D167">
        <v>75.792509949999996</v>
      </c>
      <c r="E167">
        <v>68.500586699999999</v>
      </c>
      <c r="F167">
        <v>93.081434439999995</v>
      </c>
      <c r="G167">
        <v>65.229461810000004</v>
      </c>
      <c r="H167">
        <v>72.810185820000001</v>
      </c>
      <c r="I167">
        <v>64.638923500000004</v>
      </c>
    </row>
    <row r="168" spans="1:9" ht="14.25" customHeight="1" x14ac:dyDescent="0.3">
      <c r="A168" t="s">
        <v>352</v>
      </c>
      <c r="B168">
        <v>84.311992259999997</v>
      </c>
      <c r="C168">
        <v>75.343547939999993</v>
      </c>
      <c r="D168">
        <v>76.98518661</v>
      </c>
      <c r="E168">
        <v>64.161263759999997</v>
      </c>
      <c r="F168">
        <v>92.650708019999996</v>
      </c>
      <c r="G168">
        <v>85</v>
      </c>
      <c r="H168">
        <v>65</v>
      </c>
      <c r="I168">
        <v>62.165580120000001</v>
      </c>
    </row>
    <row r="169" spans="1:9" ht="14.25" customHeight="1" x14ac:dyDescent="0.3">
      <c r="A169" t="s">
        <v>354</v>
      </c>
      <c r="B169">
        <v>93.57099504</v>
      </c>
      <c r="C169">
        <v>63.61889223</v>
      </c>
      <c r="D169">
        <v>83.213938209999995</v>
      </c>
      <c r="E169">
        <v>56.929064769999997</v>
      </c>
      <c r="F169">
        <v>84.134326299999998</v>
      </c>
      <c r="G169">
        <v>76.916155660000001</v>
      </c>
      <c r="H169">
        <v>71.926923790000004</v>
      </c>
      <c r="I169">
        <v>50</v>
      </c>
    </row>
    <row r="170" spans="1:9" ht="14.25" customHeight="1" x14ac:dyDescent="0.3">
      <c r="A170" t="s">
        <v>356</v>
      </c>
      <c r="B170">
        <v>84.141466399999999</v>
      </c>
      <c r="C170">
        <v>78.461478400000004</v>
      </c>
      <c r="D170">
        <v>72.802066960000005</v>
      </c>
      <c r="E170">
        <v>68.298338979999997</v>
      </c>
      <c r="F170">
        <v>99.9</v>
      </c>
      <c r="G170">
        <v>74.639370540000002</v>
      </c>
      <c r="H170">
        <v>65</v>
      </c>
      <c r="I170">
        <v>60.599092589999998</v>
      </c>
    </row>
    <row r="171" spans="1:9" ht="14.25" customHeight="1" x14ac:dyDescent="0.3">
      <c r="A171" t="s">
        <v>358</v>
      </c>
      <c r="B171">
        <v>86.370312209999994</v>
      </c>
      <c r="C171">
        <v>74.037704730000002</v>
      </c>
      <c r="D171">
        <v>76.135645010000005</v>
      </c>
      <c r="E171">
        <v>64.268718820000004</v>
      </c>
      <c r="F171">
        <v>81.264458469999994</v>
      </c>
      <c r="G171">
        <v>79.597225800000004</v>
      </c>
      <c r="H171">
        <v>77.992151649999997</v>
      </c>
      <c r="I171">
        <v>50.908587519999998</v>
      </c>
    </row>
    <row r="172" spans="1:9" ht="14.25" customHeight="1" x14ac:dyDescent="0.3">
      <c r="A172" t="s">
        <v>360</v>
      </c>
      <c r="B172">
        <v>84.560327189999995</v>
      </c>
      <c r="C172">
        <v>69.070561530000006</v>
      </c>
      <c r="D172">
        <v>76.631235489999995</v>
      </c>
      <c r="E172">
        <v>67.728060619999994</v>
      </c>
      <c r="F172">
        <v>95.410822490000001</v>
      </c>
      <c r="G172">
        <v>85</v>
      </c>
      <c r="H172">
        <v>71.291920899999994</v>
      </c>
      <c r="I172">
        <v>62.12483967</v>
      </c>
    </row>
    <row r="173" spans="1:9" ht="14.25" customHeight="1" x14ac:dyDescent="0.3">
      <c r="A173" t="s">
        <v>362</v>
      </c>
      <c r="B173">
        <v>80.748358069999995</v>
      </c>
      <c r="C173">
        <v>80</v>
      </c>
      <c r="D173">
        <v>70</v>
      </c>
      <c r="E173">
        <v>63.476688179999996</v>
      </c>
      <c r="F173">
        <v>87.713670780000001</v>
      </c>
      <c r="G173">
        <v>83.111586990000006</v>
      </c>
      <c r="H173">
        <v>68.279577059999994</v>
      </c>
      <c r="I173">
        <v>62.34372329</v>
      </c>
    </row>
    <row r="174" spans="1:9" ht="14.25" customHeight="1" x14ac:dyDescent="0.3">
      <c r="A174" t="s">
        <v>364</v>
      </c>
      <c r="B174">
        <v>94.883574390000007</v>
      </c>
      <c r="C174">
        <v>70.207143889999998</v>
      </c>
      <c r="D174">
        <v>75.299082220000003</v>
      </c>
      <c r="E174">
        <v>73.97692936</v>
      </c>
      <c r="F174">
        <v>94.744477840000002</v>
      </c>
      <c r="G174">
        <v>85</v>
      </c>
      <c r="H174">
        <v>71.701559380000006</v>
      </c>
      <c r="I174">
        <v>69.227719089999994</v>
      </c>
    </row>
    <row r="175" spans="1:9" ht="14.25" customHeight="1" x14ac:dyDescent="0.3">
      <c r="A175" t="s">
        <v>366</v>
      </c>
      <c r="B175">
        <v>83.094271250000006</v>
      </c>
      <c r="C175">
        <v>64.492443530000003</v>
      </c>
      <c r="D175">
        <v>78.019413520000001</v>
      </c>
      <c r="E175">
        <v>67.837452350000007</v>
      </c>
      <c r="F175">
        <v>89.934420320000001</v>
      </c>
      <c r="G175">
        <v>76.941657820000003</v>
      </c>
      <c r="H175">
        <v>69.326993860000002</v>
      </c>
      <c r="I175">
        <v>53.554494949999999</v>
      </c>
    </row>
    <row r="176" spans="1:9" ht="14.25" customHeight="1" x14ac:dyDescent="0.3">
      <c r="A176" t="s">
        <v>368</v>
      </c>
      <c r="B176">
        <v>91.261103599999998</v>
      </c>
      <c r="C176">
        <v>65.008711989999995</v>
      </c>
      <c r="D176">
        <v>74.157482369999997</v>
      </c>
      <c r="E176">
        <v>71.24109009</v>
      </c>
      <c r="F176">
        <v>81.385764839999993</v>
      </c>
      <c r="G176">
        <v>80.769353159999994</v>
      </c>
      <c r="H176">
        <v>77.482465259999998</v>
      </c>
      <c r="I176">
        <v>52.774391569999999</v>
      </c>
    </row>
    <row r="177" spans="1:9" ht="14.25" customHeight="1" x14ac:dyDescent="0.3">
      <c r="A177" t="s">
        <v>371</v>
      </c>
      <c r="B177">
        <v>84.979553780000003</v>
      </c>
      <c r="C177">
        <v>66.490627869999997</v>
      </c>
      <c r="D177">
        <v>79.154959939999998</v>
      </c>
      <c r="E177">
        <v>67.367067739999996</v>
      </c>
      <c r="F177">
        <v>94.978111659999996</v>
      </c>
      <c r="G177">
        <v>81.775970999999998</v>
      </c>
      <c r="H177">
        <v>76.116478839999999</v>
      </c>
      <c r="I177">
        <v>55.368677480000002</v>
      </c>
    </row>
    <row r="178" spans="1:9" ht="14.25" customHeight="1" x14ac:dyDescent="0.3">
      <c r="A178" t="s">
        <v>373</v>
      </c>
      <c r="B178">
        <v>82.473481309999997</v>
      </c>
      <c r="C178">
        <v>73.08138769</v>
      </c>
      <c r="D178">
        <v>75.516795590000001</v>
      </c>
      <c r="E178">
        <v>62.172823630000003</v>
      </c>
      <c r="F178">
        <v>88.675771019999999</v>
      </c>
      <c r="G178">
        <v>79.434682330000001</v>
      </c>
      <c r="H178">
        <v>72.739820609999995</v>
      </c>
      <c r="I178">
        <v>59.379049639999998</v>
      </c>
    </row>
    <row r="179" spans="1:9" ht="14.25" customHeight="1" x14ac:dyDescent="0.3">
      <c r="A179" t="s">
        <v>375</v>
      </c>
      <c r="B179">
        <v>75</v>
      </c>
      <c r="C179">
        <v>74.122847340000007</v>
      </c>
      <c r="D179">
        <v>81.461375709999999</v>
      </c>
      <c r="E179">
        <v>66.956338669999994</v>
      </c>
      <c r="F179">
        <v>85.094939490000002</v>
      </c>
      <c r="G179">
        <v>77.524857240000003</v>
      </c>
      <c r="H179">
        <v>74.898949459999997</v>
      </c>
      <c r="I179">
        <v>50</v>
      </c>
    </row>
    <row r="180" spans="1:9" ht="14.25" customHeight="1" x14ac:dyDescent="0.3">
      <c r="A180" t="s">
        <v>377</v>
      </c>
      <c r="B180">
        <v>75</v>
      </c>
      <c r="C180">
        <v>70.819245370000004</v>
      </c>
      <c r="D180">
        <v>70.864420580000001</v>
      </c>
      <c r="E180">
        <v>60.218045009999997</v>
      </c>
      <c r="F180">
        <v>80.906584120000005</v>
      </c>
      <c r="G180">
        <v>80.955772069999995</v>
      </c>
      <c r="H180">
        <v>65.65707587</v>
      </c>
      <c r="I180">
        <v>63.485246220000001</v>
      </c>
    </row>
    <row r="181" spans="1:9" ht="14.25" customHeight="1" x14ac:dyDescent="0.3">
      <c r="A181" t="s">
        <v>379</v>
      </c>
      <c r="B181">
        <v>92.095652869999995</v>
      </c>
      <c r="C181">
        <v>63.926077069999998</v>
      </c>
      <c r="D181">
        <v>83.647232250000002</v>
      </c>
      <c r="E181">
        <v>63.693205319999997</v>
      </c>
      <c r="F181">
        <v>90.660394210000007</v>
      </c>
      <c r="G181">
        <v>73.359782820000007</v>
      </c>
      <c r="H181">
        <v>73.279249710000002</v>
      </c>
      <c r="I181">
        <v>57.656059310000003</v>
      </c>
    </row>
    <row r="182" spans="1:9" ht="14.25" customHeight="1" x14ac:dyDescent="0.3">
      <c r="A182" t="s">
        <v>381</v>
      </c>
      <c r="B182">
        <v>88.574790199999995</v>
      </c>
      <c r="C182">
        <v>67.117018079999994</v>
      </c>
      <c r="D182">
        <v>83.707873190000001</v>
      </c>
      <c r="E182">
        <v>72.990214739999999</v>
      </c>
      <c r="F182">
        <v>96.303126719999995</v>
      </c>
      <c r="G182">
        <v>72.05736856</v>
      </c>
      <c r="H182">
        <v>71.155118130000005</v>
      </c>
      <c r="I182">
        <v>62.901040109999997</v>
      </c>
    </row>
    <row r="183" spans="1:9" ht="14.25" customHeight="1" x14ac:dyDescent="0.3">
      <c r="A183" t="s">
        <v>383</v>
      </c>
      <c r="B183">
        <v>89.795153159999998</v>
      </c>
      <c r="C183">
        <v>72.405145349999998</v>
      </c>
      <c r="D183">
        <v>90</v>
      </c>
      <c r="E183">
        <v>68.596407900000003</v>
      </c>
      <c r="F183">
        <v>99.9</v>
      </c>
      <c r="G183">
        <v>82.397292190000002</v>
      </c>
      <c r="H183">
        <v>70.001469020000002</v>
      </c>
      <c r="I183">
        <v>54.630869310000001</v>
      </c>
    </row>
    <row r="184" spans="1:9" ht="14.25" customHeight="1" x14ac:dyDescent="0.3">
      <c r="A184" t="s">
        <v>385</v>
      </c>
      <c r="B184">
        <v>83.967966989999994</v>
      </c>
      <c r="C184">
        <v>68.761229560000004</v>
      </c>
      <c r="D184">
        <v>78.458342799999997</v>
      </c>
      <c r="E184">
        <v>60.93354377</v>
      </c>
      <c r="F184">
        <v>90.890170909999995</v>
      </c>
      <c r="G184">
        <v>78.619723309999998</v>
      </c>
      <c r="H184">
        <v>66.191992830000004</v>
      </c>
      <c r="I184">
        <v>56.23805265</v>
      </c>
    </row>
    <row r="185" spans="1:9" ht="14.25" customHeight="1" x14ac:dyDescent="0.3">
      <c r="A185" t="s">
        <v>387</v>
      </c>
      <c r="B185">
        <v>88.128469260000003</v>
      </c>
      <c r="C185">
        <v>60.537388030000002</v>
      </c>
      <c r="D185">
        <v>72.530670799999996</v>
      </c>
      <c r="E185">
        <v>62.540465390000001</v>
      </c>
      <c r="F185">
        <v>99.9</v>
      </c>
      <c r="G185">
        <v>75.031686989999997</v>
      </c>
      <c r="H185">
        <v>68.088839840000006</v>
      </c>
      <c r="I185">
        <v>58.288879170000001</v>
      </c>
    </row>
    <row r="186" spans="1:9" ht="14.25" customHeight="1" x14ac:dyDescent="0.3">
      <c r="A186" t="s">
        <v>389</v>
      </c>
      <c r="B186">
        <v>78.638241780000001</v>
      </c>
      <c r="C186">
        <v>64.402135299999998</v>
      </c>
      <c r="D186">
        <v>78.412952829999995</v>
      </c>
      <c r="E186">
        <v>71.449884929999996</v>
      </c>
      <c r="F186">
        <v>99.9</v>
      </c>
      <c r="G186">
        <v>77.451795290000007</v>
      </c>
      <c r="H186">
        <v>69.284391909999997</v>
      </c>
      <c r="I186">
        <v>62.600599289999998</v>
      </c>
    </row>
    <row r="187" spans="1:9" ht="14.25" customHeight="1" x14ac:dyDescent="0.3">
      <c r="A187" t="s">
        <v>391</v>
      </c>
      <c r="B187">
        <v>85.867891009999994</v>
      </c>
      <c r="C187">
        <v>72.243142539999994</v>
      </c>
      <c r="D187">
        <v>77.727792489999999</v>
      </c>
      <c r="E187">
        <v>63.354199889999997</v>
      </c>
      <c r="F187">
        <v>84.359922639999994</v>
      </c>
      <c r="G187">
        <v>73.244905900000006</v>
      </c>
      <c r="H187">
        <v>68.060146320000001</v>
      </c>
      <c r="I187">
        <v>52.003853280000001</v>
      </c>
    </row>
    <row r="188" spans="1:9" ht="14.25" customHeight="1" x14ac:dyDescent="0.3">
      <c r="A188" t="s">
        <v>393</v>
      </c>
      <c r="B188">
        <v>83.979177640000003</v>
      </c>
      <c r="C188">
        <v>60</v>
      </c>
      <c r="D188">
        <v>70</v>
      </c>
      <c r="E188">
        <v>70.886956100000006</v>
      </c>
      <c r="F188">
        <v>92.631706960000002</v>
      </c>
      <c r="G188">
        <v>76.873491529999995</v>
      </c>
      <c r="H188">
        <v>65</v>
      </c>
      <c r="I188">
        <v>52.9710356</v>
      </c>
    </row>
    <row r="189" spans="1:9" ht="14.25" customHeight="1" x14ac:dyDescent="0.3">
      <c r="A189" t="s">
        <v>395</v>
      </c>
      <c r="B189">
        <v>81.493159910000003</v>
      </c>
      <c r="C189">
        <v>70.52169791</v>
      </c>
      <c r="D189">
        <v>72.488995410000001</v>
      </c>
      <c r="E189">
        <v>63.017484430000003</v>
      </c>
      <c r="F189">
        <v>99.9</v>
      </c>
      <c r="G189">
        <v>74.659179179999995</v>
      </c>
      <c r="H189">
        <v>75.937661390000002</v>
      </c>
      <c r="I189">
        <v>59.654566780000003</v>
      </c>
    </row>
    <row r="190" spans="1:9" ht="14.25" customHeight="1" x14ac:dyDescent="0.3">
      <c r="A190" t="s">
        <v>397</v>
      </c>
      <c r="B190">
        <v>75</v>
      </c>
      <c r="C190">
        <v>71.6565777</v>
      </c>
      <c r="D190">
        <v>71.53568568</v>
      </c>
      <c r="E190">
        <v>68.11198263</v>
      </c>
      <c r="F190">
        <v>90.913713360000003</v>
      </c>
      <c r="G190">
        <v>78.288133889999997</v>
      </c>
      <c r="H190">
        <v>66.054471620000001</v>
      </c>
      <c r="I190">
        <v>57.96555489</v>
      </c>
    </row>
    <row r="191" spans="1:9" ht="14.25" customHeight="1" x14ac:dyDescent="0.3">
      <c r="A191" t="s">
        <v>399</v>
      </c>
      <c r="B191">
        <v>90.132737289999994</v>
      </c>
      <c r="C191">
        <v>71.418915130000002</v>
      </c>
      <c r="D191">
        <v>70</v>
      </c>
      <c r="E191">
        <v>73.171813869999994</v>
      </c>
      <c r="F191">
        <v>87.080196099999995</v>
      </c>
      <c r="G191">
        <v>77.435490799999997</v>
      </c>
      <c r="H191">
        <v>70.01586519</v>
      </c>
      <c r="I191">
        <v>54.271774809999997</v>
      </c>
    </row>
    <row r="192" spans="1:9" ht="14.25" customHeight="1" x14ac:dyDescent="0.3">
      <c r="A192" t="s">
        <v>401</v>
      </c>
      <c r="B192">
        <v>89.889769720000004</v>
      </c>
      <c r="C192">
        <v>67.679992440000007</v>
      </c>
      <c r="D192">
        <v>85.315805690000005</v>
      </c>
      <c r="E192">
        <v>72.578693470000005</v>
      </c>
      <c r="F192">
        <v>85.200475109999999</v>
      </c>
      <c r="G192">
        <v>82.696912310000002</v>
      </c>
      <c r="H192">
        <v>72.348058839999993</v>
      </c>
      <c r="I192">
        <v>50</v>
      </c>
    </row>
    <row r="193" spans="1:9" ht="14.25" customHeight="1" x14ac:dyDescent="0.3">
      <c r="A193" t="s">
        <v>403</v>
      </c>
      <c r="B193">
        <v>84.562561650000006</v>
      </c>
      <c r="C193">
        <v>63.820042719999996</v>
      </c>
      <c r="D193">
        <v>84.197783819999998</v>
      </c>
      <c r="E193">
        <v>65.139584810000002</v>
      </c>
      <c r="F193">
        <v>83.848184660000001</v>
      </c>
      <c r="G193">
        <v>72.844035419999997</v>
      </c>
      <c r="H193">
        <v>75.486611030000006</v>
      </c>
      <c r="I193">
        <v>63.537459900000002</v>
      </c>
    </row>
    <row r="194" spans="1:9" ht="14.25" customHeight="1" x14ac:dyDescent="0.3">
      <c r="A194" t="s">
        <v>405</v>
      </c>
      <c r="B194">
        <v>88.973415329999995</v>
      </c>
      <c r="C194">
        <v>60</v>
      </c>
      <c r="D194">
        <v>80.855168649999996</v>
      </c>
      <c r="E194">
        <v>67.409837859999996</v>
      </c>
      <c r="F194">
        <v>99.9</v>
      </c>
      <c r="G194">
        <v>79.988002129999998</v>
      </c>
      <c r="H194">
        <v>70.728341909999997</v>
      </c>
      <c r="I194">
        <v>50.13113405</v>
      </c>
    </row>
    <row r="195" spans="1:9" ht="14.25" customHeight="1" x14ac:dyDescent="0.3">
      <c r="A195" t="s">
        <v>407</v>
      </c>
      <c r="B195">
        <v>84.47847702</v>
      </c>
      <c r="C195">
        <v>63.797427550000002</v>
      </c>
      <c r="D195">
        <v>75.758497680000005</v>
      </c>
      <c r="E195">
        <v>69.976062499999998</v>
      </c>
      <c r="F195">
        <v>95.53001845</v>
      </c>
      <c r="G195">
        <v>76.362793300000007</v>
      </c>
      <c r="H195">
        <v>67.171906840000005</v>
      </c>
      <c r="I195">
        <v>57.428532920000002</v>
      </c>
    </row>
    <row r="196" spans="1:9" ht="14.25" customHeight="1" x14ac:dyDescent="0.3">
      <c r="A196" t="s">
        <v>409</v>
      </c>
      <c r="B196">
        <v>80.412048990000002</v>
      </c>
      <c r="C196">
        <v>68.261750599999999</v>
      </c>
      <c r="D196">
        <v>73.403357009999993</v>
      </c>
      <c r="E196">
        <v>70.45372261</v>
      </c>
      <c r="F196">
        <v>82.5062724</v>
      </c>
      <c r="G196">
        <v>65.62613125</v>
      </c>
      <c r="H196">
        <v>69.312364209999998</v>
      </c>
      <c r="I196">
        <v>61.917138559999998</v>
      </c>
    </row>
    <row r="197" spans="1:9" ht="14.25" customHeight="1" x14ac:dyDescent="0.3">
      <c r="A197" t="s">
        <v>411</v>
      </c>
      <c r="B197">
        <v>87.235277150000002</v>
      </c>
      <c r="C197">
        <v>64.964181550000006</v>
      </c>
      <c r="D197">
        <v>74.771487989999997</v>
      </c>
      <c r="E197">
        <v>66.364151030000002</v>
      </c>
      <c r="F197">
        <v>86.029331470000002</v>
      </c>
      <c r="G197">
        <v>71.581697309999996</v>
      </c>
      <c r="H197">
        <v>70.469780670000006</v>
      </c>
      <c r="I197">
        <v>54.756365879999997</v>
      </c>
    </row>
    <row r="198" spans="1:9" ht="14.25" customHeight="1" x14ac:dyDescent="0.3">
      <c r="A198" t="s">
        <v>413</v>
      </c>
      <c r="B198">
        <v>90.023566509999995</v>
      </c>
      <c r="C198">
        <v>70.751348829999998</v>
      </c>
      <c r="D198">
        <v>80.576995629999999</v>
      </c>
      <c r="E198">
        <v>59.506390250000003</v>
      </c>
      <c r="F198">
        <v>84.653444230000005</v>
      </c>
      <c r="G198">
        <v>74.391411390000002</v>
      </c>
      <c r="H198">
        <v>70.653773380000004</v>
      </c>
      <c r="I198">
        <v>57.263426559999999</v>
      </c>
    </row>
    <row r="199" spans="1:9" ht="14.25" customHeight="1" x14ac:dyDescent="0.3">
      <c r="A199" t="s">
        <v>415</v>
      </c>
      <c r="B199">
        <v>82.014821999999995</v>
      </c>
      <c r="C199">
        <v>60</v>
      </c>
      <c r="D199">
        <v>83.51531233</v>
      </c>
      <c r="E199">
        <v>61.494882429999997</v>
      </c>
      <c r="F199">
        <v>91.878940439999994</v>
      </c>
      <c r="G199">
        <v>78.370627979999995</v>
      </c>
      <c r="H199">
        <v>67.628413960000003</v>
      </c>
      <c r="I199">
        <v>55.677062970000001</v>
      </c>
    </row>
    <row r="200" spans="1:9" ht="14.25" customHeight="1" x14ac:dyDescent="0.3">
      <c r="A200" t="s">
        <v>417</v>
      </c>
      <c r="B200">
        <v>83.611801</v>
      </c>
      <c r="C200">
        <v>66.984752970000002</v>
      </c>
      <c r="D200">
        <v>82.291154309999996</v>
      </c>
      <c r="E200">
        <v>71.890393720000006</v>
      </c>
      <c r="F200">
        <v>99.9</v>
      </c>
      <c r="G200">
        <v>76.422145839999999</v>
      </c>
      <c r="H200">
        <v>69.626700940000006</v>
      </c>
      <c r="I200">
        <v>67.177268859999998</v>
      </c>
    </row>
    <row r="201" spans="1:9" ht="14.25" customHeight="1" x14ac:dyDescent="0.3">
      <c r="A201" t="s">
        <v>419</v>
      </c>
      <c r="B201">
        <v>80.391038039999998</v>
      </c>
      <c r="C201">
        <v>76.162504190000007</v>
      </c>
      <c r="D201">
        <v>74.377735139999999</v>
      </c>
      <c r="E201">
        <v>73.822588960000004</v>
      </c>
      <c r="F201">
        <v>93.276271039999997</v>
      </c>
      <c r="G201">
        <v>76.247894900000006</v>
      </c>
      <c r="H201">
        <v>69.200942139999995</v>
      </c>
      <c r="I201">
        <v>50</v>
      </c>
    </row>
    <row r="202" spans="1:9" ht="14.25" customHeight="1" x14ac:dyDescent="0.3">
      <c r="A202" t="s">
        <v>421</v>
      </c>
      <c r="B202">
        <v>90.991873909999995</v>
      </c>
      <c r="C202">
        <v>65.201839340000006</v>
      </c>
      <c r="D202">
        <v>70</v>
      </c>
      <c r="E202">
        <v>67.723875509999999</v>
      </c>
      <c r="F202">
        <v>89.937282909999993</v>
      </c>
      <c r="G202">
        <v>78.580782360000001</v>
      </c>
      <c r="H202">
        <v>65</v>
      </c>
      <c r="I202">
        <v>58.482632520000003</v>
      </c>
    </row>
    <row r="203" spans="1:9" ht="14.25" customHeight="1" x14ac:dyDescent="0.3">
      <c r="A203" t="s">
        <v>423</v>
      </c>
      <c r="B203">
        <v>94.562070289999994</v>
      </c>
      <c r="C203">
        <v>67.919486190000001</v>
      </c>
      <c r="D203">
        <v>85.414079340000001</v>
      </c>
      <c r="E203">
        <v>70.769649180000002</v>
      </c>
      <c r="F203">
        <v>96.713516589999998</v>
      </c>
      <c r="G203">
        <v>73.255885140000004</v>
      </c>
      <c r="H203">
        <v>68.064838739999999</v>
      </c>
      <c r="I203">
        <v>60.820444969999997</v>
      </c>
    </row>
    <row r="204" spans="1:9" ht="14.25" customHeight="1" x14ac:dyDescent="0.3">
      <c r="A204" t="s">
        <v>425</v>
      </c>
      <c r="B204">
        <v>81.194732200000004</v>
      </c>
      <c r="C204">
        <v>80</v>
      </c>
      <c r="D204">
        <v>78.273943380000006</v>
      </c>
      <c r="E204">
        <v>66.985173369999998</v>
      </c>
      <c r="F204">
        <v>99.478283509999997</v>
      </c>
      <c r="G204">
        <v>77.063816239999994</v>
      </c>
      <c r="H204">
        <v>68.533067790000004</v>
      </c>
      <c r="I204">
        <v>50</v>
      </c>
    </row>
    <row r="205" spans="1:9" ht="14.25" customHeight="1" x14ac:dyDescent="0.3">
      <c r="A205" t="s">
        <v>427</v>
      </c>
      <c r="B205">
        <v>85.337027550000002</v>
      </c>
      <c r="C205">
        <v>75.321914039999996</v>
      </c>
      <c r="D205">
        <v>80.751964650000005</v>
      </c>
      <c r="E205">
        <v>69.031172819999995</v>
      </c>
      <c r="F205">
        <v>84.330848189999998</v>
      </c>
      <c r="G205">
        <v>80.597787289999999</v>
      </c>
      <c r="H205">
        <v>65.343708789999994</v>
      </c>
      <c r="I205">
        <v>50</v>
      </c>
    </row>
    <row r="206" spans="1:9" ht="14.25" customHeight="1" x14ac:dyDescent="0.3">
      <c r="A206" t="s">
        <v>429</v>
      </c>
      <c r="B206">
        <v>85.458773170000001</v>
      </c>
      <c r="C206">
        <v>70.653345540000004</v>
      </c>
      <c r="D206">
        <v>73.407889019999999</v>
      </c>
      <c r="E206">
        <v>67.592665499999995</v>
      </c>
      <c r="F206">
        <v>99.9</v>
      </c>
      <c r="G206">
        <v>84.610771839999998</v>
      </c>
      <c r="H206">
        <v>72.595919019999997</v>
      </c>
      <c r="I206">
        <v>56.584915909999999</v>
      </c>
    </row>
    <row r="207" spans="1:9" ht="14.25" customHeight="1" x14ac:dyDescent="0.3">
      <c r="A207" t="s">
        <v>431</v>
      </c>
      <c r="B207">
        <v>81.171503439999995</v>
      </c>
      <c r="C207">
        <v>65.956043589999993</v>
      </c>
      <c r="D207">
        <v>70</v>
      </c>
      <c r="E207">
        <v>64.333356859999995</v>
      </c>
      <c r="F207">
        <v>91.500725040000006</v>
      </c>
      <c r="G207">
        <v>78.886869090000005</v>
      </c>
      <c r="H207">
        <v>67.107257739999994</v>
      </c>
      <c r="I207">
        <v>70</v>
      </c>
    </row>
    <row r="208" spans="1:9" ht="14.25" customHeight="1" x14ac:dyDescent="0.3">
      <c r="A208" t="s">
        <v>433</v>
      </c>
      <c r="B208">
        <v>87.754539789999995</v>
      </c>
      <c r="C208">
        <v>61.38054108</v>
      </c>
      <c r="D208">
        <v>82.73368232</v>
      </c>
      <c r="E208">
        <v>65.822374449999998</v>
      </c>
      <c r="F208">
        <v>89.312035789999996</v>
      </c>
      <c r="G208">
        <v>83.186745959999996</v>
      </c>
      <c r="H208">
        <v>74.857822709999994</v>
      </c>
      <c r="I208">
        <v>64.382629890000004</v>
      </c>
    </row>
    <row r="209" spans="1:9" ht="14.25" customHeight="1" x14ac:dyDescent="0.3">
      <c r="A209" t="s">
        <v>435</v>
      </c>
      <c r="B209">
        <v>84.156447420000006</v>
      </c>
      <c r="C209">
        <v>73.179023090000001</v>
      </c>
      <c r="D209">
        <v>81.373337179999993</v>
      </c>
      <c r="E209">
        <v>61.716651749999997</v>
      </c>
      <c r="F209">
        <v>89.276915770000002</v>
      </c>
      <c r="G209">
        <v>74.638605769999998</v>
      </c>
      <c r="H209">
        <v>77.432950230000003</v>
      </c>
      <c r="I209">
        <v>59.735841000000001</v>
      </c>
    </row>
    <row r="210" spans="1:9" ht="14.25" customHeight="1" x14ac:dyDescent="0.3">
      <c r="A210" t="s">
        <v>437</v>
      </c>
      <c r="B210">
        <v>79.760589150000001</v>
      </c>
      <c r="C210">
        <v>72.908185119999999</v>
      </c>
      <c r="D210">
        <v>78.543117199999998</v>
      </c>
      <c r="E210">
        <v>59.271720420000001</v>
      </c>
      <c r="F210">
        <v>92.089285410000002</v>
      </c>
      <c r="G210">
        <v>73.963232640000001</v>
      </c>
      <c r="H210">
        <v>70.780723820000006</v>
      </c>
      <c r="I210">
        <v>51.465626700000001</v>
      </c>
    </row>
    <row r="211" spans="1:9" ht="14.25" customHeight="1" x14ac:dyDescent="0.3">
      <c r="A211" t="s">
        <v>440</v>
      </c>
      <c r="B211">
        <v>84.855911680000006</v>
      </c>
      <c r="C211">
        <v>69.921018239999995</v>
      </c>
      <c r="D211">
        <v>73.382733040000005</v>
      </c>
      <c r="E211">
        <v>65.642790329999997</v>
      </c>
      <c r="F211">
        <v>92.882880779999994</v>
      </c>
      <c r="G211">
        <v>78.314792080000004</v>
      </c>
      <c r="H211">
        <v>67.339512810000002</v>
      </c>
      <c r="I211">
        <v>55.782162659999997</v>
      </c>
    </row>
    <row r="212" spans="1:9" ht="14.25" customHeight="1" x14ac:dyDescent="0.3">
      <c r="A212" t="s">
        <v>442</v>
      </c>
      <c r="B212">
        <v>92.479264729999997</v>
      </c>
      <c r="C212">
        <v>70.24382842</v>
      </c>
      <c r="D212">
        <v>73.660501670000002</v>
      </c>
      <c r="E212">
        <v>72.235612040000007</v>
      </c>
      <c r="F212">
        <v>82.228348940000004</v>
      </c>
      <c r="G212">
        <v>73.542073810000005</v>
      </c>
      <c r="H212">
        <v>67.388828660000001</v>
      </c>
      <c r="I212">
        <v>56.091679929999998</v>
      </c>
    </row>
    <row r="213" spans="1:9" ht="14.25" customHeight="1" x14ac:dyDescent="0.3">
      <c r="A213" t="s">
        <v>444</v>
      </c>
      <c r="B213">
        <v>75</v>
      </c>
      <c r="C213">
        <v>72.316748090000004</v>
      </c>
      <c r="D213">
        <v>81.192079509999999</v>
      </c>
      <c r="E213">
        <v>67.190934429999999</v>
      </c>
      <c r="F213">
        <v>86.63065813</v>
      </c>
      <c r="G213">
        <v>76.110341669999997</v>
      </c>
      <c r="H213">
        <v>77.665023230000003</v>
      </c>
      <c r="I213">
        <v>53.663354380000001</v>
      </c>
    </row>
    <row r="214" spans="1:9" ht="14.25" customHeight="1" x14ac:dyDescent="0.3">
      <c r="A214" t="s">
        <v>447</v>
      </c>
      <c r="B214">
        <v>93.033923169999994</v>
      </c>
      <c r="C214">
        <v>72.202705269999996</v>
      </c>
      <c r="D214">
        <v>73.130546109999997</v>
      </c>
      <c r="E214">
        <v>68.594059659999999</v>
      </c>
      <c r="F214">
        <v>91.823899780000005</v>
      </c>
      <c r="G214">
        <v>81.984049150000004</v>
      </c>
      <c r="H214">
        <v>71.321374030000001</v>
      </c>
      <c r="I214">
        <v>57.319026780000002</v>
      </c>
    </row>
    <row r="215" spans="1:9" ht="14.25" customHeight="1" x14ac:dyDescent="0.3">
      <c r="A215" t="s">
        <v>449</v>
      </c>
      <c r="B215">
        <v>83.761449170000006</v>
      </c>
      <c r="C215">
        <v>73.903689200000002</v>
      </c>
      <c r="D215">
        <v>70</v>
      </c>
      <c r="E215">
        <v>55.277154959999997</v>
      </c>
      <c r="F215">
        <v>85.336364630000006</v>
      </c>
      <c r="G215">
        <v>77.966070529999996</v>
      </c>
      <c r="H215">
        <v>68.138830150000004</v>
      </c>
      <c r="I215">
        <v>70</v>
      </c>
    </row>
    <row r="216" spans="1:9" ht="14.25" customHeight="1" x14ac:dyDescent="0.3">
      <c r="A216" t="s">
        <v>451</v>
      </c>
      <c r="B216">
        <v>86.245571530000007</v>
      </c>
      <c r="C216">
        <v>68.750883729999998</v>
      </c>
      <c r="D216">
        <v>71.138585070000005</v>
      </c>
      <c r="E216">
        <v>65.942212359999999</v>
      </c>
      <c r="F216">
        <v>86.001749860000004</v>
      </c>
      <c r="G216">
        <v>85</v>
      </c>
      <c r="H216">
        <v>68.742426100000003</v>
      </c>
      <c r="I216">
        <v>50</v>
      </c>
    </row>
    <row r="217" spans="1:9" ht="14.25" customHeight="1" x14ac:dyDescent="0.3">
      <c r="A217" t="s">
        <v>453</v>
      </c>
      <c r="B217">
        <v>81.586771970000001</v>
      </c>
      <c r="C217">
        <v>60.004607030000003</v>
      </c>
      <c r="D217">
        <v>75.089527509999996</v>
      </c>
      <c r="E217">
        <v>64.664229719999994</v>
      </c>
      <c r="F217">
        <v>86.652203180000001</v>
      </c>
      <c r="G217">
        <v>74.8047988</v>
      </c>
      <c r="H217">
        <v>69.386514349999999</v>
      </c>
      <c r="I217">
        <v>59.60072005</v>
      </c>
    </row>
    <row r="218" spans="1:9" ht="14.25" customHeight="1" x14ac:dyDescent="0.3">
      <c r="A218" t="s">
        <v>455</v>
      </c>
      <c r="B218">
        <v>82.288507339999995</v>
      </c>
      <c r="C218">
        <v>77.079798120000007</v>
      </c>
      <c r="D218">
        <v>70</v>
      </c>
      <c r="E218">
        <v>69.319751960000005</v>
      </c>
      <c r="F218">
        <v>87.810209709999995</v>
      </c>
      <c r="G218">
        <v>71.688164659999998</v>
      </c>
      <c r="H218">
        <v>67.138495699999993</v>
      </c>
      <c r="I218">
        <v>52.62442051</v>
      </c>
    </row>
    <row r="219" spans="1:9" ht="14.25" customHeight="1" x14ac:dyDescent="0.3">
      <c r="A219" t="s">
        <v>457</v>
      </c>
      <c r="B219">
        <v>88.896593289999998</v>
      </c>
      <c r="C219">
        <v>65.218197180000004</v>
      </c>
      <c r="D219">
        <v>70.263144409999995</v>
      </c>
      <c r="E219">
        <v>62.83333184</v>
      </c>
      <c r="F219">
        <v>93.679423630000002</v>
      </c>
      <c r="G219">
        <v>85</v>
      </c>
      <c r="H219">
        <v>76.293393649999999</v>
      </c>
      <c r="I219">
        <v>53.09498439</v>
      </c>
    </row>
    <row r="220" spans="1:9" ht="14.25" customHeight="1" x14ac:dyDescent="0.3">
      <c r="A220" t="s">
        <v>459</v>
      </c>
      <c r="B220">
        <v>89.333140229999998</v>
      </c>
      <c r="C220">
        <v>65.900417469999994</v>
      </c>
      <c r="D220">
        <v>70</v>
      </c>
      <c r="E220">
        <v>69.941239719999999</v>
      </c>
      <c r="F220">
        <v>99.08038569</v>
      </c>
      <c r="G220">
        <v>84.001188540000001</v>
      </c>
      <c r="H220">
        <v>71.207294640000001</v>
      </c>
      <c r="I220">
        <v>50.103714689999997</v>
      </c>
    </row>
    <row r="221" spans="1:9" ht="14.25" customHeight="1" x14ac:dyDescent="0.3">
      <c r="A221" t="s">
        <v>461</v>
      </c>
      <c r="B221">
        <v>87.025054150000003</v>
      </c>
      <c r="C221">
        <v>60</v>
      </c>
      <c r="D221">
        <v>75.070424650000007</v>
      </c>
      <c r="E221">
        <v>55.85854338</v>
      </c>
      <c r="F221">
        <v>96.337171409999996</v>
      </c>
      <c r="G221">
        <v>85</v>
      </c>
      <c r="H221">
        <v>67.44768723</v>
      </c>
      <c r="I221">
        <v>50</v>
      </c>
    </row>
    <row r="222" spans="1:9" ht="14.25" customHeight="1" x14ac:dyDescent="0.3">
      <c r="A222" t="s">
        <v>463</v>
      </c>
      <c r="B222">
        <v>84.419188120000001</v>
      </c>
      <c r="C222">
        <v>60</v>
      </c>
      <c r="D222">
        <v>70</v>
      </c>
      <c r="E222">
        <v>65.484841180000004</v>
      </c>
      <c r="F222">
        <v>89.789359250000004</v>
      </c>
      <c r="G222">
        <v>85</v>
      </c>
      <c r="H222">
        <v>71.643594609999994</v>
      </c>
      <c r="I222">
        <v>60.142575780000001</v>
      </c>
    </row>
    <row r="223" spans="1:9" ht="14.25" customHeight="1" x14ac:dyDescent="0.3">
      <c r="A223" t="s">
        <v>465</v>
      </c>
      <c r="B223">
        <v>89.865038479999996</v>
      </c>
      <c r="C223">
        <v>60.821949850000003</v>
      </c>
      <c r="D223">
        <v>70</v>
      </c>
      <c r="E223">
        <v>69.779954939999996</v>
      </c>
      <c r="F223">
        <v>81.504229330000001</v>
      </c>
      <c r="G223">
        <v>78.490661380000006</v>
      </c>
      <c r="H223">
        <v>72.479346590000006</v>
      </c>
      <c r="I223">
        <v>64.601657369999998</v>
      </c>
    </row>
    <row r="224" spans="1:9" ht="14.25" customHeight="1" x14ac:dyDescent="0.3">
      <c r="A224" t="s">
        <v>467</v>
      </c>
      <c r="B224">
        <v>82.168582529999995</v>
      </c>
      <c r="C224">
        <v>67.205210280000003</v>
      </c>
      <c r="D224">
        <v>78.809719290000004</v>
      </c>
      <c r="E224">
        <v>62.367041729999997</v>
      </c>
      <c r="F224">
        <v>90.796812090000003</v>
      </c>
      <c r="G224">
        <v>74.000027880000005</v>
      </c>
      <c r="H224">
        <v>71.094154860000003</v>
      </c>
      <c r="I224">
        <v>67.667721560000004</v>
      </c>
    </row>
    <row r="225" spans="1:9" ht="14.25" customHeight="1" x14ac:dyDescent="0.3">
      <c r="A225" t="s">
        <v>469</v>
      </c>
      <c r="B225">
        <v>84.67655542</v>
      </c>
      <c r="C225">
        <v>68.131714239999994</v>
      </c>
      <c r="D225">
        <v>82.740466679999997</v>
      </c>
      <c r="E225">
        <v>72.009457670000003</v>
      </c>
      <c r="F225">
        <v>87.815135560000002</v>
      </c>
      <c r="G225">
        <v>66.800371040000002</v>
      </c>
      <c r="H225">
        <v>70.457384930000003</v>
      </c>
      <c r="I225">
        <v>60.99453089</v>
      </c>
    </row>
    <row r="226" spans="1:9" ht="14.25" customHeight="1" x14ac:dyDescent="0.3">
      <c r="A226" t="s">
        <v>471</v>
      </c>
      <c r="B226">
        <v>82.840585110000006</v>
      </c>
      <c r="C226">
        <v>69.048073919999993</v>
      </c>
      <c r="D226">
        <v>80.88701141</v>
      </c>
      <c r="E226">
        <v>68.511928459999993</v>
      </c>
      <c r="F226">
        <v>86.505445100000003</v>
      </c>
      <c r="G226">
        <v>78.591462460000002</v>
      </c>
      <c r="H226">
        <v>65.946060599999996</v>
      </c>
      <c r="I226">
        <v>60.146838410000001</v>
      </c>
    </row>
    <row r="227" spans="1:9" ht="14.25" customHeight="1" x14ac:dyDescent="0.3">
      <c r="A227" t="s">
        <v>473</v>
      </c>
      <c r="B227">
        <v>82.288291630000003</v>
      </c>
      <c r="C227">
        <v>64.44685106</v>
      </c>
      <c r="D227">
        <v>75.051744659999997</v>
      </c>
      <c r="E227">
        <v>66.868430689999997</v>
      </c>
      <c r="F227">
        <v>82.732921039999994</v>
      </c>
      <c r="G227">
        <v>78.203869589999996</v>
      </c>
      <c r="H227">
        <v>70.288324759999995</v>
      </c>
      <c r="I227">
        <v>63.585956690000003</v>
      </c>
    </row>
    <row r="228" spans="1:9" ht="14.25" customHeight="1" x14ac:dyDescent="0.3">
      <c r="A228" t="s">
        <v>475</v>
      </c>
      <c r="B228">
        <v>85.343022980000001</v>
      </c>
      <c r="C228">
        <v>61.33786362</v>
      </c>
      <c r="D228">
        <v>80.234636109999997</v>
      </c>
      <c r="E228">
        <v>66.483022770000005</v>
      </c>
      <c r="F228">
        <v>82.872128919999994</v>
      </c>
      <c r="G228">
        <v>82.218704169999995</v>
      </c>
      <c r="H228">
        <v>69.07511581</v>
      </c>
      <c r="I228">
        <v>50</v>
      </c>
    </row>
    <row r="229" spans="1:9" ht="14.25" customHeight="1" x14ac:dyDescent="0.3">
      <c r="A229" t="s">
        <v>477</v>
      </c>
      <c r="B229">
        <v>82.397869389999997</v>
      </c>
      <c r="C229">
        <v>79.383048079999995</v>
      </c>
      <c r="D229">
        <v>79.590918310000006</v>
      </c>
      <c r="E229">
        <v>69.859038499999997</v>
      </c>
      <c r="F229">
        <v>94.059761710000004</v>
      </c>
      <c r="G229">
        <v>81.224553319999998</v>
      </c>
      <c r="H229">
        <v>72.396336969999993</v>
      </c>
      <c r="I229">
        <v>58.009448710000001</v>
      </c>
    </row>
    <row r="230" spans="1:9" ht="14.25" customHeight="1" x14ac:dyDescent="0.3">
      <c r="A230" t="s">
        <v>479</v>
      </c>
      <c r="B230">
        <v>75.773156950000001</v>
      </c>
      <c r="C230">
        <v>61.443256920000003</v>
      </c>
      <c r="D230">
        <v>84.445422879999995</v>
      </c>
      <c r="E230">
        <v>68.739205269999999</v>
      </c>
      <c r="F230">
        <v>85.093166179999997</v>
      </c>
      <c r="G230">
        <v>81.172712399999995</v>
      </c>
      <c r="H230">
        <v>70.621270060000001</v>
      </c>
      <c r="I230">
        <v>66.909858569999997</v>
      </c>
    </row>
    <row r="231" spans="1:9" ht="14.25" customHeight="1" x14ac:dyDescent="0.3">
      <c r="A231" t="s">
        <v>481</v>
      </c>
      <c r="B231">
        <v>92.356135460000004</v>
      </c>
      <c r="C231">
        <v>69.035594509999996</v>
      </c>
      <c r="D231">
        <v>70</v>
      </c>
      <c r="E231">
        <v>65.648643140000004</v>
      </c>
      <c r="F231">
        <v>91.008646959999993</v>
      </c>
      <c r="G231">
        <v>82.183533949999998</v>
      </c>
      <c r="H231">
        <v>66.752572790000002</v>
      </c>
      <c r="I231">
        <v>60.922009959999997</v>
      </c>
    </row>
    <row r="232" spans="1:9" ht="14.25" customHeight="1" x14ac:dyDescent="0.3">
      <c r="A232" t="s">
        <v>483</v>
      </c>
      <c r="B232">
        <v>82.355349869999998</v>
      </c>
      <c r="C232">
        <v>72.253007569999994</v>
      </c>
      <c r="D232">
        <v>73.81440345</v>
      </c>
      <c r="E232">
        <v>68.287176209999998</v>
      </c>
      <c r="F232">
        <v>99.393762409999994</v>
      </c>
      <c r="G232">
        <v>79.024106459999999</v>
      </c>
      <c r="H232">
        <v>69.49281028</v>
      </c>
      <c r="I232">
        <v>67.436531099999996</v>
      </c>
    </row>
    <row r="233" spans="1:9" ht="14.25" customHeight="1" x14ac:dyDescent="0.3">
      <c r="A233" t="s">
        <v>485</v>
      </c>
      <c r="B233">
        <v>95.719510749999998</v>
      </c>
      <c r="C233">
        <v>75.909041020000004</v>
      </c>
      <c r="D233">
        <v>70</v>
      </c>
      <c r="E233">
        <v>60.836695200000001</v>
      </c>
      <c r="F233">
        <v>80</v>
      </c>
      <c r="G233">
        <v>84.055806450000006</v>
      </c>
      <c r="H233">
        <v>72.533170819999995</v>
      </c>
      <c r="I233">
        <v>55.26673392</v>
      </c>
    </row>
    <row r="234" spans="1:9" ht="14.25" customHeight="1" x14ac:dyDescent="0.3">
      <c r="A234" t="s">
        <v>487</v>
      </c>
      <c r="B234">
        <v>75.773145459999995</v>
      </c>
      <c r="C234">
        <v>76.406340839999999</v>
      </c>
      <c r="D234">
        <v>73.566826539999994</v>
      </c>
      <c r="E234">
        <v>56.160130590000001</v>
      </c>
      <c r="F234">
        <v>83.226124850000005</v>
      </c>
      <c r="G234">
        <v>77.40610787</v>
      </c>
      <c r="H234">
        <v>75.535278570000003</v>
      </c>
      <c r="I234">
        <v>53.862244939999997</v>
      </c>
    </row>
    <row r="235" spans="1:9" ht="14.25" customHeight="1" x14ac:dyDescent="0.3">
      <c r="A235" t="s">
        <v>489</v>
      </c>
      <c r="B235">
        <v>86.004465350000004</v>
      </c>
      <c r="C235">
        <v>66.585501590000007</v>
      </c>
      <c r="D235">
        <v>73.913586539999997</v>
      </c>
      <c r="E235">
        <v>66.299697269999996</v>
      </c>
      <c r="F235">
        <v>86.950475769999997</v>
      </c>
      <c r="G235">
        <v>74.53101384</v>
      </c>
      <c r="H235">
        <v>68.879243979999998</v>
      </c>
      <c r="I235">
        <v>53.608794340000003</v>
      </c>
    </row>
    <row r="236" spans="1:9" ht="14.25" customHeight="1" x14ac:dyDescent="0.3">
      <c r="A236" t="s">
        <v>491</v>
      </c>
      <c r="B236">
        <v>92.016264109999995</v>
      </c>
      <c r="C236">
        <v>80</v>
      </c>
      <c r="D236">
        <v>85.791305739999999</v>
      </c>
      <c r="E236">
        <v>69.061064090000002</v>
      </c>
      <c r="F236">
        <v>80</v>
      </c>
      <c r="G236">
        <v>78.409910920000002</v>
      </c>
      <c r="H236">
        <v>68.645409520000001</v>
      </c>
      <c r="I236">
        <v>50</v>
      </c>
    </row>
    <row r="237" spans="1:9" ht="14.25" customHeight="1" x14ac:dyDescent="0.3">
      <c r="A237" t="s">
        <v>493</v>
      </c>
      <c r="B237">
        <v>85.115088360000001</v>
      </c>
      <c r="C237">
        <v>65.314799320000006</v>
      </c>
      <c r="D237">
        <v>83.857208999999997</v>
      </c>
      <c r="E237">
        <v>69.106279130000004</v>
      </c>
      <c r="F237">
        <v>95.095628590000004</v>
      </c>
      <c r="G237">
        <v>78.854456799999994</v>
      </c>
      <c r="H237">
        <v>65</v>
      </c>
      <c r="I237">
        <v>50.890751629999997</v>
      </c>
    </row>
    <row r="238" spans="1:9" ht="14.25" customHeight="1" x14ac:dyDescent="0.3">
      <c r="A238" t="s">
        <v>495</v>
      </c>
      <c r="B238">
        <v>91.66310824</v>
      </c>
      <c r="C238">
        <v>65.595411080000005</v>
      </c>
      <c r="D238">
        <v>76.092566329999997</v>
      </c>
      <c r="E238">
        <v>60.193912869999998</v>
      </c>
      <c r="F238">
        <v>93.120716790000003</v>
      </c>
      <c r="G238">
        <v>85</v>
      </c>
      <c r="H238">
        <v>72.633790059999995</v>
      </c>
      <c r="I238">
        <v>61.424800689999998</v>
      </c>
    </row>
    <row r="239" spans="1:9" ht="14.25" customHeight="1" x14ac:dyDescent="0.3">
      <c r="A239" t="s">
        <v>497</v>
      </c>
      <c r="B239">
        <v>87.508720150000002</v>
      </c>
      <c r="C239">
        <v>75.643950419999996</v>
      </c>
      <c r="D239">
        <v>70</v>
      </c>
      <c r="E239">
        <v>73.172561049999999</v>
      </c>
      <c r="F239">
        <v>95.588173569999995</v>
      </c>
      <c r="G239">
        <v>83.680823540000006</v>
      </c>
      <c r="H239">
        <v>74.913554959999999</v>
      </c>
      <c r="I239">
        <v>55.478216639999999</v>
      </c>
    </row>
    <row r="240" spans="1:9" ht="14.25" customHeight="1" x14ac:dyDescent="0.3">
      <c r="A240" t="s">
        <v>499</v>
      </c>
      <c r="B240">
        <v>80.177421359999997</v>
      </c>
      <c r="C240">
        <v>74.961046600000003</v>
      </c>
      <c r="D240">
        <v>74.958754420000005</v>
      </c>
      <c r="E240">
        <v>68.596965479999994</v>
      </c>
      <c r="F240">
        <v>82.225604410000003</v>
      </c>
      <c r="G240">
        <v>74.478538479999997</v>
      </c>
      <c r="H240">
        <v>67.511450859999997</v>
      </c>
      <c r="I240">
        <v>60.248254109999998</v>
      </c>
    </row>
    <row r="241" spans="1:9" ht="14.25" customHeight="1" x14ac:dyDescent="0.3">
      <c r="A241" t="s">
        <v>501</v>
      </c>
      <c r="B241">
        <v>85.805062340000006</v>
      </c>
      <c r="C241">
        <v>72.534881170000006</v>
      </c>
      <c r="D241">
        <v>88.724679379999998</v>
      </c>
      <c r="E241">
        <v>61.99321054</v>
      </c>
      <c r="F241">
        <v>92.914847300000005</v>
      </c>
      <c r="G241">
        <v>79.486691919999998</v>
      </c>
      <c r="H241">
        <v>68.89648803</v>
      </c>
      <c r="I241">
        <v>60.051692959999997</v>
      </c>
    </row>
    <row r="242" spans="1:9" ht="14.25" customHeight="1" x14ac:dyDescent="0.3">
      <c r="A242" t="s">
        <v>503</v>
      </c>
      <c r="B242">
        <v>90.182664200000005</v>
      </c>
      <c r="C242">
        <v>74.36544404</v>
      </c>
      <c r="D242">
        <v>76.17817119</v>
      </c>
      <c r="E242">
        <v>75</v>
      </c>
      <c r="F242">
        <v>99.9</v>
      </c>
      <c r="G242">
        <v>85</v>
      </c>
      <c r="H242">
        <v>65.539464769999995</v>
      </c>
      <c r="I242">
        <v>62.135893379999999</v>
      </c>
    </row>
    <row r="243" spans="1:9" ht="14.25" customHeight="1" x14ac:dyDescent="0.3">
      <c r="A243" t="s">
        <v>505</v>
      </c>
      <c r="B243">
        <v>75.87921833</v>
      </c>
      <c r="C243">
        <v>69.434238559999997</v>
      </c>
      <c r="D243">
        <v>77.217792000000003</v>
      </c>
      <c r="E243">
        <v>68.990551740000001</v>
      </c>
      <c r="F243">
        <v>95.347232669999997</v>
      </c>
      <c r="G243">
        <v>76.398142949999993</v>
      </c>
      <c r="H243">
        <v>77.497587940000003</v>
      </c>
      <c r="I243">
        <v>61.429701540000003</v>
      </c>
    </row>
    <row r="244" spans="1:9" ht="14.25" customHeight="1" x14ac:dyDescent="0.3">
      <c r="A244" t="s">
        <v>507</v>
      </c>
      <c r="B244">
        <v>97.546615489999994</v>
      </c>
      <c r="C244">
        <v>63.434898259999997</v>
      </c>
      <c r="D244">
        <v>74.226256789999994</v>
      </c>
      <c r="E244">
        <v>62.254904830000001</v>
      </c>
      <c r="F244">
        <v>89.021165589999995</v>
      </c>
      <c r="G244">
        <v>65</v>
      </c>
      <c r="H244">
        <v>76.436769260000005</v>
      </c>
      <c r="I244">
        <v>52.662892069999998</v>
      </c>
    </row>
    <row r="245" spans="1:9" ht="14.25" customHeight="1" x14ac:dyDescent="0.3">
      <c r="A245" t="s">
        <v>509</v>
      </c>
      <c r="B245">
        <v>83.344916679999997</v>
      </c>
      <c r="C245">
        <v>78.272604759999993</v>
      </c>
      <c r="D245">
        <v>83.332403900000003</v>
      </c>
      <c r="E245">
        <v>75</v>
      </c>
      <c r="F245">
        <v>83.518831300000002</v>
      </c>
      <c r="G245">
        <v>78.309067200000001</v>
      </c>
      <c r="H245">
        <v>67.865038720000001</v>
      </c>
      <c r="I245">
        <v>56.414930869999999</v>
      </c>
    </row>
    <row r="246" spans="1:9" ht="14.25" customHeight="1" x14ac:dyDescent="0.3">
      <c r="A246" t="s">
        <v>511</v>
      </c>
      <c r="B246">
        <v>89.521651489999996</v>
      </c>
      <c r="C246">
        <v>75.158267940000002</v>
      </c>
      <c r="D246">
        <v>81.228836650000005</v>
      </c>
      <c r="E246">
        <v>74.113316949999998</v>
      </c>
      <c r="F246">
        <v>90.919157870000006</v>
      </c>
      <c r="G246">
        <v>83.999343920000001</v>
      </c>
      <c r="H246">
        <v>66.601245719999994</v>
      </c>
      <c r="I246">
        <v>52.857003939999998</v>
      </c>
    </row>
    <row r="247" spans="1:9" ht="14.25" customHeight="1" x14ac:dyDescent="0.3">
      <c r="A247" t="s">
        <v>513</v>
      </c>
      <c r="B247">
        <v>95.822804129999994</v>
      </c>
      <c r="C247">
        <v>66.054595230000004</v>
      </c>
      <c r="D247">
        <v>79.924984159999994</v>
      </c>
      <c r="E247">
        <v>68.658870190000002</v>
      </c>
      <c r="F247">
        <v>86.665440380000007</v>
      </c>
      <c r="G247">
        <v>82.320874059999994</v>
      </c>
      <c r="H247">
        <v>66.806075440000001</v>
      </c>
      <c r="I247">
        <v>52.225083699999999</v>
      </c>
    </row>
    <row r="248" spans="1:9" ht="14.25" customHeight="1" x14ac:dyDescent="0.3">
      <c r="A248" t="s">
        <v>515</v>
      </c>
      <c r="B248">
        <v>82.927173150000002</v>
      </c>
      <c r="C248">
        <v>64.011066450000001</v>
      </c>
      <c r="D248">
        <v>72.876398660000007</v>
      </c>
      <c r="E248">
        <v>68.196279880000006</v>
      </c>
      <c r="F248">
        <v>88.702910099999997</v>
      </c>
      <c r="G248">
        <v>77.694670560000006</v>
      </c>
      <c r="H248">
        <v>65.681245309999994</v>
      </c>
      <c r="I248">
        <v>60.6583921</v>
      </c>
    </row>
    <row r="249" spans="1:9" ht="14.25" customHeight="1" x14ac:dyDescent="0.3">
      <c r="A249" t="s">
        <v>517</v>
      </c>
      <c r="B249">
        <v>86.042076219999998</v>
      </c>
      <c r="C249">
        <v>69.033263270000006</v>
      </c>
      <c r="D249">
        <v>70</v>
      </c>
      <c r="E249">
        <v>61.106882079999998</v>
      </c>
      <c r="F249">
        <v>91.173245269999995</v>
      </c>
      <c r="G249">
        <v>79.914533390000003</v>
      </c>
      <c r="H249">
        <v>70.513044140000005</v>
      </c>
      <c r="I249">
        <v>50.868980190000002</v>
      </c>
    </row>
    <row r="250" spans="1:9" ht="14.25" customHeight="1" x14ac:dyDescent="0.3">
      <c r="A250" t="s">
        <v>519</v>
      </c>
      <c r="B250">
        <v>82.222360739999999</v>
      </c>
      <c r="C250">
        <v>70.330292330000006</v>
      </c>
      <c r="D250">
        <v>78.284239560000003</v>
      </c>
      <c r="E250">
        <v>65.236681070000003</v>
      </c>
      <c r="F250">
        <v>89.305933100000004</v>
      </c>
      <c r="G250">
        <v>78.122443259999997</v>
      </c>
      <c r="H250">
        <v>73.794719000000001</v>
      </c>
      <c r="I250">
        <v>69.47478898</v>
      </c>
    </row>
    <row r="251" spans="1:9" ht="14.25" customHeight="1" x14ac:dyDescent="0.3">
      <c r="A251" t="s">
        <v>521</v>
      </c>
      <c r="B251">
        <v>81.159908680000001</v>
      </c>
      <c r="C251">
        <v>72.692875670000006</v>
      </c>
      <c r="D251">
        <v>70</v>
      </c>
      <c r="E251">
        <v>58.75351371</v>
      </c>
      <c r="F251">
        <v>98.06828582</v>
      </c>
      <c r="G251">
        <v>79.169200529999998</v>
      </c>
      <c r="H251">
        <v>66.955602650000003</v>
      </c>
      <c r="I251">
        <v>50</v>
      </c>
    </row>
    <row r="252" spans="1:9" ht="14.25" customHeight="1" x14ac:dyDescent="0.3">
      <c r="A252" t="s">
        <v>523</v>
      </c>
      <c r="B252">
        <v>96.012965609999995</v>
      </c>
      <c r="C252">
        <v>79.695458979999998</v>
      </c>
      <c r="D252">
        <v>75.857291559999993</v>
      </c>
      <c r="E252">
        <v>66.812782220000003</v>
      </c>
      <c r="F252">
        <v>87.450800720000004</v>
      </c>
      <c r="G252">
        <v>84.485642380000002</v>
      </c>
      <c r="H252">
        <v>71.296326809999996</v>
      </c>
      <c r="I252">
        <v>62.999236359999998</v>
      </c>
    </row>
    <row r="253" spans="1:9" ht="14.25" customHeight="1" x14ac:dyDescent="0.3">
      <c r="A253" t="s">
        <v>525</v>
      </c>
      <c r="B253">
        <v>88.501714070000006</v>
      </c>
      <c r="C253">
        <v>64.892120520000006</v>
      </c>
      <c r="D253">
        <v>85.806535819999993</v>
      </c>
      <c r="E253">
        <v>69.914267910000007</v>
      </c>
      <c r="F253">
        <v>97.018342180000005</v>
      </c>
      <c r="G253">
        <v>76.48421372</v>
      </c>
      <c r="H253">
        <v>70.523508280000001</v>
      </c>
      <c r="I253">
        <v>70</v>
      </c>
    </row>
    <row r="254" spans="1:9" ht="14.25" customHeight="1" x14ac:dyDescent="0.3">
      <c r="A254" t="s">
        <v>527</v>
      </c>
      <c r="B254">
        <v>84.430602530000002</v>
      </c>
      <c r="C254">
        <v>64.585493700000001</v>
      </c>
      <c r="D254">
        <v>79.817658140000006</v>
      </c>
      <c r="E254">
        <v>63.255859200000003</v>
      </c>
      <c r="F254">
        <v>99.283428760000007</v>
      </c>
      <c r="G254">
        <v>84.802668310000001</v>
      </c>
      <c r="H254">
        <v>68.866711949999996</v>
      </c>
      <c r="I254">
        <v>58.914265139999998</v>
      </c>
    </row>
    <row r="255" spans="1:9" ht="14.25" customHeight="1" x14ac:dyDescent="0.3">
      <c r="A255" t="s">
        <v>529</v>
      </c>
      <c r="B255">
        <v>80.291750780000001</v>
      </c>
      <c r="C255">
        <v>62.56430787</v>
      </c>
      <c r="D255">
        <v>79.200702269999994</v>
      </c>
      <c r="E255">
        <v>68.795083599999998</v>
      </c>
      <c r="F255">
        <v>92.704640999999995</v>
      </c>
      <c r="G255">
        <v>74.664957869999995</v>
      </c>
      <c r="H255">
        <v>78.115144720000004</v>
      </c>
      <c r="I255">
        <v>57.138502510000002</v>
      </c>
    </row>
    <row r="256" spans="1:9" ht="14.25" customHeight="1" x14ac:dyDescent="0.3">
      <c r="A256" t="s">
        <v>531</v>
      </c>
      <c r="B256">
        <v>79.849247149999997</v>
      </c>
      <c r="C256">
        <v>60</v>
      </c>
      <c r="D256">
        <v>80.743906499999994</v>
      </c>
      <c r="E256">
        <v>60.729870310000003</v>
      </c>
      <c r="F256">
        <v>90.388610569999997</v>
      </c>
      <c r="G256">
        <v>79.919010830000005</v>
      </c>
      <c r="H256">
        <v>71.234707909999997</v>
      </c>
      <c r="I256">
        <v>50.991094879999999</v>
      </c>
    </row>
    <row r="257" spans="1:9" ht="14.25" customHeight="1" x14ac:dyDescent="0.3">
      <c r="A257" t="s">
        <v>533</v>
      </c>
      <c r="B257">
        <v>88.096102419999994</v>
      </c>
      <c r="C257">
        <v>74.659273279999994</v>
      </c>
      <c r="D257">
        <v>76.348455150000007</v>
      </c>
      <c r="E257">
        <v>63.416233759999997</v>
      </c>
      <c r="F257">
        <v>85.178608310000001</v>
      </c>
      <c r="G257">
        <v>74.476800499999996</v>
      </c>
      <c r="H257">
        <v>77.016459839999996</v>
      </c>
      <c r="I257">
        <v>58.360179049999999</v>
      </c>
    </row>
    <row r="258" spans="1:9" ht="14.25" customHeight="1" x14ac:dyDescent="0.3">
      <c r="A258" t="s">
        <v>535</v>
      </c>
      <c r="B258">
        <v>90.301153720000002</v>
      </c>
      <c r="C258">
        <v>60</v>
      </c>
      <c r="D258">
        <v>78.591262909999998</v>
      </c>
      <c r="E258">
        <v>67.17955336</v>
      </c>
      <c r="F258">
        <v>80.017010540000001</v>
      </c>
      <c r="G258">
        <v>83.360720819999997</v>
      </c>
      <c r="H258">
        <v>70.530277429999998</v>
      </c>
      <c r="I258">
        <v>50</v>
      </c>
    </row>
    <row r="259" spans="1:9" ht="14.25" customHeight="1" x14ac:dyDescent="0.3">
      <c r="A259" t="s">
        <v>537</v>
      </c>
      <c r="B259">
        <v>82.409180480000003</v>
      </c>
      <c r="C259">
        <v>76.564967480000007</v>
      </c>
      <c r="D259">
        <v>87.638453080000005</v>
      </c>
      <c r="E259">
        <v>68.892725319999997</v>
      </c>
      <c r="F259">
        <v>88.306307910000001</v>
      </c>
      <c r="G259">
        <v>78.632381210000005</v>
      </c>
      <c r="H259">
        <v>77.214439189999993</v>
      </c>
      <c r="I259">
        <v>58.523568160000004</v>
      </c>
    </row>
    <row r="260" spans="1:9" ht="14.25" customHeight="1" x14ac:dyDescent="0.3">
      <c r="A260" t="s">
        <v>539</v>
      </c>
      <c r="B260">
        <v>80.287980289999993</v>
      </c>
      <c r="C260">
        <v>73.048442460000004</v>
      </c>
      <c r="D260">
        <v>70</v>
      </c>
      <c r="E260">
        <v>70.107858809999996</v>
      </c>
      <c r="F260">
        <v>99.9</v>
      </c>
      <c r="G260">
        <v>83.791991929999995</v>
      </c>
      <c r="H260">
        <v>68.074934900000002</v>
      </c>
      <c r="I260">
        <v>50</v>
      </c>
    </row>
    <row r="261" spans="1:9" ht="14.25" customHeight="1" x14ac:dyDescent="0.3">
      <c r="A261" t="s">
        <v>541</v>
      </c>
      <c r="B261">
        <v>92.857113949999999</v>
      </c>
      <c r="C261">
        <v>73.730983170000002</v>
      </c>
      <c r="D261">
        <v>75.901536059999998</v>
      </c>
      <c r="E261">
        <v>57.358433580000003</v>
      </c>
      <c r="F261">
        <v>96.787803190000005</v>
      </c>
      <c r="G261">
        <v>79.294871000000001</v>
      </c>
      <c r="H261">
        <v>69.228269479999994</v>
      </c>
      <c r="I261">
        <v>50</v>
      </c>
    </row>
    <row r="262" spans="1:9" ht="14.25" customHeight="1" x14ac:dyDescent="0.3">
      <c r="A262" t="s">
        <v>543</v>
      </c>
      <c r="B262">
        <v>84.762193150000002</v>
      </c>
      <c r="C262">
        <v>64.287854820000007</v>
      </c>
      <c r="D262">
        <v>72.208736680000001</v>
      </c>
      <c r="E262">
        <v>55</v>
      </c>
      <c r="F262">
        <v>96.166271370000004</v>
      </c>
      <c r="G262">
        <v>84.695728720000005</v>
      </c>
      <c r="H262">
        <v>77.911966739999997</v>
      </c>
      <c r="I262">
        <v>50.985540139999998</v>
      </c>
    </row>
    <row r="263" spans="1:9" ht="14.25" customHeight="1" x14ac:dyDescent="0.3">
      <c r="A263" t="s">
        <v>545</v>
      </c>
      <c r="B263">
        <v>84.151229020000002</v>
      </c>
      <c r="C263">
        <v>71.003091339999997</v>
      </c>
      <c r="D263">
        <v>87.164596509999996</v>
      </c>
      <c r="E263">
        <v>65.064070689999994</v>
      </c>
      <c r="F263">
        <v>84.345495360000001</v>
      </c>
      <c r="G263">
        <v>76.352271610000003</v>
      </c>
      <c r="H263">
        <v>71.975214730000005</v>
      </c>
      <c r="I263">
        <v>58.957387359999998</v>
      </c>
    </row>
    <row r="264" spans="1:9" ht="14.25" customHeight="1" x14ac:dyDescent="0.3">
      <c r="A264" t="s">
        <v>547</v>
      </c>
      <c r="B264">
        <v>87.885438129999997</v>
      </c>
      <c r="C264">
        <v>73.92711894</v>
      </c>
      <c r="D264">
        <v>77.766549650000002</v>
      </c>
      <c r="E264">
        <v>67.849650350000005</v>
      </c>
      <c r="F264">
        <v>99.9</v>
      </c>
      <c r="G264">
        <v>83.540350590000003</v>
      </c>
      <c r="H264">
        <v>65.045274809999995</v>
      </c>
      <c r="I264">
        <v>62.374693659999998</v>
      </c>
    </row>
    <row r="265" spans="1:9" ht="14.25" customHeight="1" x14ac:dyDescent="0.3">
      <c r="A265" t="s">
        <v>550</v>
      </c>
      <c r="B265">
        <v>88.596177690000005</v>
      </c>
      <c r="C265">
        <v>63.125025909999998</v>
      </c>
      <c r="D265">
        <v>73.848816459999995</v>
      </c>
      <c r="E265">
        <v>70.198055659999994</v>
      </c>
      <c r="F265">
        <v>99.9</v>
      </c>
      <c r="G265">
        <v>77.732817920000002</v>
      </c>
      <c r="H265">
        <v>77.584531769999998</v>
      </c>
      <c r="I265">
        <v>59.818881619999999</v>
      </c>
    </row>
    <row r="266" spans="1:9" ht="14.25" customHeight="1" x14ac:dyDescent="0.3">
      <c r="A266" t="s">
        <v>552</v>
      </c>
      <c r="B266">
        <v>91.122484779999994</v>
      </c>
      <c r="C266">
        <v>73.904884359999997</v>
      </c>
      <c r="D266">
        <v>70</v>
      </c>
      <c r="E266">
        <v>61.852370180000001</v>
      </c>
      <c r="F266">
        <v>99.9</v>
      </c>
      <c r="G266">
        <v>69.969356480000002</v>
      </c>
      <c r="H266">
        <v>66.266599400000004</v>
      </c>
      <c r="I266">
        <v>58.984773869999998</v>
      </c>
    </row>
    <row r="267" spans="1:9" ht="14.25" customHeight="1" x14ac:dyDescent="0.3">
      <c r="A267" t="s">
        <v>554</v>
      </c>
      <c r="B267">
        <v>96.776441779999999</v>
      </c>
      <c r="C267">
        <v>72.387218570000002</v>
      </c>
      <c r="D267">
        <v>86.180224089999996</v>
      </c>
      <c r="E267">
        <v>64.974992049999997</v>
      </c>
      <c r="F267">
        <v>86.300323140000003</v>
      </c>
      <c r="G267">
        <v>78.478232969999993</v>
      </c>
      <c r="H267">
        <v>65</v>
      </c>
      <c r="I267">
        <v>60.77828324</v>
      </c>
    </row>
    <row r="268" spans="1:9" ht="14.25" customHeight="1" x14ac:dyDescent="0.3">
      <c r="A268" t="s">
        <v>556</v>
      </c>
      <c r="B268">
        <v>85.389548559999994</v>
      </c>
      <c r="C268">
        <v>70.264323329999996</v>
      </c>
      <c r="D268">
        <v>70</v>
      </c>
      <c r="E268">
        <v>65.198609189999999</v>
      </c>
      <c r="F268">
        <v>99.9</v>
      </c>
      <c r="G268">
        <v>74.625216609999995</v>
      </c>
      <c r="H268">
        <v>73.184775950000002</v>
      </c>
      <c r="I268">
        <v>61.697594070000001</v>
      </c>
    </row>
    <row r="269" spans="1:9" ht="14.25" customHeight="1" x14ac:dyDescent="0.3">
      <c r="A269" t="s">
        <v>558</v>
      </c>
      <c r="B269">
        <v>86.612911690000004</v>
      </c>
      <c r="C269">
        <v>65.615338629999997</v>
      </c>
      <c r="D269">
        <v>70</v>
      </c>
      <c r="E269">
        <v>68.739499289999998</v>
      </c>
      <c r="F269">
        <v>99.9</v>
      </c>
      <c r="G269">
        <v>70.071486239999999</v>
      </c>
      <c r="H269">
        <v>74.989589230000007</v>
      </c>
      <c r="I269">
        <v>57.000298229999999</v>
      </c>
    </row>
    <row r="270" spans="1:9" ht="14.25" customHeight="1" x14ac:dyDescent="0.3">
      <c r="A270" t="s">
        <v>561</v>
      </c>
      <c r="B270">
        <v>92.837682569999998</v>
      </c>
      <c r="C270">
        <v>72.090782660000002</v>
      </c>
      <c r="D270">
        <v>70</v>
      </c>
      <c r="E270">
        <v>68.404025270000005</v>
      </c>
      <c r="F270">
        <v>96.402398070000004</v>
      </c>
      <c r="G270">
        <v>76.645968719999999</v>
      </c>
      <c r="H270">
        <v>67.821528389999997</v>
      </c>
      <c r="I270">
        <v>66.254633200000001</v>
      </c>
    </row>
    <row r="271" spans="1:9" ht="14.25" customHeight="1" x14ac:dyDescent="0.3">
      <c r="A271" t="s">
        <v>563</v>
      </c>
      <c r="B271">
        <v>86.693210750000006</v>
      </c>
      <c r="C271">
        <v>67.325655990000001</v>
      </c>
      <c r="D271">
        <v>71.40562018</v>
      </c>
      <c r="E271">
        <v>65.435390859999998</v>
      </c>
      <c r="F271">
        <v>85.231307240000007</v>
      </c>
      <c r="G271">
        <v>75.275513450000005</v>
      </c>
      <c r="H271">
        <v>69.060719280000001</v>
      </c>
      <c r="I271">
        <v>55.38578588</v>
      </c>
    </row>
    <row r="272" spans="1:9" ht="14.25" customHeight="1" x14ac:dyDescent="0.3">
      <c r="A272" t="s">
        <v>565</v>
      </c>
      <c r="B272">
        <v>87.73404884</v>
      </c>
      <c r="C272">
        <v>61.212600879999997</v>
      </c>
      <c r="D272">
        <v>87.754112469999995</v>
      </c>
      <c r="E272">
        <v>71.928416889999994</v>
      </c>
      <c r="F272">
        <v>99.9</v>
      </c>
      <c r="G272">
        <v>74.164457510000005</v>
      </c>
      <c r="H272">
        <v>66.326534710000004</v>
      </c>
      <c r="I272">
        <v>52.861772530000003</v>
      </c>
    </row>
    <row r="273" spans="1:9" ht="14.25" customHeight="1" x14ac:dyDescent="0.3">
      <c r="A273" t="s">
        <v>567</v>
      </c>
      <c r="B273">
        <v>84.915205130000004</v>
      </c>
      <c r="C273">
        <v>67.162198680000003</v>
      </c>
      <c r="D273">
        <v>73.678706989999995</v>
      </c>
      <c r="E273">
        <v>57.939585540000003</v>
      </c>
      <c r="F273">
        <v>82.935167320000005</v>
      </c>
      <c r="G273">
        <v>74.997605460000003</v>
      </c>
      <c r="H273">
        <v>75.292239600000002</v>
      </c>
      <c r="I273">
        <v>50.873859330000002</v>
      </c>
    </row>
    <row r="274" spans="1:9" ht="14.25" customHeight="1" x14ac:dyDescent="0.3">
      <c r="A274" t="s">
        <v>569</v>
      </c>
      <c r="B274">
        <v>84.327987710000002</v>
      </c>
      <c r="C274">
        <v>72.349585110000007</v>
      </c>
      <c r="D274">
        <v>76.443271030000005</v>
      </c>
      <c r="E274">
        <v>55</v>
      </c>
      <c r="F274">
        <v>99.301056880000004</v>
      </c>
      <c r="G274">
        <v>81.776062809999999</v>
      </c>
      <c r="H274">
        <v>70.081998089999999</v>
      </c>
      <c r="I274">
        <v>52.458410809999997</v>
      </c>
    </row>
    <row r="275" spans="1:9" ht="14.25" customHeight="1" x14ac:dyDescent="0.3">
      <c r="A275" t="s">
        <v>571</v>
      </c>
      <c r="B275">
        <v>85.966330670000005</v>
      </c>
      <c r="C275">
        <v>67.805398719999999</v>
      </c>
      <c r="D275">
        <v>70</v>
      </c>
      <c r="E275">
        <v>63.596183439999997</v>
      </c>
      <c r="F275">
        <v>85.601506999999998</v>
      </c>
      <c r="G275">
        <v>75.795547839999998</v>
      </c>
      <c r="H275">
        <v>72.742102310000007</v>
      </c>
      <c r="I275">
        <v>55.216836039999997</v>
      </c>
    </row>
    <row r="276" spans="1:9" ht="14.25" customHeight="1" x14ac:dyDescent="0.3">
      <c r="A276" t="s">
        <v>573</v>
      </c>
      <c r="B276">
        <v>87.890633919999999</v>
      </c>
      <c r="C276">
        <v>67.793072249999994</v>
      </c>
      <c r="D276">
        <v>87.737325929999997</v>
      </c>
      <c r="E276">
        <v>70.734904889999996</v>
      </c>
      <c r="F276">
        <v>98.525082209999994</v>
      </c>
      <c r="G276">
        <v>76.141582740000004</v>
      </c>
      <c r="H276">
        <v>71.075713789999995</v>
      </c>
      <c r="I276">
        <v>54.260694049999998</v>
      </c>
    </row>
    <row r="277" spans="1:9" ht="14.25" customHeight="1" x14ac:dyDescent="0.3">
      <c r="A277" t="s">
        <v>575</v>
      </c>
      <c r="B277">
        <v>92.534958869999997</v>
      </c>
      <c r="C277">
        <v>75.318497609999994</v>
      </c>
      <c r="D277">
        <v>86.220466090000002</v>
      </c>
      <c r="E277">
        <v>70.733598299999997</v>
      </c>
      <c r="F277">
        <v>94.187725150000006</v>
      </c>
      <c r="G277">
        <v>82.649415779999998</v>
      </c>
      <c r="H277">
        <v>71.244173040000007</v>
      </c>
      <c r="I277">
        <v>56.996307010000002</v>
      </c>
    </row>
    <row r="278" spans="1:9" ht="14.25" customHeight="1" x14ac:dyDescent="0.3">
      <c r="A278" t="s">
        <v>577</v>
      </c>
      <c r="B278">
        <v>83.818159949999995</v>
      </c>
      <c r="C278">
        <v>70.912866919999999</v>
      </c>
      <c r="D278">
        <v>75.588305039999995</v>
      </c>
      <c r="E278">
        <v>65.720728159999993</v>
      </c>
      <c r="F278">
        <v>93.367671950000002</v>
      </c>
      <c r="G278">
        <v>78.58963799</v>
      </c>
      <c r="H278">
        <v>66.405415349999998</v>
      </c>
      <c r="I278">
        <v>63.845409940000003</v>
      </c>
    </row>
    <row r="279" spans="1:9" ht="14.25" customHeight="1" x14ac:dyDescent="0.3">
      <c r="A279" t="s">
        <v>579</v>
      </c>
      <c r="B279">
        <v>87.814733649999994</v>
      </c>
      <c r="C279">
        <v>65.601391320000005</v>
      </c>
      <c r="D279">
        <v>81.998370499999993</v>
      </c>
      <c r="E279">
        <v>61.261939929999997</v>
      </c>
      <c r="F279">
        <v>87.941890049999998</v>
      </c>
      <c r="G279">
        <v>85</v>
      </c>
      <c r="H279">
        <v>68.432578660000004</v>
      </c>
      <c r="I279">
        <v>62.250073950000001</v>
      </c>
    </row>
    <row r="280" spans="1:9" ht="14.25" customHeight="1" x14ac:dyDescent="0.3">
      <c r="A280" t="s">
        <v>581</v>
      </c>
      <c r="B280">
        <v>75</v>
      </c>
      <c r="C280">
        <v>62.394700360000002</v>
      </c>
      <c r="D280">
        <v>73.643673550000003</v>
      </c>
      <c r="E280">
        <v>64.837821730000002</v>
      </c>
      <c r="F280">
        <v>80.45988681</v>
      </c>
      <c r="G280">
        <v>69.89230551</v>
      </c>
      <c r="H280">
        <v>72.741396640000005</v>
      </c>
      <c r="I280">
        <v>55.97343721</v>
      </c>
    </row>
    <row r="281" spans="1:9" ht="14.25" customHeight="1" x14ac:dyDescent="0.3">
      <c r="A281" t="s">
        <v>583</v>
      </c>
      <c r="B281">
        <v>78.671681399999997</v>
      </c>
      <c r="C281">
        <v>72.753417170000006</v>
      </c>
      <c r="D281">
        <v>85.974836080000003</v>
      </c>
      <c r="E281">
        <v>63.956963199999997</v>
      </c>
      <c r="F281">
        <v>99.9</v>
      </c>
      <c r="G281">
        <v>85</v>
      </c>
      <c r="H281">
        <v>72.542051189999995</v>
      </c>
      <c r="I281">
        <v>63.383653330000001</v>
      </c>
    </row>
    <row r="282" spans="1:9" ht="14.25" customHeight="1" x14ac:dyDescent="0.3">
      <c r="A282" t="s">
        <v>585</v>
      </c>
      <c r="B282">
        <v>81.735729190000001</v>
      </c>
      <c r="C282">
        <v>72.945927569999995</v>
      </c>
      <c r="D282">
        <v>73.985982649999997</v>
      </c>
      <c r="E282">
        <v>60.209880230000003</v>
      </c>
      <c r="F282">
        <v>88.040478370000002</v>
      </c>
      <c r="G282">
        <v>85</v>
      </c>
      <c r="H282">
        <v>70.877610390000001</v>
      </c>
      <c r="I282">
        <v>56.194554539999999</v>
      </c>
    </row>
    <row r="283" spans="1:9" ht="14.25" customHeight="1" x14ac:dyDescent="0.3">
      <c r="A283" t="s">
        <v>587</v>
      </c>
      <c r="B283">
        <v>80.985835190000003</v>
      </c>
      <c r="C283">
        <v>68.909693230000002</v>
      </c>
      <c r="D283">
        <v>77.562044369999995</v>
      </c>
      <c r="E283">
        <v>70.441568320000002</v>
      </c>
      <c r="F283">
        <v>83.855680559999996</v>
      </c>
      <c r="G283">
        <v>80.706186509999995</v>
      </c>
      <c r="H283">
        <v>65</v>
      </c>
      <c r="I283">
        <v>56.011898250000002</v>
      </c>
    </row>
    <row r="284" spans="1:9" ht="14.25" customHeight="1" x14ac:dyDescent="0.3">
      <c r="A284" t="s">
        <v>589</v>
      </c>
      <c r="B284">
        <v>90.998848800000005</v>
      </c>
      <c r="C284">
        <v>60</v>
      </c>
      <c r="D284">
        <v>80.645300449999993</v>
      </c>
      <c r="E284">
        <v>63.861592729999998</v>
      </c>
      <c r="F284">
        <v>91.220724529999998</v>
      </c>
      <c r="G284">
        <v>74.236802879999999</v>
      </c>
      <c r="H284">
        <v>67.694186160000001</v>
      </c>
      <c r="I284">
        <v>57.372895530000001</v>
      </c>
    </row>
    <row r="285" spans="1:9" ht="14.25" customHeight="1" x14ac:dyDescent="0.3">
      <c r="A285" t="s">
        <v>591</v>
      </c>
      <c r="B285">
        <v>82.46307564</v>
      </c>
      <c r="C285">
        <v>60</v>
      </c>
      <c r="D285">
        <v>76.190265249999996</v>
      </c>
      <c r="E285">
        <v>57.144251220000001</v>
      </c>
      <c r="F285">
        <v>95.246612310000003</v>
      </c>
      <c r="G285">
        <v>81.596143530000006</v>
      </c>
      <c r="H285">
        <v>68.051539289999994</v>
      </c>
      <c r="I285">
        <v>65.210943229999998</v>
      </c>
    </row>
    <row r="286" spans="1:9" ht="14.25" customHeight="1" x14ac:dyDescent="0.3">
      <c r="A286" t="s">
        <v>593</v>
      </c>
      <c r="B286">
        <v>83.661273609999995</v>
      </c>
      <c r="C286">
        <v>66.325373350000007</v>
      </c>
      <c r="D286">
        <v>77.766414330000003</v>
      </c>
      <c r="E286">
        <v>66.954125869999999</v>
      </c>
      <c r="F286">
        <v>91.323996919999999</v>
      </c>
      <c r="G286">
        <v>84.117393199999995</v>
      </c>
      <c r="H286">
        <v>70.796094229999994</v>
      </c>
      <c r="I286">
        <v>53.181405849999997</v>
      </c>
    </row>
    <row r="287" spans="1:9" ht="14.25" customHeight="1" x14ac:dyDescent="0.3">
      <c r="A287" t="s">
        <v>595</v>
      </c>
      <c r="B287">
        <v>99.436417370000001</v>
      </c>
      <c r="C287">
        <v>64.185350510000006</v>
      </c>
      <c r="D287">
        <v>78.370902970000003</v>
      </c>
      <c r="E287">
        <v>75</v>
      </c>
      <c r="F287">
        <v>97.122706449999995</v>
      </c>
      <c r="G287">
        <v>78.287313400000002</v>
      </c>
      <c r="H287">
        <v>65.327735320000002</v>
      </c>
      <c r="I287">
        <v>56.338491210000001</v>
      </c>
    </row>
    <row r="288" spans="1:9" ht="14.25" customHeight="1" x14ac:dyDescent="0.3">
      <c r="A288" t="s">
        <v>597</v>
      </c>
      <c r="B288">
        <v>80.906038609999996</v>
      </c>
      <c r="C288">
        <v>73.629414049999994</v>
      </c>
      <c r="D288">
        <v>75.811998829999993</v>
      </c>
      <c r="E288">
        <v>63.650319719999999</v>
      </c>
      <c r="F288">
        <v>89.490811410000006</v>
      </c>
      <c r="G288">
        <v>71.044225969999999</v>
      </c>
      <c r="H288">
        <v>68.497093359999994</v>
      </c>
      <c r="I288">
        <v>65.496182970000007</v>
      </c>
    </row>
    <row r="289" spans="1:9" ht="14.25" customHeight="1" x14ac:dyDescent="0.3">
      <c r="A289" t="s">
        <v>599</v>
      </c>
      <c r="B289">
        <v>85.936429610000005</v>
      </c>
      <c r="C289">
        <v>62.8170894</v>
      </c>
      <c r="D289">
        <v>70</v>
      </c>
      <c r="E289">
        <v>72.3642234</v>
      </c>
      <c r="F289">
        <v>87.971269309999997</v>
      </c>
      <c r="G289">
        <v>74.01808303</v>
      </c>
      <c r="H289">
        <v>69.496288870000001</v>
      </c>
      <c r="I289">
        <v>50</v>
      </c>
    </row>
    <row r="290" spans="1:9" ht="14.25" customHeight="1" x14ac:dyDescent="0.3">
      <c r="A290" t="s">
        <v>601</v>
      </c>
      <c r="B290">
        <v>80.391908090000001</v>
      </c>
      <c r="C290">
        <v>64.257814519999997</v>
      </c>
      <c r="D290">
        <v>77.855519520000001</v>
      </c>
      <c r="E290">
        <v>65.215388230000002</v>
      </c>
      <c r="F290">
        <v>99.896140549999998</v>
      </c>
      <c r="G290">
        <v>73.194746069999994</v>
      </c>
      <c r="H290">
        <v>72.115051859999994</v>
      </c>
      <c r="I290">
        <v>54.675725440000001</v>
      </c>
    </row>
    <row r="291" spans="1:9" ht="14.25" customHeight="1" x14ac:dyDescent="0.3">
      <c r="A291" t="s">
        <v>603</v>
      </c>
      <c r="B291">
        <v>75</v>
      </c>
      <c r="C291">
        <v>63.59790168</v>
      </c>
      <c r="D291">
        <v>70</v>
      </c>
      <c r="E291">
        <v>63.576421320000001</v>
      </c>
      <c r="F291">
        <v>81.11611825</v>
      </c>
      <c r="G291">
        <v>80.700695039999999</v>
      </c>
      <c r="H291">
        <v>65.826209570000003</v>
      </c>
      <c r="I291">
        <v>50.61936189</v>
      </c>
    </row>
    <row r="292" spans="1:9" ht="14.25" customHeight="1" x14ac:dyDescent="0.3">
      <c r="A292" t="s">
        <v>605</v>
      </c>
      <c r="B292">
        <v>85.999252060000003</v>
      </c>
      <c r="C292">
        <v>63.54601195</v>
      </c>
      <c r="D292">
        <v>84.405493719999996</v>
      </c>
      <c r="E292">
        <v>68.354892410000005</v>
      </c>
      <c r="F292">
        <v>94.157107819999993</v>
      </c>
      <c r="G292">
        <v>74.739597079999996</v>
      </c>
      <c r="H292">
        <v>71.313083019999993</v>
      </c>
      <c r="I292">
        <v>68.205774349999999</v>
      </c>
    </row>
    <row r="293" spans="1:9" ht="14.25" customHeight="1" x14ac:dyDescent="0.3">
      <c r="A293" t="s">
        <v>607</v>
      </c>
      <c r="B293">
        <v>91.610185830000006</v>
      </c>
      <c r="C293">
        <v>70.793519509999996</v>
      </c>
      <c r="D293">
        <v>88.113366670000005</v>
      </c>
      <c r="E293">
        <v>73.823104749999999</v>
      </c>
      <c r="F293">
        <v>80</v>
      </c>
      <c r="G293">
        <v>79.899067290000005</v>
      </c>
      <c r="H293">
        <v>72.440337839999998</v>
      </c>
      <c r="I293">
        <v>54.909584340000002</v>
      </c>
    </row>
    <row r="294" spans="1:9" ht="14.25" customHeight="1" x14ac:dyDescent="0.3">
      <c r="A294" t="s">
        <v>609</v>
      </c>
      <c r="B294">
        <v>89.252461139999994</v>
      </c>
      <c r="C294">
        <v>71.044004990000005</v>
      </c>
      <c r="D294">
        <v>71.207330409999997</v>
      </c>
      <c r="E294">
        <v>62.580562649999997</v>
      </c>
      <c r="F294">
        <v>93.732468490000002</v>
      </c>
      <c r="G294">
        <v>74.144634199999999</v>
      </c>
      <c r="H294">
        <v>67.810278109999999</v>
      </c>
      <c r="I294">
        <v>55.72750937</v>
      </c>
    </row>
    <row r="295" spans="1:9" ht="14.25" customHeight="1" x14ac:dyDescent="0.3">
      <c r="A295" t="s">
        <v>611</v>
      </c>
      <c r="B295">
        <v>79.758450629999999</v>
      </c>
      <c r="C295">
        <v>60</v>
      </c>
      <c r="D295">
        <v>79.452183520000006</v>
      </c>
      <c r="E295">
        <v>65.754956429999993</v>
      </c>
      <c r="F295">
        <v>83.520985289999999</v>
      </c>
      <c r="G295">
        <v>75.195645099999993</v>
      </c>
      <c r="H295">
        <v>77.208424530000002</v>
      </c>
      <c r="I295">
        <v>50</v>
      </c>
    </row>
    <row r="296" spans="1:9" ht="14.25" customHeight="1" x14ac:dyDescent="0.3">
      <c r="A296" t="s">
        <v>613</v>
      </c>
      <c r="B296">
        <v>86.596363740000001</v>
      </c>
      <c r="C296">
        <v>72.442663820000007</v>
      </c>
      <c r="D296">
        <v>70</v>
      </c>
      <c r="E296">
        <v>61.163479870000003</v>
      </c>
      <c r="F296">
        <v>99.9</v>
      </c>
      <c r="G296">
        <v>76.449080809999998</v>
      </c>
      <c r="H296">
        <v>75.850645200000002</v>
      </c>
      <c r="I296">
        <v>60.439302759999997</v>
      </c>
    </row>
    <row r="297" spans="1:9" ht="14.25" customHeight="1" x14ac:dyDescent="0.3">
      <c r="A297" t="s">
        <v>615</v>
      </c>
      <c r="B297">
        <v>80.62050739</v>
      </c>
      <c r="C297">
        <v>61.419961370000003</v>
      </c>
      <c r="D297">
        <v>83.936993310000005</v>
      </c>
      <c r="E297">
        <v>65.272858729999996</v>
      </c>
      <c r="F297">
        <v>91.655188260000003</v>
      </c>
      <c r="G297">
        <v>81.899003030000003</v>
      </c>
      <c r="H297">
        <v>70.77830238</v>
      </c>
      <c r="I297">
        <v>53.063219310000001</v>
      </c>
    </row>
    <row r="298" spans="1:9" ht="14.25" customHeight="1" x14ac:dyDescent="0.3">
      <c r="A298" t="s">
        <v>617</v>
      </c>
      <c r="B298">
        <v>83.102191349999998</v>
      </c>
      <c r="C298">
        <v>66.17591693</v>
      </c>
      <c r="D298">
        <v>86.869518369999994</v>
      </c>
      <c r="E298">
        <v>69.606216309999994</v>
      </c>
      <c r="F298">
        <v>86.420672999999994</v>
      </c>
      <c r="G298">
        <v>76.497315259999993</v>
      </c>
      <c r="H298">
        <v>76.187241529999994</v>
      </c>
      <c r="I298">
        <v>59.008945959999998</v>
      </c>
    </row>
    <row r="299" spans="1:9" ht="14.25" customHeight="1" x14ac:dyDescent="0.3">
      <c r="A299" t="s">
        <v>619</v>
      </c>
      <c r="B299">
        <v>77.585692980000005</v>
      </c>
      <c r="C299">
        <v>66.165597739999995</v>
      </c>
      <c r="D299">
        <v>74.132248320000002</v>
      </c>
      <c r="E299">
        <v>66.45321414</v>
      </c>
      <c r="F299">
        <v>85.492179399999998</v>
      </c>
      <c r="G299">
        <v>72.484309359999997</v>
      </c>
      <c r="H299">
        <v>71.268492120000005</v>
      </c>
      <c r="I299">
        <v>66.653959779999994</v>
      </c>
    </row>
    <row r="300" spans="1:9" ht="14.25" customHeight="1" x14ac:dyDescent="0.3">
      <c r="A300" t="s">
        <v>621</v>
      </c>
      <c r="B300">
        <v>89.006827169999994</v>
      </c>
      <c r="C300">
        <v>67.990339399999996</v>
      </c>
      <c r="D300">
        <v>74.717566489999996</v>
      </c>
      <c r="E300">
        <v>68.194282700000002</v>
      </c>
      <c r="F300">
        <v>95.624842760000007</v>
      </c>
      <c r="G300">
        <v>75.740866089999997</v>
      </c>
      <c r="H300">
        <v>69.961547589999995</v>
      </c>
      <c r="I300">
        <v>60.440381760000001</v>
      </c>
    </row>
    <row r="301" spans="1:9" ht="14.25" customHeight="1" x14ac:dyDescent="0.3">
      <c r="A301" t="s">
        <v>623</v>
      </c>
      <c r="B301">
        <v>78.314785830000005</v>
      </c>
      <c r="C301">
        <v>65.663777440000004</v>
      </c>
      <c r="D301">
        <v>82.688641559999994</v>
      </c>
      <c r="E301">
        <v>67.103104040000005</v>
      </c>
      <c r="F301">
        <v>90.05080959</v>
      </c>
      <c r="G301">
        <v>85</v>
      </c>
      <c r="H301">
        <v>74.003339800000006</v>
      </c>
      <c r="I301">
        <v>50</v>
      </c>
    </row>
    <row r="302" spans="1:9" ht="14.25" customHeight="1" x14ac:dyDescent="0.3">
      <c r="A302" t="s">
        <v>625</v>
      </c>
      <c r="B302">
        <v>84.384424249999995</v>
      </c>
      <c r="C302">
        <v>73.519419479999996</v>
      </c>
      <c r="D302">
        <v>74.345108109999998</v>
      </c>
      <c r="E302">
        <v>61.157867179999997</v>
      </c>
      <c r="F302">
        <v>86.376969990000006</v>
      </c>
      <c r="G302">
        <v>85</v>
      </c>
      <c r="H302">
        <v>65</v>
      </c>
      <c r="I302">
        <v>52.474933929999999</v>
      </c>
    </row>
    <row r="303" spans="1:9" ht="14.25" customHeight="1" x14ac:dyDescent="0.3">
      <c r="A303" t="s">
        <v>627</v>
      </c>
      <c r="B303">
        <v>91.353920380000005</v>
      </c>
      <c r="C303">
        <v>63.527103820000001</v>
      </c>
      <c r="D303">
        <v>70.923739760000004</v>
      </c>
      <c r="E303">
        <v>59.682873710000003</v>
      </c>
      <c r="F303">
        <v>88.486174849999998</v>
      </c>
      <c r="G303">
        <v>78.786241320000002</v>
      </c>
      <c r="H303">
        <v>71.604031109999994</v>
      </c>
      <c r="I303">
        <v>60.624474650000003</v>
      </c>
    </row>
    <row r="304" spans="1:9" ht="14.25" customHeight="1" x14ac:dyDescent="0.3">
      <c r="A304" t="s">
        <v>629</v>
      </c>
      <c r="B304">
        <v>84.513673080000004</v>
      </c>
      <c r="C304">
        <v>63.548318500000001</v>
      </c>
      <c r="D304">
        <v>76.156946300000001</v>
      </c>
      <c r="E304">
        <v>65.695842170000006</v>
      </c>
      <c r="F304">
        <v>94.192873410000004</v>
      </c>
      <c r="G304">
        <v>82.353059630000004</v>
      </c>
      <c r="H304">
        <v>67.001753129999997</v>
      </c>
      <c r="I304">
        <v>60.340591230000001</v>
      </c>
    </row>
    <row r="305" spans="1:9" ht="14.25" customHeight="1" x14ac:dyDescent="0.3">
      <c r="A305" t="s">
        <v>631</v>
      </c>
      <c r="B305">
        <v>88.602698050000001</v>
      </c>
      <c r="C305">
        <v>65.777457470000002</v>
      </c>
      <c r="D305">
        <v>82.985847359999994</v>
      </c>
      <c r="E305">
        <v>66.868773649999994</v>
      </c>
      <c r="F305">
        <v>93.276705789999994</v>
      </c>
      <c r="G305">
        <v>83.242036189999993</v>
      </c>
      <c r="H305">
        <v>65</v>
      </c>
      <c r="I305">
        <v>52.18821441</v>
      </c>
    </row>
    <row r="306" spans="1:9" ht="14.25" customHeight="1" x14ac:dyDescent="0.3">
      <c r="A306" t="s">
        <v>633</v>
      </c>
      <c r="B306">
        <v>84.980853740000001</v>
      </c>
      <c r="C306">
        <v>65.384954930000006</v>
      </c>
      <c r="D306">
        <v>75.713312250000001</v>
      </c>
      <c r="E306">
        <v>65.965296469999998</v>
      </c>
      <c r="F306">
        <v>89.364565499999998</v>
      </c>
      <c r="G306">
        <v>79.153489390000004</v>
      </c>
      <c r="H306">
        <v>77.726058280000004</v>
      </c>
      <c r="I306">
        <v>65.541570410000006</v>
      </c>
    </row>
    <row r="307" spans="1:9" ht="14.25" customHeight="1" x14ac:dyDescent="0.3">
      <c r="A307" t="s">
        <v>635</v>
      </c>
      <c r="B307">
        <v>84.485385030000003</v>
      </c>
      <c r="C307">
        <v>63.623299400000001</v>
      </c>
      <c r="D307">
        <v>71.490516279999994</v>
      </c>
      <c r="E307">
        <v>63.274076639999997</v>
      </c>
      <c r="F307">
        <v>99.173688290000001</v>
      </c>
      <c r="G307">
        <v>83.898718239999994</v>
      </c>
      <c r="H307">
        <v>70.602176610000001</v>
      </c>
      <c r="I307">
        <v>60.66081887</v>
      </c>
    </row>
    <row r="308" spans="1:9" ht="14.25" customHeight="1" x14ac:dyDescent="0.3">
      <c r="A308" t="s">
        <v>637</v>
      </c>
      <c r="B308">
        <v>82.823692539999996</v>
      </c>
      <c r="C308">
        <v>75.466557449999996</v>
      </c>
      <c r="D308">
        <v>81.715901540000004</v>
      </c>
      <c r="E308">
        <v>63.904729539999998</v>
      </c>
      <c r="F308">
        <v>86.695839509999999</v>
      </c>
      <c r="G308">
        <v>77.964732650000002</v>
      </c>
      <c r="H308">
        <v>70.415731070000007</v>
      </c>
      <c r="I308">
        <v>69.319748599999997</v>
      </c>
    </row>
    <row r="309" spans="1:9" ht="14.25" customHeight="1" x14ac:dyDescent="0.3">
      <c r="A309" t="s">
        <v>639</v>
      </c>
      <c r="B309">
        <v>86.882126540000002</v>
      </c>
      <c r="C309">
        <v>72.605183969999999</v>
      </c>
      <c r="D309">
        <v>81.106913090000006</v>
      </c>
      <c r="E309">
        <v>74.590246609999994</v>
      </c>
      <c r="F309">
        <v>93.694948819999993</v>
      </c>
      <c r="G309">
        <v>79.129900219999996</v>
      </c>
      <c r="H309">
        <v>72.187780059999994</v>
      </c>
      <c r="I309">
        <v>50</v>
      </c>
    </row>
    <row r="310" spans="1:9" ht="14.25" customHeight="1" x14ac:dyDescent="0.3">
      <c r="A310" t="s">
        <v>641</v>
      </c>
      <c r="B310">
        <v>82.501363380000001</v>
      </c>
      <c r="C310">
        <v>68.990362700000006</v>
      </c>
      <c r="D310">
        <v>81.98102059</v>
      </c>
      <c r="E310">
        <v>62.81057122</v>
      </c>
      <c r="F310">
        <v>90.020860720000002</v>
      </c>
      <c r="G310">
        <v>68.447710860000001</v>
      </c>
      <c r="H310">
        <v>68.912709340000006</v>
      </c>
      <c r="I310">
        <v>50</v>
      </c>
    </row>
    <row r="311" spans="1:9" ht="14.25" customHeight="1" x14ac:dyDescent="0.3">
      <c r="A311" t="s">
        <v>643</v>
      </c>
      <c r="B311">
        <v>77.239641180000007</v>
      </c>
      <c r="C311">
        <v>60.375655870000003</v>
      </c>
      <c r="D311">
        <v>70</v>
      </c>
      <c r="E311">
        <v>67.784226369999999</v>
      </c>
      <c r="F311">
        <v>95.346290449999998</v>
      </c>
      <c r="G311">
        <v>77.002937750000001</v>
      </c>
      <c r="H311">
        <v>65</v>
      </c>
      <c r="I311">
        <v>50</v>
      </c>
    </row>
    <row r="312" spans="1:9" ht="14.25" customHeight="1" x14ac:dyDescent="0.3">
      <c r="A312" t="s">
        <v>645</v>
      </c>
      <c r="B312">
        <v>88.336491940000002</v>
      </c>
      <c r="C312">
        <v>70.694512649999993</v>
      </c>
      <c r="D312">
        <v>81.080625839999996</v>
      </c>
      <c r="E312">
        <v>68.055321070000005</v>
      </c>
      <c r="F312">
        <v>85.246726800000005</v>
      </c>
      <c r="G312">
        <v>75.507563500000003</v>
      </c>
      <c r="H312">
        <v>69.048332939999995</v>
      </c>
      <c r="I312">
        <v>63.626192860000003</v>
      </c>
    </row>
    <row r="313" spans="1:9" ht="14.25" customHeight="1" x14ac:dyDescent="0.3">
      <c r="A313" t="s">
        <v>647</v>
      </c>
      <c r="B313">
        <v>82.640601160000003</v>
      </c>
      <c r="C313">
        <v>70.557586360000002</v>
      </c>
      <c r="D313">
        <v>84.374784680000005</v>
      </c>
      <c r="E313">
        <v>72.729124959999993</v>
      </c>
      <c r="F313">
        <v>80</v>
      </c>
      <c r="G313">
        <v>75.384170710000006</v>
      </c>
      <c r="H313">
        <v>70.613273710000001</v>
      </c>
      <c r="I313">
        <v>64.893408260000001</v>
      </c>
    </row>
    <row r="314" spans="1:9" ht="14.25" customHeight="1" x14ac:dyDescent="0.3">
      <c r="A314" t="s">
        <v>649</v>
      </c>
      <c r="B314">
        <v>85.784232810000006</v>
      </c>
      <c r="C314">
        <v>66.292456509999994</v>
      </c>
      <c r="D314">
        <v>70.604048930000005</v>
      </c>
      <c r="E314">
        <v>61.191103759999997</v>
      </c>
      <c r="F314">
        <v>94.819972930000006</v>
      </c>
      <c r="G314">
        <v>83.056340449999993</v>
      </c>
      <c r="H314">
        <v>67.44909638</v>
      </c>
      <c r="I314">
        <v>51.345081790000002</v>
      </c>
    </row>
    <row r="315" spans="1:9" ht="14.25" customHeight="1" x14ac:dyDescent="0.3">
      <c r="A315" t="s">
        <v>651</v>
      </c>
      <c r="B315">
        <v>95.144114569999999</v>
      </c>
      <c r="C315">
        <v>71.230283729999996</v>
      </c>
      <c r="D315">
        <v>70</v>
      </c>
      <c r="E315">
        <v>58.407635030000002</v>
      </c>
      <c r="F315">
        <v>80</v>
      </c>
      <c r="G315">
        <v>85</v>
      </c>
      <c r="H315">
        <v>77.330727359999997</v>
      </c>
      <c r="I315">
        <v>62.695477330000003</v>
      </c>
    </row>
    <row r="316" spans="1:9" ht="14.25" customHeight="1" x14ac:dyDescent="0.3">
      <c r="A316" t="s">
        <v>653</v>
      </c>
      <c r="B316">
        <v>75</v>
      </c>
      <c r="C316">
        <v>77.080502929999994</v>
      </c>
      <c r="D316">
        <v>70</v>
      </c>
      <c r="E316">
        <v>62.092537389999997</v>
      </c>
      <c r="F316">
        <v>81.979822909999996</v>
      </c>
      <c r="G316">
        <v>82.041122450000003</v>
      </c>
      <c r="H316">
        <v>66.914056709999997</v>
      </c>
      <c r="I316">
        <v>54.082714670000001</v>
      </c>
    </row>
    <row r="317" spans="1:9" ht="14.25" customHeight="1" x14ac:dyDescent="0.3">
      <c r="A317" t="s">
        <v>655</v>
      </c>
      <c r="B317">
        <v>95.645109809999994</v>
      </c>
      <c r="C317">
        <v>69.691463310000003</v>
      </c>
      <c r="D317">
        <v>89.864663770000007</v>
      </c>
      <c r="E317">
        <v>57.975851069999997</v>
      </c>
      <c r="F317">
        <v>80</v>
      </c>
      <c r="G317">
        <v>73.504733920000007</v>
      </c>
      <c r="H317">
        <v>75.221932879999997</v>
      </c>
      <c r="I317">
        <v>50</v>
      </c>
    </row>
    <row r="318" spans="1:9" ht="14.25" customHeight="1" x14ac:dyDescent="0.3">
      <c r="A318" t="s">
        <v>657</v>
      </c>
      <c r="B318">
        <v>94.893442190000002</v>
      </c>
      <c r="C318">
        <v>65.327649679999993</v>
      </c>
      <c r="D318">
        <v>85.403030970000003</v>
      </c>
      <c r="E318">
        <v>62.825855709999999</v>
      </c>
      <c r="F318">
        <v>86.236034029999999</v>
      </c>
      <c r="G318">
        <v>84.733649679999999</v>
      </c>
      <c r="H318">
        <v>68.077118150000004</v>
      </c>
      <c r="I318">
        <v>55.980678019999999</v>
      </c>
    </row>
    <row r="319" spans="1:9" ht="14.25" customHeight="1" x14ac:dyDescent="0.3">
      <c r="A319" t="s">
        <v>659</v>
      </c>
      <c r="B319">
        <v>85.396941999999996</v>
      </c>
      <c r="C319">
        <v>69.495467289999993</v>
      </c>
      <c r="D319">
        <v>82.518109039999999</v>
      </c>
      <c r="E319">
        <v>61.219940270000002</v>
      </c>
      <c r="F319">
        <v>95.411490369999996</v>
      </c>
      <c r="G319">
        <v>79.664409419999998</v>
      </c>
      <c r="H319">
        <v>77.326403990000003</v>
      </c>
      <c r="I319">
        <v>53.71369791</v>
      </c>
    </row>
    <row r="320" spans="1:9" ht="14.25" customHeight="1" x14ac:dyDescent="0.3">
      <c r="A320" t="s">
        <v>661</v>
      </c>
      <c r="B320">
        <v>94.440745849999999</v>
      </c>
      <c r="C320">
        <v>69.364460289999997</v>
      </c>
      <c r="D320">
        <v>76.26141346</v>
      </c>
      <c r="E320">
        <v>62.869059329999999</v>
      </c>
      <c r="F320">
        <v>85.238739769999995</v>
      </c>
      <c r="G320">
        <v>74.134059190000002</v>
      </c>
      <c r="H320">
        <v>72.702067029999995</v>
      </c>
      <c r="I320">
        <v>65.320858729999998</v>
      </c>
    </row>
    <row r="321" spans="1:9" ht="14.25" customHeight="1" x14ac:dyDescent="0.3">
      <c r="A321" t="s">
        <v>663</v>
      </c>
      <c r="B321">
        <v>90.254717299999996</v>
      </c>
      <c r="C321">
        <v>70.976368089999994</v>
      </c>
      <c r="D321">
        <v>83.703648430000001</v>
      </c>
      <c r="E321">
        <v>57.313002760000003</v>
      </c>
      <c r="F321">
        <v>93.715392649999998</v>
      </c>
      <c r="G321">
        <v>73.125997929999997</v>
      </c>
      <c r="H321">
        <v>71.859802389999999</v>
      </c>
      <c r="I321">
        <v>50</v>
      </c>
    </row>
    <row r="322" spans="1:9" ht="14.25" customHeight="1" x14ac:dyDescent="0.3">
      <c r="A322" t="s">
        <v>665</v>
      </c>
      <c r="B322">
        <v>80.333299069999995</v>
      </c>
      <c r="C322">
        <v>77.532827069999996</v>
      </c>
      <c r="D322">
        <v>77.039327</v>
      </c>
      <c r="E322">
        <v>69.851030480000006</v>
      </c>
      <c r="F322">
        <v>91.199989830000007</v>
      </c>
      <c r="G322">
        <v>83.515066050000001</v>
      </c>
      <c r="H322">
        <v>66.224663960000001</v>
      </c>
      <c r="I322">
        <v>50.309589449999997</v>
      </c>
    </row>
    <row r="323" spans="1:9" ht="14.25" customHeight="1" x14ac:dyDescent="0.3">
      <c r="A323" t="s">
        <v>667</v>
      </c>
      <c r="B323">
        <v>81.605650170000004</v>
      </c>
      <c r="C323">
        <v>65.186204840000002</v>
      </c>
      <c r="D323">
        <v>70.192078260000002</v>
      </c>
      <c r="E323">
        <v>58.717705440000003</v>
      </c>
      <c r="F323">
        <v>89.987263650000003</v>
      </c>
      <c r="G323">
        <v>78.707777440000001</v>
      </c>
      <c r="H323">
        <v>65</v>
      </c>
      <c r="I323">
        <v>50</v>
      </c>
    </row>
    <row r="324" spans="1:9" ht="14.25" customHeight="1" x14ac:dyDescent="0.3">
      <c r="A324" t="s">
        <v>669</v>
      </c>
      <c r="B324">
        <v>93.521354560000006</v>
      </c>
      <c r="C324">
        <v>77.315785520000006</v>
      </c>
      <c r="D324">
        <v>78.077806019999997</v>
      </c>
      <c r="E324">
        <v>63.313464430000003</v>
      </c>
      <c r="F324">
        <v>92.782481469999993</v>
      </c>
      <c r="G324">
        <v>73.680714230000007</v>
      </c>
      <c r="H324">
        <v>71.569837089999993</v>
      </c>
      <c r="I324">
        <v>50</v>
      </c>
    </row>
    <row r="325" spans="1:9" ht="14.25" customHeight="1" x14ac:dyDescent="0.3">
      <c r="A325" t="s">
        <v>671</v>
      </c>
      <c r="B325">
        <v>90.038907390000006</v>
      </c>
      <c r="C325">
        <v>68.917954159999994</v>
      </c>
      <c r="D325">
        <v>83.177639279999994</v>
      </c>
      <c r="E325">
        <v>60.281808269999999</v>
      </c>
      <c r="F325">
        <v>92.799679249999997</v>
      </c>
      <c r="G325">
        <v>79.962751260000005</v>
      </c>
      <c r="H325">
        <v>75.308825949999999</v>
      </c>
      <c r="I325">
        <v>64.672454979999998</v>
      </c>
    </row>
    <row r="326" spans="1:9" ht="14.25" customHeight="1" x14ac:dyDescent="0.3">
      <c r="A326" t="s">
        <v>673</v>
      </c>
      <c r="B326">
        <v>82.266986250000002</v>
      </c>
      <c r="C326">
        <v>69.090188740000002</v>
      </c>
      <c r="D326">
        <v>71.540153759999995</v>
      </c>
      <c r="E326">
        <v>68.434879859999995</v>
      </c>
      <c r="F326">
        <v>80</v>
      </c>
      <c r="G326">
        <v>80.92513855</v>
      </c>
      <c r="H326">
        <v>70.20637954</v>
      </c>
      <c r="I326">
        <v>50.049317879999997</v>
      </c>
    </row>
    <row r="327" spans="1:9" ht="14.25" customHeight="1" x14ac:dyDescent="0.3">
      <c r="A327" t="s">
        <v>675</v>
      </c>
      <c r="B327">
        <v>77.64787303</v>
      </c>
      <c r="C327">
        <v>63.103698039999998</v>
      </c>
      <c r="D327">
        <v>85.353317450000006</v>
      </c>
      <c r="E327">
        <v>66.414649690000005</v>
      </c>
      <c r="F327">
        <v>97.247862600000005</v>
      </c>
      <c r="G327">
        <v>78.727207849999999</v>
      </c>
      <c r="H327">
        <v>77.289288740000003</v>
      </c>
      <c r="I327">
        <v>54.803252440000001</v>
      </c>
    </row>
    <row r="328" spans="1:9" ht="14.25" customHeight="1" x14ac:dyDescent="0.3">
      <c r="A328" t="s">
        <v>677</v>
      </c>
      <c r="B328">
        <v>93.198522299999993</v>
      </c>
      <c r="C328">
        <v>74.393271310000003</v>
      </c>
      <c r="D328">
        <v>72.386188739999994</v>
      </c>
      <c r="E328">
        <v>63.815242130000001</v>
      </c>
      <c r="F328">
        <v>93.227458760000005</v>
      </c>
      <c r="G328">
        <v>76.741547240000003</v>
      </c>
      <c r="H328">
        <v>70.426329980000006</v>
      </c>
      <c r="I328">
        <v>64.588370949999998</v>
      </c>
    </row>
    <row r="329" spans="1:9" ht="14.25" customHeight="1" x14ac:dyDescent="0.3">
      <c r="A329" t="s">
        <v>679</v>
      </c>
      <c r="B329">
        <v>78.523711860000006</v>
      </c>
      <c r="C329">
        <v>62.49296734</v>
      </c>
      <c r="D329">
        <v>74.145977450000004</v>
      </c>
      <c r="E329">
        <v>73.417568500000002</v>
      </c>
      <c r="F329">
        <v>90.238756570000007</v>
      </c>
      <c r="G329">
        <v>79.544545819999996</v>
      </c>
      <c r="H329">
        <v>74.691284269999997</v>
      </c>
      <c r="I329">
        <v>66.106093540000003</v>
      </c>
    </row>
    <row r="330" spans="1:9" ht="14.25" customHeight="1" x14ac:dyDescent="0.3">
      <c r="A330" t="s">
        <v>681</v>
      </c>
      <c r="B330">
        <v>79.979293029999994</v>
      </c>
      <c r="C330">
        <v>68.422185299999995</v>
      </c>
      <c r="D330">
        <v>83.835201549999994</v>
      </c>
      <c r="E330">
        <v>61.314793180000002</v>
      </c>
      <c r="F330">
        <v>85.198664249999993</v>
      </c>
      <c r="G330">
        <v>82.416149899999994</v>
      </c>
      <c r="H330">
        <v>73.283662219999997</v>
      </c>
      <c r="I330">
        <v>54.714925149999999</v>
      </c>
    </row>
    <row r="331" spans="1:9" ht="14.25" customHeight="1" x14ac:dyDescent="0.3">
      <c r="A331" t="s">
        <v>683</v>
      </c>
      <c r="B331">
        <v>81.555146140000005</v>
      </c>
      <c r="C331">
        <v>64.712481729999993</v>
      </c>
      <c r="D331">
        <v>74.685562669999996</v>
      </c>
      <c r="E331">
        <v>59.17688845</v>
      </c>
      <c r="F331">
        <v>96.877918739999998</v>
      </c>
      <c r="G331">
        <v>83.345870529999999</v>
      </c>
      <c r="H331">
        <v>74.180375990000002</v>
      </c>
      <c r="I331">
        <v>61.069768510000003</v>
      </c>
    </row>
    <row r="332" spans="1:9" ht="14.25" customHeight="1" x14ac:dyDescent="0.3">
      <c r="A332" t="s">
        <v>685</v>
      </c>
      <c r="B332">
        <v>90.227442310000001</v>
      </c>
      <c r="C332">
        <v>66.414161429999993</v>
      </c>
      <c r="D332">
        <v>76.003208970000003</v>
      </c>
      <c r="E332">
        <v>72.697826559999996</v>
      </c>
      <c r="F332">
        <v>82.621769209999997</v>
      </c>
      <c r="G332">
        <v>75.507743079999997</v>
      </c>
      <c r="H332">
        <v>77.315715780000005</v>
      </c>
      <c r="I332">
        <v>57.240333290000002</v>
      </c>
    </row>
    <row r="333" spans="1:9" ht="14.25" customHeight="1" x14ac:dyDescent="0.3">
      <c r="A333" t="s">
        <v>687</v>
      </c>
      <c r="B333">
        <v>77.247486879999997</v>
      </c>
      <c r="C333">
        <v>71.036313050000004</v>
      </c>
      <c r="D333">
        <v>77.150268429999997</v>
      </c>
      <c r="E333">
        <v>63.459561800000003</v>
      </c>
      <c r="F333">
        <v>80</v>
      </c>
      <c r="G333">
        <v>82.829023039999996</v>
      </c>
      <c r="H333">
        <v>70.209316819999998</v>
      </c>
      <c r="I333">
        <v>59.422834950000002</v>
      </c>
    </row>
    <row r="334" spans="1:9" ht="14.25" customHeight="1" x14ac:dyDescent="0.3">
      <c r="A334" t="s">
        <v>689</v>
      </c>
      <c r="B334">
        <v>84.374158089999995</v>
      </c>
      <c r="C334">
        <v>70.131574799999996</v>
      </c>
      <c r="D334">
        <v>74.247779469999998</v>
      </c>
      <c r="E334">
        <v>68.526296529999996</v>
      </c>
      <c r="F334">
        <v>84.497025410000006</v>
      </c>
      <c r="G334">
        <v>71.444704779999995</v>
      </c>
      <c r="H334">
        <v>71.530215459999994</v>
      </c>
      <c r="I334">
        <v>59.435408989999999</v>
      </c>
    </row>
    <row r="335" spans="1:9" ht="14.25" customHeight="1" x14ac:dyDescent="0.3">
      <c r="A335" t="s">
        <v>691</v>
      </c>
      <c r="B335">
        <v>90.203874519999999</v>
      </c>
      <c r="C335">
        <v>67.586577559999995</v>
      </c>
      <c r="D335">
        <v>79.755481579999994</v>
      </c>
      <c r="E335">
        <v>75</v>
      </c>
      <c r="F335">
        <v>89.59856972</v>
      </c>
      <c r="G335">
        <v>78.022065260000005</v>
      </c>
      <c r="H335">
        <v>72.319473180000003</v>
      </c>
      <c r="I335">
        <v>52.599908069999998</v>
      </c>
    </row>
    <row r="336" spans="1:9" ht="14.25" customHeight="1" x14ac:dyDescent="0.3">
      <c r="A336" t="s">
        <v>693</v>
      </c>
      <c r="B336">
        <v>86.331848699999995</v>
      </c>
      <c r="C336">
        <v>67.011729560000006</v>
      </c>
      <c r="D336">
        <v>82.842701570000003</v>
      </c>
      <c r="E336">
        <v>63.830962409999998</v>
      </c>
      <c r="F336">
        <v>83.547080230000006</v>
      </c>
      <c r="G336">
        <v>73.635220279999999</v>
      </c>
      <c r="H336">
        <v>71.053130039999999</v>
      </c>
      <c r="I336">
        <v>57.50196107</v>
      </c>
    </row>
    <row r="337" spans="1:9" ht="14.25" customHeight="1" x14ac:dyDescent="0.3">
      <c r="A337" t="s">
        <v>695</v>
      </c>
      <c r="B337">
        <v>90.303378269999996</v>
      </c>
      <c r="C337">
        <v>72.740754089999996</v>
      </c>
      <c r="D337">
        <v>79.731845399999997</v>
      </c>
      <c r="E337">
        <v>58.93523381</v>
      </c>
      <c r="F337">
        <v>82.412734929999999</v>
      </c>
      <c r="G337">
        <v>85</v>
      </c>
      <c r="H337">
        <v>77.886793060000002</v>
      </c>
      <c r="I337">
        <v>58.127639299999998</v>
      </c>
    </row>
    <row r="338" spans="1:9" ht="14.25" customHeight="1" x14ac:dyDescent="0.3">
      <c r="A338" t="s">
        <v>697</v>
      </c>
      <c r="B338">
        <v>96.727014069999996</v>
      </c>
      <c r="C338">
        <v>64.651527200000004</v>
      </c>
      <c r="D338">
        <v>79.485517959999996</v>
      </c>
      <c r="E338">
        <v>67.842895900000002</v>
      </c>
      <c r="F338">
        <v>92.973405959999994</v>
      </c>
      <c r="G338">
        <v>83.500331840000001</v>
      </c>
      <c r="H338">
        <v>71.873888089999994</v>
      </c>
      <c r="I338">
        <v>62.499791430000002</v>
      </c>
    </row>
    <row r="339" spans="1:9" ht="14.25" customHeight="1" x14ac:dyDescent="0.3">
      <c r="A339" t="s">
        <v>699</v>
      </c>
      <c r="B339">
        <v>83.377128040000002</v>
      </c>
      <c r="C339">
        <v>71.051971570000006</v>
      </c>
      <c r="D339">
        <v>70</v>
      </c>
      <c r="E339">
        <v>62.100252279999999</v>
      </c>
      <c r="F339">
        <v>85.543622060000004</v>
      </c>
      <c r="G339">
        <v>76.854718390000002</v>
      </c>
      <c r="H339">
        <v>75.421220980000001</v>
      </c>
      <c r="I339">
        <v>50</v>
      </c>
    </row>
    <row r="340" spans="1:9" ht="14.25" customHeight="1" x14ac:dyDescent="0.3">
      <c r="A340" t="s">
        <v>701</v>
      </c>
      <c r="B340">
        <v>83.435167160000006</v>
      </c>
      <c r="C340">
        <v>61.535117319999998</v>
      </c>
      <c r="D340">
        <v>70</v>
      </c>
      <c r="E340">
        <v>64.393033650000007</v>
      </c>
      <c r="F340">
        <v>92.422721809999999</v>
      </c>
      <c r="G340">
        <v>74.409981799999997</v>
      </c>
      <c r="H340">
        <v>69.418761259999997</v>
      </c>
      <c r="I340">
        <v>61.610678159999999</v>
      </c>
    </row>
    <row r="341" spans="1:9" ht="14.25" customHeight="1" x14ac:dyDescent="0.3">
      <c r="A341" t="s">
        <v>703</v>
      </c>
      <c r="B341">
        <v>88.832916560000001</v>
      </c>
      <c r="C341">
        <v>75.408323039999999</v>
      </c>
      <c r="D341">
        <v>70</v>
      </c>
      <c r="E341">
        <v>68.336916340000002</v>
      </c>
      <c r="F341">
        <v>80</v>
      </c>
      <c r="G341">
        <v>76.892534440000006</v>
      </c>
      <c r="H341">
        <v>72.072460070000005</v>
      </c>
      <c r="I341">
        <v>52.052529030000002</v>
      </c>
    </row>
    <row r="342" spans="1:9" ht="14.25" customHeight="1" x14ac:dyDescent="0.3">
      <c r="A342" t="s">
        <v>705</v>
      </c>
      <c r="B342">
        <v>94.000917479999998</v>
      </c>
      <c r="C342">
        <v>71.314830360000002</v>
      </c>
      <c r="D342">
        <v>70.411735859999993</v>
      </c>
      <c r="E342">
        <v>60.742602159999997</v>
      </c>
      <c r="F342">
        <v>98.209449059999997</v>
      </c>
      <c r="G342">
        <v>76.718524020000004</v>
      </c>
      <c r="H342">
        <v>65</v>
      </c>
      <c r="I342">
        <v>56.527842589999999</v>
      </c>
    </row>
    <row r="343" spans="1:9" ht="14.25" customHeight="1" x14ac:dyDescent="0.3">
      <c r="A343" t="s">
        <v>707</v>
      </c>
      <c r="B343">
        <v>86.007332649999995</v>
      </c>
      <c r="C343">
        <v>67.389521270000003</v>
      </c>
      <c r="D343">
        <v>75.346390209999996</v>
      </c>
      <c r="E343">
        <v>68.649502240000004</v>
      </c>
      <c r="F343">
        <v>99.9</v>
      </c>
      <c r="G343">
        <v>76.805687070000005</v>
      </c>
      <c r="H343">
        <v>71.055143290000004</v>
      </c>
      <c r="I343">
        <v>52.824605290000001</v>
      </c>
    </row>
    <row r="344" spans="1:9" ht="14.25" customHeight="1" x14ac:dyDescent="0.3">
      <c r="A344" t="s">
        <v>709</v>
      </c>
      <c r="B344">
        <v>77.36388737</v>
      </c>
      <c r="C344">
        <v>67.916894470000003</v>
      </c>
      <c r="D344">
        <v>79.193625580000003</v>
      </c>
      <c r="E344">
        <v>68.371941250000006</v>
      </c>
      <c r="F344">
        <v>80</v>
      </c>
      <c r="G344">
        <v>76.765458629999998</v>
      </c>
      <c r="H344">
        <v>72.077159609999995</v>
      </c>
      <c r="I344">
        <v>52.099282109999997</v>
      </c>
    </row>
    <row r="345" spans="1:9" ht="14.25" customHeight="1" x14ac:dyDescent="0.3">
      <c r="A345" t="s">
        <v>711</v>
      </c>
      <c r="B345">
        <v>99.9</v>
      </c>
      <c r="C345">
        <v>64.811585899999997</v>
      </c>
      <c r="D345">
        <v>75.450541990000005</v>
      </c>
      <c r="E345">
        <v>65.9960813</v>
      </c>
      <c r="F345">
        <v>89.769776680000007</v>
      </c>
      <c r="G345">
        <v>79.776331339999999</v>
      </c>
      <c r="H345">
        <v>66.557941839999998</v>
      </c>
      <c r="I345">
        <v>64.937325909999998</v>
      </c>
    </row>
    <row r="346" spans="1:9" ht="14.25" customHeight="1" x14ac:dyDescent="0.3">
      <c r="A346" t="s">
        <v>713</v>
      </c>
      <c r="B346">
        <v>84.980801</v>
      </c>
      <c r="C346">
        <v>68.43768197</v>
      </c>
      <c r="D346">
        <v>81.206730219999997</v>
      </c>
      <c r="E346">
        <v>62.04899211</v>
      </c>
      <c r="F346">
        <v>89.873255830000005</v>
      </c>
      <c r="G346">
        <v>74.969910510000005</v>
      </c>
      <c r="H346">
        <v>74.823388030000004</v>
      </c>
      <c r="I346">
        <v>63.642405549999999</v>
      </c>
    </row>
    <row r="347" spans="1:9" ht="14.25" customHeight="1" x14ac:dyDescent="0.3">
      <c r="A347" t="s">
        <v>715</v>
      </c>
      <c r="B347">
        <v>99.705481019999993</v>
      </c>
      <c r="C347">
        <v>71.424267479999997</v>
      </c>
      <c r="D347">
        <v>73.667679829999997</v>
      </c>
      <c r="E347">
        <v>72.432877849999997</v>
      </c>
      <c r="F347">
        <v>88.649390109999999</v>
      </c>
      <c r="G347">
        <v>79.459407409999997</v>
      </c>
      <c r="H347">
        <v>70.916351640000002</v>
      </c>
      <c r="I347">
        <v>61.345340319999998</v>
      </c>
    </row>
    <row r="348" spans="1:9" ht="14.25" customHeight="1" x14ac:dyDescent="0.3">
      <c r="A348" t="s">
        <v>717</v>
      </c>
      <c r="B348">
        <v>83.429563659999999</v>
      </c>
      <c r="C348">
        <v>67.130783489999999</v>
      </c>
      <c r="D348">
        <v>70</v>
      </c>
      <c r="E348">
        <v>55.857954380000002</v>
      </c>
      <c r="F348">
        <v>85.99526487</v>
      </c>
      <c r="G348">
        <v>74.183628519999999</v>
      </c>
      <c r="H348">
        <v>71.354242450000001</v>
      </c>
      <c r="I348">
        <v>50.131428579999998</v>
      </c>
    </row>
    <row r="349" spans="1:9" ht="14.25" customHeight="1" x14ac:dyDescent="0.3">
      <c r="A349" t="s">
        <v>719</v>
      </c>
      <c r="B349">
        <v>85.004704889999999</v>
      </c>
      <c r="C349">
        <v>71.829854780000005</v>
      </c>
      <c r="D349">
        <v>70</v>
      </c>
      <c r="E349">
        <v>75</v>
      </c>
      <c r="F349">
        <v>80</v>
      </c>
      <c r="G349">
        <v>75.715868200000003</v>
      </c>
      <c r="H349">
        <v>75.194365950000005</v>
      </c>
      <c r="I349">
        <v>59.044104590000003</v>
      </c>
    </row>
    <row r="350" spans="1:9" ht="14.25" customHeight="1" x14ac:dyDescent="0.3">
      <c r="A350" t="s">
        <v>721</v>
      </c>
      <c r="B350">
        <v>87.833597350000005</v>
      </c>
      <c r="C350">
        <v>74.43256083</v>
      </c>
      <c r="D350">
        <v>75.487169710000003</v>
      </c>
      <c r="E350">
        <v>62.222122919999997</v>
      </c>
      <c r="F350">
        <v>80</v>
      </c>
      <c r="G350">
        <v>78.304563000000002</v>
      </c>
      <c r="H350">
        <v>78.920769829999998</v>
      </c>
      <c r="I350">
        <v>50</v>
      </c>
    </row>
    <row r="351" spans="1:9" ht="14.25" customHeight="1" x14ac:dyDescent="0.3">
      <c r="A351" t="s">
        <v>723</v>
      </c>
      <c r="B351">
        <v>78.441817299999997</v>
      </c>
      <c r="C351">
        <v>76.317452549999999</v>
      </c>
      <c r="D351">
        <v>90</v>
      </c>
      <c r="E351">
        <v>66.456216359999999</v>
      </c>
      <c r="F351">
        <v>99.9</v>
      </c>
      <c r="G351">
        <v>74.256337400000007</v>
      </c>
      <c r="H351">
        <v>76.230477559999997</v>
      </c>
      <c r="I351">
        <v>64.47365035</v>
      </c>
    </row>
    <row r="352" spans="1:9" ht="14.25" customHeight="1" x14ac:dyDescent="0.3">
      <c r="A352" t="s">
        <v>725</v>
      </c>
      <c r="B352">
        <v>89.256144449999994</v>
      </c>
      <c r="C352">
        <v>60</v>
      </c>
      <c r="D352">
        <v>70</v>
      </c>
      <c r="E352">
        <v>64.577038079999994</v>
      </c>
      <c r="F352">
        <v>91.401485059999999</v>
      </c>
      <c r="G352">
        <v>85</v>
      </c>
      <c r="H352">
        <v>75.285721890000005</v>
      </c>
      <c r="I352">
        <v>50</v>
      </c>
    </row>
    <row r="353" spans="1:9" ht="14.25" customHeight="1" x14ac:dyDescent="0.3">
      <c r="A353" t="s">
        <v>727</v>
      </c>
      <c r="B353">
        <v>93.957778910000002</v>
      </c>
      <c r="C353">
        <v>70.747057440000006</v>
      </c>
      <c r="D353">
        <v>81.51386608</v>
      </c>
      <c r="E353">
        <v>62.212023950000003</v>
      </c>
      <c r="F353">
        <v>92.042873200000002</v>
      </c>
      <c r="G353">
        <v>77.246067170000003</v>
      </c>
      <c r="H353">
        <v>72.238566259999999</v>
      </c>
      <c r="I353">
        <v>59.033410310000001</v>
      </c>
    </row>
    <row r="354" spans="1:9" ht="14.25" customHeight="1" x14ac:dyDescent="0.3">
      <c r="A354" t="s">
        <v>729</v>
      </c>
      <c r="B354">
        <v>92.121745379999993</v>
      </c>
      <c r="C354">
        <v>66.428637359999996</v>
      </c>
      <c r="D354">
        <v>78.045694780000005</v>
      </c>
      <c r="E354">
        <v>69.399908960000005</v>
      </c>
      <c r="F354">
        <v>99.9</v>
      </c>
      <c r="G354">
        <v>76.064747100000005</v>
      </c>
      <c r="H354">
        <v>73.844859850000006</v>
      </c>
      <c r="I354">
        <v>51.825453860000003</v>
      </c>
    </row>
    <row r="355" spans="1:9" ht="14.25" customHeight="1" x14ac:dyDescent="0.3">
      <c r="A355" t="s">
        <v>731</v>
      </c>
      <c r="B355">
        <v>82.564242429999993</v>
      </c>
      <c r="C355">
        <v>66.789460079999998</v>
      </c>
      <c r="D355">
        <v>78.377577459999998</v>
      </c>
      <c r="E355">
        <v>65.294324090000003</v>
      </c>
      <c r="F355">
        <v>85.248631459999999</v>
      </c>
      <c r="G355">
        <v>85</v>
      </c>
      <c r="H355">
        <v>68.531433539999995</v>
      </c>
      <c r="I355">
        <v>58.091893409999997</v>
      </c>
    </row>
    <row r="356" spans="1:9" ht="14.25" customHeight="1" x14ac:dyDescent="0.3">
      <c r="A356" t="s">
        <v>733</v>
      </c>
      <c r="B356">
        <v>83.123466660000005</v>
      </c>
      <c r="C356">
        <v>63.01032214</v>
      </c>
      <c r="D356">
        <v>74.465532550000006</v>
      </c>
      <c r="E356">
        <v>61.850031219999998</v>
      </c>
      <c r="F356">
        <v>86.582600749999997</v>
      </c>
      <c r="G356">
        <v>83.247844979999996</v>
      </c>
      <c r="H356">
        <v>69.211899349999996</v>
      </c>
      <c r="I356">
        <v>68.999952820000004</v>
      </c>
    </row>
    <row r="357" spans="1:9" ht="14.25" customHeight="1" x14ac:dyDescent="0.3">
      <c r="A357" t="s">
        <v>735</v>
      </c>
      <c r="B357">
        <v>86.090038419999999</v>
      </c>
      <c r="C357">
        <v>61.926111970000001</v>
      </c>
      <c r="D357">
        <v>80.177304759999998</v>
      </c>
      <c r="E357">
        <v>59.490071550000003</v>
      </c>
      <c r="F357">
        <v>98.554243470000003</v>
      </c>
      <c r="G357">
        <v>75.805432749999994</v>
      </c>
      <c r="H357">
        <v>74.924207460000005</v>
      </c>
      <c r="I357">
        <v>51.975408629999997</v>
      </c>
    </row>
    <row r="358" spans="1:9" ht="14.25" customHeight="1" x14ac:dyDescent="0.3">
      <c r="A358" t="s">
        <v>738</v>
      </c>
      <c r="B358">
        <v>82.504321070000003</v>
      </c>
      <c r="C358">
        <v>65.165823219999993</v>
      </c>
      <c r="D358">
        <v>70</v>
      </c>
      <c r="E358">
        <v>71.04469272</v>
      </c>
      <c r="F358">
        <v>92.148350840000006</v>
      </c>
      <c r="G358">
        <v>85</v>
      </c>
      <c r="H358">
        <v>72.006660999999994</v>
      </c>
      <c r="I358">
        <v>55.200658930000003</v>
      </c>
    </row>
    <row r="359" spans="1:9" ht="14.25" customHeight="1" x14ac:dyDescent="0.3">
      <c r="A359" t="s">
        <v>741</v>
      </c>
      <c r="B359">
        <v>86.196641330000006</v>
      </c>
      <c r="C359">
        <v>66.16723949</v>
      </c>
      <c r="D359">
        <v>79.940802289999993</v>
      </c>
      <c r="E359">
        <v>63.623066809999997</v>
      </c>
      <c r="F359">
        <v>85.445350919999996</v>
      </c>
      <c r="G359">
        <v>79.690344620000005</v>
      </c>
      <c r="H359">
        <v>66.428357129999995</v>
      </c>
      <c r="I359">
        <v>60.385902919999999</v>
      </c>
    </row>
    <row r="360" spans="1:9" ht="14.25" customHeight="1" x14ac:dyDescent="0.3">
      <c r="A360" t="s">
        <v>743</v>
      </c>
      <c r="B360">
        <v>90.273697479999996</v>
      </c>
      <c r="C360">
        <v>76.087938620000003</v>
      </c>
      <c r="D360">
        <v>70</v>
      </c>
      <c r="E360">
        <v>73.180038280000005</v>
      </c>
      <c r="F360">
        <v>95.641008439999993</v>
      </c>
      <c r="G360">
        <v>77.78035457</v>
      </c>
      <c r="H360">
        <v>72.524501569999998</v>
      </c>
      <c r="I360">
        <v>50</v>
      </c>
    </row>
    <row r="361" spans="1:9" ht="14.25" customHeight="1" x14ac:dyDescent="0.3">
      <c r="A361" t="s">
        <v>745</v>
      </c>
      <c r="B361">
        <v>79.081704990000006</v>
      </c>
      <c r="C361">
        <v>74.260574559999995</v>
      </c>
      <c r="D361">
        <v>79.77168605</v>
      </c>
      <c r="E361">
        <v>67.472650619999996</v>
      </c>
      <c r="F361">
        <v>94.797563839999995</v>
      </c>
      <c r="G361">
        <v>85</v>
      </c>
      <c r="H361">
        <v>73.330741020000005</v>
      </c>
      <c r="I361">
        <v>69.443576129999997</v>
      </c>
    </row>
    <row r="362" spans="1:9" ht="14.25" customHeight="1" x14ac:dyDescent="0.3">
      <c r="A362" t="s">
        <v>747</v>
      </c>
      <c r="B362">
        <v>84.582987739999993</v>
      </c>
      <c r="C362">
        <v>80</v>
      </c>
      <c r="D362">
        <v>80.309255489999998</v>
      </c>
      <c r="E362">
        <v>69.038388159999997</v>
      </c>
      <c r="F362">
        <v>96.116979220000005</v>
      </c>
      <c r="G362">
        <v>76.447755340000001</v>
      </c>
      <c r="H362">
        <v>72.108986200000004</v>
      </c>
      <c r="I362">
        <v>54.779195080000001</v>
      </c>
    </row>
    <row r="363" spans="1:9" ht="14.25" customHeight="1" x14ac:dyDescent="0.3">
      <c r="A363" t="s">
        <v>749</v>
      </c>
      <c r="B363">
        <v>75</v>
      </c>
      <c r="C363">
        <v>60.279451719999997</v>
      </c>
      <c r="D363">
        <v>77.496646870000006</v>
      </c>
      <c r="E363">
        <v>55.463112260000003</v>
      </c>
      <c r="F363">
        <v>94.985503969999996</v>
      </c>
      <c r="G363">
        <v>79.779273480000001</v>
      </c>
      <c r="H363">
        <v>71.218498159999996</v>
      </c>
      <c r="I363">
        <v>61.349469480000003</v>
      </c>
    </row>
    <row r="364" spans="1:9" ht="14.25" customHeight="1" x14ac:dyDescent="0.3">
      <c r="A364" t="s">
        <v>751</v>
      </c>
      <c r="B364">
        <v>81.909123440000002</v>
      </c>
      <c r="C364">
        <v>65.628774680000006</v>
      </c>
      <c r="D364">
        <v>77.420450450000004</v>
      </c>
      <c r="E364">
        <v>55</v>
      </c>
      <c r="F364">
        <v>80</v>
      </c>
      <c r="G364">
        <v>76.132227</v>
      </c>
      <c r="H364">
        <v>75.399688519999998</v>
      </c>
      <c r="I364">
        <v>54.592104659999997</v>
      </c>
    </row>
    <row r="365" spans="1:9" ht="14.25" customHeight="1" x14ac:dyDescent="0.3">
      <c r="A365" t="s">
        <v>753</v>
      </c>
      <c r="B365">
        <v>79.26211017</v>
      </c>
      <c r="C365">
        <v>70.456464620000006</v>
      </c>
      <c r="D365">
        <v>76.930034980000002</v>
      </c>
      <c r="E365">
        <v>70.738821490000007</v>
      </c>
      <c r="F365">
        <v>80</v>
      </c>
      <c r="G365">
        <v>82.748561140000007</v>
      </c>
      <c r="H365">
        <v>70.838083549999993</v>
      </c>
      <c r="I365">
        <v>55.542779860000003</v>
      </c>
    </row>
    <row r="366" spans="1:9" ht="14.25" customHeight="1" x14ac:dyDescent="0.3">
      <c r="A366" t="s">
        <v>755</v>
      </c>
      <c r="B366">
        <v>81.370713170000002</v>
      </c>
      <c r="C366">
        <v>69.508235029999994</v>
      </c>
      <c r="D366">
        <v>70.794900200000001</v>
      </c>
      <c r="E366">
        <v>64.325123270000006</v>
      </c>
      <c r="F366">
        <v>93.468810410000003</v>
      </c>
      <c r="G366">
        <v>84.304742430000005</v>
      </c>
      <c r="H366">
        <v>69.755798690000006</v>
      </c>
      <c r="I366">
        <v>61.17088004</v>
      </c>
    </row>
    <row r="367" spans="1:9" ht="14.25" customHeight="1" x14ac:dyDescent="0.3">
      <c r="A367" t="s">
        <v>757</v>
      </c>
      <c r="B367">
        <v>80.85630055</v>
      </c>
      <c r="C367">
        <v>63.057179840000003</v>
      </c>
      <c r="D367">
        <v>83.485143190000002</v>
      </c>
      <c r="E367">
        <v>64.79457524</v>
      </c>
      <c r="F367">
        <v>99.9</v>
      </c>
      <c r="G367">
        <v>72.289864600000001</v>
      </c>
      <c r="H367">
        <v>69.637563069999999</v>
      </c>
      <c r="I367">
        <v>65.082522159999996</v>
      </c>
    </row>
    <row r="368" spans="1:9" ht="14.25" customHeight="1" x14ac:dyDescent="0.3">
      <c r="A368" t="s">
        <v>759</v>
      </c>
      <c r="B368">
        <v>86.979532059999997</v>
      </c>
      <c r="C368">
        <v>72.871366499999993</v>
      </c>
      <c r="D368">
        <v>70.876500250000007</v>
      </c>
      <c r="E368">
        <v>71.875750640000007</v>
      </c>
      <c r="F368">
        <v>97.128715839999998</v>
      </c>
      <c r="G368">
        <v>81.082443319999996</v>
      </c>
      <c r="H368">
        <v>71.95556723</v>
      </c>
      <c r="I368">
        <v>56.44894309</v>
      </c>
    </row>
    <row r="369" spans="1:9" ht="14.25" customHeight="1" x14ac:dyDescent="0.3">
      <c r="A369" t="s">
        <v>761</v>
      </c>
      <c r="B369">
        <v>89.794427670000005</v>
      </c>
      <c r="C369">
        <v>74.191147880000003</v>
      </c>
      <c r="D369">
        <v>76.837291800000003</v>
      </c>
      <c r="E369">
        <v>67.936367340000004</v>
      </c>
      <c r="F369">
        <v>80</v>
      </c>
      <c r="G369">
        <v>76.431240720000005</v>
      </c>
      <c r="H369">
        <v>77.197634730000004</v>
      </c>
      <c r="I369">
        <v>66.340444020000007</v>
      </c>
    </row>
    <row r="370" spans="1:9" ht="14.25" customHeight="1" x14ac:dyDescent="0.3">
      <c r="A370" t="s">
        <v>763</v>
      </c>
      <c r="B370">
        <v>86.391368889999995</v>
      </c>
      <c r="C370">
        <v>66.813648779999994</v>
      </c>
      <c r="D370">
        <v>72.812526800000001</v>
      </c>
      <c r="E370">
        <v>66.665052279999998</v>
      </c>
      <c r="F370">
        <v>94.739192059999993</v>
      </c>
      <c r="G370">
        <v>79.827846600000001</v>
      </c>
      <c r="H370">
        <v>67.812210199999996</v>
      </c>
      <c r="I370">
        <v>56.968933110000002</v>
      </c>
    </row>
    <row r="371" spans="1:9" ht="14.25" customHeight="1" x14ac:dyDescent="0.3">
      <c r="A371" t="s">
        <v>765</v>
      </c>
      <c r="B371">
        <v>84.122651230000002</v>
      </c>
      <c r="C371">
        <v>62.417669969999999</v>
      </c>
      <c r="D371">
        <v>81.188542819999995</v>
      </c>
      <c r="E371">
        <v>59.872044449999997</v>
      </c>
      <c r="F371">
        <v>80.890220080000006</v>
      </c>
      <c r="G371">
        <v>81.338472850000002</v>
      </c>
      <c r="H371">
        <v>71.986308449999996</v>
      </c>
      <c r="I371">
        <v>57.008455529999999</v>
      </c>
    </row>
    <row r="372" spans="1:9" ht="14.25" customHeight="1" x14ac:dyDescent="0.3">
      <c r="A372" t="s">
        <v>767</v>
      </c>
      <c r="B372">
        <v>75</v>
      </c>
      <c r="C372">
        <v>60.001509630000001</v>
      </c>
      <c r="D372">
        <v>78.272564459999998</v>
      </c>
      <c r="E372">
        <v>61.05405477</v>
      </c>
      <c r="F372">
        <v>92.628720830000006</v>
      </c>
      <c r="G372">
        <v>77.227366349999997</v>
      </c>
      <c r="H372">
        <v>75.619516430000004</v>
      </c>
      <c r="I372">
        <v>63.821382919999998</v>
      </c>
    </row>
    <row r="373" spans="1:9" ht="14.25" customHeight="1" x14ac:dyDescent="0.3">
      <c r="A373" t="s">
        <v>769</v>
      </c>
      <c r="B373">
        <v>93.281959560000004</v>
      </c>
      <c r="C373">
        <v>73.997488590000003</v>
      </c>
      <c r="D373">
        <v>86.297361730000006</v>
      </c>
      <c r="E373">
        <v>59.84918596</v>
      </c>
      <c r="F373">
        <v>95.301395139999997</v>
      </c>
      <c r="G373">
        <v>70.117682169999995</v>
      </c>
      <c r="H373">
        <v>71.215726070000002</v>
      </c>
      <c r="I373">
        <v>56.106182230000002</v>
      </c>
    </row>
    <row r="374" spans="1:9" ht="14.25" customHeight="1" x14ac:dyDescent="0.3">
      <c r="A374" t="s">
        <v>771</v>
      </c>
      <c r="B374">
        <v>84.167413300000007</v>
      </c>
      <c r="C374">
        <v>74.325790940000005</v>
      </c>
      <c r="D374">
        <v>87.968823330000006</v>
      </c>
      <c r="E374">
        <v>64.627440000000007</v>
      </c>
      <c r="F374">
        <v>90.373712330000004</v>
      </c>
      <c r="G374">
        <v>74.254229420000001</v>
      </c>
      <c r="H374">
        <v>75.2720664</v>
      </c>
      <c r="I374">
        <v>52.550003390000001</v>
      </c>
    </row>
    <row r="375" spans="1:9" ht="14.25" customHeight="1" x14ac:dyDescent="0.3">
      <c r="A375" t="s">
        <v>773</v>
      </c>
      <c r="B375">
        <v>85.368802529999996</v>
      </c>
      <c r="C375">
        <v>76.842273469999995</v>
      </c>
      <c r="D375">
        <v>74.21052195</v>
      </c>
      <c r="E375">
        <v>66.710410170000003</v>
      </c>
      <c r="F375">
        <v>91.528830679999999</v>
      </c>
      <c r="G375">
        <v>85</v>
      </c>
      <c r="H375">
        <v>68.499246650000003</v>
      </c>
      <c r="I375">
        <v>60.192737690000001</v>
      </c>
    </row>
    <row r="376" spans="1:9" ht="14.25" customHeight="1" x14ac:dyDescent="0.3">
      <c r="A376" t="s">
        <v>775</v>
      </c>
      <c r="B376">
        <v>85.030460199999993</v>
      </c>
      <c r="C376">
        <v>70.393970449999998</v>
      </c>
      <c r="D376">
        <v>77.520024460000002</v>
      </c>
      <c r="E376">
        <v>62.905413609999997</v>
      </c>
      <c r="F376">
        <v>99.9</v>
      </c>
      <c r="G376">
        <v>69.702764029999997</v>
      </c>
      <c r="H376">
        <v>67.300036739999996</v>
      </c>
      <c r="I376">
        <v>50</v>
      </c>
    </row>
    <row r="377" spans="1:9" ht="14.25" customHeight="1" x14ac:dyDescent="0.3">
      <c r="A377" t="s">
        <v>777</v>
      </c>
      <c r="B377">
        <v>86.544273950000004</v>
      </c>
      <c r="C377">
        <v>71.292252520000005</v>
      </c>
      <c r="D377">
        <v>70</v>
      </c>
      <c r="E377">
        <v>72.386061999999995</v>
      </c>
      <c r="F377">
        <v>91.421110819999996</v>
      </c>
      <c r="G377">
        <v>68.443270100000007</v>
      </c>
      <c r="H377">
        <v>72.044862960000003</v>
      </c>
      <c r="I377">
        <v>58.765412750000003</v>
      </c>
    </row>
    <row r="378" spans="1:9" ht="14.25" customHeight="1" x14ac:dyDescent="0.3">
      <c r="A378" t="s">
        <v>779</v>
      </c>
      <c r="B378">
        <v>86.732846940000002</v>
      </c>
      <c r="C378">
        <v>66.596353179999994</v>
      </c>
      <c r="D378">
        <v>70.091743960000002</v>
      </c>
      <c r="E378">
        <v>63.271449390000001</v>
      </c>
      <c r="F378">
        <v>99.9</v>
      </c>
      <c r="G378">
        <v>78.271985240000006</v>
      </c>
      <c r="H378">
        <v>65.797106189999994</v>
      </c>
      <c r="I378">
        <v>66.357549680000005</v>
      </c>
    </row>
    <row r="379" spans="1:9" ht="14.25" customHeight="1" x14ac:dyDescent="0.3">
      <c r="A379" t="s">
        <v>781</v>
      </c>
      <c r="B379">
        <v>88.543550620000005</v>
      </c>
      <c r="C379">
        <v>73.377650189999997</v>
      </c>
      <c r="D379">
        <v>75.565321310000002</v>
      </c>
      <c r="E379">
        <v>70.906605859999999</v>
      </c>
      <c r="F379">
        <v>89.680378289999993</v>
      </c>
      <c r="G379">
        <v>83.747738490000003</v>
      </c>
      <c r="H379">
        <v>66.932350790000001</v>
      </c>
      <c r="I379">
        <v>59.5763113</v>
      </c>
    </row>
    <row r="380" spans="1:9" ht="14.25" customHeight="1" x14ac:dyDescent="0.3">
      <c r="A380" t="s">
        <v>783</v>
      </c>
      <c r="B380">
        <v>81.705677850000001</v>
      </c>
      <c r="C380">
        <v>63.635003220000002</v>
      </c>
      <c r="D380">
        <v>70</v>
      </c>
      <c r="E380">
        <v>68.416427569999996</v>
      </c>
      <c r="F380">
        <v>91.965297000000007</v>
      </c>
      <c r="G380">
        <v>78.578977989999998</v>
      </c>
      <c r="H380">
        <v>70.807955879999994</v>
      </c>
      <c r="I380">
        <v>60.248034990000001</v>
      </c>
    </row>
    <row r="381" spans="1:9" ht="14.25" customHeight="1" x14ac:dyDescent="0.3">
      <c r="A381" t="s">
        <v>785</v>
      </c>
      <c r="B381">
        <v>88.001547889999998</v>
      </c>
      <c r="C381">
        <v>75.073334149999994</v>
      </c>
      <c r="D381">
        <v>70</v>
      </c>
      <c r="E381">
        <v>69.067097369999999</v>
      </c>
      <c r="F381">
        <v>82.703709790000005</v>
      </c>
      <c r="G381">
        <v>85</v>
      </c>
      <c r="H381">
        <v>72.852870240000001</v>
      </c>
      <c r="I381">
        <v>63.804496780000001</v>
      </c>
    </row>
    <row r="382" spans="1:9" ht="14.25" customHeight="1" x14ac:dyDescent="0.3">
      <c r="A382" t="s">
        <v>787</v>
      </c>
      <c r="B382">
        <v>79.334524349999995</v>
      </c>
      <c r="C382">
        <v>73.170136350000007</v>
      </c>
      <c r="D382">
        <v>75.331468659999999</v>
      </c>
      <c r="E382">
        <v>71.463669850000002</v>
      </c>
      <c r="F382">
        <v>87.573906429999994</v>
      </c>
      <c r="G382">
        <v>78.670292439999997</v>
      </c>
      <c r="H382">
        <v>69.402333110000001</v>
      </c>
      <c r="I382">
        <v>55.931671600000001</v>
      </c>
    </row>
    <row r="383" spans="1:9" ht="14.25" customHeight="1" x14ac:dyDescent="0.3">
      <c r="A383" t="s">
        <v>789</v>
      </c>
      <c r="B383">
        <v>84.064157769999994</v>
      </c>
      <c r="C383">
        <v>71.490482310000004</v>
      </c>
      <c r="D383">
        <v>70</v>
      </c>
      <c r="E383">
        <v>58.072833289999998</v>
      </c>
      <c r="F383">
        <v>97.850067330000002</v>
      </c>
      <c r="G383">
        <v>74.540688579999994</v>
      </c>
      <c r="H383">
        <v>75.283029159999998</v>
      </c>
      <c r="I383">
        <v>57.077784870000002</v>
      </c>
    </row>
    <row r="384" spans="1:9" ht="14.25" customHeight="1" x14ac:dyDescent="0.3">
      <c r="A384" t="s">
        <v>791</v>
      </c>
      <c r="B384">
        <v>80.058793089999995</v>
      </c>
      <c r="C384">
        <v>66.965704840000001</v>
      </c>
      <c r="D384">
        <v>78.206511169999999</v>
      </c>
      <c r="E384">
        <v>64.484274510000006</v>
      </c>
      <c r="F384">
        <v>80</v>
      </c>
      <c r="G384">
        <v>85</v>
      </c>
      <c r="H384">
        <v>65</v>
      </c>
      <c r="I384">
        <v>60.11313406</v>
      </c>
    </row>
    <row r="385" spans="1:9" ht="14.25" customHeight="1" x14ac:dyDescent="0.3">
      <c r="A385" t="s">
        <v>793</v>
      </c>
      <c r="B385">
        <v>83.134443700000006</v>
      </c>
      <c r="C385">
        <v>60.134823779999998</v>
      </c>
      <c r="D385">
        <v>76.754082460000006</v>
      </c>
      <c r="E385">
        <v>58.659745119999997</v>
      </c>
      <c r="F385">
        <v>81.141235600000002</v>
      </c>
      <c r="G385">
        <v>73.022155170000005</v>
      </c>
      <c r="H385">
        <v>78.260349649999995</v>
      </c>
      <c r="I385">
        <v>64.776671710000002</v>
      </c>
    </row>
    <row r="386" spans="1:9" ht="14.25" customHeight="1" x14ac:dyDescent="0.3">
      <c r="A386" t="s">
        <v>795</v>
      </c>
      <c r="B386">
        <v>92.808523690000001</v>
      </c>
      <c r="C386">
        <v>64.430334610000003</v>
      </c>
      <c r="D386">
        <v>70.394543880000001</v>
      </c>
      <c r="E386">
        <v>66.918872550000003</v>
      </c>
      <c r="F386">
        <v>87.140447460000004</v>
      </c>
      <c r="G386">
        <v>82.706769899999998</v>
      </c>
      <c r="H386">
        <v>71.913676300000006</v>
      </c>
      <c r="I386">
        <v>58.91609854</v>
      </c>
    </row>
    <row r="387" spans="1:9" ht="14.25" customHeight="1" x14ac:dyDescent="0.3">
      <c r="A387" t="s">
        <v>797</v>
      </c>
      <c r="B387">
        <v>83.179043149999998</v>
      </c>
      <c r="C387">
        <v>62.91422858</v>
      </c>
      <c r="D387">
        <v>76.389216360000006</v>
      </c>
      <c r="E387">
        <v>66.251033509999999</v>
      </c>
      <c r="F387">
        <v>93.970297869999996</v>
      </c>
      <c r="G387">
        <v>74.61313389</v>
      </c>
      <c r="H387">
        <v>67.190307989999994</v>
      </c>
      <c r="I387">
        <v>55.126145450000003</v>
      </c>
    </row>
    <row r="388" spans="1:9" ht="14.25" customHeight="1" x14ac:dyDescent="0.3">
      <c r="A388" t="s">
        <v>799</v>
      </c>
      <c r="B388">
        <v>81.821515570000003</v>
      </c>
      <c r="C388">
        <v>64.859682570000004</v>
      </c>
      <c r="D388">
        <v>85.825199609999999</v>
      </c>
      <c r="E388">
        <v>55</v>
      </c>
      <c r="F388">
        <v>96.446899200000004</v>
      </c>
      <c r="G388">
        <v>80.540699599999996</v>
      </c>
      <c r="H388">
        <v>75.375907850000004</v>
      </c>
      <c r="I388">
        <v>60.605818640000003</v>
      </c>
    </row>
    <row r="389" spans="1:9" ht="14.25" customHeight="1" x14ac:dyDescent="0.3">
      <c r="A389" t="s">
        <v>801</v>
      </c>
      <c r="B389">
        <v>75.852398339999993</v>
      </c>
      <c r="C389">
        <v>74.899351159999995</v>
      </c>
      <c r="D389">
        <v>71.380606220000004</v>
      </c>
      <c r="E389">
        <v>68.860194719999996</v>
      </c>
      <c r="F389">
        <v>84.451420929999998</v>
      </c>
      <c r="G389">
        <v>75.808609309999994</v>
      </c>
      <c r="H389">
        <v>70.431136199999997</v>
      </c>
      <c r="I389">
        <v>68.996100170000005</v>
      </c>
    </row>
    <row r="390" spans="1:9" ht="14.25" customHeight="1" x14ac:dyDescent="0.3">
      <c r="A390" t="s">
        <v>803</v>
      </c>
      <c r="B390">
        <v>96.009844430000001</v>
      </c>
      <c r="C390">
        <v>68.500841750000006</v>
      </c>
      <c r="D390">
        <v>70</v>
      </c>
      <c r="E390">
        <v>71.139255059999996</v>
      </c>
      <c r="F390">
        <v>85.158875170000002</v>
      </c>
      <c r="G390">
        <v>77.937388249999998</v>
      </c>
      <c r="H390">
        <v>67.545106270000005</v>
      </c>
      <c r="I390">
        <v>50</v>
      </c>
    </row>
    <row r="391" spans="1:9" ht="14.25" customHeight="1" x14ac:dyDescent="0.3">
      <c r="A391" t="s">
        <v>805</v>
      </c>
      <c r="B391">
        <v>90.366868679999996</v>
      </c>
      <c r="C391">
        <v>72.15187426</v>
      </c>
      <c r="D391">
        <v>70.352880720000002</v>
      </c>
      <c r="E391">
        <v>66.166052870000001</v>
      </c>
      <c r="F391">
        <v>92.889187039999996</v>
      </c>
      <c r="G391">
        <v>74.304690370000003</v>
      </c>
      <c r="H391">
        <v>65.451230249999995</v>
      </c>
      <c r="I391">
        <v>61.642961219999997</v>
      </c>
    </row>
    <row r="392" spans="1:9" ht="14.25" customHeight="1" x14ac:dyDescent="0.3">
      <c r="A392" t="s">
        <v>807</v>
      </c>
      <c r="B392">
        <v>89.444041510000005</v>
      </c>
      <c r="C392">
        <v>73.005586579999999</v>
      </c>
      <c r="D392">
        <v>78.345789800000006</v>
      </c>
      <c r="E392">
        <v>55.269655540000002</v>
      </c>
      <c r="F392">
        <v>97.016515459999994</v>
      </c>
      <c r="G392">
        <v>75.632080340000002</v>
      </c>
      <c r="H392">
        <v>68.106394800000004</v>
      </c>
      <c r="I392">
        <v>68.772785909999996</v>
      </c>
    </row>
    <row r="393" spans="1:9" ht="14.25" customHeight="1" x14ac:dyDescent="0.3">
      <c r="A393" t="s">
        <v>809</v>
      </c>
      <c r="B393">
        <v>86.353246859999999</v>
      </c>
      <c r="C393">
        <v>67.369115379999997</v>
      </c>
      <c r="D393">
        <v>80.133180600000003</v>
      </c>
      <c r="E393">
        <v>55</v>
      </c>
      <c r="F393">
        <v>81.114443469999998</v>
      </c>
      <c r="G393">
        <v>76.658586139999997</v>
      </c>
      <c r="H393">
        <v>74.625857370000006</v>
      </c>
      <c r="I393">
        <v>66.760957529999999</v>
      </c>
    </row>
    <row r="394" spans="1:9" ht="14.25" customHeight="1" x14ac:dyDescent="0.3">
      <c r="A394" t="s">
        <v>811</v>
      </c>
      <c r="B394">
        <v>93.477440020000003</v>
      </c>
      <c r="C394">
        <v>65.471060949999995</v>
      </c>
      <c r="D394">
        <v>70</v>
      </c>
      <c r="E394">
        <v>66.387337329999994</v>
      </c>
      <c r="F394">
        <v>80.049082209999995</v>
      </c>
      <c r="G394">
        <v>79.538254409999993</v>
      </c>
      <c r="H394">
        <v>70.710785680000001</v>
      </c>
      <c r="I394">
        <v>50</v>
      </c>
    </row>
    <row r="395" spans="1:9" ht="14.25" customHeight="1" x14ac:dyDescent="0.3">
      <c r="A395" t="s">
        <v>813</v>
      </c>
      <c r="B395">
        <v>91.370351499999998</v>
      </c>
      <c r="C395">
        <v>74.757108919999993</v>
      </c>
      <c r="D395">
        <v>89.692979519999994</v>
      </c>
      <c r="E395">
        <v>72.030242279999996</v>
      </c>
      <c r="F395">
        <v>84.621327199999996</v>
      </c>
      <c r="G395">
        <v>83.190676850000003</v>
      </c>
      <c r="H395">
        <v>70.585506359999997</v>
      </c>
      <c r="I395">
        <v>65.329390169999996</v>
      </c>
    </row>
    <row r="396" spans="1:9" ht="14.25" customHeight="1" x14ac:dyDescent="0.3">
      <c r="A396" t="s">
        <v>815</v>
      </c>
      <c r="B396">
        <v>78.944414629999997</v>
      </c>
      <c r="C396">
        <v>67.248003429999997</v>
      </c>
      <c r="D396">
        <v>74.973984580000007</v>
      </c>
      <c r="E396">
        <v>58.761500689999998</v>
      </c>
      <c r="F396">
        <v>86.567189240000005</v>
      </c>
      <c r="G396">
        <v>85</v>
      </c>
      <c r="H396">
        <v>71.760795900000005</v>
      </c>
      <c r="I396">
        <v>56.156236079999999</v>
      </c>
    </row>
    <row r="397" spans="1:9" ht="14.25" customHeight="1" x14ac:dyDescent="0.3">
      <c r="A397" t="s">
        <v>817</v>
      </c>
      <c r="B397">
        <v>88.599391589999996</v>
      </c>
      <c r="C397">
        <v>75.624302790000002</v>
      </c>
      <c r="D397">
        <v>70</v>
      </c>
      <c r="E397">
        <v>65.162293869999999</v>
      </c>
      <c r="F397">
        <v>88.719703490000001</v>
      </c>
      <c r="G397">
        <v>80.077963929999996</v>
      </c>
      <c r="H397">
        <v>65</v>
      </c>
      <c r="I397">
        <v>57.083330859999997</v>
      </c>
    </row>
    <row r="398" spans="1:9" ht="14.25" customHeight="1" x14ac:dyDescent="0.3">
      <c r="A398" t="s">
        <v>819</v>
      </c>
      <c r="B398">
        <v>84.982365270000003</v>
      </c>
      <c r="C398">
        <v>68.980966629999998</v>
      </c>
      <c r="D398">
        <v>71.727675730000001</v>
      </c>
      <c r="E398">
        <v>71.236943710000006</v>
      </c>
      <c r="F398">
        <v>89.450868909999997</v>
      </c>
      <c r="G398">
        <v>83.373026670000002</v>
      </c>
      <c r="H398">
        <v>81.339926829999996</v>
      </c>
      <c r="I398">
        <v>54.774700379999999</v>
      </c>
    </row>
    <row r="399" spans="1:9" ht="14.25" customHeight="1" x14ac:dyDescent="0.3">
      <c r="A399" t="s">
        <v>821</v>
      </c>
      <c r="B399">
        <v>76.549250729999997</v>
      </c>
      <c r="C399">
        <v>72.568020259999997</v>
      </c>
      <c r="D399">
        <v>75.277659049999997</v>
      </c>
      <c r="E399">
        <v>69.794694340000007</v>
      </c>
      <c r="F399">
        <v>86.375828659999996</v>
      </c>
      <c r="G399">
        <v>81.024776259999996</v>
      </c>
      <c r="H399">
        <v>74.661387550000001</v>
      </c>
      <c r="I399">
        <v>50</v>
      </c>
    </row>
    <row r="400" spans="1:9" ht="14.25" customHeight="1" x14ac:dyDescent="0.3">
      <c r="A400" t="s">
        <v>823</v>
      </c>
      <c r="B400">
        <v>84.525179210000005</v>
      </c>
      <c r="C400">
        <v>71.144674359999996</v>
      </c>
      <c r="D400">
        <v>81.448381080000004</v>
      </c>
      <c r="E400">
        <v>72.431789109999997</v>
      </c>
      <c r="F400">
        <v>97.234236420000002</v>
      </c>
      <c r="G400">
        <v>76.466239060000007</v>
      </c>
      <c r="H400">
        <v>66.081812159999998</v>
      </c>
      <c r="I400">
        <v>55.667123199999999</v>
      </c>
    </row>
    <row r="401" spans="1:9" ht="14.25" customHeight="1" x14ac:dyDescent="0.3">
      <c r="A401" t="s">
        <v>825</v>
      </c>
      <c r="B401">
        <v>86.27492187</v>
      </c>
      <c r="C401">
        <v>62.055951739999998</v>
      </c>
      <c r="D401">
        <v>72.046418209999999</v>
      </c>
      <c r="E401">
        <v>57.925510950000003</v>
      </c>
      <c r="F401">
        <v>87.081416730000001</v>
      </c>
      <c r="G401">
        <v>84.919774910000001</v>
      </c>
      <c r="H401">
        <v>74.035752029999998</v>
      </c>
      <c r="I401">
        <v>51.46214715</v>
      </c>
    </row>
    <row r="402" spans="1:9" ht="14.25" customHeight="1" x14ac:dyDescent="0.3">
      <c r="A402" t="s">
        <v>827</v>
      </c>
      <c r="B402">
        <v>76.754310480000001</v>
      </c>
      <c r="C402">
        <v>69.446620010000004</v>
      </c>
      <c r="D402">
        <v>81.835656279999995</v>
      </c>
      <c r="E402">
        <v>66.50668503</v>
      </c>
      <c r="F402">
        <v>92.986697239999998</v>
      </c>
      <c r="G402">
        <v>74.855220500000001</v>
      </c>
      <c r="H402">
        <v>68.722135289999997</v>
      </c>
      <c r="I402">
        <v>65.869738490000003</v>
      </c>
    </row>
    <row r="403" spans="1:9" ht="14.25" customHeight="1" x14ac:dyDescent="0.3">
      <c r="A403" t="s">
        <v>829</v>
      </c>
      <c r="B403">
        <v>86.974247719999994</v>
      </c>
      <c r="C403">
        <v>66.867085869999997</v>
      </c>
      <c r="D403">
        <v>76.360185889999997</v>
      </c>
      <c r="E403">
        <v>65.406008130000004</v>
      </c>
      <c r="F403">
        <v>84.714166640000002</v>
      </c>
      <c r="G403">
        <v>75.55979524</v>
      </c>
      <c r="H403">
        <v>72.483104769999997</v>
      </c>
      <c r="I403">
        <v>62.316971979999998</v>
      </c>
    </row>
    <row r="404" spans="1:9" ht="14.25" customHeight="1" x14ac:dyDescent="0.3">
      <c r="A404" t="s">
        <v>831</v>
      </c>
      <c r="B404">
        <v>87.573075919999994</v>
      </c>
      <c r="C404">
        <v>71.739607340000006</v>
      </c>
      <c r="D404">
        <v>78.908734670000001</v>
      </c>
      <c r="E404">
        <v>64.023512760000003</v>
      </c>
      <c r="F404">
        <v>92.140303000000003</v>
      </c>
      <c r="G404">
        <v>82.108273710000006</v>
      </c>
      <c r="H404">
        <v>71.654539729999996</v>
      </c>
      <c r="I404">
        <v>57.073595349999998</v>
      </c>
    </row>
    <row r="405" spans="1:9" ht="14.25" customHeight="1" x14ac:dyDescent="0.3">
      <c r="A405" t="s">
        <v>833</v>
      </c>
      <c r="B405">
        <v>87.292525749999996</v>
      </c>
      <c r="C405">
        <v>72.166463390000004</v>
      </c>
      <c r="D405">
        <v>76.921366820000003</v>
      </c>
      <c r="E405">
        <v>67.692770679999995</v>
      </c>
      <c r="F405">
        <v>89.502661779999997</v>
      </c>
      <c r="G405">
        <v>80.984365819999994</v>
      </c>
      <c r="H405">
        <v>68.813806720000002</v>
      </c>
      <c r="I405">
        <v>68.761946269999996</v>
      </c>
    </row>
    <row r="406" spans="1:9" ht="14.25" customHeight="1" x14ac:dyDescent="0.3">
      <c r="A406" t="s">
        <v>835</v>
      </c>
      <c r="B406">
        <v>80.768962779999995</v>
      </c>
      <c r="C406">
        <v>73.218556989999996</v>
      </c>
      <c r="D406">
        <v>73.545804469999993</v>
      </c>
      <c r="E406">
        <v>64.234566839999999</v>
      </c>
      <c r="F406">
        <v>95.084535380000005</v>
      </c>
      <c r="G406">
        <v>69.505971669999994</v>
      </c>
      <c r="H406">
        <v>75.589449549999998</v>
      </c>
      <c r="I406">
        <v>50</v>
      </c>
    </row>
    <row r="407" spans="1:9" ht="14.25" customHeight="1" x14ac:dyDescent="0.3">
      <c r="A407" t="s">
        <v>837</v>
      </c>
      <c r="B407">
        <v>93.321158260000004</v>
      </c>
      <c r="C407">
        <v>68.084870129999999</v>
      </c>
      <c r="D407">
        <v>75.515693470000002</v>
      </c>
      <c r="E407">
        <v>59.474019830000003</v>
      </c>
      <c r="F407">
        <v>83.288192219999999</v>
      </c>
      <c r="G407">
        <v>77.831388050000001</v>
      </c>
      <c r="H407">
        <v>73.671374599999993</v>
      </c>
      <c r="I407">
        <v>50</v>
      </c>
    </row>
    <row r="408" spans="1:9" ht="14.25" customHeight="1" x14ac:dyDescent="0.3">
      <c r="A408" t="s">
        <v>839</v>
      </c>
      <c r="B408">
        <v>84.327861519999999</v>
      </c>
      <c r="C408">
        <v>62.644346759999998</v>
      </c>
      <c r="D408">
        <v>90</v>
      </c>
      <c r="E408">
        <v>61.320626689999997</v>
      </c>
      <c r="F408">
        <v>99.9</v>
      </c>
      <c r="G408">
        <v>77.151239759999996</v>
      </c>
      <c r="H408">
        <v>69.501271310000007</v>
      </c>
      <c r="I408">
        <v>61.549676099999999</v>
      </c>
    </row>
    <row r="409" spans="1:9" ht="14.25" customHeight="1" x14ac:dyDescent="0.3">
      <c r="A409" t="s">
        <v>841</v>
      </c>
      <c r="B409">
        <v>87.397047650000005</v>
      </c>
      <c r="C409">
        <v>74.065290910000002</v>
      </c>
      <c r="D409">
        <v>81.114824459999994</v>
      </c>
      <c r="E409">
        <v>64.257538479999994</v>
      </c>
      <c r="F409">
        <v>98.358670040000007</v>
      </c>
      <c r="G409">
        <v>82.553447689999999</v>
      </c>
      <c r="H409">
        <v>72.735350940000004</v>
      </c>
      <c r="I409">
        <v>64.645762450000007</v>
      </c>
    </row>
    <row r="410" spans="1:9" ht="14.25" customHeight="1" x14ac:dyDescent="0.3">
      <c r="A410" t="s">
        <v>843</v>
      </c>
      <c r="B410">
        <v>81.285950220000004</v>
      </c>
      <c r="C410">
        <v>76.749404609999999</v>
      </c>
      <c r="D410">
        <v>73.806699989999998</v>
      </c>
      <c r="E410">
        <v>70.328744</v>
      </c>
      <c r="F410">
        <v>93.728862100000001</v>
      </c>
      <c r="G410">
        <v>75.159179879999996</v>
      </c>
      <c r="H410">
        <v>66.44963104</v>
      </c>
      <c r="I410">
        <v>66.898870590000001</v>
      </c>
    </row>
    <row r="411" spans="1:9" ht="14.25" customHeight="1" x14ac:dyDescent="0.3">
      <c r="A411" t="s">
        <v>845</v>
      </c>
      <c r="B411">
        <v>78.611850029999999</v>
      </c>
      <c r="C411">
        <v>80</v>
      </c>
      <c r="D411">
        <v>77.085297949999998</v>
      </c>
      <c r="E411">
        <v>62.81413938</v>
      </c>
      <c r="F411">
        <v>90.305822610000007</v>
      </c>
      <c r="G411">
        <v>84.999772590000006</v>
      </c>
      <c r="H411">
        <v>73.315144910000001</v>
      </c>
      <c r="I411">
        <v>63.251600920000001</v>
      </c>
    </row>
    <row r="412" spans="1:9" ht="14.25" customHeight="1" x14ac:dyDescent="0.3">
      <c r="A412" t="s">
        <v>847</v>
      </c>
      <c r="B412">
        <v>87.326583009999993</v>
      </c>
      <c r="C412">
        <v>74.602193869999994</v>
      </c>
      <c r="D412">
        <v>74.747618759999995</v>
      </c>
      <c r="E412">
        <v>74.980963689999996</v>
      </c>
      <c r="F412">
        <v>99.9</v>
      </c>
      <c r="G412">
        <v>77.725370490000003</v>
      </c>
      <c r="H412">
        <v>73.437276990000001</v>
      </c>
      <c r="I412">
        <v>56.349755090000002</v>
      </c>
    </row>
    <row r="413" spans="1:9" ht="14.25" customHeight="1" x14ac:dyDescent="0.3">
      <c r="A413" t="s">
        <v>849</v>
      </c>
      <c r="B413">
        <v>92.356006949999994</v>
      </c>
      <c r="C413">
        <v>61.05852222</v>
      </c>
      <c r="D413">
        <v>70.131746109999995</v>
      </c>
      <c r="E413">
        <v>69.703452999999996</v>
      </c>
      <c r="F413">
        <v>96.631699600000005</v>
      </c>
      <c r="G413">
        <v>71.440885600000001</v>
      </c>
      <c r="H413">
        <v>74.59865112</v>
      </c>
      <c r="I413">
        <v>63.476242599999999</v>
      </c>
    </row>
    <row r="414" spans="1:9" ht="14.25" customHeight="1" x14ac:dyDescent="0.3">
      <c r="A414" t="s">
        <v>851</v>
      </c>
      <c r="B414">
        <v>87.368923440000003</v>
      </c>
      <c r="C414">
        <v>66.778660380000005</v>
      </c>
      <c r="D414">
        <v>72.637570460000006</v>
      </c>
      <c r="E414">
        <v>66.005057609999994</v>
      </c>
      <c r="F414">
        <v>96.458358529999998</v>
      </c>
      <c r="G414">
        <v>77.953047060000003</v>
      </c>
      <c r="H414">
        <v>79.084484200000006</v>
      </c>
      <c r="I414">
        <v>59.336159090000002</v>
      </c>
    </row>
    <row r="415" spans="1:9" ht="14.25" customHeight="1" x14ac:dyDescent="0.3">
      <c r="A415" t="s">
        <v>853</v>
      </c>
      <c r="B415">
        <v>92.628325439999998</v>
      </c>
      <c r="C415">
        <v>64.061164210000001</v>
      </c>
      <c r="D415">
        <v>70</v>
      </c>
      <c r="E415">
        <v>57.914493460000003</v>
      </c>
      <c r="F415">
        <v>89.234749370000003</v>
      </c>
      <c r="G415">
        <v>77.319989149999998</v>
      </c>
      <c r="H415">
        <v>74.558198230000002</v>
      </c>
      <c r="I415">
        <v>58.799082380000002</v>
      </c>
    </row>
    <row r="416" spans="1:9" ht="14.25" customHeight="1" x14ac:dyDescent="0.3">
      <c r="A416" t="s">
        <v>855</v>
      </c>
      <c r="B416">
        <v>87.060357499999995</v>
      </c>
      <c r="C416">
        <v>79.652277470000001</v>
      </c>
      <c r="D416">
        <v>74.772765930000006</v>
      </c>
      <c r="E416">
        <v>68.729382520000001</v>
      </c>
      <c r="F416">
        <v>84.389506479999994</v>
      </c>
      <c r="G416">
        <v>85</v>
      </c>
      <c r="H416">
        <v>69.589653209999994</v>
      </c>
      <c r="I416">
        <v>62.181901430000003</v>
      </c>
    </row>
    <row r="417" spans="1:9" ht="14.25" customHeight="1" x14ac:dyDescent="0.3">
      <c r="A417" t="s">
        <v>857</v>
      </c>
      <c r="B417">
        <v>83.452025079999999</v>
      </c>
      <c r="C417">
        <v>66.684230310000004</v>
      </c>
      <c r="D417">
        <v>90</v>
      </c>
      <c r="E417">
        <v>66.096101970000007</v>
      </c>
      <c r="F417">
        <v>83.227278049999995</v>
      </c>
      <c r="G417">
        <v>71.172642490000001</v>
      </c>
      <c r="H417">
        <v>65</v>
      </c>
      <c r="I417">
        <v>52.391013620000003</v>
      </c>
    </row>
    <row r="418" spans="1:9" ht="14.25" customHeight="1" x14ac:dyDescent="0.3">
      <c r="A418" t="s">
        <v>859</v>
      </c>
      <c r="B418">
        <v>78.091840489999996</v>
      </c>
      <c r="C418">
        <v>74.607825879999993</v>
      </c>
      <c r="D418">
        <v>78.173771360000003</v>
      </c>
      <c r="E418">
        <v>62.728437460000002</v>
      </c>
      <c r="F418">
        <v>90.023653429999996</v>
      </c>
      <c r="G418">
        <v>73.281624440000002</v>
      </c>
      <c r="H418">
        <v>76.769156379999998</v>
      </c>
      <c r="I418">
        <v>52.269924109999998</v>
      </c>
    </row>
    <row r="419" spans="1:9" ht="14.25" customHeight="1" x14ac:dyDescent="0.3">
      <c r="A419" t="s">
        <v>861</v>
      </c>
      <c r="B419">
        <v>85.279196749999997</v>
      </c>
      <c r="C419">
        <v>69.708119409999995</v>
      </c>
      <c r="D419">
        <v>70.84634475</v>
      </c>
      <c r="E419">
        <v>65.495796479999996</v>
      </c>
      <c r="F419">
        <v>94.942158079999999</v>
      </c>
      <c r="G419">
        <v>74.717838180000001</v>
      </c>
      <c r="H419">
        <v>68.304822099999996</v>
      </c>
      <c r="I419">
        <v>53.77772719</v>
      </c>
    </row>
    <row r="420" spans="1:9" ht="14.25" customHeight="1" x14ac:dyDescent="0.3">
      <c r="A420" t="s">
        <v>863</v>
      </c>
      <c r="B420">
        <v>79.021945799999997</v>
      </c>
      <c r="C420">
        <v>73.30805282</v>
      </c>
      <c r="D420">
        <v>89.447784060000004</v>
      </c>
      <c r="E420">
        <v>64.659972960000005</v>
      </c>
      <c r="F420">
        <v>93.797546769999997</v>
      </c>
      <c r="G420">
        <v>79.522301839999997</v>
      </c>
      <c r="H420">
        <v>75.639060229999998</v>
      </c>
      <c r="I420">
        <v>55.0352435</v>
      </c>
    </row>
    <row r="421" spans="1:9" ht="14.25" customHeight="1" x14ac:dyDescent="0.3">
      <c r="A421" t="s">
        <v>865</v>
      </c>
      <c r="B421">
        <v>82.193493040000007</v>
      </c>
      <c r="C421">
        <v>68.365529800000004</v>
      </c>
      <c r="D421">
        <v>83.071594439999998</v>
      </c>
      <c r="E421">
        <v>61.434243799999997</v>
      </c>
      <c r="F421">
        <v>92.266472250000007</v>
      </c>
      <c r="G421">
        <v>80.794740759999996</v>
      </c>
      <c r="H421">
        <v>65</v>
      </c>
      <c r="I421">
        <v>58.856244150000002</v>
      </c>
    </row>
    <row r="422" spans="1:9" ht="14.25" customHeight="1" x14ac:dyDescent="0.3">
      <c r="A422" t="s">
        <v>867</v>
      </c>
      <c r="B422">
        <v>80.854682260000004</v>
      </c>
      <c r="C422">
        <v>69.496043420000007</v>
      </c>
      <c r="D422">
        <v>77.585566259999993</v>
      </c>
      <c r="E422">
        <v>72.207975959999999</v>
      </c>
      <c r="F422">
        <v>81.512359430000004</v>
      </c>
      <c r="G422">
        <v>85</v>
      </c>
      <c r="H422">
        <v>66.154352529999997</v>
      </c>
      <c r="I422">
        <v>54.74870267</v>
      </c>
    </row>
    <row r="423" spans="1:9" ht="14.25" customHeight="1" x14ac:dyDescent="0.3">
      <c r="A423" t="s">
        <v>869</v>
      </c>
      <c r="B423">
        <v>77.7996251</v>
      </c>
      <c r="C423">
        <v>72.955133930000002</v>
      </c>
      <c r="D423">
        <v>77.433137310000006</v>
      </c>
      <c r="E423">
        <v>61.388482349999997</v>
      </c>
      <c r="F423">
        <v>89.834618160000005</v>
      </c>
      <c r="G423">
        <v>73.897018000000003</v>
      </c>
      <c r="H423">
        <v>74.615865420000006</v>
      </c>
      <c r="I423">
        <v>65.346459199999998</v>
      </c>
    </row>
    <row r="424" spans="1:9" ht="14.25" customHeight="1" x14ac:dyDescent="0.3">
      <c r="A424" t="s">
        <v>871</v>
      </c>
      <c r="B424">
        <v>94.89686098</v>
      </c>
      <c r="C424">
        <v>66.522212890000006</v>
      </c>
      <c r="D424">
        <v>78.870997119999998</v>
      </c>
      <c r="E424">
        <v>64.550029949999995</v>
      </c>
      <c r="F424">
        <v>90.952061490000006</v>
      </c>
      <c r="G424">
        <v>84.197093870000003</v>
      </c>
      <c r="H424">
        <v>71.437948120000001</v>
      </c>
      <c r="I424">
        <v>60.864551800000001</v>
      </c>
    </row>
    <row r="425" spans="1:9" ht="14.25" customHeight="1" x14ac:dyDescent="0.3">
      <c r="A425" t="s">
        <v>873</v>
      </c>
      <c r="B425">
        <v>88.051143210000006</v>
      </c>
      <c r="C425">
        <v>69.141099220000001</v>
      </c>
      <c r="D425">
        <v>74.313823479999996</v>
      </c>
      <c r="E425">
        <v>71.048885650000003</v>
      </c>
      <c r="F425">
        <v>93.918038530000004</v>
      </c>
      <c r="G425">
        <v>78.235575429999997</v>
      </c>
      <c r="H425">
        <v>67.293747409999995</v>
      </c>
      <c r="I425">
        <v>66.179591509999995</v>
      </c>
    </row>
    <row r="426" spans="1:9" ht="14.25" customHeight="1" x14ac:dyDescent="0.3">
      <c r="A426" t="s">
        <v>875</v>
      </c>
      <c r="B426">
        <v>93.772724909999994</v>
      </c>
      <c r="C426">
        <v>66.299709559999997</v>
      </c>
      <c r="D426">
        <v>70.082872260000002</v>
      </c>
      <c r="E426">
        <v>68.147970999999998</v>
      </c>
      <c r="F426">
        <v>85.903300700000003</v>
      </c>
      <c r="G426">
        <v>73.377554419999996</v>
      </c>
      <c r="H426">
        <v>70.033175889999995</v>
      </c>
      <c r="I426">
        <v>52.529554840000003</v>
      </c>
    </row>
    <row r="427" spans="1:9" ht="14.25" customHeight="1" x14ac:dyDescent="0.3">
      <c r="A427" t="s">
        <v>877</v>
      </c>
      <c r="B427">
        <v>89.352671880000003</v>
      </c>
      <c r="C427">
        <v>60.993626720000002</v>
      </c>
      <c r="D427">
        <v>74.29670745</v>
      </c>
      <c r="E427">
        <v>67.639150650000005</v>
      </c>
      <c r="F427">
        <v>85.855152970000006</v>
      </c>
      <c r="G427">
        <v>79.418438609999995</v>
      </c>
      <c r="H427">
        <v>72.517891039999995</v>
      </c>
      <c r="I427">
        <v>65.001885939999994</v>
      </c>
    </row>
    <row r="428" spans="1:9" ht="14.25" customHeight="1" x14ac:dyDescent="0.3">
      <c r="A428" t="s">
        <v>879</v>
      </c>
      <c r="B428">
        <v>81.596624239999997</v>
      </c>
      <c r="C428">
        <v>67.402090200000004</v>
      </c>
      <c r="D428">
        <v>76.358822849999996</v>
      </c>
      <c r="E428">
        <v>67.586482169999996</v>
      </c>
      <c r="F428">
        <v>94.884270849999993</v>
      </c>
      <c r="G428">
        <v>76.449640509999995</v>
      </c>
      <c r="H428">
        <v>73.306686319999997</v>
      </c>
      <c r="I428">
        <v>62.046675110000002</v>
      </c>
    </row>
    <row r="429" spans="1:9" ht="14.25" customHeight="1" x14ac:dyDescent="0.3">
      <c r="A429" t="s">
        <v>881</v>
      </c>
      <c r="B429">
        <v>85.828808390000006</v>
      </c>
      <c r="C429">
        <v>69.776385169999998</v>
      </c>
      <c r="D429">
        <v>70.571642409999995</v>
      </c>
      <c r="E429">
        <v>63.522853150000003</v>
      </c>
      <c r="F429">
        <v>86.325936729999995</v>
      </c>
      <c r="G429">
        <v>77.206413589999997</v>
      </c>
      <c r="H429">
        <v>68.125657820000001</v>
      </c>
      <c r="I429">
        <v>57.375292559999998</v>
      </c>
    </row>
    <row r="430" spans="1:9" ht="14.25" customHeight="1" x14ac:dyDescent="0.3">
      <c r="A430" t="s">
        <v>883</v>
      </c>
      <c r="B430">
        <v>94.930115749999999</v>
      </c>
      <c r="C430">
        <v>74.953396240000004</v>
      </c>
      <c r="D430">
        <v>82.299974770000006</v>
      </c>
      <c r="E430">
        <v>62.585040909999996</v>
      </c>
      <c r="F430">
        <v>80.687666770000007</v>
      </c>
      <c r="G430">
        <v>82.4051939</v>
      </c>
      <c r="H430">
        <v>65</v>
      </c>
      <c r="I430">
        <v>67.622977169999999</v>
      </c>
    </row>
    <row r="431" spans="1:9" ht="14.25" customHeight="1" x14ac:dyDescent="0.3">
      <c r="A431" t="s">
        <v>885</v>
      </c>
      <c r="B431">
        <v>83.649952670000005</v>
      </c>
      <c r="C431">
        <v>61.517431940000002</v>
      </c>
      <c r="D431">
        <v>74.11744143</v>
      </c>
      <c r="E431">
        <v>57.819807480000001</v>
      </c>
      <c r="F431">
        <v>92.472678360000003</v>
      </c>
      <c r="G431">
        <v>85</v>
      </c>
      <c r="H431">
        <v>67.305066830000001</v>
      </c>
      <c r="I431">
        <v>66.257738309999993</v>
      </c>
    </row>
    <row r="432" spans="1:9" ht="14.25" customHeight="1" x14ac:dyDescent="0.3">
      <c r="A432" t="s">
        <v>887</v>
      </c>
      <c r="B432">
        <v>78.847393740000001</v>
      </c>
      <c r="C432">
        <v>68.923876969999995</v>
      </c>
      <c r="D432">
        <v>80.539975609999999</v>
      </c>
      <c r="E432">
        <v>69.42011033</v>
      </c>
      <c r="F432">
        <v>91.044625819999993</v>
      </c>
      <c r="G432">
        <v>74.541709800000007</v>
      </c>
      <c r="H432">
        <v>70.239392670000001</v>
      </c>
      <c r="I432">
        <v>63.929494380000001</v>
      </c>
    </row>
    <row r="433" spans="1:9" ht="14.25" customHeight="1" x14ac:dyDescent="0.3">
      <c r="A433" t="s">
        <v>889</v>
      </c>
      <c r="B433">
        <v>86.231911670000002</v>
      </c>
      <c r="C433">
        <v>73.926228350000002</v>
      </c>
      <c r="D433">
        <v>77.430136200000007</v>
      </c>
      <c r="E433">
        <v>65.497202779999995</v>
      </c>
      <c r="F433">
        <v>87.300726429999997</v>
      </c>
      <c r="G433">
        <v>78.102044770000006</v>
      </c>
      <c r="H433">
        <v>73.438971429999995</v>
      </c>
      <c r="I433">
        <v>54.967266760000001</v>
      </c>
    </row>
    <row r="434" spans="1:9" ht="14.25" customHeight="1" x14ac:dyDescent="0.3">
      <c r="A434" t="s">
        <v>891</v>
      </c>
      <c r="B434">
        <v>80.159854339999995</v>
      </c>
      <c r="C434">
        <v>63.963980970000001</v>
      </c>
      <c r="D434">
        <v>83.597386790000002</v>
      </c>
      <c r="E434">
        <v>71.023595950000001</v>
      </c>
      <c r="F434">
        <v>97.890989610000005</v>
      </c>
      <c r="G434">
        <v>68.677050530000002</v>
      </c>
      <c r="H434">
        <v>65.479850709999994</v>
      </c>
      <c r="I434">
        <v>50</v>
      </c>
    </row>
    <row r="435" spans="1:9" ht="14.25" customHeight="1" x14ac:dyDescent="0.3">
      <c r="A435" t="s">
        <v>893</v>
      </c>
      <c r="B435">
        <v>83.122998699999997</v>
      </c>
      <c r="C435">
        <v>65.918180030000002</v>
      </c>
      <c r="D435">
        <v>80.876531650000004</v>
      </c>
      <c r="E435">
        <v>70.290764240000001</v>
      </c>
      <c r="F435">
        <v>81.755547050000004</v>
      </c>
      <c r="G435">
        <v>83.654992870000001</v>
      </c>
      <c r="H435">
        <v>70.096179019999994</v>
      </c>
      <c r="I435">
        <v>61.58618147</v>
      </c>
    </row>
    <row r="436" spans="1:9" ht="14.25" customHeight="1" x14ac:dyDescent="0.3">
      <c r="A436" t="s">
        <v>895</v>
      </c>
      <c r="B436">
        <v>83.788707410000001</v>
      </c>
      <c r="C436">
        <v>63.674677819999999</v>
      </c>
      <c r="D436">
        <v>82.286306719999999</v>
      </c>
      <c r="E436">
        <v>64.507431760000003</v>
      </c>
      <c r="F436">
        <v>99.464912650000002</v>
      </c>
      <c r="G436">
        <v>73.243521490000006</v>
      </c>
      <c r="H436">
        <v>68.424822000000006</v>
      </c>
      <c r="I436">
        <v>68.250778819999994</v>
      </c>
    </row>
    <row r="437" spans="1:9" ht="14.25" customHeight="1" x14ac:dyDescent="0.3">
      <c r="A437" t="s">
        <v>897</v>
      </c>
      <c r="B437">
        <v>83.345259080000005</v>
      </c>
      <c r="C437">
        <v>60.174881310000004</v>
      </c>
      <c r="D437">
        <v>79.446014570000003</v>
      </c>
      <c r="E437">
        <v>67.448948430000002</v>
      </c>
      <c r="F437">
        <v>90.244746149999997</v>
      </c>
      <c r="G437">
        <v>75.686424900000006</v>
      </c>
      <c r="H437">
        <v>72.938578300000003</v>
      </c>
      <c r="I437">
        <v>62.562783000000003</v>
      </c>
    </row>
    <row r="438" spans="1:9" ht="14.25" customHeight="1" x14ac:dyDescent="0.3">
      <c r="A438" t="s">
        <v>899</v>
      </c>
      <c r="B438">
        <v>75</v>
      </c>
      <c r="C438">
        <v>72.215906000000004</v>
      </c>
      <c r="D438">
        <v>83.846816439999998</v>
      </c>
      <c r="E438">
        <v>63.335255670000002</v>
      </c>
      <c r="F438">
        <v>86.742277979999997</v>
      </c>
      <c r="G438">
        <v>77.312324630000006</v>
      </c>
      <c r="H438">
        <v>78.422721499999994</v>
      </c>
      <c r="I438">
        <v>50</v>
      </c>
    </row>
    <row r="439" spans="1:9" ht="14.25" customHeight="1" x14ac:dyDescent="0.3">
      <c r="A439" t="s">
        <v>901</v>
      </c>
      <c r="B439">
        <v>79.153926900000002</v>
      </c>
      <c r="C439">
        <v>71.591817160000005</v>
      </c>
      <c r="D439">
        <v>70</v>
      </c>
      <c r="E439">
        <v>63.602240219999999</v>
      </c>
      <c r="F439">
        <v>88.98032327</v>
      </c>
      <c r="G439">
        <v>69.636184689999993</v>
      </c>
      <c r="H439">
        <v>72.653410429999994</v>
      </c>
      <c r="I439">
        <v>60.221753100000001</v>
      </c>
    </row>
    <row r="440" spans="1:9" ht="14.25" customHeight="1" x14ac:dyDescent="0.3">
      <c r="A440" t="s">
        <v>903</v>
      </c>
      <c r="B440">
        <v>78.746204489999997</v>
      </c>
      <c r="C440">
        <v>65.506010970000005</v>
      </c>
      <c r="D440">
        <v>76.604969519999997</v>
      </c>
      <c r="E440">
        <v>71.668562440000002</v>
      </c>
      <c r="F440">
        <v>96.738841870000002</v>
      </c>
      <c r="G440">
        <v>79.098241520000002</v>
      </c>
      <c r="H440">
        <v>72.772440669999995</v>
      </c>
      <c r="I440">
        <v>59.915287669999998</v>
      </c>
    </row>
    <row r="441" spans="1:9" ht="14.25" customHeight="1" x14ac:dyDescent="0.3">
      <c r="A441" t="s">
        <v>906</v>
      </c>
      <c r="B441">
        <v>84.523432349999993</v>
      </c>
      <c r="C441">
        <v>68.312801339999993</v>
      </c>
      <c r="D441">
        <v>78.264635839999997</v>
      </c>
      <c r="E441">
        <v>65.275266299999998</v>
      </c>
      <c r="F441">
        <v>96.147236449999994</v>
      </c>
      <c r="G441">
        <v>83.730749079999995</v>
      </c>
      <c r="H441">
        <v>69.580918249999996</v>
      </c>
      <c r="I441">
        <v>55.339303540000003</v>
      </c>
    </row>
    <row r="442" spans="1:9" ht="14.25" customHeight="1" x14ac:dyDescent="0.3">
      <c r="A442" t="s">
        <v>908</v>
      </c>
      <c r="B442">
        <v>84.682142569999996</v>
      </c>
      <c r="C442">
        <v>68.124321940000002</v>
      </c>
      <c r="D442">
        <v>90</v>
      </c>
      <c r="E442">
        <v>68.497510599999998</v>
      </c>
      <c r="F442">
        <v>87.684895409999996</v>
      </c>
      <c r="G442">
        <v>74.898177720000007</v>
      </c>
      <c r="H442">
        <v>68.031437260000004</v>
      </c>
      <c r="I442">
        <v>58.171979839999999</v>
      </c>
    </row>
    <row r="443" spans="1:9" ht="14.25" customHeight="1" x14ac:dyDescent="0.3">
      <c r="A443" t="s">
        <v>910</v>
      </c>
      <c r="B443">
        <v>96.401584240000005</v>
      </c>
      <c r="C443">
        <v>77.444230349999998</v>
      </c>
      <c r="D443">
        <v>81.504705349999995</v>
      </c>
      <c r="E443">
        <v>68.686461089999995</v>
      </c>
      <c r="F443">
        <v>92.519018160000002</v>
      </c>
      <c r="G443">
        <v>77.148777710000005</v>
      </c>
      <c r="H443">
        <v>69.374508059999997</v>
      </c>
      <c r="I443">
        <v>68.666704260000003</v>
      </c>
    </row>
    <row r="444" spans="1:9" ht="14.25" customHeight="1" x14ac:dyDescent="0.3">
      <c r="A444" t="s">
        <v>912</v>
      </c>
      <c r="B444">
        <v>86.969823649999995</v>
      </c>
      <c r="C444">
        <v>76.015983449999993</v>
      </c>
      <c r="D444">
        <v>75.105908040000003</v>
      </c>
      <c r="E444">
        <v>74.577107839999996</v>
      </c>
      <c r="F444">
        <v>89.859299969999995</v>
      </c>
      <c r="G444">
        <v>85</v>
      </c>
      <c r="H444">
        <v>65</v>
      </c>
      <c r="I444">
        <v>63.186545879999997</v>
      </c>
    </row>
    <row r="445" spans="1:9" ht="14.25" customHeight="1" x14ac:dyDescent="0.3">
      <c r="A445" t="s">
        <v>914</v>
      </c>
      <c r="B445">
        <v>82.9016637</v>
      </c>
      <c r="C445">
        <v>62.70037919</v>
      </c>
      <c r="D445">
        <v>70</v>
      </c>
      <c r="E445">
        <v>65.816553459999994</v>
      </c>
      <c r="F445">
        <v>95.609429860000006</v>
      </c>
      <c r="G445">
        <v>82.133512319999994</v>
      </c>
      <c r="H445">
        <v>73.36960388</v>
      </c>
      <c r="I445">
        <v>70</v>
      </c>
    </row>
    <row r="446" spans="1:9" ht="14.25" customHeight="1" x14ac:dyDescent="0.3">
      <c r="A446" t="s">
        <v>916</v>
      </c>
      <c r="B446">
        <v>79.814544799999993</v>
      </c>
      <c r="C446">
        <v>67.228512879999997</v>
      </c>
      <c r="D446">
        <v>73.279009790000003</v>
      </c>
      <c r="E446">
        <v>63.468384669999999</v>
      </c>
      <c r="F446">
        <v>88.824344479999993</v>
      </c>
      <c r="G446">
        <v>82.349929320000001</v>
      </c>
      <c r="H446">
        <v>68.417629210000001</v>
      </c>
      <c r="I446">
        <v>56.532986030000004</v>
      </c>
    </row>
    <row r="447" spans="1:9" ht="14.25" customHeight="1" x14ac:dyDescent="0.3">
      <c r="A447" t="s">
        <v>918</v>
      </c>
      <c r="B447">
        <v>85.080606759999995</v>
      </c>
      <c r="C447">
        <v>64.039595800000001</v>
      </c>
      <c r="D447">
        <v>85.566376099999999</v>
      </c>
      <c r="E447">
        <v>66.188898949999995</v>
      </c>
      <c r="F447">
        <v>94.483309879999993</v>
      </c>
      <c r="G447">
        <v>85</v>
      </c>
      <c r="H447">
        <v>72.476977140000002</v>
      </c>
      <c r="I447">
        <v>53.802897340000001</v>
      </c>
    </row>
    <row r="448" spans="1:9" ht="14.25" customHeight="1" x14ac:dyDescent="0.3">
      <c r="A448" t="s">
        <v>920</v>
      </c>
      <c r="B448">
        <v>81.723816749999997</v>
      </c>
      <c r="C448">
        <v>60</v>
      </c>
      <c r="D448">
        <v>77.985877819999999</v>
      </c>
      <c r="E448">
        <v>75</v>
      </c>
      <c r="F448">
        <v>96.272909010000006</v>
      </c>
      <c r="G448">
        <v>85</v>
      </c>
      <c r="H448">
        <v>74.170438020000006</v>
      </c>
      <c r="I448">
        <v>62.072156100000001</v>
      </c>
    </row>
    <row r="449" spans="1:9" ht="14.25" customHeight="1" x14ac:dyDescent="0.3">
      <c r="A449" t="s">
        <v>923</v>
      </c>
      <c r="B449">
        <v>81.549679920000003</v>
      </c>
      <c r="C449">
        <v>61.296944240000002</v>
      </c>
      <c r="D449">
        <v>70</v>
      </c>
      <c r="E449">
        <v>67.825118309999993</v>
      </c>
      <c r="F449">
        <v>92.179687950000002</v>
      </c>
      <c r="G449">
        <v>75.410328109999995</v>
      </c>
      <c r="H449">
        <v>82.742922879999995</v>
      </c>
      <c r="I449">
        <v>52.830269430000001</v>
      </c>
    </row>
    <row r="450" spans="1:9" ht="14.25" customHeight="1" x14ac:dyDescent="0.3">
      <c r="A450" t="s">
        <v>925</v>
      </c>
      <c r="B450">
        <v>75</v>
      </c>
      <c r="C450">
        <v>66.835195769999999</v>
      </c>
      <c r="D450">
        <v>74.603034620000003</v>
      </c>
      <c r="E450">
        <v>63.961255889999997</v>
      </c>
      <c r="F450">
        <v>94.934097080000001</v>
      </c>
      <c r="G450">
        <v>85</v>
      </c>
      <c r="H450">
        <v>71.479081039999997</v>
      </c>
      <c r="I450">
        <v>52.306408249999997</v>
      </c>
    </row>
    <row r="451" spans="1:9" ht="14.25" customHeight="1" x14ac:dyDescent="0.3">
      <c r="A451" t="s">
        <v>927</v>
      </c>
      <c r="B451">
        <v>88.209534689999998</v>
      </c>
      <c r="C451">
        <v>69.509432129999993</v>
      </c>
      <c r="D451">
        <v>86.611252750000006</v>
      </c>
      <c r="E451">
        <v>58.531145189999997</v>
      </c>
      <c r="F451">
        <v>87.491375090000005</v>
      </c>
      <c r="G451">
        <v>82.414510969999995</v>
      </c>
      <c r="H451">
        <v>70.560587740000003</v>
      </c>
      <c r="I451">
        <v>62.825010949999999</v>
      </c>
    </row>
    <row r="452" spans="1:9" ht="14.25" customHeight="1" x14ac:dyDescent="0.3">
      <c r="A452" t="s">
        <v>929</v>
      </c>
      <c r="B452">
        <v>83.401652999999996</v>
      </c>
      <c r="C452">
        <v>60.229820510000003</v>
      </c>
      <c r="D452">
        <v>73.546347019999999</v>
      </c>
      <c r="E452">
        <v>72.604036820000005</v>
      </c>
      <c r="F452">
        <v>92.803499130000006</v>
      </c>
      <c r="G452">
        <v>69.609774459999997</v>
      </c>
      <c r="H452">
        <v>65.436399429999994</v>
      </c>
      <c r="I452">
        <v>58.27879068</v>
      </c>
    </row>
    <row r="453" spans="1:9" ht="14.25" customHeight="1" x14ac:dyDescent="0.3">
      <c r="A453" t="s">
        <v>931</v>
      </c>
      <c r="B453">
        <v>91.645546769999996</v>
      </c>
      <c r="C453">
        <v>65.536229570000003</v>
      </c>
      <c r="D453">
        <v>80.034744779999997</v>
      </c>
      <c r="E453">
        <v>60.309726359999999</v>
      </c>
      <c r="F453">
        <v>89.338377249999994</v>
      </c>
      <c r="G453">
        <v>78.778295450000002</v>
      </c>
      <c r="H453">
        <v>73.177572389999995</v>
      </c>
      <c r="I453">
        <v>63.60628251</v>
      </c>
    </row>
    <row r="454" spans="1:9" ht="14.25" customHeight="1" x14ac:dyDescent="0.3">
      <c r="A454" t="s">
        <v>933</v>
      </c>
      <c r="B454">
        <v>87.978216549999999</v>
      </c>
      <c r="C454">
        <v>65.831849030000001</v>
      </c>
      <c r="D454">
        <v>79.691201230000004</v>
      </c>
      <c r="E454">
        <v>63.21884558</v>
      </c>
      <c r="F454">
        <v>82.668429309999993</v>
      </c>
      <c r="G454">
        <v>75.99561602</v>
      </c>
      <c r="H454">
        <v>69.888875330000005</v>
      </c>
      <c r="I454">
        <v>56.75330177</v>
      </c>
    </row>
    <row r="455" spans="1:9" ht="14.25" customHeight="1" x14ac:dyDescent="0.3">
      <c r="A455" t="s">
        <v>935</v>
      </c>
      <c r="B455">
        <v>82.76884364</v>
      </c>
      <c r="C455">
        <v>68.182761290000002</v>
      </c>
      <c r="D455">
        <v>70</v>
      </c>
      <c r="E455">
        <v>66.124849170000005</v>
      </c>
      <c r="F455">
        <v>85.661420809999996</v>
      </c>
      <c r="G455">
        <v>75.850691119999993</v>
      </c>
      <c r="H455">
        <v>77.903072789999996</v>
      </c>
      <c r="I455">
        <v>68.471722729999996</v>
      </c>
    </row>
    <row r="456" spans="1:9" ht="14.25" customHeight="1" x14ac:dyDescent="0.3">
      <c r="A456" t="s">
        <v>937</v>
      </c>
      <c r="B456">
        <v>83.183455159999994</v>
      </c>
      <c r="C456">
        <v>75.070083629999999</v>
      </c>
      <c r="D456">
        <v>80.714314639999998</v>
      </c>
      <c r="E456">
        <v>67.610528900000006</v>
      </c>
      <c r="F456">
        <v>88.186044019999997</v>
      </c>
      <c r="G456">
        <v>80.942371960000003</v>
      </c>
      <c r="H456">
        <v>71.263414569999995</v>
      </c>
      <c r="I456">
        <v>64.402593019999998</v>
      </c>
    </row>
    <row r="457" spans="1:9" ht="14.25" customHeight="1" x14ac:dyDescent="0.3">
      <c r="A457" t="s">
        <v>939</v>
      </c>
      <c r="B457">
        <v>84.682699569999997</v>
      </c>
      <c r="C457">
        <v>78.192623609999998</v>
      </c>
      <c r="D457">
        <v>72.390604170000003</v>
      </c>
      <c r="E457">
        <v>57.575397649999999</v>
      </c>
      <c r="F457">
        <v>80</v>
      </c>
      <c r="G457">
        <v>74.739158919999994</v>
      </c>
      <c r="H457">
        <v>71.842633259999999</v>
      </c>
      <c r="I457">
        <v>68.039399299999999</v>
      </c>
    </row>
    <row r="458" spans="1:9" ht="14.25" customHeight="1" x14ac:dyDescent="0.3">
      <c r="A458" t="s">
        <v>941</v>
      </c>
      <c r="B458">
        <v>87.248635039999996</v>
      </c>
      <c r="C458">
        <v>70.606031220000006</v>
      </c>
      <c r="D458">
        <v>80.38102447</v>
      </c>
      <c r="E458">
        <v>61.926359849999997</v>
      </c>
      <c r="F458">
        <v>86.206269489999997</v>
      </c>
      <c r="G458">
        <v>81.968042780000005</v>
      </c>
      <c r="H458">
        <v>65</v>
      </c>
      <c r="I458">
        <v>55.574065140000002</v>
      </c>
    </row>
    <row r="459" spans="1:9" ht="14.25" customHeight="1" x14ac:dyDescent="0.3">
      <c r="A459" t="s">
        <v>943</v>
      </c>
      <c r="B459">
        <v>83.582952120000002</v>
      </c>
      <c r="C459">
        <v>70.737708139999995</v>
      </c>
      <c r="D459">
        <v>75.446837020000004</v>
      </c>
      <c r="E459">
        <v>68.563575470000004</v>
      </c>
      <c r="F459">
        <v>85.738837020000005</v>
      </c>
      <c r="G459">
        <v>75.078239710000005</v>
      </c>
      <c r="H459">
        <v>71.354042109999995</v>
      </c>
      <c r="I459">
        <v>70</v>
      </c>
    </row>
    <row r="460" spans="1:9" ht="14.25" customHeight="1" x14ac:dyDescent="0.3">
      <c r="A460" t="s">
        <v>945</v>
      </c>
      <c r="B460">
        <v>88.849508589999999</v>
      </c>
      <c r="C460">
        <v>60.230072159999999</v>
      </c>
      <c r="D460">
        <v>81.812981219999998</v>
      </c>
      <c r="E460">
        <v>68.006150239999997</v>
      </c>
      <c r="F460">
        <v>85.842084529999994</v>
      </c>
      <c r="G460">
        <v>76.488676810000001</v>
      </c>
      <c r="H460">
        <v>73.319465019999996</v>
      </c>
      <c r="I460">
        <v>53.2378255</v>
      </c>
    </row>
    <row r="461" spans="1:9" ht="14.25" customHeight="1" x14ac:dyDescent="0.3">
      <c r="A461" t="s">
        <v>947</v>
      </c>
      <c r="B461">
        <v>83.172929019999998</v>
      </c>
      <c r="C461">
        <v>70.291932520000003</v>
      </c>
      <c r="D461">
        <v>76.529901749999993</v>
      </c>
      <c r="E461">
        <v>66.740555610000001</v>
      </c>
      <c r="F461">
        <v>94.720897070000007</v>
      </c>
      <c r="G461">
        <v>78.237231800000004</v>
      </c>
      <c r="H461">
        <v>68.637399029999997</v>
      </c>
      <c r="I461">
        <v>50</v>
      </c>
    </row>
    <row r="462" spans="1:9" ht="14.25" customHeight="1" x14ac:dyDescent="0.3">
      <c r="A462" t="s">
        <v>949</v>
      </c>
      <c r="B462">
        <v>80.705145770000001</v>
      </c>
      <c r="C462">
        <v>64.390057380000002</v>
      </c>
      <c r="D462">
        <v>88.053687710000005</v>
      </c>
      <c r="E462">
        <v>55</v>
      </c>
      <c r="F462">
        <v>95.48023766</v>
      </c>
      <c r="G462">
        <v>80.032935539999997</v>
      </c>
      <c r="H462">
        <v>72.762538489999997</v>
      </c>
      <c r="I462">
        <v>50</v>
      </c>
    </row>
    <row r="463" spans="1:9" ht="14.25" customHeight="1" x14ac:dyDescent="0.3">
      <c r="A463" t="s">
        <v>951</v>
      </c>
      <c r="B463">
        <v>86.451103759999995</v>
      </c>
      <c r="C463">
        <v>67.602303239999998</v>
      </c>
      <c r="D463">
        <v>74.642343890000006</v>
      </c>
      <c r="E463">
        <v>63.324137569999998</v>
      </c>
      <c r="F463">
        <v>93.371569440000002</v>
      </c>
      <c r="G463">
        <v>85</v>
      </c>
      <c r="H463">
        <v>76.439488260000005</v>
      </c>
      <c r="I463">
        <v>58.105088189999996</v>
      </c>
    </row>
    <row r="464" spans="1:9" ht="14.25" customHeight="1" x14ac:dyDescent="0.3">
      <c r="A464" t="s">
        <v>953</v>
      </c>
      <c r="B464">
        <v>85.440633860000005</v>
      </c>
      <c r="C464">
        <v>61.953612550000003</v>
      </c>
      <c r="D464">
        <v>75.180946000000006</v>
      </c>
      <c r="E464">
        <v>58.969347200000001</v>
      </c>
      <c r="F464">
        <v>85.385588339999998</v>
      </c>
      <c r="G464">
        <v>77.764302900000004</v>
      </c>
      <c r="H464">
        <v>74.509673179999993</v>
      </c>
      <c r="I464">
        <v>61.686793799999997</v>
      </c>
    </row>
    <row r="465" spans="1:9" ht="14.25" customHeight="1" x14ac:dyDescent="0.3">
      <c r="A465" t="s">
        <v>955</v>
      </c>
      <c r="B465">
        <v>97.873381820000006</v>
      </c>
      <c r="C465">
        <v>68.251842879999998</v>
      </c>
      <c r="D465">
        <v>84.098082099999999</v>
      </c>
      <c r="E465">
        <v>60.642458650000002</v>
      </c>
      <c r="F465">
        <v>92.170490180000002</v>
      </c>
      <c r="G465">
        <v>77.283086229999995</v>
      </c>
      <c r="H465">
        <v>70.890430739999999</v>
      </c>
      <c r="I465">
        <v>57.385143210000003</v>
      </c>
    </row>
    <row r="466" spans="1:9" ht="14.25" customHeight="1" x14ac:dyDescent="0.3">
      <c r="A466" t="s">
        <v>957</v>
      </c>
      <c r="B466">
        <v>87.182956910000001</v>
      </c>
      <c r="C466">
        <v>72.102137949999999</v>
      </c>
      <c r="D466">
        <v>70</v>
      </c>
      <c r="E466">
        <v>65.45181608</v>
      </c>
      <c r="F466">
        <v>94.238299179999999</v>
      </c>
      <c r="G466">
        <v>85</v>
      </c>
      <c r="H466">
        <v>77.38839222</v>
      </c>
      <c r="I466">
        <v>69.409925880000003</v>
      </c>
    </row>
    <row r="467" spans="1:9" ht="14.25" customHeight="1" x14ac:dyDescent="0.3">
      <c r="A467" t="s">
        <v>959</v>
      </c>
      <c r="B467">
        <v>89.412048929999997</v>
      </c>
      <c r="C467">
        <v>73.980899489999999</v>
      </c>
      <c r="D467">
        <v>70</v>
      </c>
      <c r="E467">
        <v>57.857818479999999</v>
      </c>
      <c r="F467">
        <v>84.280770129999993</v>
      </c>
      <c r="G467">
        <v>70.469235729999994</v>
      </c>
      <c r="H467">
        <v>67.699282190000005</v>
      </c>
      <c r="I467">
        <v>67.091786810000002</v>
      </c>
    </row>
    <row r="468" spans="1:9" ht="14.25" customHeight="1" x14ac:dyDescent="0.3">
      <c r="A468" t="s">
        <v>961</v>
      </c>
      <c r="B468">
        <v>92.444619680000002</v>
      </c>
      <c r="C468">
        <v>67.336014289999994</v>
      </c>
      <c r="D468">
        <v>75.670404259999998</v>
      </c>
      <c r="E468">
        <v>66.608761639999997</v>
      </c>
      <c r="F468">
        <v>90.905035650000002</v>
      </c>
      <c r="G468">
        <v>79.903370129999999</v>
      </c>
      <c r="H468">
        <v>76.50005238</v>
      </c>
      <c r="I468">
        <v>60.976128840000001</v>
      </c>
    </row>
    <row r="469" spans="1:9" ht="14.25" customHeight="1" x14ac:dyDescent="0.3">
      <c r="A469" t="s">
        <v>963</v>
      </c>
      <c r="B469">
        <v>91.6652019</v>
      </c>
      <c r="C469">
        <v>79.204836889999996</v>
      </c>
      <c r="D469">
        <v>70</v>
      </c>
      <c r="E469">
        <v>67.955785210000002</v>
      </c>
      <c r="F469">
        <v>84.050235020000002</v>
      </c>
      <c r="G469">
        <v>76.949055880000003</v>
      </c>
      <c r="H469">
        <v>70.276354119999993</v>
      </c>
      <c r="I469">
        <v>66.746258620000006</v>
      </c>
    </row>
    <row r="470" spans="1:9" ht="14.25" customHeight="1" x14ac:dyDescent="0.3">
      <c r="A470" t="s">
        <v>965</v>
      </c>
      <c r="B470">
        <v>85.397150920000001</v>
      </c>
      <c r="C470">
        <v>69.480691429999993</v>
      </c>
      <c r="D470">
        <v>72.024062540000003</v>
      </c>
      <c r="E470">
        <v>63.52446166</v>
      </c>
      <c r="F470">
        <v>97.383883879999999</v>
      </c>
      <c r="G470">
        <v>84.007242640000001</v>
      </c>
      <c r="H470">
        <v>67.678988279999999</v>
      </c>
      <c r="I470">
        <v>64.225289790000005</v>
      </c>
    </row>
    <row r="471" spans="1:9" ht="14.25" customHeight="1" x14ac:dyDescent="0.3">
      <c r="A471" t="s">
        <v>967</v>
      </c>
      <c r="B471">
        <v>82.706685320000005</v>
      </c>
      <c r="C471">
        <v>75.156635539999996</v>
      </c>
      <c r="D471">
        <v>76.239919420000007</v>
      </c>
      <c r="E471">
        <v>64.981203059999999</v>
      </c>
      <c r="F471">
        <v>91.557382939999997</v>
      </c>
      <c r="G471">
        <v>75.074142660000007</v>
      </c>
      <c r="H471">
        <v>73.315935839999995</v>
      </c>
      <c r="I471">
        <v>70</v>
      </c>
    </row>
    <row r="472" spans="1:9" ht="14.25" customHeight="1" x14ac:dyDescent="0.3">
      <c r="A472" t="s">
        <v>969</v>
      </c>
      <c r="B472">
        <v>80.686638639999998</v>
      </c>
      <c r="C472">
        <v>63.580602390000003</v>
      </c>
      <c r="D472">
        <v>81.371741749999998</v>
      </c>
      <c r="E472">
        <v>56.997713050000002</v>
      </c>
      <c r="F472">
        <v>91.096460190000002</v>
      </c>
      <c r="G472">
        <v>85</v>
      </c>
      <c r="H472">
        <v>66.801618050000002</v>
      </c>
      <c r="I472">
        <v>57.72023686</v>
      </c>
    </row>
    <row r="473" spans="1:9" ht="14.25" customHeight="1" x14ac:dyDescent="0.3">
      <c r="A473" t="s">
        <v>971</v>
      </c>
      <c r="B473">
        <v>85.423733830000003</v>
      </c>
      <c r="C473">
        <v>63.00218452</v>
      </c>
      <c r="D473">
        <v>76.250978509999996</v>
      </c>
      <c r="E473">
        <v>61.218025140000002</v>
      </c>
      <c r="F473">
        <v>95.752037610000002</v>
      </c>
      <c r="G473">
        <v>67.442764229999995</v>
      </c>
      <c r="H473">
        <v>71.497140999999999</v>
      </c>
      <c r="I473">
        <v>61.646173769999997</v>
      </c>
    </row>
    <row r="474" spans="1:9" ht="14.25" customHeight="1" x14ac:dyDescent="0.3">
      <c r="A474" t="s">
        <v>973</v>
      </c>
      <c r="B474">
        <v>84.852166920000002</v>
      </c>
      <c r="C474">
        <v>78.625064800000004</v>
      </c>
      <c r="D474">
        <v>75.641451810000007</v>
      </c>
      <c r="E474">
        <v>67.623765230000004</v>
      </c>
      <c r="F474">
        <v>95.668548720000004</v>
      </c>
      <c r="G474">
        <v>85</v>
      </c>
      <c r="H474">
        <v>65</v>
      </c>
      <c r="I474">
        <v>57.155098279999997</v>
      </c>
    </row>
    <row r="475" spans="1:9" ht="14.25" customHeight="1" x14ac:dyDescent="0.3">
      <c r="A475" t="s">
        <v>975</v>
      </c>
      <c r="B475">
        <v>78.117766919999994</v>
      </c>
      <c r="C475">
        <v>74.575415890000002</v>
      </c>
      <c r="D475">
        <v>82.562259220000001</v>
      </c>
      <c r="E475">
        <v>56.980746099999998</v>
      </c>
      <c r="F475">
        <v>82.955236110000001</v>
      </c>
      <c r="G475">
        <v>85</v>
      </c>
      <c r="H475">
        <v>71.571790660000005</v>
      </c>
      <c r="I475">
        <v>61.549828310000002</v>
      </c>
    </row>
    <row r="476" spans="1:9" ht="14.25" customHeight="1" x14ac:dyDescent="0.3">
      <c r="A476" t="s">
        <v>977</v>
      </c>
      <c r="B476">
        <v>80.801566050000005</v>
      </c>
      <c r="C476">
        <v>61.3221141</v>
      </c>
      <c r="D476">
        <v>73.183035810000007</v>
      </c>
      <c r="E476">
        <v>72.162501710000001</v>
      </c>
      <c r="F476">
        <v>89.044873240000001</v>
      </c>
      <c r="G476">
        <v>74.731723380000005</v>
      </c>
      <c r="H476">
        <v>67.269082460000007</v>
      </c>
      <c r="I476">
        <v>63.309009570000001</v>
      </c>
    </row>
    <row r="477" spans="1:9" ht="14.25" customHeight="1" x14ac:dyDescent="0.3">
      <c r="A477" t="s">
        <v>979</v>
      </c>
      <c r="B477">
        <v>77.973129170000007</v>
      </c>
      <c r="C477">
        <v>65.070647179999995</v>
      </c>
      <c r="D477">
        <v>70</v>
      </c>
      <c r="E477">
        <v>57.493927829999997</v>
      </c>
      <c r="F477">
        <v>99.826936320000002</v>
      </c>
      <c r="G477">
        <v>71.538928920000004</v>
      </c>
      <c r="H477">
        <v>75.68287479</v>
      </c>
      <c r="I477">
        <v>68.209000070000002</v>
      </c>
    </row>
    <row r="478" spans="1:9" ht="14.25" customHeight="1" x14ac:dyDescent="0.3">
      <c r="A478" t="s">
        <v>981</v>
      </c>
      <c r="B478">
        <v>80.819695490000001</v>
      </c>
      <c r="C478">
        <v>67.148272950000006</v>
      </c>
      <c r="D478">
        <v>70</v>
      </c>
      <c r="E478">
        <v>63.489498670000003</v>
      </c>
      <c r="F478">
        <v>84.297571989999994</v>
      </c>
      <c r="G478">
        <v>80.602564330000007</v>
      </c>
      <c r="H478">
        <v>69.931052460000004</v>
      </c>
      <c r="I478">
        <v>69.671677720000005</v>
      </c>
    </row>
    <row r="479" spans="1:9" ht="14.25" customHeight="1" x14ac:dyDescent="0.3">
      <c r="A479" t="s">
        <v>983</v>
      </c>
      <c r="B479">
        <v>91.004819940000004</v>
      </c>
      <c r="C479">
        <v>68.211723329999998</v>
      </c>
      <c r="D479">
        <v>70</v>
      </c>
      <c r="E479">
        <v>63.018302370000001</v>
      </c>
      <c r="F479">
        <v>92.461462539999999</v>
      </c>
      <c r="G479">
        <v>78.870399289999995</v>
      </c>
      <c r="H479">
        <v>73.94889972</v>
      </c>
      <c r="I479">
        <v>50.683602100000002</v>
      </c>
    </row>
    <row r="480" spans="1:9" ht="14.25" customHeight="1" x14ac:dyDescent="0.3">
      <c r="A480" t="s">
        <v>985</v>
      </c>
      <c r="B480">
        <v>85.19785297</v>
      </c>
      <c r="C480">
        <v>71.942265579999997</v>
      </c>
      <c r="D480">
        <v>83.727842710000004</v>
      </c>
      <c r="E480">
        <v>59.38454918</v>
      </c>
      <c r="F480">
        <v>92.204247870000003</v>
      </c>
      <c r="G480">
        <v>75.405888770000004</v>
      </c>
      <c r="H480">
        <v>68.497949120000001</v>
      </c>
      <c r="I480">
        <v>54.337363969999998</v>
      </c>
    </row>
    <row r="481" spans="1:9" ht="14.25" customHeight="1" x14ac:dyDescent="0.3">
      <c r="A481" t="s">
        <v>987</v>
      </c>
      <c r="B481">
        <v>95.440127570000001</v>
      </c>
      <c r="C481">
        <v>75.22065259</v>
      </c>
      <c r="D481">
        <v>70</v>
      </c>
      <c r="E481">
        <v>68.773743809999999</v>
      </c>
      <c r="F481">
        <v>89.068259060000003</v>
      </c>
      <c r="G481">
        <v>75.091214140000005</v>
      </c>
      <c r="H481">
        <v>75.74057766</v>
      </c>
      <c r="I481">
        <v>58.179218689999999</v>
      </c>
    </row>
    <row r="482" spans="1:9" ht="14.25" customHeight="1" x14ac:dyDescent="0.3">
      <c r="A482" t="s">
        <v>989</v>
      </c>
      <c r="B482">
        <v>81.634324179999993</v>
      </c>
      <c r="C482">
        <v>69.126634949999996</v>
      </c>
      <c r="D482">
        <v>81.390383709999995</v>
      </c>
      <c r="E482">
        <v>64.177556989999999</v>
      </c>
      <c r="F482">
        <v>95.192691809999999</v>
      </c>
      <c r="G482">
        <v>80.953196030000001</v>
      </c>
      <c r="H482">
        <v>68.914731630000006</v>
      </c>
      <c r="I482">
        <v>52.335092330000002</v>
      </c>
    </row>
    <row r="483" spans="1:9" ht="14.25" customHeight="1" x14ac:dyDescent="0.3">
      <c r="A483" t="s">
        <v>991</v>
      </c>
      <c r="B483">
        <v>88.140317280000005</v>
      </c>
      <c r="C483">
        <v>72.956179969999994</v>
      </c>
      <c r="D483">
        <v>70</v>
      </c>
      <c r="E483">
        <v>71.688603220000005</v>
      </c>
      <c r="F483">
        <v>99.9</v>
      </c>
      <c r="G483">
        <v>76.318103050000005</v>
      </c>
      <c r="H483">
        <v>66.908904010000001</v>
      </c>
      <c r="I483">
        <v>53.019609750000001</v>
      </c>
    </row>
    <row r="484" spans="1:9" ht="14.25" customHeight="1" x14ac:dyDescent="0.3">
      <c r="A484" t="s">
        <v>993</v>
      </c>
      <c r="B484">
        <v>78.364061620000001</v>
      </c>
      <c r="C484">
        <v>70.53655363</v>
      </c>
      <c r="D484">
        <v>70</v>
      </c>
      <c r="E484">
        <v>74.643456150000006</v>
      </c>
      <c r="F484">
        <v>96.096761529999995</v>
      </c>
      <c r="G484">
        <v>76.95574526</v>
      </c>
      <c r="H484">
        <v>69.499774759999994</v>
      </c>
      <c r="I484">
        <v>52.082132340000001</v>
      </c>
    </row>
    <row r="485" spans="1:9" ht="14.25" customHeight="1" x14ac:dyDescent="0.3">
      <c r="A485" t="s">
        <v>995</v>
      </c>
      <c r="B485">
        <v>75.921651600000004</v>
      </c>
      <c r="C485">
        <v>60.311531559999999</v>
      </c>
      <c r="D485">
        <v>83.132368400000004</v>
      </c>
      <c r="E485">
        <v>69.066295839999995</v>
      </c>
      <c r="F485">
        <v>80</v>
      </c>
      <c r="G485">
        <v>85</v>
      </c>
      <c r="H485">
        <v>70.197273940000002</v>
      </c>
      <c r="I485">
        <v>62.710840650000002</v>
      </c>
    </row>
    <row r="486" spans="1:9" ht="14.25" customHeight="1" x14ac:dyDescent="0.3">
      <c r="A486" t="s">
        <v>997</v>
      </c>
      <c r="B486">
        <v>99.164091720000002</v>
      </c>
      <c r="C486">
        <v>74.054359109999993</v>
      </c>
      <c r="D486">
        <v>75.285565500000004</v>
      </c>
      <c r="E486">
        <v>64.58824448</v>
      </c>
      <c r="F486">
        <v>95.699164179999997</v>
      </c>
      <c r="G486">
        <v>82.545408600000002</v>
      </c>
      <c r="H486">
        <v>75.762523680000001</v>
      </c>
      <c r="I486">
        <v>59.80062393</v>
      </c>
    </row>
    <row r="487" spans="1:9" ht="14.25" customHeight="1" x14ac:dyDescent="0.3">
      <c r="A487" t="s">
        <v>999</v>
      </c>
      <c r="B487">
        <v>84.544374779999998</v>
      </c>
      <c r="C487">
        <v>70.486528070000006</v>
      </c>
      <c r="D487">
        <v>81.106780520000001</v>
      </c>
      <c r="E487">
        <v>72.698127080000006</v>
      </c>
      <c r="F487">
        <v>87.068695950000006</v>
      </c>
      <c r="G487">
        <v>75.783730379999994</v>
      </c>
      <c r="H487">
        <v>69.817455080000002</v>
      </c>
      <c r="I487">
        <v>68.236866289999995</v>
      </c>
    </row>
    <row r="488" spans="1:9" ht="14.25" customHeight="1" x14ac:dyDescent="0.3">
      <c r="A488" t="s">
        <v>1001</v>
      </c>
      <c r="B488">
        <v>87.392564730000004</v>
      </c>
      <c r="C488">
        <v>62.16918459</v>
      </c>
      <c r="D488">
        <v>70</v>
      </c>
      <c r="E488">
        <v>72.021093680000007</v>
      </c>
      <c r="F488">
        <v>91.233106890000002</v>
      </c>
      <c r="G488">
        <v>81.405024659999995</v>
      </c>
      <c r="H488">
        <v>69.698572639999995</v>
      </c>
      <c r="I488">
        <v>55.322373779999999</v>
      </c>
    </row>
    <row r="489" spans="1:9" ht="14.25" customHeight="1" x14ac:dyDescent="0.3">
      <c r="A489" t="s">
        <v>1003</v>
      </c>
      <c r="B489">
        <v>87.889109070000003</v>
      </c>
      <c r="C489">
        <v>64.279077549999997</v>
      </c>
      <c r="D489">
        <v>87.713347189999993</v>
      </c>
      <c r="E489">
        <v>60.492125280000003</v>
      </c>
      <c r="F489">
        <v>91.82506377</v>
      </c>
      <c r="G489">
        <v>76.821446359999996</v>
      </c>
      <c r="H489">
        <v>67.83089004</v>
      </c>
      <c r="I489">
        <v>53.999026129999997</v>
      </c>
    </row>
    <row r="490" spans="1:9" ht="14.25" customHeight="1" x14ac:dyDescent="0.3">
      <c r="A490" t="s">
        <v>1005</v>
      </c>
      <c r="B490">
        <v>88.46835111</v>
      </c>
      <c r="C490">
        <v>64.058372309999996</v>
      </c>
      <c r="D490">
        <v>86.354779300000004</v>
      </c>
      <c r="E490">
        <v>59.954448859999999</v>
      </c>
      <c r="F490">
        <v>90.272349230000003</v>
      </c>
      <c r="G490">
        <v>80.215813830000002</v>
      </c>
      <c r="H490">
        <v>67.629719179999995</v>
      </c>
      <c r="I490">
        <v>52.794754310000002</v>
      </c>
    </row>
    <row r="491" spans="1:9" ht="14.25" customHeight="1" x14ac:dyDescent="0.3">
      <c r="A491" t="s">
        <v>1008</v>
      </c>
      <c r="B491">
        <v>82.307312030000006</v>
      </c>
      <c r="C491">
        <v>71.873558040000006</v>
      </c>
      <c r="D491">
        <v>82.252554239999995</v>
      </c>
      <c r="E491">
        <v>66.624854209999995</v>
      </c>
      <c r="F491">
        <v>85.591236730000006</v>
      </c>
      <c r="G491">
        <v>85</v>
      </c>
      <c r="H491">
        <v>68.865423590000006</v>
      </c>
      <c r="I491">
        <v>54.460010349999997</v>
      </c>
    </row>
    <row r="492" spans="1:9" ht="14.25" customHeight="1" x14ac:dyDescent="0.3">
      <c r="A492" t="s">
        <v>1010</v>
      </c>
      <c r="B492">
        <v>86.425353259999994</v>
      </c>
      <c r="C492">
        <v>72.333414050000002</v>
      </c>
      <c r="D492">
        <v>74.926176299999995</v>
      </c>
      <c r="E492">
        <v>64.688962200000006</v>
      </c>
      <c r="F492">
        <v>91.901357790000006</v>
      </c>
      <c r="G492">
        <v>71.652396460000006</v>
      </c>
      <c r="H492">
        <v>71.131217019999994</v>
      </c>
      <c r="I492">
        <v>50</v>
      </c>
    </row>
    <row r="493" spans="1:9" ht="14.25" customHeight="1" x14ac:dyDescent="0.3">
      <c r="A493" t="s">
        <v>1012</v>
      </c>
      <c r="B493">
        <v>80.876550390000006</v>
      </c>
      <c r="C493">
        <v>68.430226660000002</v>
      </c>
      <c r="D493">
        <v>70.771788740000005</v>
      </c>
      <c r="E493">
        <v>72.300802930000003</v>
      </c>
      <c r="F493">
        <v>80.503773989999999</v>
      </c>
      <c r="G493">
        <v>74.778221819999999</v>
      </c>
      <c r="H493">
        <v>69.253379519999996</v>
      </c>
      <c r="I493">
        <v>64.758269389999995</v>
      </c>
    </row>
    <row r="494" spans="1:9" ht="14.25" customHeight="1" x14ac:dyDescent="0.3">
      <c r="A494" t="s">
        <v>1014</v>
      </c>
      <c r="B494">
        <v>79.722671939999998</v>
      </c>
      <c r="C494">
        <v>63.74440671</v>
      </c>
      <c r="D494">
        <v>80.265235610000005</v>
      </c>
      <c r="E494">
        <v>60.322028099999997</v>
      </c>
      <c r="F494">
        <v>94.528903830000004</v>
      </c>
      <c r="G494">
        <v>81.609042459999998</v>
      </c>
      <c r="H494">
        <v>67.359085930000006</v>
      </c>
      <c r="I494">
        <v>50</v>
      </c>
    </row>
    <row r="495" spans="1:9" ht="14.25" customHeight="1" x14ac:dyDescent="0.3">
      <c r="A495" t="s">
        <v>1016</v>
      </c>
      <c r="B495">
        <v>76.825441479999995</v>
      </c>
      <c r="C495">
        <v>60</v>
      </c>
      <c r="D495">
        <v>75.888459729999994</v>
      </c>
      <c r="E495">
        <v>58.129318470000001</v>
      </c>
      <c r="F495">
        <v>80</v>
      </c>
      <c r="G495">
        <v>76.169831520000002</v>
      </c>
      <c r="H495">
        <v>72.326047939999995</v>
      </c>
      <c r="I495">
        <v>62.461413229999998</v>
      </c>
    </row>
    <row r="496" spans="1:9" ht="14.25" customHeight="1" x14ac:dyDescent="0.3">
      <c r="A496" t="s">
        <v>1018</v>
      </c>
      <c r="B496">
        <v>84.234681539999997</v>
      </c>
      <c r="C496">
        <v>67.451332070000007</v>
      </c>
      <c r="D496">
        <v>70.521594019999995</v>
      </c>
      <c r="E496">
        <v>62.660249659999998</v>
      </c>
      <c r="F496">
        <v>90.169473550000006</v>
      </c>
      <c r="G496">
        <v>74.756524799999994</v>
      </c>
      <c r="H496">
        <v>65.197467979999999</v>
      </c>
      <c r="I496">
        <v>50</v>
      </c>
    </row>
    <row r="497" spans="1:9" ht="14.25" customHeight="1" x14ac:dyDescent="0.3">
      <c r="A497" t="s">
        <v>1020</v>
      </c>
      <c r="B497">
        <v>75</v>
      </c>
      <c r="C497">
        <v>61.87794547</v>
      </c>
      <c r="D497">
        <v>87.621030640000001</v>
      </c>
      <c r="E497">
        <v>66.469867410000006</v>
      </c>
      <c r="F497">
        <v>86.933744610000005</v>
      </c>
      <c r="G497">
        <v>76.898918030000004</v>
      </c>
      <c r="H497">
        <v>78.916596249999998</v>
      </c>
      <c r="I497">
        <v>67.685902749999997</v>
      </c>
    </row>
    <row r="498" spans="1:9" ht="14.25" customHeight="1" x14ac:dyDescent="0.3">
      <c r="A498" t="s">
        <v>1022</v>
      </c>
      <c r="B498">
        <v>82.863594579999997</v>
      </c>
      <c r="C498">
        <v>62.026070779999998</v>
      </c>
      <c r="D498">
        <v>82.826951370000003</v>
      </c>
      <c r="E498">
        <v>62.763547369999998</v>
      </c>
      <c r="F498">
        <v>99.9</v>
      </c>
      <c r="G498">
        <v>78.183920110000003</v>
      </c>
      <c r="H498">
        <v>78.732094000000004</v>
      </c>
      <c r="I498">
        <v>57.72101473</v>
      </c>
    </row>
    <row r="499" spans="1:9" ht="14.25" customHeight="1" x14ac:dyDescent="0.3">
      <c r="A499" t="s">
        <v>1024</v>
      </c>
      <c r="B499">
        <v>87.904557490000002</v>
      </c>
      <c r="C499">
        <v>62.507035379999998</v>
      </c>
      <c r="D499">
        <v>77.525177350000007</v>
      </c>
      <c r="E499">
        <v>63.609309090000004</v>
      </c>
      <c r="F499">
        <v>92.629783520000004</v>
      </c>
      <c r="G499">
        <v>71.316522199999994</v>
      </c>
      <c r="H499">
        <v>74.760195190000005</v>
      </c>
      <c r="I499">
        <v>54.074321820000002</v>
      </c>
    </row>
    <row r="500" spans="1:9" ht="14.25" customHeight="1" x14ac:dyDescent="0.3">
      <c r="A500" t="s">
        <v>1026</v>
      </c>
      <c r="B500">
        <v>79.997815750000001</v>
      </c>
      <c r="C500">
        <v>70.208503300000004</v>
      </c>
      <c r="D500">
        <v>79.235583059999996</v>
      </c>
      <c r="E500">
        <v>65.137314180000004</v>
      </c>
      <c r="F500">
        <v>85.356439649999999</v>
      </c>
      <c r="G500">
        <v>77.373140309999997</v>
      </c>
      <c r="H500">
        <v>74.780805599999994</v>
      </c>
      <c r="I500">
        <v>58.899424070000002</v>
      </c>
    </row>
    <row r="501" spans="1:9" ht="14.25" customHeight="1" x14ac:dyDescent="0.3">
      <c r="A501" t="s">
        <v>1028</v>
      </c>
      <c r="B501">
        <v>85.207418079999997</v>
      </c>
      <c r="C501">
        <v>65.290220489999996</v>
      </c>
      <c r="D501">
        <v>70</v>
      </c>
      <c r="E501">
        <v>63.86787399</v>
      </c>
      <c r="F501">
        <v>92.063862380000003</v>
      </c>
      <c r="G501">
        <v>82.407954450000005</v>
      </c>
      <c r="H501">
        <v>67.199836750000003</v>
      </c>
      <c r="I501">
        <v>50.125461710000003</v>
      </c>
    </row>
    <row r="502" spans="1:9" ht="14.25" customHeight="1" x14ac:dyDescent="0.3">
      <c r="A502" t="s">
        <v>1030</v>
      </c>
      <c r="B502">
        <v>87.333330050000001</v>
      </c>
      <c r="C502">
        <v>60.35345676</v>
      </c>
      <c r="D502">
        <v>77.40750267</v>
      </c>
      <c r="E502">
        <v>63.012780909999996</v>
      </c>
      <c r="F502">
        <v>85.237252359999999</v>
      </c>
      <c r="G502">
        <v>78.082218319999996</v>
      </c>
      <c r="H502">
        <v>72.004612730000005</v>
      </c>
      <c r="I502">
        <v>62.372100719999999</v>
      </c>
    </row>
    <row r="503" spans="1:9" ht="14.25" customHeight="1" x14ac:dyDescent="0.3">
      <c r="A503" t="s">
        <v>1032</v>
      </c>
      <c r="B503">
        <v>91.825780420000001</v>
      </c>
      <c r="C503">
        <v>72.774258309999993</v>
      </c>
      <c r="D503">
        <v>83.907172119999998</v>
      </c>
      <c r="E503">
        <v>59.591461049999999</v>
      </c>
      <c r="F503">
        <v>82.857222429999993</v>
      </c>
      <c r="G503">
        <v>82.401745399999996</v>
      </c>
      <c r="H503">
        <v>68.275269780000002</v>
      </c>
      <c r="I503">
        <v>66.617801170000007</v>
      </c>
    </row>
    <row r="504" spans="1:9" ht="14.25" customHeight="1" x14ac:dyDescent="0.3">
      <c r="A504" t="s">
        <v>1034</v>
      </c>
      <c r="B504">
        <v>93.300738530000004</v>
      </c>
      <c r="C504">
        <v>71.745580829999994</v>
      </c>
      <c r="D504">
        <v>79.27607313</v>
      </c>
      <c r="E504">
        <v>67.685016709999999</v>
      </c>
      <c r="F504">
        <v>98.817682849999997</v>
      </c>
      <c r="G504">
        <v>85</v>
      </c>
      <c r="H504">
        <v>78.975462949999994</v>
      </c>
      <c r="I504">
        <v>50</v>
      </c>
    </row>
    <row r="505" spans="1:9" ht="14.25" customHeight="1" x14ac:dyDescent="0.3">
      <c r="A505" t="s">
        <v>1036</v>
      </c>
      <c r="B505">
        <v>81.028614809999993</v>
      </c>
      <c r="C505">
        <v>67.623293090000004</v>
      </c>
      <c r="D505">
        <v>70</v>
      </c>
      <c r="E505">
        <v>62.120050390000003</v>
      </c>
      <c r="F505">
        <v>80</v>
      </c>
      <c r="G505">
        <v>78.983532100000005</v>
      </c>
      <c r="H505">
        <v>74.879752719999999</v>
      </c>
      <c r="I505">
        <v>52.411522310000002</v>
      </c>
    </row>
    <row r="506" spans="1:9" ht="14.25" customHeight="1" x14ac:dyDescent="0.3">
      <c r="A506" t="s">
        <v>1038</v>
      </c>
      <c r="B506">
        <v>91.737786150000005</v>
      </c>
      <c r="C506">
        <v>64.259813019999996</v>
      </c>
      <c r="D506">
        <v>79.362712880000004</v>
      </c>
      <c r="E506">
        <v>74.862735689999994</v>
      </c>
      <c r="F506">
        <v>80.806382720000002</v>
      </c>
      <c r="G506">
        <v>82.964364009999997</v>
      </c>
      <c r="H506">
        <v>72.540972330000002</v>
      </c>
      <c r="I506">
        <v>60.873824990000003</v>
      </c>
    </row>
    <row r="507" spans="1:9" ht="14.25" customHeight="1" x14ac:dyDescent="0.3">
      <c r="A507" t="s">
        <v>1040</v>
      </c>
      <c r="B507">
        <v>88.334982909999994</v>
      </c>
      <c r="C507">
        <v>65.536881910000005</v>
      </c>
      <c r="D507">
        <v>72.254882629999997</v>
      </c>
      <c r="E507">
        <v>55.419810429999998</v>
      </c>
      <c r="F507">
        <v>80</v>
      </c>
      <c r="G507">
        <v>71.706185829999995</v>
      </c>
      <c r="H507">
        <v>68.026570699999994</v>
      </c>
      <c r="I507">
        <v>50</v>
      </c>
    </row>
    <row r="508" spans="1:9" ht="14.25" customHeight="1" x14ac:dyDescent="0.3">
      <c r="A508" t="s">
        <v>1042</v>
      </c>
      <c r="B508">
        <v>91.174632869999996</v>
      </c>
      <c r="C508">
        <v>69.124944920000004</v>
      </c>
      <c r="D508">
        <v>76.807372119999997</v>
      </c>
      <c r="E508">
        <v>75</v>
      </c>
      <c r="F508">
        <v>83.542368530000005</v>
      </c>
      <c r="G508">
        <v>77.560622100000003</v>
      </c>
      <c r="H508">
        <v>73.969147300000003</v>
      </c>
      <c r="I508">
        <v>61.540356529999997</v>
      </c>
    </row>
    <row r="509" spans="1:9" ht="14.25" customHeight="1" x14ac:dyDescent="0.3">
      <c r="A509" t="s">
        <v>1044</v>
      </c>
      <c r="B509">
        <v>84.606573350000005</v>
      </c>
      <c r="C509">
        <v>79.300624830000004</v>
      </c>
      <c r="D509">
        <v>85.672410490000004</v>
      </c>
      <c r="E509">
        <v>60.313999680000002</v>
      </c>
      <c r="F509">
        <v>85.261440010000001</v>
      </c>
      <c r="G509">
        <v>84.65097471</v>
      </c>
      <c r="H509">
        <v>72.124296270000002</v>
      </c>
      <c r="I509">
        <v>52.41583696</v>
      </c>
    </row>
    <row r="510" spans="1:9" ht="14.25" customHeight="1" x14ac:dyDescent="0.3">
      <c r="A510" t="s">
        <v>1046</v>
      </c>
      <c r="B510">
        <v>81.190524879999998</v>
      </c>
      <c r="C510">
        <v>68.299598369999998</v>
      </c>
      <c r="D510">
        <v>78.003612529999998</v>
      </c>
      <c r="E510">
        <v>66.31186855</v>
      </c>
      <c r="F510">
        <v>80</v>
      </c>
      <c r="G510">
        <v>80.571477220000006</v>
      </c>
      <c r="H510">
        <v>68.241845720000001</v>
      </c>
      <c r="I510">
        <v>63.129130930000002</v>
      </c>
    </row>
    <row r="511" spans="1:9" ht="14.25" customHeight="1" x14ac:dyDescent="0.3">
      <c r="A511" t="s">
        <v>1048</v>
      </c>
      <c r="B511">
        <v>86.131521239999998</v>
      </c>
      <c r="C511">
        <v>75.787087819999996</v>
      </c>
      <c r="D511">
        <v>70</v>
      </c>
      <c r="E511">
        <v>69.242695429999998</v>
      </c>
      <c r="F511">
        <v>93.903708469999998</v>
      </c>
      <c r="G511">
        <v>79.882725010000001</v>
      </c>
      <c r="H511">
        <v>70.338631230000004</v>
      </c>
      <c r="I511">
        <v>58.685789829999997</v>
      </c>
    </row>
    <row r="512" spans="1:9" ht="14.25" customHeight="1" x14ac:dyDescent="0.3">
      <c r="A512" t="s">
        <v>1050</v>
      </c>
      <c r="B512">
        <v>89.080315319999997</v>
      </c>
      <c r="C512">
        <v>73.871763049999998</v>
      </c>
      <c r="D512">
        <v>77.723777589999997</v>
      </c>
      <c r="E512">
        <v>60.288340769999998</v>
      </c>
      <c r="F512">
        <v>89.129364600000002</v>
      </c>
      <c r="G512">
        <v>75.890653470000004</v>
      </c>
      <c r="H512">
        <v>68.420967970000007</v>
      </c>
      <c r="I512">
        <v>64.680185769999994</v>
      </c>
    </row>
    <row r="513" spans="1:9" ht="14.25" customHeight="1" x14ac:dyDescent="0.3">
      <c r="A513" t="s">
        <v>1053</v>
      </c>
      <c r="B513">
        <v>88.227887989999999</v>
      </c>
      <c r="C513">
        <v>71.840343379999993</v>
      </c>
      <c r="D513">
        <v>79.689430999999999</v>
      </c>
      <c r="E513">
        <v>66.250641880000003</v>
      </c>
      <c r="F513">
        <v>90.551883059999994</v>
      </c>
      <c r="G513">
        <v>69.233099019999997</v>
      </c>
      <c r="H513">
        <v>70.600051339999993</v>
      </c>
      <c r="I513">
        <v>59.619424010000003</v>
      </c>
    </row>
    <row r="514" spans="1:9" ht="14.25" customHeight="1" x14ac:dyDescent="0.3">
      <c r="A514" t="s">
        <v>1055</v>
      </c>
      <c r="B514">
        <v>85.59678203</v>
      </c>
      <c r="C514">
        <v>64.410207200000002</v>
      </c>
      <c r="D514">
        <v>81.571901929999996</v>
      </c>
      <c r="E514">
        <v>66.932722929999997</v>
      </c>
      <c r="F514">
        <v>80</v>
      </c>
      <c r="G514">
        <v>80.053589250000002</v>
      </c>
      <c r="H514">
        <v>72.893735960000001</v>
      </c>
      <c r="I514">
        <v>61.547042959999999</v>
      </c>
    </row>
    <row r="515" spans="1:9" ht="14.25" customHeight="1" x14ac:dyDescent="0.3">
      <c r="A515" t="s">
        <v>1057</v>
      </c>
      <c r="B515">
        <v>84.261352700000003</v>
      </c>
      <c r="C515">
        <v>74.018037359999994</v>
      </c>
      <c r="D515">
        <v>81.398202560000001</v>
      </c>
      <c r="E515">
        <v>74.638701359999999</v>
      </c>
      <c r="F515">
        <v>89.514417370000004</v>
      </c>
      <c r="G515">
        <v>75.275358049999994</v>
      </c>
      <c r="H515">
        <v>75.995557390000002</v>
      </c>
      <c r="I515">
        <v>50.871572710000002</v>
      </c>
    </row>
    <row r="516" spans="1:9" ht="14.25" customHeight="1" x14ac:dyDescent="0.3">
      <c r="A516" t="s">
        <v>1059</v>
      </c>
      <c r="B516">
        <v>81.055702150000002</v>
      </c>
      <c r="C516">
        <v>60</v>
      </c>
      <c r="D516">
        <v>88.730145989999997</v>
      </c>
      <c r="E516">
        <v>64.984058989999994</v>
      </c>
      <c r="F516">
        <v>90.274330370000001</v>
      </c>
      <c r="G516">
        <v>84.477703750000003</v>
      </c>
      <c r="H516">
        <v>70.488007980000006</v>
      </c>
      <c r="I516">
        <v>62.50594255</v>
      </c>
    </row>
    <row r="517" spans="1:9" ht="14.25" customHeight="1" x14ac:dyDescent="0.3">
      <c r="A517" t="s">
        <v>1061</v>
      </c>
      <c r="B517">
        <v>79.62447272</v>
      </c>
      <c r="C517">
        <v>60</v>
      </c>
      <c r="D517">
        <v>72.943723899999995</v>
      </c>
      <c r="E517">
        <v>64.780777549999996</v>
      </c>
      <c r="F517">
        <v>84.350165180000005</v>
      </c>
      <c r="G517">
        <v>85</v>
      </c>
      <c r="H517">
        <v>74.43281915</v>
      </c>
      <c r="I517">
        <v>61.448620750000003</v>
      </c>
    </row>
    <row r="518" spans="1:9" ht="14.25" customHeight="1" x14ac:dyDescent="0.3">
      <c r="A518" t="s">
        <v>1063</v>
      </c>
      <c r="B518">
        <v>90.224829150000005</v>
      </c>
      <c r="C518">
        <v>67.120403839999994</v>
      </c>
      <c r="D518">
        <v>75.639665309999998</v>
      </c>
      <c r="E518">
        <v>65.845951119999995</v>
      </c>
      <c r="F518">
        <v>99.9</v>
      </c>
      <c r="G518">
        <v>68.630915200000004</v>
      </c>
      <c r="H518">
        <v>71.716807020000005</v>
      </c>
      <c r="I518">
        <v>50</v>
      </c>
    </row>
    <row r="519" spans="1:9" ht="14.25" customHeight="1" x14ac:dyDescent="0.3">
      <c r="A519" t="s">
        <v>1065</v>
      </c>
      <c r="B519">
        <v>90.148214260000003</v>
      </c>
      <c r="C519">
        <v>66.475229769999999</v>
      </c>
      <c r="D519">
        <v>71.097776229999994</v>
      </c>
      <c r="E519">
        <v>70.286213309999994</v>
      </c>
      <c r="F519">
        <v>99.9</v>
      </c>
      <c r="G519">
        <v>85</v>
      </c>
      <c r="H519">
        <v>72.647753870000003</v>
      </c>
      <c r="I519">
        <v>50</v>
      </c>
    </row>
    <row r="520" spans="1:9" ht="14.25" customHeight="1" x14ac:dyDescent="0.3">
      <c r="A520" t="s">
        <v>1067</v>
      </c>
      <c r="B520">
        <v>86.137601250000003</v>
      </c>
      <c r="C520">
        <v>71.870560190000006</v>
      </c>
      <c r="D520">
        <v>89.788081090000006</v>
      </c>
      <c r="E520">
        <v>62.284942600000001</v>
      </c>
      <c r="F520">
        <v>99.9</v>
      </c>
      <c r="G520">
        <v>82.515724289999994</v>
      </c>
      <c r="H520">
        <v>70.204775549999994</v>
      </c>
      <c r="I520">
        <v>65.832628619999994</v>
      </c>
    </row>
    <row r="521" spans="1:9" ht="14.25" customHeight="1" x14ac:dyDescent="0.3">
      <c r="A521" t="s">
        <v>1069</v>
      </c>
      <c r="B521">
        <v>85.842468490000002</v>
      </c>
      <c r="C521">
        <v>65.682673440000002</v>
      </c>
      <c r="D521">
        <v>72.811387909999993</v>
      </c>
      <c r="E521">
        <v>68.073244979999998</v>
      </c>
      <c r="F521">
        <v>87.477180500000003</v>
      </c>
      <c r="G521">
        <v>81.740040050000005</v>
      </c>
      <c r="H521">
        <v>70.033489799999998</v>
      </c>
      <c r="I521">
        <v>59.935957879999997</v>
      </c>
    </row>
    <row r="522" spans="1:9" ht="14.25" customHeight="1" x14ac:dyDescent="0.3">
      <c r="A522" t="s">
        <v>1071</v>
      </c>
      <c r="B522">
        <v>91.324910279999997</v>
      </c>
      <c r="C522">
        <v>74.830648289999999</v>
      </c>
      <c r="D522">
        <v>76.183554869999995</v>
      </c>
      <c r="E522">
        <v>55</v>
      </c>
      <c r="F522">
        <v>89.6304564</v>
      </c>
      <c r="G522">
        <v>77.799625789999993</v>
      </c>
      <c r="H522">
        <v>70.253543640000004</v>
      </c>
      <c r="I522">
        <v>69.671975739999993</v>
      </c>
    </row>
    <row r="523" spans="1:9" ht="14.25" customHeight="1" x14ac:dyDescent="0.3">
      <c r="A523" t="s">
        <v>1073</v>
      </c>
      <c r="B523">
        <v>82.894821730000004</v>
      </c>
      <c r="C523">
        <v>65.063915870000002</v>
      </c>
      <c r="D523">
        <v>70.136388449999998</v>
      </c>
      <c r="E523">
        <v>67.710118600000001</v>
      </c>
      <c r="F523">
        <v>84.345183700000007</v>
      </c>
      <c r="G523">
        <v>85</v>
      </c>
      <c r="H523">
        <v>73.314011800000003</v>
      </c>
      <c r="I523">
        <v>63.03103677</v>
      </c>
    </row>
    <row r="524" spans="1:9" ht="14.25" customHeight="1" x14ac:dyDescent="0.3">
      <c r="A524" t="s">
        <v>1075</v>
      </c>
      <c r="B524">
        <v>87.455768989999996</v>
      </c>
      <c r="C524">
        <v>64.362992090000006</v>
      </c>
      <c r="D524">
        <v>74.678435030000003</v>
      </c>
      <c r="E524">
        <v>55.166918719999998</v>
      </c>
      <c r="F524">
        <v>98.009363280000002</v>
      </c>
      <c r="G524">
        <v>77.243374680000002</v>
      </c>
      <c r="H524">
        <v>80.999329119999999</v>
      </c>
      <c r="I524">
        <v>59.653764700000004</v>
      </c>
    </row>
    <row r="525" spans="1:9" ht="14.25" customHeight="1" x14ac:dyDescent="0.3">
      <c r="A525" t="s">
        <v>1077</v>
      </c>
      <c r="B525">
        <v>84.637063909999995</v>
      </c>
      <c r="C525">
        <v>73.447931850000003</v>
      </c>
      <c r="D525">
        <v>80.138729819999995</v>
      </c>
      <c r="E525">
        <v>67.727500160000005</v>
      </c>
      <c r="F525">
        <v>84.402637810000002</v>
      </c>
      <c r="G525">
        <v>75.281173219999999</v>
      </c>
      <c r="H525">
        <v>68.040144929999997</v>
      </c>
      <c r="I525">
        <v>58.78944044</v>
      </c>
    </row>
    <row r="526" spans="1:9" ht="14.25" customHeight="1" x14ac:dyDescent="0.3">
      <c r="A526" t="s">
        <v>1079</v>
      </c>
      <c r="B526">
        <v>83.458486399999998</v>
      </c>
      <c r="C526">
        <v>74.619552630000001</v>
      </c>
      <c r="D526">
        <v>79.951005379999998</v>
      </c>
      <c r="E526">
        <v>73.882493729999993</v>
      </c>
      <c r="F526">
        <v>90.67009204</v>
      </c>
      <c r="G526">
        <v>85</v>
      </c>
      <c r="H526">
        <v>74.72006322</v>
      </c>
      <c r="I526">
        <v>62.673036349999997</v>
      </c>
    </row>
    <row r="527" spans="1:9" ht="14.25" customHeight="1" x14ac:dyDescent="0.3">
      <c r="A527" t="s">
        <v>1081</v>
      </c>
      <c r="B527">
        <v>90.214240200000006</v>
      </c>
      <c r="C527">
        <v>68.783462270000001</v>
      </c>
      <c r="D527">
        <v>85.464789789999998</v>
      </c>
      <c r="E527">
        <v>68.180217749999997</v>
      </c>
      <c r="F527">
        <v>93.820376210000006</v>
      </c>
      <c r="G527">
        <v>83.794465840000001</v>
      </c>
      <c r="H527">
        <v>71.401576800000001</v>
      </c>
      <c r="I527">
        <v>69.612841399999994</v>
      </c>
    </row>
    <row r="528" spans="1:9" ht="14.25" customHeight="1" x14ac:dyDescent="0.3">
      <c r="A528" t="s">
        <v>1083</v>
      </c>
      <c r="B528">
        <v>93.703376079999998</v>
      </c>
      <c r="C528">
        <v>70.525339450000004</v>
      </c>
      <c r="D528">
        <v>81.847604360000005</v>
      </c>
      <c r="E528">
        <v>65.242197709999999</v>
      </c>
      <c r="F528">
        <v>84.536223730000003</v>
      </c>
      <c r="G528">
        <v>82.319654439999994</v>
      </c>
      <c r="H528">
        <v>76.398311489999998</v>
      </c>
      <c r="I528">
        <v>50</v>
      </c>
    </row>
    <row r="529" spans="1:9" ht="14.25" customHeight="1" x14ac:dyDescent="0.3">
      <c r="A529" t="s">
        <v>1085</v>
      </c>
      <c r="B529">
        <v>91.100821289999999</v>
      </c>
      <c r="C529">
        <v>73.53646646</v>
      </c>
      <c r="D529">
        <v>73.95429695</v>
      </c>
      <c r="E529">
        <v>69.890656300000003</v>
      </c>
      <c r="F529">
        <v>86.936061249999995</v>
      </c>
      <c r="G529">
        <v>80.352591050000001</v>
      </c>
      <c r="H529">
        <v>65</v>
      </c>
      <c r="I529">
        <v>58.090889490000002</v>
      </c>
    </row>
    <row r="530" spans="1:9" ht="14.25" customHeight="1" x14ac:dyDescent="0.3">
      <c r="A530" t="s">
        <v>1087</v>
      </c>
      <c r="B530">
        <v>76.167235579999996</v>
      </c>
      <c r="C530">
        <v>66.805528170000002</v>
      </c>
      <c r="D530">
        <v>73.275746310000002</v>
      </c>
      <c r="E530">
        <v>73.015702399999995</v>
      </c>
      <c r="F530">
        <v>96.317152350000001</v>
      </c>
      <c r="G530">
        <v>73.849940860000004</v>
      </c>
      <c r="H530">
        <v>75.865693660000005</v>
      </c>
      <c r="I530">
        <v>59.076875219999998</v>
      </c>
    </row>
    <row r="531" spans="1:9" ht="14.25" customHeight="1" x14ac:dyDescent="0.3">
      <c r="A531" t="s">
        <v>1089</v>
      </c>
      <c r="B531">
        <v>83.028459139999995</v>
      </c>
      <c r="C531">
        <v>66.246957839999993</v>
      </c>
      <c r="D531">
        <v>89.540079349999999</v>
      </c>
      <c r="E531">
        <v>70.644163500000005</v>
      </c>
      <c r="F531">
        <v>99.9</v>
      </c>
      <c r="G531">
        <v>85</v>
      </c>
      <c r="H531">
        <v>69.751070510000005</v>
      </c>
      <c r="I531">
        <v>57.904862170000001</v>
      </c>
    </row>
    <row r="532" spans="1:9" ht="14.25" customHeight="1" x14ac:dyDescent="0.3">
      <c r="A532" t="s">
        <v>1091</v>
      </c>
      <c r="B532">
        <v>82.139794289999998</v>
      </c>
      <c r="C532">
        <v>72.865443089999999</v>
      </c>
      <c r="D532">
        <v>78.397431159999996</v>
      </c>
      <c r="E532">
        <v>66.4843908</v>
      </c>
      <c r="F532">
        <v>90.978897430000004</v>
      </c>
      <c r="G532">
        <v>79.734445010000002</v>
      </c>
      <c r="H532">
        <v>74.269953950000001</v>
      </c>
      <c r="I532">
        <v>56.347274970000001</v>
      </c>
    </row>
    <row r="533" spans="1:9" ht="14.25" customHeight="1" x14ac:dyDescent="0.3">
      <c r="A533" t="s">
        <v>1093</v>
      </c>
      <c r="B533">
        <v>75</v>
      </c>
      <c r="C533">
        <v>67.435028939999995</v>
      </c>
      <c r="D533">
        <v>76.118051350000002</v>
      </c>
      <c r="E533">
        <v>64.468156109999995</v>
      </c>
      <c r="F533">
        <v>96.492537580000004</v>
      </c>
      <c r="G533">
        <v>79.156500379999997</v>
      </c>
      <c r="H533">
        <v>72.163790210000002</v>
      </c>
      <c r="I533">
        <v>68.247129220000005</v>
      </c>
    </row>
    <row r="534" spans="1:9" ht="14.25" customHeight="1" x14ac:dyDescent="0.3">
      <c r="A534" t="s">
        <v>1095</v>
      </c>
      <c r="B534">
        <v>85.577781180000002</v>
      </c>
      <c r="C534">
        <v>63.393118659999999</v>
      </c>
      <c r="D534">
        <v>70</v>
      </c>
      <c r="E534">
        <v>59.557915770000001</v>
      </c>
      <c r="F534">
        <v>82.752152539999997</v>
      </c>
      <c r="G534">
        <v>82.028564020000005</v>
      </c>
      <c r="H534">
        <v>69.653348789999995</v>
      </c>
      <c r="I534">
        <v>54.057439930000001</v>
      </c>
    </row>
    <row r="535" spans="1:9" ht="14.25" customHeight="1" x14ac:dyDescent="0.3">
      <c r="A535" t="s">
        <v>1097</v>
      </c>
      <c r="B535">
        <v>88.456483460000001</v>
      </c>
      <c r="C535">
        <v>64.771607970000005</v>
      </c>
      <c r="D535">
        <v>81.149542499999995</v>
      </c>
      <c r="E535">
        <v>71.096910410000007</v>
      </c>
      <c r="F535">
        <v>93.678188660000004</v>
      </c>
      <c r="G535">
        <v>77.566280469999995</v>
      </c>
      <c r="H535">
        <v>75.611191849999997</v>
      </c>
      <c r="I535">
        <v>55.933326440000002</v>
      </c>
    </row>
    <row r="536" spans="1:9" ht="14.25" customHeight="1" x14ac:dyDescent="0.3">
      <c r="A536" t="s">
        <v>1099</v>
      </c>
      <c r="B536">
        <v>85.551667690000002</v>
      </c>
      <c r="C536">
        <v>65.180996899999997</v>
      </c>
      <c r="D536">
        <v>70</v>
      </c>
      <c r="E536">
        <v>62.046956119999997</v>
      </c>
      <c r="F536">
        <v>87.457383039999996</v>
      </c>
      <c r="G536">
        <v>79.248370460000004</v>
      </c>
      <c r="H536">
        <v>69.779686150000003</v>
      </c>
      <c r="I536">
        <v>67.318784359999995</v>
      </c>
    </row>
    <row r="537" spans="1:9" ht="14.25" customHeight="1" x14ac:dyDescent="0.3">
      <c r="A537" t="s">
        <v>1101</v>
      </c>
      <c r="B537">
        <v>92.572843239999997</v>
      </c>
      <c r="C537">
        <v>65.477648500000001</v>
      </c>
      <c r="D537">
        <v>79.778708280000004</v>
      </c>
      <c r="E537">
        <v>65.366104590000006</v>
      </c>
      <c r="F537">
        <v>84.368364990000003</v>
      </c>
      <c r="G537">
        <v>82.938345389999995</v>
      </c>
      <c r="H537">
        <v>73.645350989999997</v>
      </c>
      <c r="I537">
        <v>51.048165019999999</v>
      </c>
    </row>
    <row r="538" spans="1:9" ht="14.25" customHeight="1" x14ac:dyDescent="0.3">
      <c r="A538" t="s">
        <v>1103</v>
      </c>
      <c r="B538">
        <v>86.782063460000003</v>
      </c>
      <c r="C538">
        <v>75.574199899999996</v>
      </c>
      <c r="D538">
        <v>80.557557009999996</v>
      </c>
      <c r="E538">
        <v>66.033556169999997</v>
      </c>
      <c r="F538">
        <v>94.753472380000005</v>
      </c>
      <c r="G538">
        <v>72.897872660000004</v>
      </c>
      <c r="H538">
        <v>69.162579699999995</v>
      </c>
      <c r="I538">
        <v>61.15849059</v>
      </c>
    </row>
    <row r="539" spans="1:9" ht="14.25" customHeight="1" x14ac:dyDescent="0.3">
      <c r="A539" t="s">
        <v>1106</v>
      </c>
      <c r="B539">
        <v>96.481057620000001</v>
      </c>
      <c r="C539">
        <v>72.229299280000006</v>
      </c>
      <c r="D539">
        <v>83.509374359999995</v>
      </c>
      <c r="E539">
        <v>68.820404699999997</v>
      </c>
      <c r="F539">
        <v>90.329737609999995</v>
      </c>
      <c r="G539">
        <v>85</v>
      </c>
      <c r="H539">
        <v>73.675025579999996</v>
      </c>
      <c r="I539">
        <v>63.199377519999999</v>
      </c>
    </row>
    <row r="540" spans="1:9" ht="14.25" customHeight="1" x14ac:dyDescent="0.3">
      <c r="A540" t="s">
        <v>1108</v>
      </c>
      <c r="B540">
        <v>75.483530139999999</v>
      </c>
      <c r="C540">
        <v>76.846482829999999</v>
      </c>
      <c r="D540">
        <v>71.925094000000001</v>
      </c>
      <c r="E540">
        <v>72.87328316</v>
      </c>
      <c r="F540">
        <v>80</v>
      </c>
      <c r="G540">
        <v>76.245537510000005</v>
      </c>
      <c r="H540">
        <v>67.014187000000007</v>
      </c>
      <c r="I540">
        <v>61.972584859999998</v>
      </c>
    </row>
    <row r="541" spans="1:9" ht="14.25" customHeight="1" x14ac:dyDescent="0.3">
      <c r="A541" t="s">
        <v>1110</v>
      </c>
      <c r="B541">
        <v>90.547551920000004</v>
      </c>
      <c r="C541">
        <v>67.083830809999995</v>
      </c>
      <c r="D541">
        <v>77.206031179999997</v>
      </c>
      <c r="E541">
        <v>58.005924219999997</v>
      </c>
      <c r="F541">
        <v>99.044630810000001</v>
      </c>
      <c r="G541">
        <v>74.456819879999998</v>
      </c>
      <c r="H541">
        <v>75.186835299999998</v>
      </c>
      <c r="I541">
        <v>52.851694379999998</v>
      </c>
    </row>
    <row r="542" spans="1:9" ht="14.25" customHeight="1" x14ac:dyDescent="0.3">
      <c r="A542" t="s">
        <v>1112</v>
      </c>
      <c r="B542">
        <v>83.220042829999997</v>
      </c>
      <c r="C542">
        <v>77.260278279999994</v>
      </c>
      <c r="D542">
        <v>87.664020140000005</v>
      </c>
      <c r="E542">
        <v>69.201823070000003</v>
      </c>
      <c r="F542">
        <v>94.941491119999995</v>
      </c>
      <c r="G542">
        <v>74.073839289999995</v>
      </c>
      <c r="H542">
        <v>73.713228099999995</v>
      </c>
      <c r="I542">
        <v>70</v>
      </c>
    </row>
    <row r="543" spans="1:9" ht="14.25" customHeight="1" x14ac:dyDescent="0.3">
      <c r="A543" t="s">
        <v>1114</v>
      </c>
      <c r="B543">
        <v>83.606777890000004</v>
      </c>
      <c r="C543">
        <v>66.882201670000001</v>
      </c>
      <c r="D543">
        <v>70</v>
      </c>
      <c r="E543">
        <v>70.091638340000003</v>
      </c>
      <c r="F543">
        <v>91.846214930000002</v>
      </c>
      <c r="G543">
        <v>67.905339990000002</v>
      </c>
      <c r="H543">
        <v>69.065833339999998</v>
      </c>
      <c r="I543">
        <v>64.538094090000001</v>
      </c>
    </row>
    <row r="544" spans="1:9" ht="14.25" customHeight="1" x14ac:dyDescent="0.3">
      <c r="A544" t="s">
        <v>1116</v>
      </c>
      <c r="B544">
        <v>86.749635249999997</v>
      </c>
      <c r="C544">
        <v>64.205583489999995</v>
      </c>
      <c r="D544">
        <v>75.923067169999996</v>
      </c>
      <c r="E544">
        <v>68.331318929999995</v>
      </c>
      <c r="F544">
        <v>89.291966860000002</v>
      </c>
      <c r="G544">
        <v>78.059526039999994</v>
      </c>
      <c r="H544">
        <v>65.732819550000002</v>
      </c>
      <c r="I544">
        <v>62.468846370000001</v>
      </c>
    </row>
    <row r="545" spans="1:9" ht="14.25" customHeight="1" x14ac:dyDescent="0.3">
      <c r="A545" t="s">
        <v>1118</v>
      </c>
      <c r="B545">
        <v>89.857274309999994</v>
      </c>
      <c r="C545">
        <v>65.674374830000005</v>
      </c>
      <c r="D545">
        <v>70</v>
      </c>
      <c r="E545">
        <v>69.946247709999994</v>
      </c>
      <c r="F545">
        <v>86.064974879999994</v>
      </c>
      <c r="G545">
        <v>82.761498000000003</v>
      </c>
      <c r="H545">
        <v>80.538755289999997</v>
      </c>
      <c r="I545">
        <v>66.7595101</v>
      </c>
    </row>
    <row r="546" spans="1:9" ht="14.25" customHeight="1" x14ac:dyDescent="0.3">
      <c r="A546" t="s">
        <v>1120</v>
      </c>
      <c r="B546">
        <v>75</v>
      </c>
      <c r="C546">
        <v>68.390246450000006</v>
      </c>
      <c r="D546">
        <v>70.585535579999998</v>
      </c>
      <c r="E546">
        <v>61.791217799999998</v>
      </c>
      <c r="F546">
        <v>89.823337690000002</v>
      </c>
      <c r="G546">
        <v>77.227719669999999</v>
      </c>
      <c r="H546">
        <v>75.175487689999997</v>
      </c>
      <c r="I546">
        <v>50</v>
      </c>
    </row>
    <row r="547" spans="1:9" ht="14.25" customHeight="1" x14ac:dyDescent="0.3">
      <c r="A547" t="s">
        <v>1122</v>
      </c>
      <c r="B547">
        <v>86.804773030000007</v>
      </c>
      <c r="C547">
        <v>78.275351869999994</v>
      </c>
      <c r="D547">
        <v>74.893161640000002</v>
      </c>
      <c r="E547">
        <v>73.250586249999998</v>
      </c>
      <c r="F547">
        <v>80.72604192</v>
      </c>
      <c r="G547">
        <v>81.187824120000002</v>
      </c>
      <c r="H547">
        <v>69.915415749999994</v>
      </c>
      <c r="I547">
        <v>57.939865439999998</v>
      </c>
    </row>
    <row r="548" spans="1:9" ht="14.25" customHeight="1" x14ac:dyDescent="0.3">
      <c r="A548" t="s">
        <v>1124</v>
      </c>
      <c r="B548">
        <v>86.810686050000001</v>
      </c>
      <c r="C548">
        <v>74.663329189999999</v>
      </c>
      <c r="D548">
        <v>70</v>
      </c>
      <c r="E548">
        <v>65.800469370000002</v>
      </c>
      <c r="F548">
        <v>86.981861910000006</v>
      </c>
      <c r="G548">
        <v>80.170031050000006</v>
      </c>
      <c r="H548">
        <v>71.842154440000002</v>
      </c>
      <c r="I548">
        <v>57.675242160000003</v>
      </c>
    </row>
    <row r="549" spans="1:9" ht="14.25" customHeight="1" x14ac:dyDescent="0.3">
      <c r="A549" t="s">
        <v>1126</v>
      </c>
      <c r="B549">
        <v>80.495785810000001</v>
      </c>
      <c r="C549">
        <v>77.069768339999996</v>
      </c>
      <c r="D549">
        <v>72.119516829999995</v>
      </c>
      <c r="E549">
        <v>72.529420770000002</v>
      </c>
      <c r="F549">
        <v>97.063480749999997</v>
      </c>
      <c r="G549">
        <v>85</v>
      </c>
      <c r="H549">
        <v>69.558178990000002</v>
      </c>
      <c r="I549">
        <v>55.874971619999997</v>
      </c>
    </row>
    <row r="550" spans="1:9" ht="14.25" customHeight="1" x14ac:dyDescent="0.3">
      <c r="A550" t="s">
        <v>1128</v>
      </c>
      <c r="B550">
        <v>94.135536270000003</v>
      </c>
      <c r="C550">
        <v>71.995602390000002</v>
      </c>
      <c r="D550">
        <v>84.850147590000006</v>
      </c>
      <c r="E550">
        <v>59.45787318</v>
      </c>
      <c r="F550">
        <v>87.935132100000004</v>
      </c>
      <c r="G550">
        <v>84.03144494</v>
      </c>
      <c r="H550">
        <v>69.118515869999996</v>
      </c>
      <c r="I550">
        <v>53.775537589999999</v>
      </c>
    </row>
    <row r="551" spans="1:9" ht="14.25" customHeight="1" x14ac:dyDescent="0.3">
      <c r="A551" t="s">
        <v>1130</v>
      </c>
      <c r="B551">
        <v>91.423313340000007</v>
      </c>
      <c r="C551">
        <v>60</v>
      </c>
      <c r="D551">
        <v>80.073829950000004</v>
      </c>
      <c r="E551">
        <v>65.083395179999997</v>
      </c>
      <c r="F551">
        <v>96.430554420000007</v>
      </c>
      <c r="G551">
        <v>76.037997200000007</v>
      </c>
      <c r="H551">
        <v>65</v>
      </c>
      <c r="I551">
        <v>57.350916439999999</v>
      </c>
    </row>
    <row r="552" spans="1:9" ht="14.25" customHeight="1" x14ac:dyDescent="0.3">
      <c r="A552" t="s">
        <v>1132</v>
      </c>
      <c r="B552">
        <v>84.511782210000007</v>
      </c>
      <c r="C552">
        <v>75.841626899999994</v>
      </c>
      <c r="D552">
        <v>83.389557359999998</v>
      </c>
      <c r="E552">
        <v>62.760001600000002</v>
      </c>
      <c r="F552">
        <v>87.612485230000004</v>
      </c>
      <c r="G552">
        <v>78.724794939999995</v>
      </c>
      <c r="H552">
        <v>70.789887829999998</v>
      </c>
      <c r="I552">
        <v>62.648883789999999</v>
      </c>
    </row>
    <row r="553" spans="1:9" ht="14.25" customHeight="1" x14ac:dyDescent="0.3">
      <c r="A553" t="s">
        <v>1135</v>
      </c>
      <c r="B553">
        <v>84.896416880000004</v>
      </c>
      <c r="C553">
        <v>68.433588540000002</v>
      </c>
      <c r="D553">
        <v>79.689579379999998</v>
      </c>
      <c r="E553">
        <v>64.987353560000003</v>
      </c>
      <c r="F553">
        <v>86.612008459999998</v>
      </c>
      <c r="G553">
        <v>74.616314110000005</v>
      </c>
      <c r="H553">
        <v>75.517510529999996</v>
      </c>
      <c r="I553">
        <v>56.829464940000001</v>
      </c>
    </row>
    <row r="554" spans="1:9" ht="14.25" customHeight="1" x14ac:dyDescent="0.3">
      <c r="A554" t="s">
        <v>1137</v>
      </c>
      <c r="B554">
        <v>82.859565610000004</v>
      </c>
      <c r="C554">
        <v>63.48829817</v>
      </c>
      <c r="D554">
        <v>70.258226590000007</v>
      </c>
      <c r="E554">
        <v>65.702429760000001</v>
      </c>
      <c r="F554">
        <v>93.366539309999993</v>
      </c>
      <c r="G554">
        <v>72.710213100000004</v>
      </c>
      <c r="H554">
        <v>71.171041849999995</v>
      </c>
      <c r="I554">
        <v>61.735270409999998</v>
      </c>
    </row>
    <row r="555" spans="1:9" ht="14.25" customHeight="1" x14ac:dyDescent="0.3">
      <c r="A555" t="s">
        <v>1139</v>
      </c>
      <c r="B555">
        <v>85.157518249999995</v>
      </c>
      <c r="C555">
        <v>68.35852122</v>
      </c>
      <c r="D555">
        <v>70</v>
      </c>
      <c r="E555">
        <v>61.210284010000002</v>
      </c>
      <c r="F555">
        <v>97.598853669999997</v>
      </c>
      <c r="G555">
        <v>75.236086270000001</v>
      </c>
      <c r="H555">
        <v>69.874779000000004</v>
      </c>
      <c r="I555">
        <v>66.868385230000001</v>
      </c>
    </row>
    <row r="556" spans="1:9" ht="14.25" customHeight="1" x14ac:dyDescent="0.3">
      <c r="A556" t="s">
        <v>1141</v>
      </c>
      <c r="B556">
        <v>83.411059210000005</v>
      </c>
      <c r="C556">
        <v>75.853899839999997</v>
      </c>
      <c r="D556">
        <v>88.284554499999999</v>
      </c>
      <c r="E556">
        <v>69.826734759999994</v>
      </c>
      <c r="F556">
        <v>82.015898890000003</v>
      </c>
      <c r="G556">
        <v>75.542179540000006</v>
      </c>
      <c r="H556">
        <v>66.358551230000003</v>
      </c>
      <c r="I556">
        <v>59.512893609999999</v>
      </c>
    </row>
    <row r="557" spans="1:9" ht="14.25" customHeight="1" x14ac:dyDescent="0.3">
      <c r="A557" t="s">
        <v>1143</v>
      </c>
      <c r="B557">
        <v>78.526476669999994</v>
      </c>
      <c r="C557">
        <v>63.817782360000002</v>
      </c>
      <c r="D557">
        <v>87.88336323</v>
      </c>
      <c r="E557">
        <v>67.043344730000001</v>
      </c>
      <c r="F557">
        <v>86.701459610000001</v>
      </c>
      <c r="G557">
        <v>71.493047709999999</v>
      </c>
      <c r="H557">
        <v>72.320599709999996</v>
      </c>
      <c r="I557">
        <v>57.057927810000002</v>
      </c>
    </row>
    <row r="558" spans="1:9" ht="14.25" customHeight="1" x14ac:dyDescent="0.3">
      <c r="A558" t="s">
        <v>1145</v>
      </c>
      <c r="B558">
        <v>81.119862060000003</v>
      </c>
      <c r="C558">
        <v>60</v>
      </c>
      <c r="D558">
        <v>73.213434019999994</v>
      </c>
      <c r="E558">
        <v>67.845231940000005</v>
      </c>
      <c r="F558">
        <v>97.094916049999995</v>
      </c>
      <c r="G558">
        <v>85</v>
      </c>
      <c r="H558">
        <v>76.304555190000002</v>
      </c>
      <c r="I558">
        <v>65.660774959999998</v>
      </c>
    </row>
    <row r="559" spans="1:9" ht="14.25" customHeight="1" x14ac:dyDescent="0.3">
      <c r="A559" t="s">
        <v>1147</v>
      </c>
      <c r="B559">
        <v>93.491381329999996</v>
      </c>
      <c r="C559">
        <v>60</v>
      </c>
      <c r="D559">
        <v>78.345786009999998</v>
      </c>
      <c r="E559">
        <v>58.073023999999997</v>
      </c>
      <c r="F559">
        <v>91.610654289999999</v>
      </c>
      <c r="G559">
        <v>83.201869590000001</v>
      </c>
      <c r="H559">
        <v>70.361492089999999</v>
      </c>
      <c r="I559">
        <v>55.753717790000003</v>
      </c>
    </row>
    <row r="560" spans="1:9" ht="14.25" customHeight="1" x14ac:dyDescent="0.3">
      <c r="A560" t="s">
        <v>1149</v>
      </c>
      <c r="B560">
        <v>88.494446530000005</v>
      </c>
      <c r="C560">
        <v>62.655564779999999</v>
      </c>
      <c r="D560">
        <v>80.826921830000003</v>
      </c>
      <c r="E560">
        <v>70.743018680000006</v>
      </c>
      <c r="F560">
        <v>89.875291520000005</v>
      </c>
      <c r="G560">
        <v>67.215405759999996</v>
      </c>
      <c r="H560">
        <v>70.961710569999994</v>
      </c>
      <c r="I560">
        <v>61.151781059999998</v>
      </c>
    </row>
    <row r="561" spans="1:9" ht="14.25" customHeight="1" x14ac:dyDescent="0.3">
      <c r="A561" t="s">
        <v>1151</v>
      </c>
      <c r="B561">
        <v>94.526643309999997</v>
      </c>
      <c r="C561">
        <v>60.49836328</v>
      </c>
      <c r="D561">
        <v>75.802686109999996</v>
      </c>
      <c r="E561">
        <v>58.649569720000002</v>
      </c>
      <c r="F561">
        <v>92.780363010000002</v>
      </c>
      <c r="G561">
        <v>79.645070700000005</v>
      </c>
      <c r="H561">
        <v>71.538825810000006</v>
      </c>
      <c r="I561">
        <v>59.26841718</v>
      </c>
    </row>
    <row r="562" spans="1:9" ht="14.25" customHeight="1" x14ac:dyDescent="0.3">
      <c r="A562" t="s">
        <v>1153</v>
      </c>
      <c r="B562">
        <v>83.925884719999999</v>
      </c>
      <c r="C562">
        <v>71.124043839999999</v>
      </c>
      <c r="D562">
        <v>80.302806290000007</v>
      </c>
      <c r="E562">
        <v>68.242565049999996</v>
      </c>
      <c r="F562">
        <v>99.9</v>
      </c>
      <c r="G562">
        <v>77.691929540000004</v>
      </c>
      <c r="H562">
        <v>68.397875659999997</v>
      </c>
      <c r="I562">
        <v>56.757742880000002</v>
      </c>
    </row>
    <row r="563" spans="1:9" ht="14.25" customHeight="1" x14ac:dyDescent="0.3">
      <c r="A563" t="s">
        <v>1155</v>
      </c>
      <c r="B563">
        <v>89.031904130000001</v>
      </c>
      <c r="C563">
        <v>61.594490909999998</v>
      </c>
      <c r="D563">
        <v>70</v>
      </c>
      <c r="E563">
        <v>56.866455909999999</v>
      </c>
      <c r="F563">
        <v>88.322317659999996</v>
      </c>
      <c r="G563">
        <v>81.042572100000001</v>
      </c>
      <c r="H563">
        <v>71.661277909999995</v>
      </c>
      <c r="I563">
        <v>67.554316380000003</v>
      </c>
    </row>
    <row r="564" spans="1:9" ht="14.25" customHeight="1" x14ac:dyDescent="0.3">
      <c r="A564" t="s">
        <v>1157</v>
      </c>
      <c r="B564">
        <v>77.038875759999996</v>
      </c>
      <c r="C564">
        <v>73.482140869999995</v>
      </c>
      <c r="D564">
        <v>74.874097590000005</v>
      </c>
      <c r="E564">
        <v>71.390297970000006</v>
      </c>
      <c r="F564">
        <v>80</v>
      </c>
      <c r="G564">
        <v>85</v>
      </c>
      <c r="H564">
        <v>70.462687840000001</v>
      </c>
      <c r="I564">
        <v>50</v>
      </c>
    </row>
    <row r="565" spans="1:9" ht="14.25" customHeight="1" x14ac:dyDescent="0.3">
      <c r="A565" t="s">
        <v>1159</v>
      </c>
      <c r="B565">
        <v>84.180611040000002</v>
      </c>
      <c r="C565">
        <v>66.155559620000005</v>
      </c>
      <c r="D565">
        <v>77.576439250000007</v>
      </c>
      <c r="E565">
        <v>66.069446049999996</v>
      </c>
      <c r="F565">
        <v>94.331510269999995</v>
      </c>
      <c r="G565">
        <v>85</v>
      </c>
      <c r="H565">
        <v>67.435910440000001</v>
      </c>
      <c r="I565">
        <v>61.61236486</v>
      </c>
    </row>
    <row r="566" spans="1:9" ht="14.25" customHeight="1" x14ac:dyDescent="0.3">
      <c r="A566" t="s">
        <v>1161</v>
      </c>
      <c r="B566">
        <v>86.168106510000001</v>
      </c>
      <c r="C566">
        <v>64.695823759999996</v>
      </c>
      <c r="D566">
        <v>70</v>
      </c>
      <c r="E566">
        <v>72.182372450000003</v>
      </c>
      <c r="F566">
        <v>80</v>
      </c>
      <c r="G566">
        <v>85</v>
      </c>
      <c r="H566">
        <v>72.831369600000002</v>
      </c>
      <c r="I566">
        <v>51.729242169999999</v>
      </c>
    </row>
    <row r="567" spans="1:9" ht="14.25" customHeight="1" x14ac:dyDescent="0.3">
      <c r="A567" t="s">
        <v>1163</v>
      </c>
      <c r="B567">
        <v>86.471269460000002</v>
      </c>
      <c r="C567">
        <v>74.363024530000004</v>
      </c>
      <c r="D567">
        <v>70</v>
      </c>
      <c r="E567">
        <v>66.233258219999996</v>
      </c>
      <c r="F567">
        <v>87.890386919999997</v>
      </c>
      <c r="G567">
        <v>71.664146049999999</v>
      </c>
      <c r="H567">
        <v>74.607645950000006</v>
      </c>
      <c r="I567">
        <v>63.397757300000002</v>
      </c>
    </row>
    <row r="568" spans="1:9" ht="14.25" customHeight="1" x14ac:dyDescent="0.3">
      <c r="A568" t="s">
        <v>1165</v>
      </c>
      <c r="B568">
        <v>85.510150359999997</v>
      </c>
      <c r="C568">
        <v>69.791423719999997</v>
      </c>
      <c r="D568">
        <v>73.018459789999994</v>
      </c>
      <c r="E568">
        <v>64.289691079999997</v>
      </c>
      <c r="F568">
        <v>99.9</v>
      </c>
      <c r="G568">
        <v>84.479402460000003</v>
      </c>
      <c r="H568">
        <v>66.832426040000001</v>
      </c>
      <c r="I568">
        <v>60.815586080000003</v>
      </c>
    </row>
    <row r="569" spans="1:9" ht="14.25" customHeight="1" x14ac:dyDescent="0.3">
      <c r="A569" t="s">
        <v>1167</v>
      </c>
      <c r="B569">
        <v>85.314783449999993</v>
      </c>
      <c r="C569">
        <v>77.206941630000003</v>
      </c>
      <c r="D569">
        <v>80.265474819999994</v>
      </c>
      <c r="E569">
        <v>69.485486519999995</v>
      </c>
      <c r="F569">
        <v>85.255201679999999</v>
      </c>
      <c r="G569">
        <v>76.674626309999994</v>
      </c>
      <c r="H569">
        <v>66.304211039999998</v>
      </c>
      <c r="I569">
        <v>59.155505439999999</v>
      </c>
    </row>
    <row r="570" spans="1:9" ht="14.25" customHeight="1" x14ac:dyDescent="0.3">
      <c r="A570" t="s">
        <v>1169</v>
      </c>
      <c r="B570">
        <v>90.121198410000005</v>
      </c>
      <c r="C570">
        <v>69.008961459999995</v>
      </c>
      <c r="D570">
        <v>78.381183579999998</v>
      </c>
      <c r="E570">
        <v>73.927406059999996</v>
      </c>
      <c r="F570">
        <v>87.012345229999994</v>
      </c>
      <c r="G570">
        <v>77.537925360000003</v>
      </c>
      <c r="H570">
        <v>66.359660320000003</v>
      </c>
      <c r="I570">
        <v>62.28200811</v>
      </c>
    </row>
    <row r="571" spans="1:9" ht="14.25" customHeight="1" x14ac:dyDescent="0.3">
      <c r="A571" t="s">
        <v>1171</v>
      </c>
      <c r="B571">
        <v>89.758671449999994</v>
      </c>
      <c r="C571">
        <v>70.957156690000005</v>
      </c>
      <c r="D571">
        <v>79.63694495</v>
      </c>
      <c r="E571">
        <v>65.492614810000006</v>
      </c>
      <c r="F571">
        <v>90.219425509999994</v>
      </c>
      <c r="G571">
        <v>75.838475419999995</v>
      </c>
      <c r="H571">
        <v>71.843980290000005</v>
      </c>
      <c r="I571">
        <v>69.782999860000004</v>
      </c>
    </row>
    <row r="572" spans="1:9" ht="14.25" customHeight="1" x14ac:dyDescent="0.3">
      <c r="A572" t="s">
        <v>1173</v>
      </c>
      <c r="B572">
        <v>89.993669359999998</v>
      </c>
      <c r="C572">
        <v>70.790866059999999</v>
      </c>
      <c r="D572">
        <v>73.31089781</v>
      </c>
      <c r="E572">
        <v>66.761751959999998</v>
      </c>
      <c r="F572">
        <v>97.769119349999997</v>
      </c>
      <c r="G572">
        <v>79.741105529999999</v>
      </c>
      <c r="H572">
        <v>74.219788030000004</v>
      </c>
      <c r="I572">
        <v>59.150497809999997</v>
      </c>
    </row>
    <row r="573" spans="1:9" ht="14.25" customHeight="1" x14ac:dyDescent="0.3">
      <c r="A573" t="s">
        <v>1175</v>
      </c>
      <c r="B573">
        <v>87.332103880000005</v>
      </c>
      <c r="C573">
        <v>73.928977369999998</v>
      </c>
      <c r="D573">
        <v>85.842384519999996</v>
      </c>
      <c r="E573">
        <v>75</v>
      </c>
      <c r="F573">
        <v>80.408042760000001</v>
      </c>
      <c r="G573">
        <v>85</v>
      </c>
      <c r="H573">
        <v>80.229850029999994</v>
      </c>
      <c r="I573">
        <v>59.268763380000003</v>
      </c>
    </row>
    <row r="574" spans="1:9" ht="14.25" customHeight="1" x14ac:dyDescent="0.3">
      <c r="A574" t="s">
        <v>1177</v>
      </c>
      <c r="B574">
        <v>90.518223469999995</v>
      </c>
      <c r="C574">
        <v>71.115847869999996</v>
      </c>
      <c r="D574">
        <v>75.788834870000002</v>
      </c>
      <c r="E574">
        <v>63.086770229999999</v>
      </c>
      <c r="F574">
        <v>89.636423199999996</v>
      </c>
      <c r="G574">
        <v>77.70828487</v>
      </c>
      <c r="H574">
        <v>74.374679369999996</v>
      </c>
      <c r="I574">
        <v>68.978408959999996</v>
      </c>
    </row>
    <row r="575" spans="1:9" ht="14.25" customHeight="1" x14ac:dyDescent="0.3">
      <c r="A575" t="s">
        <v>1179</v>
      </c>
      <c r="B575">
        <v>82.832323619999997</v>
      </c>
      <c r="C575">
        <v>71.301178059999998</v>
      </c>
      <c r="D575">
        <v>90</v>
      </c>
      <c r="E575">
        <v>68.558110540000001</v>
      </c>
      <c r="F575">
        <v>93.076998939999996</v>
      </c>
      <c r="G575">
        <v>78.997120429999995</v>
      </c>
      <c r="H575">
        <v>71.200384690000007</v>
      </c>
      <c r="I575">
        <v>53.91280484</v>
      </c>
    </row>
    <row r="576" spans="1:9" ht="14.25" customHeight="1" x14ac:dyDescent="0.3">
      <c r="A576" t="s">
        <v>1181</v>
      </c>
      <c r="B576">
        <v>86.589023670000003</v>
      </c>
      <c r="C576">
        <v>69.05489292</v>
      </c>
      <c r="D576">
        <v>70.225835880000005</v>
      </c>
      <c r="E576">
        <v>68.161335710000003</v>
      </c>
      <c r="F576">
        <v>99.9</v>
      </c>
      <c r="G576">
        <v>75.222585440000003</v>
      </c>
      <c r="H576">
        <v>74.264975399999997</v>
      </c>
      <c r="I576">
        <v>55.241875690000001</v>
      </c>
    </row>
    <row r="577" spans="1:9" ht="14.25" customHeight="1" x14ac:dyDescent="0.3">
      <c r="A577" t="s">
        <v>1183</v>
      </c>
      <c r="B577">
        <v>81.361386699999997</v>
      </c>
      <c r="C577">
        <v>65.003545619999997</v>
      </c>
      <c r="D577">
        <v>85.23359284</v>
      </c>
      <c r="E577">
        <v>60.187321830000002</v>
      </c>
      <c r="F577">
        <v>93.963260419999997</v>
      </c>
      <c r="G577">
        <v>78.686155889999995</v>
      </c>
      <c r="H577">
        <v>72.414246790000007</v>
      </c>
      <c r="I577">
        <v>60.219568600000002</v>
      </c>
    </row>
    <row r="578" spans="1:9" ht="14.25" customHeight="1" x14ac:dyDescent="0.3">
      <c r="A578" t="s">
        <v>1185</v>
      </c>
      <c r="B578">
        <v>84.864291600000001</v>
      </c>
      <c r="C578">
        <v>60</v>
      </c>
      <c r="D578">
        <v>76.864386249999995</v>
      </c>
      <c r="E578">
        <v>61.499338539999997</v>
      </c>
      <c r="F578">
        <v>97.550631969999998</v>
      </c>
      <c r="G578">
        <v>75.897352470000001</v>
      </c>
      <c r="H578">
        <v>68.759290399999998</v>
      </c>
      <c r="I578">
        <v>59.388194990000002</v>
      </c>
    </row>
    <row r="579" spans="1:9" ht="14.25" customHeight="1" x14ac:dyDescent="0.3">
      <c r="A579" t="s">
        <v>1187</v>
      </c>
      <c r="B579">
        <v>88.102559580000005</v>
      </c>
      <c r="C579">
        <v>69.448064909999999</v>
      </c>
      <c r="D579">
        <v>70</v>
      </c>
      <c r="E579">
        <v>68.091638529999997</v>
      </c>
      <c r="F579">
        <v>80</v>
      </c>
      <c r="G579">
        <v>84.145757070000002</v>
      </c>
      <c r="H579">
        <v>77.512908800000005</v>
      </c>
      <c r="I579">
        <v>59.444667940000002</v>
      </c>
    </row>
    <row r="580" spans="1:9" ht="14.25" customHeight="1" x14ac:dyDescent="0.3">
      <c r="A580" t="s">
        <v>1189</v>
      </c>
      <c r="B580">
        <v>95.385353100000003</v>
      </c>
      <c r="C580">
        <v>60</v>
      </c>
      <c r="D580">
        <v>70</v>
      </c>
      <c r="E580">
        <v>69.594264260000003</v>
      </c>
      <c r="F580">
        <v>87.432773269999998</v>
      </c>
      <c r="G580">
        <v>72.517104369999998</v>
      </c>
      <c r="H580">
        <v>71.327319320000001</v>
      </c>
      <c r="I580">
        <v>57.318864099999999</v>
      </c>
    </row>
    <row r="581" spans="1:9" ht="14.25" customHeight="1" x14ac:dyDescent="0.3">
      <c r="A581" t="s">
        <v>1191</v>
      </c>
      <c r="B581">
        <v>90.619884170000006</v>
      </c>
      <c r="C581">
        <v>61.959934830000002</v>
      </c>
      <c r="D581">
        <v>79.119813179999994</v>
      </c>
      <c r="E581">
        <v>61.392885759999999</v>
      </c>
      <c r="F581">
        <v>87.771203650000004</v>
      </c>
      <c r="G581">
        <v>75.336814959999998</v>
      </c>
      <c r="H581">
        <v>70.34819401</v>
      </c>
      <c r="I581">
        <v>50</v>
      </c>
    </row>
    <row r="582" spans="1:9" ht="14.25" customHeight="1" x14ac:dyDescent="0.3">
      <c r="A582" t="s">
        <v>1193</v>
      </c>
      <c r="B582">
        <v>82.800622050000001</v>
      </c>
      <c r="C582">
        <v>66.247109809999998</v>
      </c>
      <c r="D582">
        <v>81.261534190000006</v>
      </c>
      <c r="E582">
        <v>67.772317869999995</v>
      </c>
      <c r="F582">
        <v>92.284317790000003</v>
      </c>
      <c r="G582">
        <v>79.725623130000002</v>
      </c>
      <c r="H582">
        <v>70.300176469999997</v>
      </c>
      <c r="I582">
        <v>56.517515779999997</v>
      </c>
    </row>
    <row r="583" spans="1:9" ht="14.25" customHeight="1" x14ac:dyDescent="0.3">
      <c r="A583" t="s">
        <v>1195</v>
      </c>
      <c r="B583">
        <v>82.678891770000007</v>
      </c>
      <c r="C583">
        <v>67.050978409999999</v>
      </c>
      <c r="D583">
        <v>85.302387670000002</v>
      </c>
      <c r="E583">
        <v>66.151520950000005</v>
      </c>
      <c r="F583">
        <v>93.339247169999993</v>
      </c>
      <c r="G583">
        <v>71.440041989999997</v>
      </c>
      <c r="H583">
        <v>68.767715569999993</v>
      </c>
      <c r="I583">
        <v>62.098756170000001</v>
      </c>
    </row>
    <row r="584" spans="1:9" ht="14.25" customHeight="1" x14ac:dyDescent="0.3">
      <c r="A584" t="s">
        <v>1197</v>
      </c>
      <c r="B584">
        <v>82.056578180000002</v>
      </c>
      <c r="C584">
        <v>60</v>
      </c>
      <c r="D584">
        <v>77.138269820000005</v>
      </c>
      <c r="E584">
        <v>67.431116650000007</v>
      </c>
      <c r="F584">
        <v>80.893392689999999</v>
      </c>
      <c r="G584">
        <v>83.884732679999999</v>
      </c>
      <c r="H584">
        <v>67.001962390000003</v>
      </c>
      <c r="I584">
        <v>57.435367110000001</v>
      </c>
    </row>
    <row r="585" spans="1:9" ht="14.25" customHeight="1" x14ac:dyDescent="0.3">
      <c r="A585" t="s">
        <v>1199</v>
      </c>
      <c r="B585">
        <v>84.016517230000005</v>
      </c>
      <c r="C585">
        <v>69.628771959999995</v>
      </c>
      <c r="D585">
        <v>73.12569139</v>
      </c>
      <c r="E585">
        <v>69.278262889999993</v>
      </c>
      <c r="F585">
        <v>91.431101979999994</v>
      </c>
      <c r="G585">
        <v>85</v>
      </c>
      <c r="H585">
        <v>74.94639488</v>
      </c>
      <c r="I585">
        <v>59.208924549999999</v>
      </c>
    </row>
    <row r="586" spans="1:9" ht="14.25" customHeight="1" x14ac:dyDescent="0.3">
      <c r="A586" t="s">
        <v>1201</v>
      </c>
      <c r="B586">
        <v>86.986428059999994</v>
      </c>
      <c r="C586">
        <v>69.690771040000001</v>
      </c>
      <c r="D586">
        <v>76.113369219999996</v>
      </c>
      <c r="E586">
        <v>67.942811289999995</v>
      </c>
      <c r="F586">
        <v>86.935738560000004</v>
      </c>
      <c r="G586">
        <v>74.992102770000002</v>
      </c>
      <c r="H586">
        <v>70.610910939999997</v>
      </c>
      <c r="I586">
        <v>55.268082</v>
      </c>
    </row>
    <row r="587" spans="1:9" ht="14.25" customHeight="1" x14ac:dyDescent="0.3">
      <c r="A587" t="s">
        <v>1203</v>
      </c>
      <c r="B587">
        <v>90.992760529999998</v>
      </c>
      <c r="C587">
        <v>60.961046580000001</v>
      </c>
      <c r="D587">
        <v>79.331656010000003</v>
      </c>
      <c r="E587">
        <v>57.217056679999999</v>
      </c>
      <c r="F587">
        <v>94.908529669999993</v>
      </c>
      <c r="G587">
        <v>73.836602690000007</v>
      </c>
      <c r="H587">
        <v>69.594888859999998</v>
      </c>
      <c r="I587">
        <v>59.099715060000001</v>
      </c>
    </row>
    <row r="588" spans="1:9" ht="14.25" customHeight="1" x14ac:dyDescent="0.3">
      <c r="A588" t="s">
        <v>1205</v>
      </c>
      <c r="B588">
        <v>80.570733799999999</v>
      </c>
      <c r="C588">
        <v>75.148923890000006</v>
      </c>
      <c r="D588">
        <v>85.591719010000006</v>
      </c>
      <c r="E588">
        <v>56.495318439999998</v>
      </c>
      <c r="F588">
        <v>93.593187909999997</v>
      </c>
      <c r="G588">
        <v>69.614704900000007</v>
      </c>
      <c r="H588">
        <v>77.188893759999999</v>
      </c>
      <c r="I588">
        <v>50</v>
      </c>
    </row>
    <row r="589" spans="1:9" ht="14.25" customHeight="1" x14ac:dyDescent="0.3">
      <c r="A589" t="s">
        <v>1207</v>
      </c>
      <c r="B589">
        <v>82.738527619999999</v>
      </c>
      <c r="C589">
        <v>65.451935180000007</v>
      </c>
      <c r="D589">
        <v>70</v>
      </c>
      <c r="E589">
        <v>74.393444180000003</v>
      </c>
      <c r="F589">
        <v>80</v>
      </c>
      <c r="G589">
        <v>82.550023060000001</v>
      </c>
      <c r="H589">
        <v>66.652168360000005</v>
      </c>
      <c r="I589">
        <v>50</v>
      </c>
    </row>
    <row r="590" spans="1:9" ht="14.25" customHeight="1" x14ac:dyDescent="0.3">
      <c r="A590" t="s">
        <v>1209</v>
      </c>
      <c r="B590">
        <v>80.566292820000001</v>
      </c>
      <c r="C590">
        <v>67.267009060000007</v>
      </c>
      <c r="D590">
        <v>78.198616920000006</v>
      </c>
      <c r="E590">
        <v>63.680312200000003</v>
      </c>
      <c r="F590">
        <v>82.346492220000002</v>
      </c>
      <c r="G590">
        <v>84.066721279999996</v>
      </c>
      <c r="H590">
        <v>65.841065869999994</v>
      </c>
      <c r="I590">
        <v>58.28599672</v>
      </c>
    </row>
    <row r="591" spans="1:9" ht="14.25" customHeight="1" x14ac:dyDescent="0.3">
      <c r="A591" t="s">
        <v>1211</v>
      </c>
      <c r="B591">
        <v>89.826577540000002</v>
      </c>
      <c r="C591">
        <v>70.272994789999998</v>
      </c>
      <c r="D591">
        <v>80.313426579999998</v>
      </c>
      <c r="E591">
        <v>66.189662549999994</v>
      </c>
      <c r="F591">
        <v>80</v>
      </c>
      <c r="G591">
        <v>81.798608819999998</v>
      </c>
      <c r="H591">
        <v>72.101341770000005</v>
      </c>
      <c r="I591">
        <v>50</v>
      </c>
    </row>
    <row r="592" spans="1:9" ht="14.25" customHeight="1" x14ac:dyDescent="0.3">
      <c r="A592" t="s">
        <v>1213</v>
      </c>
      <c r="B592">
        <v>99.9</v>
      </c>
      <c r="C592">
        <v>72.395225920000001</v>
      </c>
      <c r="D592">
        <v>77.585769010000007</v>
      </c>
      <c r="E592">
        <v>63.955755629999999</v>
      </c>
      <c r="F592">
        <v>80</v>
      </c>
      <c r="G592">
        <v>82.127671960000001</v>
      </c>
      <c r="H592">
        <v>66.865788420000001</v>
      </c>
      <c r="I592">
        <v>58.269610020000002</v>
      </c>
    </row>
    <row r="593" spans="1:9" ht="14.25" customHeight="1" x14ac:dyDescent="0.3">
      <c r="A593" t="s">
        <v>1215</v>
      </c>
      <c r="B593">
        <v>81.661933989999994</v>
      </c>
      <c r="C593">
        <v>62.456975370000002</v>
      </c>
      <c r="D593">
        <v>79.387603380000002</v>
      </c>
      <c r="E593">
        <v>66.231890759999999</v>
      </c>
      <c r="F593">
        <v>94.923927190000001</v>
      </c>
      <c r="G593">
        <v>71.001072449999995</v>
      </c>
      <c r="H593">
        <v>70.388879410000001</v>
      </c>
      <c r="I593">
        <v>58.302831519999998</v>
      </c>
    </row>
    <row r="594" spans="1:9" ht="14.25" customHeight="1" x14ac:dyDescent="0.3">
      <c r="A594" t="s">
        <v>1218</v>
      </c>
      <c r="B594">
        <v>79.817987270000003</v>
      </c>
      <c r="C594">
        <v>70.161339299999995</v>
      </c>
      <c r="D594">
        <v>89.289406110000002</v>
      </c>
      <c r="E594">
        <v>62.381207719999999</v>
      </c>
      <c r="F594">
        <v>97.689431560000003</v>
      </c>
      <c r="G594">
        <v>85</v>
      </c>
      <c r="H594">
        <v>72.180300399999993</v>
      </c>
      <c r="I594">
        <v>68.08882448</v>
      </c>
    </row>
    <row r="595" spans="1:9" ht="14.25" customHeight="1" x14ac:dyDescent="0.3">
      <c r="A595" t="s">
        <v>1220</v>
      </c>
      <c r="B595">
        <v>76.176176690000005</v>
      </c>
      <c r="C595">
        <v>60.818097190000003</v>
      </c>
      <c r="D595">
        <v>75.362819439999996</v>
      </c>
      <c r="E595">
        <v>66.687002860000007</v>
      </c>
      <c r="F595">
        <v>84.683327890000001</v>
      </c>
      <c r="G595">
        <v>77.975440039999995</v>
      </c>
      <c r="H595">
        <v>65</v>
      </c>
      <c r="I595">
        <v>60.233531720000002</v>
      </c>
    </row>
    <row r="596" spans="1:9" ht="14.25" customHeight="1" x14ac:dyDescent="0.3">
      <c r="A596" t="s">
        <v>1222</v>
      </c>
      <c r="B596">
        <v>80.748899219999998</v>
      </c>
      <c r="C596">
        <v>71.035643300000004</v>
      </c>
      <c r="D596">
        <v>80.016785979999995</v>
      </c>
      <c r="E596">
        <v>60.6735063</v>
      </c>
      <c r="F596">
        <v>92.980723069999996</v>
      </c>
      <c r="G596">
        <v>74.972645369999995</v>
      </c>
      <c r="H596">
        <v>68.537731750000006</v>
      </c>
      <c r="I596">
        <v>61.866349190000001</v>
      </c>
    </row>
    <row r="597" spans="1:9" ht="14.25" customHeight="1" x14ac:dyDescent="0.3">
      <c r="A597" t="s">
        <v>1224</v>
      </c>
      <c r="B597">
        <v>79.318871040000005</v>
      </c>
      <c r="C597">
        <v>60</v>
      </c>
      <c r="D597">
        <v>90</v>
      </c>
      <c r="E597">
        <v>61.084401190000001</v>
      </c>
      <c r="F597">
        <v>96.25352006</v>
      </c>
      <c r="G597">
        <v>75.941749139999999</v>
      </c>
      <c r="H597">
        <v>73.201967080000003</v>
      </c>
      <c r="I597">
        <v>70</v>
      </c>
    </row>
    <row r="598" spans="1:9" ht="14.25" customHeight="1" x14ac:dyDescent="0.3">
      <c r="A598" t="s">
        <v>1226</v>
      </c>
      <c r="B598">
        <v>77.648862550000004</v>
      </c>
      <c r="C598">
        <v>72.463916510000004</v>
      </c>
      <c r="D598">
        <v>70</v>
      </c>
      <c r="E598">
        <v>56.58577107</v>
      </c>
      <c r="F598">
        <v>83.874404760000004</v>
      </c>
      <c r="G598">
        <v>81.767779540000006</v>
      </c>
      <c r="H598">
        <v>73.093586799999997</v>
      </c>
      <c r="I598">
        <v>68.24984791</v>
      </c>
    </row>
    <row r="599" spans="1:9" ht="14.25" customHeight="1" x14ac:dyDescent="0.3">
      <c r="A599" t="s">
        <v>1228</v>
      </c>
      <c r="B599">
        <v>86.519742789999995</v>
      </c>
      <c r="C599">
        <v>70.384178820000002</v>
      </c>
      <c r="D599">
        <v>70</v>
      </c>
      <c r="E599">
        <v>74.850271739999997</v>
      </c>
      <c r="F599">
        <v>90.593910140000006</v>
      </c>
      <c r="G599">
        <v>75.311415830000001</v>
      </c>
      <c r="H599">
        <v>72.226955349999997</v>
      </c>
      <c r="I599">
        <v>57.757728909999997</v>
      </c>
    </row>
    <row r="600" spans="1:9" ht="14.25" customHeight="1" x14ac:dyDescent="0.3">
      <c r="A600" t="s">
        <v>1230</v>
      </c>
      <c r="B600">
        <v>80.665195209999993</v>
      </c>
      <c r="C600">
        <v>63.242241909999997</v>
      </c>
      <c r="D600">
        <v>74.748246960000003</v>
      </c>
      <c r="E600">
        <v>57.424708940000002</v>
      </c>
      <c r="F600">
        <v>92.940899860000002</v>
      </c>
      <c r="G600">
        <v>82.449386360000005</v>
      </c>
      <c r="H600">
        <v>74.879069090000002</v>
      </c>
      <c r="I600">
        <v>51.200967689999999</v>
      </c>
    </row>
    <row r="601" spans="1:9" ht="14.25" customHeight="1" x14ac:dyDescent="0.3">
      <c r="A601" t="s">
        <v>1232</v>
      </c>
      <c r="B601">
        <v>80.068250660000004</v>
      </c>
      <c r="C601">
        <v>71.887084729999998</v>
      </c>
      <c r="D601">
        <v>81.130717149999995</v>
      </c>
      <c r="E601">
        <v>58.50478493</v>
      </c>
      <c r="F601">
        <v>94.382838079999999</v>
      </c>
      <c r="G601">
        <v>71.096318139999994</v>
      </c>
      <c r="H601">
        <v>73.096926999999994</v>
      </c>
      <c r="I601">
        <v>59.556323720000002</v>
      </c>
    </row>
    <row r="602" spans="1:9" ht="14.25" customHeight="1" x14ac:dyDescent="0.3">
      <c r="A602" t="s">
        <v>1234</v>
      </c>
      <c r="B602">
        <v>90.274363089999994</v>
      </c>
      <c r="C602">
        <v>61.503619239999999</v>
      </c>
      <c r="D602">
        <v>82.440516830000007</v>
      </c>
      <c r="E602">
        <v>66.254414920000002</v>
      </c>
      <c r="F602">
        <v>99.9</v>
      </c>
      <c r="G602">
        <v>85</v>
      </c>
      <c r="H602">
        <v>71.424807189999996</v>
      </c>
      <c r="I602">
        <v>58.14892639</v>
      </c>
    </row>
    <row r="603" spans="1:9" ht="14.25" customHeight="1" x14ac:dyDescent="0.3">
      <c r="A603" t="s">
        <v>1236</v>
      </c>
      <c r="B603">
        <v>89.784629269999996</v>
      </c>
      <c r="C603">
        <v>67.494555039999995</v>
      </c>
      <c r="D603">
        <v>77.869172230000004</v>
      </c>
      <c r="E603">
        <v>62.69548219</v>
      </c>
      <c r="F603">
        <v>80</v>
      </c>
      <c r="G603">
        <v>80.737652440000005</v>
      </c>
      <c r="H603">
        <v>69.914825140000005</v>
      </c>
      <c r="I603">
        <v>61.340275490000003</v>
      </c>
    </row>
    <row r="604" spans="1:9" ht="14.25" customHeight="1" x14ac:dyDescent="0.3">
      <c r="A604" t="s">
        <v>1238</v>
      </c>
      <c r="B604">
        <v>79.601846280000004</v>
      </c>
      <c r="C604">
        <v>68.95847612</v>
      </c>
      <c r="D604">
        <v>84.819068549999997</v>
      </c>
      <c r="E604">
        <v>65.301335960000003</v>
      </c>
      <c r="F604">
        <v>82.100820970000001</v>
      </c>
      <c r="G604">
        <v>81.159432280000004</v>
      </c>
      <c r="H604">
        <v>71.260860410000006</v>
      </c>
      <c r="I604">
        <v>52.92358969</v>
      </c>
    </row>
    <row r="605" spans="1:9" ht="14.25" customHeight="1" x14ac:dyDescent="0.3">
      <c r="A605" t="s">
        <v>1240</v>
      </c>
      <c r="B605">
        <v>89.011808239999993</v>
      </c>
      <c r="C605">
        <v>79.791636550000007</v>
      </c>
      <c r="D605">
        <v>75.001778189999996</v>
      </c>
      <c r="E605">
        <v>62.140997130000002</v>
      </c>
      <c r="F605">
        <v>90.664605280000004</v>
      </c>
      <c r="G605">
        <v>74.734549490000006</v>
      </c>
      <c r="H605">
        <v>67.613085350000006</v>
      </c>
      <c r="I605">
        <v>58.47252889</v>
      </c>
    </row>
    <row r="606" spans="1:9" ht="14.25" customHeight="1" x14ac:dyDescent="0.3">
      <c r="A606" t="s">
        <v>1242</v>
      </c>
      <c r="B606">
        <v>91.706107689999996</v>
      </c>
      <c r="C606">
        <v>69.347316860000006</v>
      </c>
      <c r="D606">
        <v>80.252383960000003</v>
      </c>
      <c r="E606">
        <v>64.896472130000006</v>
      </c>
      <c r="F606">
        <v>93.33428868</v>
      </c>
      <c r="G606">
        <v>75.61528783</v>
      </c>
      <c r="H606">
        <v>68.418703300000004</v>
      </c>
      <c r="I606">
        <v>55.383196130000002</v>
      </c>
    </row>
    <row r="607" spans="1:9" ht="14.25" customHeight="1" x14ac:dyDescent="0.3">
      <c r="A607" t="s">
        <v>1244</v>
      </c>
      <c r="B607">
        <v>99.335466819999994</v>
      </c>
      <c r="C607">
        <v>67.080187929999994</v>
      </c>
      <c r="D607">
        <v>89.913190209999996</v>
      </c>
      <c r="E607">
        <v>61.888786840000002</v>
      </c>
      <c r="F607">
        <v>93.358540849999997</v>
      </c>
      <c r="G607">
        <v>75.466448749999998</v>
      </c>
      <c r="H607">
        <v>65</v>
      </c>
      <c r="I607">
        <v>70</v>
      </c>
    </row>
    <row r="608" spans="1:9" ht="14.25" customHeight="1" x14ac:dyDescent="0.3">
      <c r="A608" t="s">
        <v>1246</v>
      </c>
      <c r="B608">
        <v>76.478022910000007</v>
      </c>
      <c r="C608">
        <v>69.004313109999998</v>
      </c>
      <c r="D608">
        <v>81.202738429999997</v>
      </c>
      <c r="E608">
        <v>63.673269089999998</v>
      </c>
      <c r="F608">
        <v>86.045893219999996</v>
      </c>
      <c r="G608">
        <v>76.110170350000004</v>
      </c>
      <c r="H608">
        <v>68.727009210000006</v>
      </c>
      <c r="I608">
        <v>58.770664910000001</v>
      </c>
    </row>
    <row r="609" spans="1:9" ht="14.25" customHeight="1" x14ac:dyDescent="0.3">
      <c r="A609" t="s">
        <v>1249</v>
      </c>
      <c r="B609">
        <v>89.290701709999993</v>
      </c>
      <c r="C609">
        <v>79.36391922</v>
      </c>
      <c r="D609">
        <v>76.453302280000003</v>
      </c>
      <c r="E609">
        <v>65.785495929999996</v>
      </c>
      <c r="F609">
        <v>89.917054649999997</v>
      </c>
      <c r="G609">
        <v>85</v>
      </c>
      <c r="H609">
        <v>68.002650220000007</v>
      </c>
      <c r="I609">
        <v>59.719026460000002</v>
      </c>
    </row>
    <row r="610" spans="1:9" ht="14.25" customHeight="1" x14ac:dyDescent="0.3">
      <c r="A610" t="s">
        <v>1251</v>
      </c>
      <c r="B610">
        <v>82.254094929999994</v>
      </c>
      <c r="C610">
        <v>64.705906159999998</v>
      </c>
      <c r="D610">
        <v>79.498361209999999</v>
      </c>
      <c r="E610">
        <v>68.660389199999997</v>
      </c>
      <c r="F610">
        <v>80</v>
      </c>
      <c r="G610">
        <v>81.566141259999995</v>
      </c>
      <c r="H610">
        <v>65</v>
      </c>
      <c r="I610">
        <v>50</v>
      </c>
    </row>
    <row r="611" spans="1:9" ht="14.25" customHeight="1" x14ac:dyDescent="0.3">
      <c r="A611" t="s">
        <v>1253</v>
      </c>
      <c r="B611">
        <v>94.256781329999995</v>
      </c>
      <c r="C611">
        <v>66.628974479999997</v>
      </c>
      <c r="D611">
        <v>77.744428990000003</v>
      </c>
      <c r="E611">
        <v>62.616282579999996</v>
      </c>
      <c r="F611">
        <v>93.161923380000005</v>
      </c>
      <c r="G611">
        <v>75.194031260000003</v>
      </c>
      <c r="H611">
        <v>76.21364595</v>
      </c>
      <c r="I611">
        <v>50</v>
      </c>
    </row>
    <row r="612" spans="1:9" ht="14.25" customHeight="1" x14ac:dyDescent="0.3">
      <c r="A612" t="s">
        <v>1255</v>
      </c>
      <c r="B612">
        <v>77.924409130000001</v>
      </c>
      <c r="C612">
        <v>60.317731010000003</v>
      </c>
      <c r="D612">
        <v>77.159173300000006</v>
      </c>
      <c r="E612">
        <v>65.921703699999995</v>
      </c>
      <c r="F612">
        <v>88.793326269999994</v>
      </c>
      <c r="G612">
        <v>77.70810041</v>
      </c>
      <c r="H612">
        <v>66.136937700000004</v>
      </c>
      <c r="I612">
        <v>56.832852750000001</v>
      </c>
    </row>
    <row r="613" spans="1:9" ht="14.25" customHeight="1" x14ac:dyDescent="0.3">
      <c r="A613" t="s">
        <v>1257</v>
      </c>
      <c r="B613">
        <v>75</v>
      </c>
      <c r="C613">
        <v>67.004567249999994</v>
      </c>
      <c r="D613">
        <v>90</v>
      </c>
      <c r="E613">
        <v>71.510594870000006</v>
      </c>
      <c r="F613">
        <v>81.734066159999998</v>
      </c>
      <c r="G613">
        <v>80.724251269999996</v>
      </c>
      <c r="H613">
        <v>65.999117369999993</v>
      </c>
      <c r="I613">
        <v>58.819425840000001</v>
      </c>
    </row>
    <row r="614" spans="1:9" ht="14.25" customHeight="1" x14ac:dyDescent="0.3">
      <c r="A614" t="s">
        <v>1259</v>
      </c>
      <c r="B614">
        <v>93.89240006</v>
      </c>
      <c r="C614">
        <v>68.007750740000006</v>
      </c>
      <c r="D614">
        <v>81.603392380000003</v>
      </c>
      <c r="E614">
        <v>59.181275200000002</v>
      </c>
      <c r="F614">
        <v>84.766961660000007</v>
      </c>
      <c r="G614">
        <v>76.278688829999993</v>
      </c>
      <c r="H614">
        <v>70.218462049999999</v>
      </c>
      <c r="I614">
        <v>57.540703399999998</v>
      </c>
    </row>
    <row r="615" spans="1:9" ht="14.25" customHeight="1" x14ac:dyDescent="0.3">
      <c r="A615" t="s">
        <v>1261</v>
      </c>
      <c r="B615">
        <v>92.385015210000006</v>
      </c>
      <c r="C615">
        <v>71.279780959999997</v>
      </c>
      <c r="D615">
        <v>74.206953530000007</v>
      </c>
      <c r="E615">
        <v>63.98690972</v>
      </c>
      <c r="F615">
        <v>81.346347629999997</v>
      </c>
      <c r="G615">
        <v>80.575139660000005</v>
      </c>
      <c r="H615">
        <v>68.976289750000007</v>
      </c>
      <c r="I615">
        <v>54.062306700000001</v>
      </c>
    </row>
    <row r="616" spans="1:9" ht="14.25" customHeight="1" x14ac:dyDescent="0.3">
      <c r="A616" t="s">
        <v>1263</v>
      </c>
      <c r="B616">
        <v>91.150250229999997</v>
      </c>
      <c r="C616">
        <v>70.733805450000006</v>
      </c>
      <c r="D616">
        <v>70.715718929999994</v>
      </c>
      <c r="E616">
        <v>63.110335040000002</v>
      </c>
      <c r="F616">
        <v>85.593639929999995</v>
      </c>
      <c r="G616">
        <v>72.956560530000004</v>
      </c>
      <c r="H616">
        <v>66.763017970000007</v>
      </c>
      <c r="I616">
        <v>50</v>
      </c>
    </row>
    <row r="617" spans="1:9" ht="14.25" customHeight="1" x14ac:dyDescent="0.3">
      <c r="A617" t="s">
        <v>1265</v>
      </c>
      <c r="B617">
        <v>75</v>
      </c>
      <c r="C617">
        <v>63.743477640000002</v>
      </c>
      <c r="D617">
        <v>75.00544592</v>
      </c>
      <c r="E617">
        <v>69.130580089999995</v>
      </c>
      <c r="F617">
        <v>82.552360370000002</v>
      </c>
      <c r="G617">
        <v>80.78147294</v>
      </c>
      <c r="H617">
        <v>69.623979419999998</v>
      </c>
      <c r="I617">
        <v>65.778773150000006</v>
      </c>
    </row>
    <row r="618" spans="1:9" ht="14.25" customHeight="1" x14ac:dyDescent="0.3">
      <c r="A618" t="s">
        <v>1267</v>
      </c>
      <c r="B618">
        <v>82.919446019999995</v>
      </c>
      <c r="C618">
        <v>80</v>
      </c>
      <c r="D618">
        <v>72.470706289999995</v>
      </c>
      <c r="E618">
        <v>75</v>
      </c>
      <c r="F618">
        <v>82.184743089999998</v>
      </c>
      <c r="G618">
        <v>80.324608830000003</v>
      </c>
      <c r="H618">
        <v>72.906938569999994</v>
      </c>
      <c r="I618">
        <v>55.980632010000001</v>
      </c>
    </row>
    <row r="619" spans="1:9" ht="14.25" customHeight="1" x14ac:dyDescent="0.3">
      <c r="A619" t="s">
        <v>1269</v>
      </c>
      <c r="B619">
        <v>83.601716260000003</v>
      </c>
      <c r="C619">
        <v>69.106952710000002</v>
      </c>
      <c r="D619">
        <v>74.790942000000001</v>
      </c>
      <c r="E619">
        <v>62.218161209999998</v>
      </c>
      <c r="F619">
        <v>88.70094392</v>
      </c>
      <c r="G619">
        <v>81.039823560000002</v>
      </c>
      <c r="H619">
        <v>71.122346429999993</v>
      </c>
      <c r="I619">
        <v>50</v>
      </c>
    </row>
    <row r="620" spans="1:9" ht="14.25" customHeight="1" x14ac:dyDescent="0.3">
      <c r="A620" t="s">
        <v>1271</v>
      </c>
      <c r="B620">
        <v>85.970166759999998</v>
      </c>
      <c r="C620">
        <v>68.829536399999995</v>
      </c>
      <c r="D620">
        <v>70</v>
      </c>
      <c r="E620">
        <v>61.589568550000003</v>
      </c>
      <c r="F620">
        <v>80</v>
      </c>
      <c r="G620">
        <v>77.500588469999997</v>
      </c>
      <c r="H620">
        <v>71.297451390000006</v>
      </c>
      <c r="I620">
        <v>69.7494145</v>
      </c>
    </row>
    <row r="621" spans="1:9" ht="14.25" customHeight="1" x14ac:dyDescent="0.3">
      <c r="A621" t="s">
        <v>1273</v>
      </c>
      <c r="B621">
        <v>84.626024909999998</v>
      </c>
      <c r="C621">
        <v>62.343121529999998</v>
      </c>
      <c r="D621">
        <v>79.652993570000007</v>
      </c>
      <c r="E621">
        <v>66.253176330000002</v>
      </c>
      <c r="F621">
        <v>94.572596779999998</v>
      </c>
      <c r="G621">
        <v>76.639271429999994</v>
      </c>
      <c r="H621">
        <v>70.173894439999998</v>
      </c>
      <c r="I621">
        <v>63.818719270000003</v>
      </c>
    </row>
    <row r="622" spans="1:9" ht="14.25" customHeight="1" x14ac:dyDescent="0.3">
      <c r="A622" t="s">
        <v>1275</v>
      </c>
      <c r="B622">
        <v>77.953466750000004</v>
      </c>
      <c r="C622">
        <v>72.241316330000004</v>
      </c>
      <c r="D622">
        <v>83.374518629999997</v>
      </c>
      <c r="E622">
        <v>66.933579309999999</v>
      </c>
      <c r="F622">
        <v>80</v>
      </c>
      <c r="G622">
        <v>75.018694499999995</v>
      </c>
      <c r="H622">
        <v>73.251192529999997</v>
      </c>
      <c r="I622">
        <v>69.784887459999993</v>
      </c>
    </row>
    <row r="623" spans="1:9" ht="14.25" customHeight="1" x14ac:dyDescent="0.3">
      <c r="A623" t="s">
        <v>1277</v>
      </c>
      <c r="B623">
        <v>88.853364020000001</v>
      </c>
      <c r="C623">
        <v>73.460424669999995</v>
      </c>
      <c r="D623">
        <v>80.044186519999997</v>
      </c>
      <c r="E623">
        <v>58.608440700000003</v>
      </c>
      <c r="F623">
        <v>89.034726300000003</v>
      </c>
      <c r="G623">
        <v>73.553034210000007</v>
      </c>
      <c r="H623">
        <v>72.828366829999993</v>
      </c>
      <c r="I623">
        <v>57.75324071</v>
      </c>
    </row>
    <row r="624" spans="1:9" ht="14.25" customHeight="1" x14ac:dyDescent="0.3">
      <c r="A624" t="s">
        <v>1279</v>
      </c>
      <c r="B624">
        <v>87.430822750000004</v>
      </c>
      <c r="C624">
        <v>61.954235240000003</v>
      </c>
      <c r="D624">
        <v>79.692398179999998</v>
      </c>
      <c r="E624">
        <v>65.021694319999995</v>
      </c>
      <c r="F624">
        <v>81.112726910000006</v>
      </c>
      <c r="G624">
        <v>72.870826620000003</v>
      </c>
      <c r="H624">
        <v>69.372384800000006</v>
      </c>
      <c r="I624">
        <v>58.070183069999999</v>
      </c>
    </row>
    <row r="625" spans="1:9" ht="14.25" customHeight="1" x14ac:dyDescent="0.3">
      <c r="A625" t="s">
        <v>1281</v>
      </c>
      <c r="B625">
        <v>87.061986070000003</v>
      </c>
      <c r="C625">
        <v>65.231164010000001</v>
      </c>
      <c r="D625">
        <v>74.929546189999996</v>
      </c>
      <c r="E625">
        <v>56.811763300000003</v>
      </c>
      <c r="F625">
        <v>93.201448170000006</v>
      </c>
      <c r="G625">
        <v>76.033900669999994</v>
      </c>
      <c r="H625">
        <v>65</v>
      </c>
      <c r="I625">
        <v>57.303746420000003</v>
      </c>
    </row>
    <row r="626" spans="1:9" ht="14.25" customHeight="1" x14ac:dyDescent="0.3">
      <c r="A626" t="s">
        <v>1283</v>
      </c>
      <c r="B626">
        <v>76.597172790000002</v>
      </c>
      <c r="C626">
        <v>60</v>
      </c>
      <c r="D626">
        <v>73.857756989999999</v>
      </c>
      <c r="E626">
        <v>59.833630110000001</v>
      </c>
      <c r="F626">
        <v>80</v>
      </c>
      <c r="G626">
        <v>79.426389929999999</v>
      </c>
      <c r="H626">
        <v>76.391969450000005</v>
      </c>
      <c r="I626">
        <v>70</v>
      </c>
    </row>
    <row r="627" spans="1:9" ht="14.25" customHeight="1" x14ac:dyDescent="0.3">
      <c r="A627" t="s">
        <v>1285</v>
      </c>
      <c r="B627">
        <v>92.234465700000001</v>
      </c>
      <c r="C627">
        <v>73.238530209999993</v>
      </c>
      <c r="D627">
        <v>70.599627130000002</v>
      </c>
      <c r="E627">
        <v>66.201689259999995</v>
      </c>
      <c r="F627">
        <v>82.662383109999993</v>
      </c>
      <c r="G627">
        <v>77.114322639999997</v>
      </c>
      <c r="H627">
        <v>71.548075100000005</v>
      </c>
      <c r="I627">
        <v>60.830015150000001</v>
      </c>
    </row>
    <row r="628" spans="1:9" ht="14.25" customHeight="1" x14ac:dyDescent="0.3">
      <c r="A628" t="s">
        <v>1287</v>
      </c>
      <c r="B628">
        <v>87.073630879999996</v>
      </c>
      <c r="C628">
        <v>62.475011449999997</v>
      </c>
      <c r="D628">
        <v>81.852977879999997</v>
      </c>
      <c r="E628">
        <v>65.913929780000004</v>
      </c>
      <c r="F628">
        <v>90.820006789999994</v>
      </c>
      <c r="G628">
        <v>78.449546900000001</v>
      </c>
      <c r="H628">
        <v>77.808792909999994</v>
      </c>
      <c r="I628">
        <v>59.119043419999997</v>
      </c>
    </row>
    <row r="629" spans="1:9" ht="14.25" customHeight="1" x14ac:dyDescent="0.3">
      <c r="A629" t="s">
        <v>1289</v>
      </c>
      <c r="B629">
        <v>84.30194453</v>
      </c>
      <c r="C629">
        <v>71.728955420000005</v>
      </c>
      <c r="D629">
        <v>76.291064570000003</v>
      </c>
      <c r="E629">
        <v>63.271172370000002</v>
      </c>
      <c r="F629">
        <v>91.27808623</v>
      </c>
      <c r="G629">
        <v>76.575272040000002</v>
      </c>
      <c r="H629">
        <v>67.344039260000002</v>
      </c>
      <c r="I629">
        <v>60.741604809999998</v>
      </c>
    </row>
    <row r="630" spans="1:9" ht="14.25" customHeight="1" x14ac:dyDescent="0.3">
      <c r="A630" t="s">
        <v>1291</v>
      </c>
      <c r="B630">
        <v>77.468405590000003</v>
      </c>
      <c r="C630">
        <v>68.704825389999996</v>
      </c>
      <c r="D630">
        <v>87.874317329999997</v>
      </c>
      <c r="E630">
        <v>66.143977669999998</v>
      </c>
      <c r="F630">
        <v>80</v>
      </c>
      <c r="G630">
        <v>75.284441470000004</v>
      </c>
      <c r="H630">
        <v>72.015486190000004</v>
      </c>
      <c r="I630">
        <v>67.415446700000004</v>
      </c>
    </row>
    <row r="631" spans="1:9" ht="14.25" customHeight="1" x14ac:dyDescent="0.3">
      <c r="A631" t="s">
        <v>1293</v>
      </c>
      <c r="B631">
        <v>79.915021530000004</v>
      </c>
      <c r="C631">
        <v>71.737025349999996</v>
      </c>
      <c r="D631">
        <v>73.73692011</v>
      </c>
      <c r="E631">
        <v>73.973593649999998</v>
      </c>
      <c r="F631">
        <v>94.859585510000002</v>
      </c>
      <c r="G631">
        <v>71.269659369999999</v>
      </c>
      <c r="H631">
        <v>74.05352852</v>
      </c>
      <c r="I631">
        <v>62.594718829999998</v>
      </c>
    </row>
    <row r="632" spans="1:9" ht="14.25" customHeight="1" x14ac:dyDescent="0.3">
      <c r="A632" t="s">
        <v>1295</v>
      </c>
      <c r="B632">
        <v>86.019689139999997</v>
      </c>
      <c r="C632">
        <v>73.538488959999995</v>
      </c>
      <c r="D632">
        <v>76.635557680000005</v>
      </c>
      <c r="E632">
        <v>70.144845410000002</v>
      </c>
      <c r="F632">
        <v>93.238653110000001</v>
      </c>
      <c r="G632">
        <v>67.446196760000007</v>
      </c>
      <c r="H632">
        <v>71.032558699999996</v>
      </c>
      <c r="I632">
        <v>68.968133780000002</v>
      </c>
    </row>
    <row r="633" spans="1:9" ht="14.25" customHeight="1" x14ac:dyDescent="0.3">
      <c r="A633" t="s">
        <v>1297</v>
      </c>
      <c r="B633">
        <v>87.861835139999997</v>
      </c>
      <c r="C633">
        <v>73.280535880000002</v>
      </c>
      <c r="D633">
        <v>73.648488510000007</v>
      </c>
      <c r="E633">
        <v>68.27217838</v>
      </c>
      <c r="F633">
        <v>95.983431069999995</v>
      </c>
      <c r="G633">
        <v>69.508048389999999</v>
      </c>
      <c r="H633">
        <v>70.378894509999995</v>
      </c>
      <c r="I633">
        <v>67.862504079999994</v>
      </c>
    </row>
    <row r="634" spans="1:9" ht="14.25" customHeight="1" x14ac:dyDescent="0.3">
      <c r="A634" t="s">
        <v>1299</v>
      </c>
      <c r="B634">
        <v>78.019577769999998</v>
      </c>
      <c r="C634">
        <v>64.931705519999994</v>
      </c>
      <c r="D634">
        <v>81.455311199999997</v>
      </c>
      <c r="E634">
        <v>65.174252179999996</v>
      </c>
      <c r="F634">
        <v>92.590385429999998</v>
      </c>
      <c r="G634">
        <v>82.368572470000004</v>
      </c>
      <c r="H634">
        <v>72.354206520000005</v>
      </c>
      <c r="I634">
        <v>61.263810040000003</v>
      </c>
    </row>
    <row r="635" spans="1:9" ht="14.25" customHeight="1" x14ac:dyDescent="0.3">
      <c r="A635" t="s">
        <v>1301</v>
      </c>
      <c r="B635">
        <v>81.802595310000001</v>
      </c>
      <c r="C635">
        <v>64.767395070000006</v>
      </c>
      <c r="D635">
        <v>79.116064769999994</v>
      </c>
      <c r="E635">
        <v>62.920285120000003</v>
      </c>
      <c r="F635">
        <v>96.223894779999995</v>
      </c>
      <c r="G635">
        <v>70.568256329999997</v>
      </c>
      <c r="H635">
        <v>69.798919209999994</v>
      </c>
      <c r="I635">
        <v>64.033915890000003</v>
      </c>
    </row>
    <row r="636" spans="1:9" ht="14.25" customHeight="1" x14ac:dyDescent="0.3">
      <c r="A636" t="s">
        <v>1303</v>
      </c>
      <c r="B636">
        <v>82.132402709999994</v>
      </c>
      <c r="C636">
        <v>67.825413299999994</v>
      </c>
      <c r="D636">
        <v>78.228813650000006</v>
      </c>
      <c r="E636">
        <v>72.385442870000006</v>
      </c>
      <c r="F636">
        <v>91.023536730000004</v>
      </c>
      <c r="G636">
        <v>85</v>
      </c>
      <c r="H636">
        <v>70.032741250000001</v>
      </c>
      <c r="I636">
        <v>52.916378379999998</v>
      </c>
    </row>
    <row r="637" spans="1:9" ht="14.25" customHeight="1" x14ac:dyDescent="0.3">
      <c r="A637" t="s">
        <v>1305</v>
      </c>
      <c r="B637">
        <v>86.256755290000001</v>
      </c>
      <c r="C637">
        <v>71.393537760000001</v>
      </c>
      <c r="D637">
        <v>70</v>
      </c>
      <c r="E637">
        <v>69.879108470000006</v>
      </c>
      <c r="F637">
        <v>95.112549799999996</v>
      </c>
      <c r="G637">
        <v>69.842303439999995</v>
      </c>
      <c r="H637">
        <v>73.998781579999999</v>
      </c>
      <c r="I637">
        <v>60.015262659999998</v>
      </c>
    </row>
    <row r="638" spans="1:9" ht="14.25" customHeight="1" x14ac:dyDescent="0.3">
      <c r="A638" t="s">
        <v>1307</v>
      </c>
      <c r="B638">
        <v>88.913858279999999</v>
      </c>
      <c r="C638">
        <v>60.72214125</v>
      </c>
      <c r="D638">
        <v>80.273468089999994</v>
      </c>
      <c r="E638">
        <v>65.436704219999996</v>
      </c>
      <c r="F638">
        <v>88.111916500000007</v>
      </c>
      <c r="G638">
        <v>74.719531989999993</v>
      </c>
      <c r="H638">
        <v>70.764738919999999</v>
      </c>
      <c r="I638">
        <v>52.962680730000002</v>
      </c>
    </row>
    <row r="639" spans="1:9" ht="14.25" customHeight="1" x14ac:dyDescent="0.3">
      <c r="A639" t="s">
        <v>1309</v>
      </c>
      <c r="B639">
        <v>85.413658850000004</v>
      </c>
      <c r="C639">
        <v>72.853828280000002</v>
      </c>
      <c r="D639">
        <v>70</v>
      </c>
      <c r="E639">
        <v>71.655484299999998</v>
      </c>
      <c r="F639">
        <v>92.023073569999994</v>
      </c>
      <c r="G639">
        <v>79.405867889999996</v>
      </c>
      <c r="H639">
        <v>72.553135749999996</v>
      </c>
      <c r="I639">
        <v>53.977341539999998</v>
      </c>
    </row>
    <row r="640" spans="1:9" ht="14.25" customHeight="1" x14ac:dyDescent="0.3">
      <c r="A640" t="s">
        <v>1311</v>
      </c>
      <c r="B640">
        <v>81.147598790000004</v>
      </c>
      <c r="C640">
        <v>61.459870709999997</v>
      </c>
      <c r="D640">
        <v>77.719716590000004</v>
      </c>
      <c r="E640">
        <v>61.229680500000001</v>
      </c>
      <c r="F640">
        <v>93.521320939999995</v>
      </c>
      <c r="G640">
        <v>75.559155989999994</v>
      </c>
      <c r="H640">
        <v>68.96573325</v>
      </c>
      <c r="I640">
        <v>55.505861920000001</v>
      </c>
    </row>
    <row r="641" spans="1:9" ht="14.25" customHeight="1" x14ac:dyDescent="0.3">
      <c r="A641" t="s">
        <v>1313</v>
      </c>
      <c r="B641">
        <v>79.709013659999997</v>
      </c>
      <c r="C641">
        <v>66.482245050000003</v>
      </c>
      <c r="D641">
        <v>79.941047420000004</v>
      </c>
      <c r="E641">
        <v>69.160056890000007</v>
      </c>
      <c r="F641">
        <v>94.628020969999994</v>
      </c>
      <c r="G641">
        <v>80.811869540000004</v>
      </c>
      <c r="H641">
        <v>73.537861160000006</v>
      </c>
      <c r="I641">
        <v>50</v>
      </c>
    </row>
    <row r="642" spans="1:9" ht="14.25" customHeight="1" x14ac:dyDescent="0.3">
      <c r="A642" t="s">
        <v>1315</v>
      </c>
      <c r="B642">
        <v>92.538658299999994</v>
      </c>
      <c r="C642">
        <v>70.823849580000001</v>
      </c>
      <c r="D642">
        <v>70</v>
      </c>
      <c r="E642">
        <v>69.482328120000005</v>
      </c>
      <c r="F642">
        <v>99.9</v>
      </c>
      <c r="G642">
        <v>79.922481860000005</v>
      </c>
      <c r="H642">
        <v>67.258462260000002</v>
      </c>
      <c r="I642">
        <v>65.315231049999994</v>
      </c>
    </row>
    <row r="643" spans="1:9" ht="14.25" customHeight="1" x14ac:dyDescent="0.3">
      <c r="A643" t="s">
        <v>1317</v>
      </c>
      <c r="B643">
        <v>91.292175119999996</v>
      </c>
      <c r="C643">
        <v>74.705576969999996</v>
      </c>
      <c r="D643">
        <v>73.832146820000006</v>
      </c>
      <c r="E643">
        <v>67.516968969999994</v>
      </c>
      <c r="F643">
        <v>94.123837690000002</v>
      </c>
      <c r="G643">
        <v>68.659192430000004</v>
      </c>
      <c r="H643">
        <v>74.860032309999994</v>
      </c>
      <c r="I643">
        <v>59.526867770000003</v>
      </c>
    </row>
    <row r="644" spans="1:9" ht="14.25" customHeight="1" x14ac:dyDescent="0.3">
      <c r="A644" t="s">
        <v>1319</v>
      </c>
      <c r="B644">
        <v>82.803912879999999</v>
      </c>
      <c r="C644">
        <v>74.459085209999998</v>
      </c>
      <c r="D644">
        <v>81.09026102</v>
      </c>
      <c r="E644">
        <v>62.30150665</v>
      </c>
      <c r="F644">
        <v>99.9</v>
      </c>
      <c r="G644">
        <v>85</v>
      </c>
      <c r="H644">
        <v>69.859615059999996</v>
      </c>
      <c r="I644">
        <v>54.268599109999997</v>
      </c>
    </row>
    <row r="645" spans="1:9" ht="14.25" customHeight="1" x14ac:dyDescent="0.3">
      <c r="A645" t="s">
        <v>1321</v>
      </c>
      <c r="B645">
        <v>91.75798073</v>
      </c>
      <c r="C645">
        <v>67.938707690000001</v>
      </c>
      <c r="D645">
        <v>79.795640629999994</v>
      </c>
      <c r="E645">
        <v>64.217868710000005</v>
      </c>
      <c r="F645">
        <v>89.24958479</v>
      </c>
      <c r="G645">
        <v>78.792839529999995</v>
      </c>
      <c r="H645">
        <v>67.267481840000002</v>
      </c>
      <c r="I645">
        <v>66.552939539999997</v>
      </c>
    </row>
    <row r="646" spans="1:9" ht="14.25" customHeight="1" x14ac:dyDescent="0.3">
      <c r="A646" t="s">
        <v>1324</v>
      </c>
      <c r="B646">
        <v>84.286676709999995</v>
      </c>
      <c r="C646">
        <v>70.489679129999999</v>
      </c>
      <c r="D646">
        <v>79.542738310000004</v>
      </c>
      <c r="E646">
        <v>68.298867900000005</v>
      </c>
      <c r="F646">
        <v>89.870713089999995</v>
      </c>
      <c r="G646">
        <v>78.032578349999994</v>
      </c>
      <c r="H646">
        <v>72.509249870000005</v>
      </c>
      <c r="I646">
        <v>53.246486060000002</v>
      </c>
    </row>
    <row r="647" spans="1:9" ht="14.25" customHeight="1" x14ac:dyDescent="0.3">
      <c r="A647" t="s">
        <v>1326</v>
      </c>
      <c r="B647">
        <v>88.506699650000002</v>
      </c>
      <c r="C647">
        <v>67.223628739999995</v>
      </c>
      <c r="D647">
        <v>73.470938390000001</v>
      </c>
      <c r="E647">
        <v>64.082807590000002</v>
      </c>
      <c r="F647">
        <v>89.464518190000007</v>
      </c>
      <c r="G647">
        <v>71.192328880000005</v>
      </c>
      <c r="H647">
        <v>74.226077799999999</v>
      </c>
      <c r="I647">
        <v>63.767387909999997</v>
      </c>
    </row>
    <row r="648" spans="1:9" ht="14.25" customHeight="1" x14ac:dyDescent="0.3">
      <c r="A648" t="s">
        <v>1328</v>
      </c>
      <c r="B648">
        <v>87.037507020000007</v>
      </c>
      <c r="C648">
        <v>66.767772620000002</v>
      </c>
      <c r="D648">
        <v>70</v>
      </c>
      <c r="E648">
        <v>74.328636020000005</v>
      </c>
      <c r="F648">
        <v>92.688010410000004</v>
      </c>
      <c r="G648">
        <v>77.125364090000005</v>
      </c>
      <c r="H648">
        <v>70.976564510000003</v>
      </c>
      <c r="I648">
        <v>50</v>
      </c>
    </row>
    <row r="649" spans="1:9" ht="14.25" customHeight="1" x14ac:dyDescent="0.3">
      <c r="A649" t="s">
        <v>1330</v>
      </c>
      <c r="B649">
        <v>79.168451669999996</v>
      </c>
      <c r="C649">
        <v>73.955507979999993</v>
      </c>
      <c r="D649">
        <v>74.732368899999997</v>
      </c>
      <c r="E649">
        <v>70.223516029999999</v>
      </c>
      <c r="F649">
        <v>80</v>
      </c>
      <c r="G649">
        <v>71.105822259999997</v>
      </c>
      <c r="H649">
        <v>66.129682149999994</v>
      </c>
      <c r="I649">
        <v>61.591164999999997</v>
      </c>
    </row>
    <row r="650" spans="1:9" ht="14.25" customHeight="1" x14ac:dyDescent="0.3">
      <c r="A650" t="s">
        <v>1332</v>
      </c>
      <c r="B650">
        <v>91.686014290000003</v>
      </c>
      <c r="C650">
        <v>74.154567709999995</v>
      </c>
      <c r="D650">
        <v>76.681880939999999</v>
      </c>
      <c r="E650">
        <v>65.840864389999993</v>
      </c>
      <c r="F650">
        <v>91.215810930000004</v>
      </c>
      <c r="G650">
        <v>83.505246389999996</v>
      </c>
      <c r="H650">
        <v>67.685515120000005</v>
      </c>
      <c r="I650">
        <v>65.959827369999999</v>
      </c>
    </row>
    <row r="651" spans="1:9" ht="14.25" customHeight="1" x14ac:dyDescent="0.3">
      <c r="A651" t="s">
        <v>1334</v>
      </c>
      <c r="B651">
        <v>82.094892689999995</v>
      </c>
      <c r="C651">
        <v>74.340259140000001</v>
      </c>
      <c r="D651">
        <v>76.029666969999994</v>
      </c>
      <c r="E651">
        <v>60.80623421</v>
      </c>
      <c r="F651">
        <v>91.005437860000001</v>
      </c>
      <c r="G651">
        <v>84.617869560000003</v>
      </c>
      <c r="H651">
        <v>72.358893899999998</v>
      </c>
      <c r="I651">
        <v>50</v>
      </c>
    </row>
    <row r="652" spans="1:9" ht="14.25" customHeight="1" x14ac:dyDescent="0.3">
      <c r="A652" t="s">
        <v>1336</v>
      </c>
      <c r="B652">
        <v>85.491195360000006</v>
      </c>
      <c r="C652">
        <v>80</v>
      </c>
      <c r="D652">
        <v>78.586330329999996</v>
      </c>
      <c r="E652">
        <v>72.04632805</v>
      </c>
      <c r="F652">
        <v>81.831708950000007</v>
      </c>
      <c r="G652">
        <v>79.809795510000001</v>
      </c>
      <c r="H652">
        <v>69.287920880000001</v>
      </c>
      <c r="I652">
        <v>56.069142020000001</v>
      </c>
    </row>
    <row r="653" spans="1:9" ht="14.25" customHeight="1" x14ac:dyDescent="0.3">
      <c r="A653" t="s">
        <v>1338</v>
      </c>
      <c r="B653">
        <v>79.034305450000005</v>
      </c>
      <c r="C653">
        <v>60</v>
      </c>
      <c r="D653">
        <v>85.712250920000002</v>
      </c>
      <c r="E653">
        <v>55</v>
      </c>
      <c r="F653">
        <v>93.269340729999996</v>
      </c>
      <c r="G653">
        <v>85</v>
      </c>
      <c r="H653">
        <v>65.215216560000002</v>
      </c>
      <c r="I653">
        <v>50</v>
      </c>
    </row>
    <row r="654" spans="1:9" ht="14.25" customHeight="1" x14ac:dyDescent="0.3">
      <c r="A654" t="s">
        <v>1340</v>
      </c>
      <c r="B654">
        <v>76.650722250000001</v>
      </c>
      <c r="C654">
        <v>69.013877539999996</v>
      </c>
      <c r="D654">
        <v>84.836886879999994</v>
      </c>
      <c r="E654">
        <v>64.284266430000002</v>
      </c>
      <c r="F654">
        <v>82.019974880000007</v>
      </c>
      <c r="G654">
        <v>83.631838070000001</v>
      </c>
      <c r="H654">
        <v>73.141465960000005</v>
      </c>
      <c r="I654">
        <v>55.356575239999998</v>
      </c>
    </row>
    <row r="655" spans="1:9" ht="14.25" customHeight="1" x14ac:dyDescent="0.3">
      <c r="A655" t="s">
        <v>1342</v>
      </c>
      <c r="B655">
        <v>87.476671999999994</v>
      </c>
      <c r="C655">
        <v>70.640073790000002</v>
      </c>
      <c r="D655">
        <v>81.337497839999997</v>
      </c>
      <c r="E655">
        <v>68.383302450000002</v>
      </c>
      <c r="F655">
        <v>97.109103599999997</v>
      </c>
      <c r="G655">
        <v>76.176735570000005</v>
      </c>
      <c r="H655">
        <v>69.376191180000006</v>
      </c>
      <c r="I655">
        <v>54.005447439999998</v>
      </c>
    </row>
    <row r="656" spans="1:9" ht="14.25" customHeight="1" x14ac:dyDescent="0.3">
      <c r="A656" t="s">
        <v>1344</v>
      </c>
      <c r="B656">
        <v>80.313754739999993</v>
      </c>
      <c r="C656">
        <v>63.119557839999999</v>
      </c>
      <c r="D656">
        <v>74.081163910000001</v>
      </c>
      <c r="E656">
        <v>65.039450689999995</v>
      </c>
      <c r="F656">
        <v>89.141419350000007</v>
      </c>
      <c r="G656">
        <v>69.855349189999998</v>
      </c>
      <c r="H656">
        <v>72.934384899999998</v>
      </c>
      <c r="I656">
        <v>60.36676859</v>
      </c>
    </row>
    <row r="657" spans="1:9" ht="14.25" customHeight="1" x14ac:dyDescent="0.3">
      <c r="A657" t="s">
        <v>1346</v>
      </c>
      <c r="B657">
        <v>81.121776010000005</v>
      </c>
      <c r="C657">
        <v>75.621566079999994</v>
      </c>
      <c r="D657">
        <v>70</v>
      </c>
      <c r="E657">
        <v>68.429263329999998</v>
      </c>
      <c r="F657">
        <v>85.394962230000004</v>
      </c>
      <c r="G657">
        <v>76.332996739999999</v>
      </c>
      <c r="H657">
        <v>67.715410820000002</v>
      </c>
      <c r="I657">
        <v>55.205380839999997</v>
      </c>
    </row>
    <row r="658" spans="1:9" ht="14.25" customHeight="1" x14ac:dyDescent="0.3">
      <c r="A658" t="s">
        <v>1348</v>
      </c>
      <c r="B658">
        <v>80.1817779</v>
      </c>
      <c r="C658">
        <v>73.633511929999997</v>
      </c>
      <c r="D658">
        <v>70</v>
      </c>
      <c r="E658">
        <v>71.604697290000004</v>
      </c>
      <c r="F658">
        <v>91.037751490000005</v>
      </c>
      <c r="G658">
        <v>81.016091270000004</v>
      </c>
      <c r="H658">
        <v>73.301561570000004</v>
      </c>
      <c r="I658">
        <v>56.87257082</v>
      </c>
    </row>
    <row r="659" spans="1:9" ht="14.25" customHeight="1" x14ac:dyDescent="0.3">
      <c r="A659" t="s">
        <v>1350</v>
      </c>
      <c r="B659">
        <v>84.051303669999996</v>
      </c>
      <c r="C659">
        <v>65.760675050000003</v>
      </c>
      <c r="D659">
        <v>80.866246230000002</v>
      </c>
      <c r="E659">
        <v>69.348141799999993</v>
      </c>
      <c r="F659">
        <v>81.625732220000003</v>
      </c>
      <c r="G659">
        <v>85</v>
      </c>
      <c r="H659">
        <v>69.484788710000004</v>
      </c>
      <c r="I659">
        <v>57.656219200000002</v>
      </c>
    </row>
    <row r="660" spans="1:9" ht="14.25" customHeight="1" x14ac:dyDescent="0.3">
      <c r="A660" t="s">
        <v>1352</v>
      </c>
      <c r="B660">
        <v>85.3527287</v>
      </c>
      <c r="C660">
        <v>61.48711419</v>
      </c>
      <c r="D660">
        <v>78.893205050000006</v>
      </c>
      <c r="E660">
        <v>73.197750819999996</v>
      </c>
      <c r="F660">
        <v>85.725135609999995</v>
      </c>
      <c r="G660">
        <v>77.229090940000006</v>
      </c>
      <c r="H660">
        <v>65</v>
      </c>
      <c r="I660">
        <v>65.904868719999996</v>
      </c>
    </row>
    <row r="661" spans="1:9" ht="14.25" customHeight="1" x14ac:dyDescent="0.3">
      <c r="A661" t="s">
        <v>1354</v>
      </c>
      <c r="B661">
        <v>81.060712609999996</v>
      </c>
      <c r="C661">
        <v>72.04623196</v>
      </c>
      <c r="D661">
        <v>79.824754900000002</v>
      </c>
      <c r="E661">
        <v>60.308434849999998</v>
      </c>
      <c r="F661">
        <v>88.395866609999999</v>
      </c>
      <c r="G661">
        <v>81.22401868</v>
      </c>
      <c r="H661">
        <v>73.841962730000006</v>
      </c>
      <c r="I661">
        <v>50</v>
      </c>
    </row>
    <row r="662" spans="1:9" ht="14.25" customHeight="1" x14ac:dyDescent="0.3">
      <c r="A662" t="s">
        <v>1356</v>
      </c>
      <c r="B662">
        <v>86.437413669999998</v>
      </c>
      <c r="C662">
        <v>63.123064630000002</v>
      </c>
      <c r="D662">
        <v>84.899992260000005</v>
      </c>
      <c r="E662">
        <v>58.885046780000003</v>
      </c>
      <c r="F662">
        <v>94.796302710000006</v>
      </c>
      <c r="G662">
        <v>77.841839789999995</v>
      </c>
      <c r="H662">
        <v>65.525450800000002</v>
      </c>
      <c r="I662">
        <v>50</v>
      </c>
    </row>
    <row r="663" spans="1:9" ht="14.25" customHeight="1" x14ac:dyDescent="0.3">
      <c r="A663" t="s">
        <v>1358</v>
      </c>
      <c r="B663">
        <v>94.958696070000002</v>
      </c>
      <c r="C663">
        <v>66.327358390000001</v>
      </c>
      <c r="D663">
        <v>90</v>
      </c>
      <c r="E663">
        <v>73.754959119999995</v>
      </c>
      <c r="F663">
        <v>81.078334269999999</v>
      </c>
      <c r="G663">
        <v>73.164259979999997</v>
      </c>
      <c r="H663">
        <v>71.079486149999994</v>
      </c>
      <c r="I663">
        <v>50.893671470000001</v>
      </c>
    </row>
    <row r="664" spans="1:9" ht="14.25" customHeight="1" x14ac:dyDescent="0.3">
      <c r="A664" t="s">
        <v>1360</v>
      </c>
      <c r="B664">
        <v>89.006833929999999</v>
      </c>
      <c r="C664">
        <v>70.141475639999996</v>
      </c>
      <c r="D664">
        <v>88.770983169999994</v>
      </c>
      <c r="E664">
        <v>64.572670740000007</v>
      </c>
      <c r="F664">
        <v>84.010248730000001</v>
      </c>
      <c r="G664">
        <v>85</v>
      </c>
      <c r="H664">
        <v>71.778397209999994</v>
      </c>
      <c r="I664">
        <v>57.433377329999999</v>
      </c>
    </row>
    <row r="665" spans="1:9" ht="14.25" customHeight="1" x14ac:dyDescent="0.3">
      <c r="A665" t="s">
        <v>1362</v>
      </c>
      <c r="B665">
        <v>85.641579730000004</v>
      </c>
      <c r="C665">
        <v>76.769946739999995</v>
      </c>
      <c r="D665">
        <v>81.815542910000005</v>
      </c>
      <c r="E665">
        <v>67.806565180000007</v>
      </c>
      <c r="F665">
        <v>92.830695509999998</v>
      </c>
      <c r="G665">
        <v>85</v>
      </c>
      <c r="H665">
        <v>74.602111190000002</v>
      </c>
      <c r="I665">
        <v>59.499133010000001</v>
      </c>
    </row>
    <row r="666" spans="1:9" ht="14.25" customHeight="1" x14ac:dyDescent="0.3">
      <c r="A666" t="s">
        <v>1364</v>
      </c>
      <c r="B666">
        <v>89.891474299999999</v>
      </c>
      <c r="C666">
        <v>60</v>
      </c>
      <c r="D666">
        <v>70</v>
      </c>
      <c r="E666">
        <v>70.133284360000005</v>
      </c>
      <c r="F666">
        <v>87.915279859999998</v>
      </c>
      <c r="G666">
        <v>85</v>
      </c>
      <c r="H666">
        <v>71.765024519999997</v>
      </c>
      <c r="I666">
        <v>59.91454615</v>
      </c>
    </row>
    <row r="667" spans="1:9" ht="14.25" customHeight="1" x14ac:dyDescent="0.3">
      <c r="A667" t="s">
        <v>1366</v>
      </c>
      <c r="B667">
        <v>87.089013620000003</v>
      </c>
      <c r="C667">
        <v>69.205745919999998</v>
      </c>
      <c r="D667">
        <v>75.763482490000001</v>
      </c>
      <c r="E667">
        <v>71.866613020000003</v>
      </c>
      <c r="F667">
        <v>81.398680659999997</v>
      </c>
      <c r="G667">
        <v>74.686793730000005</v>
      </c>
      <c r="H667">
        <v>65</v>
      </c>
      <c r="I667">
        <v>61.741791399999997</v>
      </c>
    </row>
    <row r="668" spans="1:9" ht="14.25" customHeight="1" x14ac:dyDescent="0.3">
      <c r="A668" t="s">
        <v>1368</v>
      </c>
      <c r="B668">
        <v>82.405503190000005</v>
      </c>
      <c r="C668">
        <v>74.487340939999996</v>
      </c>
      <c r="D668">
        <v>88.324464610000007</v>
      </c>
      <c r="E668">
        <v>62.705044020000003</v>
      </c>
      <c r="F668">
        <v>80</v>
      </c>
      <c r="G668">
        <v>73.526652350000006</v>
      </c>
      <c r="H668">
        <v>68.775561890000006</v>
      </c>
      <c r="I668">
        <v>66.770853310000007</v>
      </c>
    </row>
    <row r="669" spans="1:9" ht="14.25" customHeight="1" x14ac:dyDescent="0.3">
      <c r="A669" t="s">
        <v>1370</v>
      </c>
      <c r="B669">
        <v>86.994980769999998</v>
      </c>
      <c r="C669">
        <v>65.113509339999993</v>
      </c>
      <c r="D669">
        <v>76.93498271</v>
      </c>
      <c r="E669">
        <v>71.062347889999998</v>
      </c>
      <c r="F669">
        <v>91.620990359999993</v>
      </c>
      <c r="G669">
        <v>82.887413260000002</v>
      </c>
      <c r="H669">
        <v>72.200988280000004</v>
      </c>
      <c r="I669">
        <v>56.544992749999999</v>
      </c>
    </row>
    <row r="670" spans="1:9" ht="14.25" customHeight="1" x14ac:dyDescent="0.3">
      <c r="A670" t="s">
        <v>1372</v>
      </c>
      <c r="B670">
        <v>85.72385731</v>
      </c>
      <c r="C670">
        <v>70.714110090000005</v>
      </c>
      <c r="D670">
        <v>80.461183700000007</v>
      </c>
      <c r="E670">
        <v>67.703815910000003</v>
      </c>
      <c r="F670">
        <v>96.080071570000001</v>
      </c>
      <c r="G670">
        <v>74.669647400000002</v>
      </c>
      <c r="H670">
        <v>67.545199120000007</v>
      </c>
      <c r="I670">
        <v>56.631620409999996</v>
      </c>
    </row>
    <row r="671" spans="1:9" ht="14.25" customHeight="1" x14ac:dyDescent="0.3">
      <c r="A671" t="s">
        <v>1374</v>
      </c>
      <c r="B671">
        <v>87.128772280000007</v>
      </c>
      <c r="C671">
        <v>72.380481000000003</v>
      </c>
      <c r="D671">
        <v>73.044661669999996</v>
      </c>
      <c r="E671">
        <v>66.227241910000004</v>
      </c>
      <c r="F671">
        <v>80</v>
      </c>
      <c r="G671">
        <v>78.686721820000002</v>
      </c>
      <c r="H671">
        <v>72.608715489999994</v>
      </c>
      <c r="I671">
        <v>51.658909600000001</v>
      </c>
    </row>
    <row r="672" spans="1:9" ht="14.25" customHeight="1" x14ac:dyDescent="0.3">
      <c r="A672" t="s">
        <v>1376</v>
      </c>
      <c r="B672">
        <v>96.422593829999997</v>
      </c>
      <c r="C672">
        <v>73.434438069999999</v>
      </c>
      <c r="D672">
        <v>70</v>
      </c>
      <c r="E672">
        <v>59.089963640000001</v>
      </c>
      <c r="F672">
        <v>90.454792889999993</v>
      </c>
      <c r="G672">
        <v>83.930291139999994</v>
      </c>
      <c r="H672">
        <v>69.49336065</v>
      </c>
      <c r="I672">
        <v>60.533366600000001</v>
      </c>
    </row>
    <row r="673" spans="1:9" ht="14.25" customHeight="1" x14ac:dyDescent="0.3">
      <c r="A673" t="s">
        <v>1378</v>
      </c>
      <c r="B673">
        <v>90.162418180000003</v>
      </c>
      <c r="C673">
        <v>60.467711270000002</v>
      </c>
      <c r="D673">
        <v>73.129089129999997</v>
      </c>
      <c r="E673">
        <v>72.60445833</v>
      </c>
      <c r="F673">
        <v>94.545979979999998</v>
      </c>
      <c r="G673">
        <v>78.613231429999999</v>
      </c>
      <c r="H673">
        <v>77.512050369999997</v>
      </c>
      <c r="I673">
        <v>65.481716759999998</v>
      </c>
    </row>
    <row r="674" spans="1:9" ht="14.25" customHeight="1" x14ac:dyDescent="0.3">
      <c r="A674" t="s">
        <v>1380</v>
      </c>
      <c r="B674">
        <v>82.847326499999994</v>
      </c>
      <c r="C674">
        <v>75.571679349999997</v>
      </c>
      <c r="D674">
        <v>80.364614040000006</v>
      </c>
      <c r="E674">
        <v>55</v>
      </c>
      <c r="F674">
        <v>96.906262760000004</v>
      </c>
      <c r="G674">
        <v>80.108350669999993</v>
      </c>
      <c r="H674">
        <v>68.320577249999999</v>
      </c>
      <c r="I674">
        <v>67.711326119999995</v>
      </c>
    </row>
    <row r="675" spans="1:9" ht="14.25" customHeight="1" x14ac:dyDescent="0.3">
      <c r="A675" t="s">
        <v>1382</v>
      </c>
      <c r="B675">
        <v>90.648524699999996</v>
      </c>
      <c r="C675">
        <v>64.450324710000004</v>
      </c>
      <c r="D675">
        <v>82.037558390000001</v>
      </c>
      <c r="E675">
        <v>62.922875959999999</v>
      </c>
      <c r="F675">
        <v>85.011987309999995</v>
      </c>
      <c r="G675">
        <v>85</v>
      </c>
      <c r="H675">
        <v>72.176479479999998</v>
      </c>
      <c r="I675">
        <v>53.219173929999997</v>
      </c>
    </row>
    <row r="676" spans="1:9" ht="14.25" customHeight="1" x14ac:dyDescent="0.3">
      <c r="A676" t="s">
        <v>1384</v>
      </c>
      <c r="B676">
        <v>81.095736819999999</v>
      </c>
      <c r="C676">
        <v>60.56868669</v>
      </c>
      <c r="D676">
        <v>70.647597410000003</v>
      </c>
      <c r="E676">
        <v>65.579737089999995</v>
      </c>
      <c r="F676">
        <v>99.9</v>
      </c>
      <c r="G676">
        <v>71.960417410000005</v>
      </c>
      <c r="H676">
        <v>67.767742530000007</v>
      </c>
      <c r="I676">
        <v>59.934229690000002</v>
      </c>
    </row>
    <row r="677" spans="1:9" ht="14.25" customHeight="1" x14ac:dyDescent="0.3">
      <c r="A677" t="s">
        <v>1386</v>
      </c>
      <c r="B677">
        <v>79.872470820000004</v>
      </c>
      <c r="C677">
        <v>65.211516750000001</v>
      </c>
      <c r="D677">
        <v>84.059897789999994</v>
      </c>
      <c r="E677">
        <v>74.811041759999995</v>
      </c>
      <c r="F677">
        <v>99.9</v>
      </c>
      <c r="G677">
        <v>74.112411449999996</v>
      </c>
      <c r="H677">
        <v>69.536817220000003</v>
      </c>
      <c r="I677">
        <v>52.350845540000002</v>
      </c>
    </row>
    <row r="678" spans="1:9" ht="14.25" customHeight="1" x14ac:dyDescent="0.3">
      <c r="A678" t="s">
        <v>1388</v>
      </c>
      <c r="B678">
        <v>79.308760329999998</v>
      </c>
      <c r="C678">
        <v>69.509796769999994</v>
      </c>
      <c r="D678">
        <v>70</v>
      </c>
      <c r="E678">
        <v>65.051523919999994</v>
      </c>
      <c r="F678">
        <v>86.546790119999997</v>
      </c>
      <c r="G678">
        <v>79.84157802</v>
      </c>
      <c r="H678">
        <v>77.425398040000005</v>
      </c>
      <c r="I678">
        <v>58.817639620000001</v>
      </c>
    </row>
    <row r="679" spans="1:9" ht="14.25" customHeight="1" x14ac:dyDescent="0.3">
      <c r="A679" t="s">
        <v>1390</v>
      </c>
      <c r="B679">
        <v>90.180655700000003</v>
      </c>
      <c r="C679">
        <v>69.926989430000006</v>
      </c>
      <c r="D679">
        <v>75.310320219999994</v>
      </c>
      <c r="E679">
        <v>61.41346325</v>
      </c>
      <c r="F679">
        <v>99.9</v>
      </c>
      <c r="G679">
        <v>79.046325280000005</v>
      </c>
      <c r="H679">
        <v>69.631400009999993</v>
      </c>
      <c r="I679">
        <v>64.149108679999998</v>
      </c>
    </row>
    <row r="680" spans="1:9" ht="14.25" customHeight="1" x14ac:dyDescent="0.3">
      <c r="A680" t="s">
        <v>1392</v>
      </c>
      <c r="B680">
        <v>82.368671070000005</v>
      </c>
      <c r="C680">
        <v>62.927398310000001</v>
      </c>
      <c r="D680">
        <v>78.498423000000003</v>
      </c>
      <c r="E680">
        <v>65.941517849999997</v>
      </c>
      <c r="F680">
        <v>92.829876409999997</v>
      </c>
      <c r="G680">
        <v>76.944199580000003</v>
      </c>
      <c r="H680">
        <v>75.673083129999995</v>
      </c>
      <c r="I680">
        <v>50</v>
      </c>
    </row>
    <row r="681" spans="1:9" ht="14.25" customHeight="1" x14ac:dyDescent="0.3">
      <c r="A681" t="s">
        <v>1394</v>
      </c>
      <c r="B681">
        <v>81.386293820000006</v>
      </c>
      <c r="C681">
        <v>73.964605800000001</v>
      </c>
      <c r="D681">
        <v>77.232400819999995</v>
      </c>
      <c r="E681">
        <v>58.604169929999998</v>
      </c>
      <c r="F681">
        <v>86.681409610000003</v>
      </c>
      <c r="G681">
        <v>71.301043309999997</v>
      </c>
      <c r="H681">
        <v>76.990430079999996</v>
      </c>
      <c r="I681">
        <v>50</v>
      </c>
    </row>
    <row r="682" spans="1:9" ht="14.25" customHeight="1" x14ac:dyDescent="0.3">
      <c r="A682" t="s">
        <v>1396</v>
      </c>
      <c r="B682">
        <v>81.432562520000005</v>
      </c>
      <c r="C682">
        <v>72.700281340000004</v>
      </c>
      <c r="D682">
        <v>74.105631220000006</v>
      </c>
      <c r="E682">
        <v>68.474509530000006</v>
      </c>
      <c r="F682">
        <v>91.409447389999997</v>
      </c>
      <c r="G682">
        <v>78.880290360000004</v>
      </c>
      <c r="H682">
        <v>70.984394080000001</v>
      </c>
      <c r="I682">
        <v>62.555330900000001</v>
      </c>
    </row>
    <row r="683" spans="1:9" ht="14.25" customHeight="1" x14ac:dyDescent="0.3">
      <c r="A683" t="s">
        <v>1398</v>
      </c>
      <c r="B683">
        <v>91.826291280000007</v>
      </c>
      <c r="C683">
        <v>65.177429700000005</v>
      </c>
      <c r="D683">
        <v>72.405403750000005</v>
      </c>
      <c r="E683">
        <v>65.690759389999997</v>
      </c>
      <c r="F683">
        <v>99.9</v>
      </c>
      <c r="G683">
        <v>85</v>
      </c>
      <c r="H683">
        <v>72.262284620000003</v>
      </c>
      <c r="I683">
        <v>55.15208294</v>
      </c>
    </row>
    <row r="684" spans="1:9" ht="14.25" customHeight="1" x14ac:dyDescent="0.3">
      <c r="A684" t="s">
        <v>1400</v>
      </c>
      <c r="B684">
        <v>79.796840939999996</v>
      </c>
      <c r="C684">
        <v>69.756050200000004</v>
      </c>
      <c r="D684">
        <v>76.350543619999996</v>
      </c>
      <c r="E684">
        <v>64.779788289999999</v>
      </c>
      <c r="F684">
        <v>83.699034819999994</v>
      </c>
      <c r="G684">
        <v>80.205328129999998</v>
      </c>
      <c r="H684">
        <v>66.512474870000005</v>
      </c>
      <c r="I684">
        <v>52.4249492</v>
      </c>
    </row>
    <row r="685" spans="1:9" ht="14.25" customHeight="1" x14ac:dyDescent="0.3">
      <c r="A685" t="s">
        <v>1402</v>
      </c>
      <c r="B685">
        <v>91.390832570000001</v>
      </c>
      <c r="C685">
        <v>69.886884589999994</v>
      </c>
      <c r="D685">
        <v>72.569946909999999</v>
      </c>
      <c r="E685">
        <v>66.950741840000006</v>
      </c>
      <c r="F685">
        <v>87.836595669999994</v>
      </c>
      <c r="G685">
        <v>83.729316080000004</v>
      </c>
      <c r="H685">
        <v>66.534423970000006</v>
      </c>
      <c r="I685">
        <v>58.301090309999999</v>
      </c>
    </row>
    <row r="686" spans="1:9" ht="14.25" customHeight="1" x14ac:dyDescent="0.3">
      <c r="A686" t="s">
        <v>1404</v>
      </c>
      <c r="B686">
        <v>84.295555890000003</v>
      </c>
      <c r="C686">
        <v>67.191998600000005</v>
      </c>
      <c r="D686">
        <v>89.618427920000002</v>
      </c>
      <c r="E686">
        <v>67.415233069999999</v>
      </c>
      <c r="F686">
        <v>90.895778849999999</v>
      </c>
      <c r="G686">
        <v>80.906007689999996</v>
      </c>
      <c r="H686">
        <v>65.815454250000002</v>
      </c>
      <c r="I686">
        <v>66.043216400000006</v>
      </c>
    </row>
    <row r="687" spans="1:9" ht="14.25" customHeight="1" x14ac:dyDescent="0.3">
      <c r="A687" t="s">
        <v>1406</v>
      </c>
      <c r="B687">
        <v>85.889002090000005</v>
      </c>
      <c r="C687">
        <v>73.692578350000005</v>
      </c>
      <c r="D687">
        <v>85.668131900000006</v>
      </c>
      <c r="E687">
        <v>61.611958729999998</v>
      </c>
      <c r="F687">
        <v>97.858052689999994</v>
      </c>
      <c r="G687">
        <v>75.711735059999995</v>
      </c>
      <c r="H687">
        <v>68.528873849999997</v>
      </c>
      <c r="I687">
        <v>57.500207809999999</v>
      </c>
    </row>
    <row r="688" spans="1:9" ht="14.25" customHeight="1" x14ac:dyDescent="0.3">
      <c r="A688" t="s">
        <v>1408</v>
      </c>
      <c r="B688">
        <v>81.863245480000003</v>
      </c>
      <c r="C688">
        <v>70.455679430000004</v>
      </c>
      <c r="D688">
        <v>70</v>
      </c>
      <c r="E688">
        <v>71.015150009999999</v>
      </c>
      <c r="F688">
        <v>91.092268450000006</v>
      </c>
      <c r="G688">
        <v>85</v>
      </c>
      <c r="H688">
        <v>69.672802849999997</v>
      </c>
      <c r="I688">
        <v>57.341062360000002</v>
      </c>
    </row>
    <row r="689" spans="1:9" ht="14.25" customHeight="1" x14ac:dyDescent="0.3">
      <c r="A689" t="s">
        <v>1410</v>
      </c>
      <c r="B689">
        <v>96.200902049999996</v>
      </c>
      <c r="C689">
        <v>73.12558473</v>
      </c>
      <c r="D689">
        <v>79.056839350000004</v>
      </c>
      <c r="E689">
        <v>63.831704629999997</v>
      </c>
      <c r="F689">
        <v>80</v>
      </c>
      <c r="G689">
        <v>85</v>
      </c>
      <c r="H689">
        <v>69.643005810000005</v>
      </c>
      <c r="I689">
        <v>53.624839459999997</v>
      </c>
    </row>
    <row r="690" spans="1:9" ht="14.25" customHeight="1" x14ac:dyDescent="0.3">
      <c r="A690" t="s">
        <v>1412</v>
      </c>
      <c r="B690">
        <v>78.769344810000007</v>
      </c>
      <c r="C690">
        <v>69.534085630000007</v>
      </c>
      <c r="D690">
        <v>73.628412890000007</v>
      </c>
      <c r="E690">
        <v>59.120904150000001</v>
      </c>
      <c r="F690">
        <v>80</v>
      </c>
      <c r="G690">
        <v>85</v>
      </c>
      <c r="H690">
        <v>77.955579880000002</v>
      </c>
      <c r="I690">
        <v>57.066139700000001</v>
      </c>
    </row>
    <row r="691" spans="1:9" ht="14.25" customHeight="1" x14ac:dyDescent="0.3">
      <c r="A691" t="s">
        <v>1414</v>
      </c>
      <c r="B691">
        <v>82.333622730000002</v>
      </c>
      <c r="C691">
        <v>75.289355700000002</v>
      </c>
      <c r="D691">
        <v>73.024459550000003</v>
      </c>
      <c r="E691">
        <v>62.67173588</v>
      </c>
      <c r="F691">
        <v>82.040356220000007</v>
      </c>
      <c r="G691">
        <v>79.566062520000003</v>
      </c>
      <c r="H691">
        <v>74.237128299999995</v>
      </c>
      <c r="I691">
        <v>51.962967130000003</v>
      </c>
    </row>
    <row r="692" spans="1:9" ht="14.25" customHeight="1" x14ac:dyDescent="0.3">
      <c r="A692" t="s">
        <v>1416</v>
      </c>
      <c r="B692">
        <v>84.568732549999993</v>
      </c>
      <c r="C692">
        <v>68.522239279999994</v>
      </c>
      <c r="D692">
        <v>72.650261670000006</v>
      </c>
      <c r="E692">
        <v>66.405501990000005</v>
      </c>
      <c r="F692">
        <v>99.9</v>
      </c>
      <c r="G692">
        <v>68.233738399999993</v>
      </c>
      <c r="H692">
        <v>71.238264979999997</v>
      </c>
      <c r="I692">
        <v>52.777738200000002</v>
      </c>
    </row>
    <row r="693" spans="1:9" ht="14.25" customHeight="1" x14ac:dyDescent="0.3">
      <c r="A693" t="s">
        <v>1418</v>
      </c>
      <c r="B693">
        <v>94.235928450000003</v>
      </c>
      <c r="C693">
        <v>79.046884640000002</v>
      </c>
      <c r="D693">
        <v>70</v>
      </c>
      <c r="E693">
        <v>66.180751920000006</v>
      </c>
      <c r="F693">
        <v>80</v>
      </c>
      <c r="G693">
        <v>83.264090809999999</v>
      </c>
      <c r="H693">
        <v>71.041894679999999</v>
      </c>
      <c r="I693">
        <v>62.388367379999998</v>
      </c>
    </row>
    <row r="694" spans="1:9" ht="14.25" customHeight="1" x14ac:dyDescent="0.3">
      <c r="A694" t="s">
        <v>1420</v>
      </c>
      <c r="B694">
        <v>78.539589629999995</v>
      </c>
      <c r="C694">
        <v>70.28492353</v>
      </c>
      <c r="D694">
        <v>80.965457290000003</v>
      </c>
      <c r="E694">
        <v>64.789710299999996</v>
      </c>
      <c r="F694">
        <v>80</v>
      </c>
      <c r="G694">
        <v>79.446636479999995</v>
      </c>
      <c r="H694">
        <v>71.088476920000005</v>
      </c>
      <c r="I694">
        <v>56.432183029999997</v>
      </c>
    </row>
    <row r="695" spans="1:9" ht="14.25" customHeight="1" x14ac:dyDescent="0.3">
      <c r="A695" t="s">
        <v>1422</v>
      </c>
      <c r="B695">
        <v>84.235160500000006</v>
      </c>
      <c r="C695">
        <v>65.320995730000007</v>
      </c>
      <c r="D695">
        <v>70</v>
      </c>
      <c r="E695">
        <v>75</v>
      </c>
      <c r="F695">
        <v>80.321849229999998</v>
      </c>
      <c r="G695">
        <v>72.715509749999995</v>
      </c>
      <c r="H695">
        <v>72.712297070000005</v>
      </c>
      <c r="I695">
        <v>59.53007324</v>
      </c>
    </row>
    <row r="696" spans="1:9" ht="14.25" customHeight="1" x14ac:dyDescent="0.3">
      <c r="A696" t="s">
        <v>1424</v>
      </c>
      <c r="B696">
        <v>96.013061449999995</v>
      </c>
      <c r="C696">
        <v>60</v>
      </c>
      <c r="D696">
        <v>77.105001869999995</v>
      </c>
      <c r="E696">
        <v>64.009522329999996</v>
      </c>
      <c r="F696">
        <v>87.105160220000002</v>
      </c>
      <c r="G696">
        <v>76.544462240000001</v>
      </c>
      <c r="H696">
        <v>65</v>
      </c>
      <c r="I696">
        <v>55.661783110000002</v>
      </c>
    </row>
    <row r="697" spans="1:9" ht="14.25" customHeight="1" x14ac:dyDescent="0.3">
      <c r="A697" t="s">
        <v>1426</v>
      </c>
      <c r="B697">
        <v>86.555299320000003</v>
      </c>
      <c r="C697">
        <v>74.839215550000006</v>
      </c>
      <c r="D697">
        <v>72.691983930000006</v>
      </c>
      <c r="E697">
        <v>60.168168299999998</v>
      </c>
      <c r="F697">
        <v>87.298954300000005</v>
      </c>
      <c r="G697">
        <v>84.260775190000004</v>
      </c>
      <c r="H697">
        <v>72.146378909999996</v>
      </c>
      <c r="I697">
        <v>52.753586640000002</v>
      </c>
    </row>
    <row r="698" spans="1:9" ht="14.25" customHeight="1" x14ac:dyDescent="0.3">
      <c r="A698" t="s">
        <v>1428</v>
      </c>
      <c r="B698">
        <v>90.216621540000006</v>
      </c>
      <c r="C698">
        <v>68.609310230000006</v>
      </c>
      <c r="D698">
        <v>70</v>
      </c>
      <c r="E698">
        <v>65.656722770000002</v>
      </c>
      <c r="F698">
        <v>99.9</v>
      </c>
      <c r="G698">
        <v>85</v>
      </c>
      <c r="H698">
        <v>67.871040059999999</v>
      </c>
      <c r="I698">
        <v>50.072989749999998</v>
      </c>
    </row>
    <row r="699" spans="1:9" ht="14.25" customHeight="1" x14ac:dyDescent="0.3">
      <c r="A699" t="s">
        <v>1430</v>
      </c>
      <c r="B699">
        <v>91.534426659999994</v>
      </c>
      <c r="C699">
        <v>80</v>
      </c>
      <c r="D699">
        <v>87.588391209999997</v>
      </c>
      <c r="E699">
        <v>68.826205659999999</v>
      </c>
      <c r="F699">
        <v>88.057529709999997</v>
      </c>
      <c r="G699">
        <v>78.650158779999998</v>
      </c>
      <c r="H699">
        <v>69.769339479999999</v>
      </c>
      <c r="I699">
        <v>50</v>
      </c>
    </row>
    <row r="700" spans="1:9" ht="14.25" customHeight="1" x14ac:dyDescent="0.3">
      <c r="A700" t="s">
        <v>1432</v>
      </c>
      <c r="B700">
        <v>85.468231230000001</v>
      </c>
      <c r="C700">
        <v>66.833485719999999</v>
      </c>
      <c r="D700">
        <v>70.674371239999999</v>
      </c>
      <c r="E700">
        <v>60.173491169999998</v>
      </c>
      <c r="F700">
        <v>82.567489820000006</v>
      </c>
      <c r="G700">
        <v>83.342456569999996</v>
      </c>
      <c r="H700">
        <v>77.49521781</v>
      </c>
      <c r="I700">
        <v>56.666739010000001</v>
      </c>
    </row>
    <row r="701" spans="1:9" ht="14.25" customHeight="1" x14ac:dyDescent="0.3">
      <c r="A701" t="s">
        <v>1434</v>
      </c>
      <c r="B701">
        <v>86.010592009999996</v>
      </c>
      <c r="C701">
        <v>65.98661645</v>
      </c>
      <c r="D701">
        <v>77.395164539999996</v>
      </c>
      <c r="E701">
        <v>75</v>
      </c>
      <c r="F701">
        <v>91.661747800000001</v>
      </c>
      <c r="G701">
        <v>66.829283079999996</v>
      </c>
      <c r="H701">
        <v>73.01389811</v>
      </c>
      <c r="I701">
        <v>50</v>
      </c>
    </row>
    <row r="702" spans="1:9" ht="14.25" customHeight="1" x14ac:dyDescent="0.3">
      <c r="A702" t="s">
        <v>1436</v>
      </c>
      <c r="B702">
        <v>90.941255060000003</v>
      </c>
      <c r="C702">
        <v>69.022005410000006</v>
      </c>
      <c r="D702">
        <v>81.964775520000003</v>
      </c>
      <c r="E702">
        <v>69.191150030000003</v>
      </c>
      <c r="F702">
        <v>85.447251850000001</v>
      </c>
      <c r="G702">
        <v>82.533528899999993</v>
      </c>
      <c r="H702">
        <v>72.536058650000001</v>
      </c>
      <c r="I702">
        <v>60.172427980000002</v>
      </c>
    </row>
    <row r="703" spans="1:9" ht="14.25" customHeight="1" x14ac:dyDescent="0.3">
      <c r="A703" t="s">
        <v>1438</v>
      </c>
      <c r="B703">
        <v>99.9</v>
      </c>
      <c r="C703">
        <v>75.890485200000001</v>
      </c>
      <c r="D703">
        <v>70</v>
      </c>
      <c r="E703">
        <v>60.583428419999997</v>
      </c>
      <c r="F703">
        <v>99.9</v>
      </c>
      <c r="G703">
        <v>81.108619540000007</v>
      </c>
      <c r="H703">
        <v>69.619653409999998</v>
      </c>
      <c r="I703">
        <v>50</v>
      </c>
    </row>
    <row r="704" spans="1:9" ht="14.25" customHeight="1" x14ac:dyDescent="0.3">
      <c r="A704" t="s">
        <v>1440</v>
      </c>
      <c r="B704">
        <v>80.374886939999996</v>
      </c>
      <c r="C704">
        <v>65.499281890000006</v>
      </c>
      <c r="D704">
        <v>80.184425649999994</v>
      </c>
      <c r="E704">
        <v>71.775309530000001</v>
      </c>
      <c r="F704">
        <v>88.83120246</v>
      </c>
      <c r="G704">
        <v>76.511438429999998</v>
      </c>
      <c r="H704">
        <v>65</v>
      </c>
      <c r="I704">
        <v>53.695334150000001</v>
      </c>
    </row>
    <row r="705" spans="1:9" ht="14.25" customHeight="1" x14ac:dyDescent="0.3">
      <c r="A705" t="s">
        <v>1442</v>
      </c>
      <c r="B705">
        <v>87.004916190000003</v>
      </c>
      <c r="C705">
        <v>69.935082820000005</v>
      </c>
      <c r="D705">
        <v>73.754001520000003</v>
      </c>
      <c r="E705">
        <v>61.604604530000003</v>
      </c>
      <c r="F705">
        <v>92.464745100000002</v>
      </c>
      <c r="G705">
        <v>79.790780359999999</v>
      </c>
      <c r="H705">
        <v>66.500858699999995</v>
      </c>
      <c r="I705">
        <v>70</v>
      </c>
    </row>
    <row r="706" spans="1:9" ht="14.25" customHeight="1" x14ac:dyDescent="0.3">
      <c r="A706" t="s">
        <v>1444</v>
      </c>
      <c r="B706">
        <v>83.639846019999993</v>
      </c>
      <c r="C706">
        <v>60</v>
      </c>
      <c r="D706">
        <v>83.206938890000004</v>
      </c>
      <c r="E706">
        <v>60.256822470000003</v>
      </c>
      <c r="F706">
        <v>94.005282410000007</v>
      </c>
      <c r="G706">
        <v>76.09413198</v>
      </c>
      <c r="H706">
        <v>74.295667829999999</v>
      </c>
      <c r="I706">
        <v>59.00917948</v>
      </c>
    </row>
    <row r="707" spans="1:9" ht="14.25" customHeight="1" x14ac:dyDescent="0.3">
      <c r="A707" t="s">
        <v>1446</v>
      </c>
      <c r="B707">
        <v>79.415374479999997</v>
      </c>
      <c r="C707">
        <v>70.013040110000006</v>
      </c>
      <c r="D707">
        <v>78.63575041</v>
      </c>
      <c r="E707">
        <v>61.84301541</v>
      </c>
      <c r="F707">
        <v>91.019476089999998</v>
      </c>
      <c r="G707">
        <v>82.680669699999996</v>
      </c>
      <c r="H707">
        <v>76.032004560000004</v>
      </c>
      <c r="I707">
        <v>58.938131919999996</v>
      </c>
    </row>
    <row r="708" spans="1:9" ht="14.25" customHeight="1" x14ac:dyDescent="0.3">
      <c r="A708" t="s">
        <v>1448</v>
      </c>
      <c r="B708">
        <v>81.151127349999996</v>
      </c>
      <c r="C708">
        <v>65.863956490000007</v>
      </c>
      <c r="D708">
        <v>85.20779512</v>
      </c>
      <c r="E708">
        <v>68.767429949999993</v>
      </c>
      <c r="F708">
        <v>88.623936659999998</v>
      </c>
      <c r="G708">
        <v>81.963006419999999</v>
      </c>
      <c r="H708">
        <v>70.190182429999993</v>
      </c>
      <c r="I708">
        <v>53.567755429999998</v>
      </c>
    </row>
    <row r="709" spans="1:9" ht="14.25" customHeight="1" x14ac:dyDescent="0.3">
      <c r="A709" t="s">
        <v>1450</v>
      </c>
      <c r="B709">
        <v>79.933596620000003</v>
      </c>
      <c r="C709">
        <v>62.47511677</v>
      </c>
      <c r="D709">
        <v>87.855173039999997</v>
      </c>
      <c r="E709">
        <v>60.320941640000001</v>
      </c>
      <c r="F709">
        <v>85.924828849999997</v>
      </c>
      <c r="G709">
        <v>76.787832300000005</v>
      </c>
      <c r="H709">
        <v>71.862785990000006</v>
      </c>
      <c r="I709">
        <v>69.161090790000003</v>
      </c>
    </row>
    <row r="710" spans="1:9" ht="14.25" customHeight="1" x14ac:dyDescent="0.3">
      <c r="A710" t="s">
        <v>1452</v>
      </c>
      <c r="B710">
        <v>89.460843269999998</v>
      </c>
      <c r="C710">
        <v>76.876453130000002</v>
      </c>
      <c r="D710">
        <v>81.834865449999995</v>
      </c>
      <c r="E710">
        <v>60.187857559999998</v>
      </c>
      <c r="F710">
        <v>98.356406070000006</v>
      </c>
      <c r="G710">
        <v>74.954425110000003</v>
      </c>
      <c r="H710">
        <v>72.774205809999998</v>
      </c>
      <c r="I710">
        <v>60.560105559999997</v>
      </c>
    </row>
    <row r="711" spans="1:9" ht="14.25" customHeight="1" x14ac:dyDescent="0.3">
      <c r="A711" t="s">
        <v>1454</v>
      </c>
      <c r="B711">
        <v>84.180012750000003</v>
      </c>
      <c r="C711">
        <v>64.098391890000002</v>
      </c>
      <c r="D711">
        <v>84.698595549999993</v>
      </c>
      <c r="E711">
        <v>66.060742649999995</v>
      </c>
      <c r="F711">
        <v>94.528356369999997</v>
      </c>
      <c r="G711">
        <v>85</v>
      </c>
      <c r="H711">
        <v>72.705470730000002</v>
      </c>
      <c r="I711">
        <v>66.935650440000003</v>
      </c>
    </row>
    <row r="712" spans="1:9" ht="14.25" customHeight="1" x14ac:dyDescent="0.3">
      <c r="A712" t="s">
        <v>1456</v>
      </c>
      <c r="B712">
        <v>79.857198049999994</v>
      </c>
      <c r="C712">
        <v>71.740309170000003</v>
      </c>
      <c r="D712">
        <v>71.307143569999994</v>
      </c>
      <c r="E712">
        <v>69.371668029999995</v>
      </c>
      <c r="F712">
        <v>91.959343200000006</v>
      </c>
      <c r="G712">
        <v>71.853517289999999</v>
      </c>
      <c r="H712">
        <v>72.232532300000003</v>
      </c>
      <c r="I712">
        <v>58.181081040000002</v>
      </c>
    </row>
    <row r="713" spans="1:9" ht="14.25" customHeight="1" x14ac:dyDescent="0.3">
      <c r="A713" t="s">
        <v>1458</v>
      </c>
      <c r="B713">
        <v>94.470111779999996</v>
      </c>
      <c r="C713">
        <v>72.368322610000007</v>
      </c>
      <c r="D713">
        <v>75.155147990000003</v>
      </c>
      <c r="E713">
        <v>63.508589489999999</v>
      </c>
      <c r="F713">
        <v>95.966923609999995</v>
      </c>
      <c r="G713">
        <v>85</v>
      </c>
      <c r="H713">
        <v>69.184738359999997</v>
      </c>
      <c r="I713">
        <v>53.506871969999999</v>
      </c>
    </row>
    <row r="714" spans="1:9" ht="14.25" customHeight="1" x14ac:dyDescent="0.3">
      <c r="A714" t="s">
        <v>1460</v>
      </c>
      <c r="B714">
        <v>89.138773040000004</v>
      </c>
      <c r="C714">
        <v>71.677510229999996</v>
      </c>
      <c r="D714">
        <v>88.31995569</v>
      </c>
      <c r="E714">
        <v>65.674629719999999</v>
      </c>
      <c r="F714">
        <v>88.093165490000004</v>
      </c>
      <c r="G714">
        <v>71.62944195</v>
      </c>
      <c r="H714">
        <v>68.966099080000006</v>
      </c>
      <c r="I714">
        <v>53.05169909</v>
      </c>
    </row>
    <row r="715" spans="1:9" ht="14.25" customHeight="1" x14ac:dyDescent="0.3">
      <c r="A715" t="s">
        <v>1462</v>
      </c>
      <c r="B715">
        <v>75</v>
      </c>
      <c r="C715">
        <v>65.832896210000001</v>
      </c>
      <c r="D715">
        <v>70</v>
      </c>
      <c r="E715">
        <v>59.048145460000001</v>
      </c>
      <c r="F715">
        <v>94.897386580000003</v>
      </c>
      <c r="G715">
        <v>84.264093959999997</v>
      </c>
      <c r="H715">
        <v>70.375132100000002</v>
      </c>
      <c r="I715">
        <v>56.97275071</v>
      </c>
    </row>
    <row r="716" spans="1:9" ht="14.25" customHeight="1" x14ac:dyDescent="0.3">
      <c r="A716" t="s">
        <v>1464</v>
      </c>
      <c r="B716">
        <v>93.961148379999997</v>
      </c>
      <c r="C716">
        <v>63.055433520000001</v>
      </c>
      <c r="D716">
        <v>80.110857539999998</v>
      </c>
      <c r="E716">
        <v>66.526600999999999</v>
      </c>
      <c r="F716">
        <v>80</v>
      </c>
      <c r="G716">
        <v>79.206205870000005</v>
      </c>
      <c r="H716">
        <v>66.580947039999998</v>
      </c>
      <c r="I716">
        <v>50</v>
      </c>
    </row>
    <row r="717" spans="1:9" ht="14.25" customHeight="1" x14ac:dyDescent="0.3">
      <c r="A717" t="s">
        <v>1466</v>
      </c>
      <c r="B717">
        <v>77.727151719999995</v>
      </c>
      <c r="C717">
        <v>66.887723739999998</v>
      </c>
      <c r="D717">
        <v>70</v>
      </c>
      <c r="E717">
        <v>70.537658969999995</v>
      </c>
      <c r="F717">
        <v>85.51341506</v>
      </c>
      <c r="G717">
        <v>80.313692669999995</v>
      </c>
      <c r="H717">
        <v>72.01967338</v>
      </c>
      <c r="I717">
        <v>50.396287469999997</v>
      </c>
    </row>
    <row r="718" spans="1:9" ht="14.25" customHeight="1" x14ac:dyDescent="0.3">
      <c r="A718" t="s">
        <v>1468</v>
      </c>
      <c r="B718">
        <v>89.901892630000006</v>
      </c>
      <c r="C718">
        <v>60.153965599999999</v>
      </c>
      <c r="D718">
        <v>70</v>
      </c>
      <c r="E718">
        <v>57.687112419999998</v>
      </c>
      <c r="F718">
        <v>82.577806440000003</v>
      </c>
      <c r="G718">
        <v>84.236001400000006</v>
      </c>
      <c r="H718">
        <v>71.267634569999998</v>
      </c>
      <c r="I718">
        <v>50</v>
      </c>
    </row>
    <row r="719" spans="1:9" ht="14.25" customHeight="1" x14ac:dyDescent="0.3">
      <c r="A719" t="s">
        <v>1470</v>
      </c>
      <c r="B719">
        <v>84.882018860000002</v>
      </c>
      <c r="C719">
        <v>64.509725290000006</v>
      </c>
      <c r="D719">
        <v>73.53606533</v>
      </c>
      <c r="E719">
        <v>68.425304760000003</v>
      </c>
      <c r="F719">
        <v>95.493416980000006</v>
      </c>
      <c r="G719">
        <v>81.259162140000001</v>
      </c>
      <c r="H719">
        <v>68.451369499999998</v>
      </c>
      <c r="I719">
        <v>55.547766709999998</v>
      </c>
    </row>
    <row r="720" spans="1:9" ht="14.25" customHeight="1" x14ac:dyDescent="0.3">
      <c r="A720" t="s">
        <v>1472</v>
      </c>
      <c r="B720">
        <v>84.539353309999996</v>
      </c>
      <c r="C720">
        <v>70.744104050000004</v>
      </c>
      <c r="D720">
        <v>85.910295450000007</v>
      </c>
      <c r="E720">
        <v>67.130231690000002</v>
      </c>
      <c r="F720">
        <v>93.565000600000005</v>
      </c>
      <c r="G720">
        <v>78.522736980000005</v>
      </c>
      <c r="H720">
        <v>72.010777709999999</v>
      </c>
      <c r="I720">
        <v>50</v>
      </c>
    </row>
    <row r="721" spans="1:9" ht="14.25" customHeight="1" x14ac:dyDescent="0.3">
      <c r="A721" t="s">
        <v>1474</v>
      </c>
      <c r="B721">
        <v>83.622851420000003</v>
      </c>
      <c r="C721">
        <v>73.790133330000003</v>
      </c>
      <c r="D721">
        <v>79.280950939999997</v>
      </c>
      <c r="E721">
        <v>75</v>
      </c>
      <c r="F721">
        <v>82.801534450000005</v>
      </c>
      <c r="G721">
        <v>74.104020599999998</v>
      </c>
      <c r="H721">
        <v>74.726212090000004</v>
      </c>
      <c r="I721">
        <v>55.43724272</v>
      </c>
    </row>
    <row r="722" spans="1:9" ht="14.25" customHeight="1" x14ac:dyDescent="0.3">
      <c r="A722" t="s">
        <v>1476</v>
      </c>
      <c r="B722">
        <v>83.658014600000001</v>
      </c>
      <c r="C722">
        <v>78.671337129999998</v>
      </c>
      <c r="D722">
        <v>71.984066310000003</v>
      </c>
      <c r="E722">
        <v>56.702398510000002</v>
      </c>
      <c r="F722">
        <v>98.382593830000005</v>
      </c>
      <c r="G722">
        <v>69.711644199999995</v>
      </c>
      <c r="H722">
        <v>70.726646869999996</v>
      </c>
      <c r="I722">
        <v>63.340629560000004</v>
      </c>
    </row>
    <row r="723" spans="1:9" ht="14.25" customHeight="1" x14ac:dyDescent="0.3">
      <c r="A723" t="s">
        <v>1478</v>
      </c>
      <c r="B723">
        <v>75</v>
      </c>
      <c r="C723">
        <v>72.969206749999998</v>
      </c>
      <c r="D723">
        <v>85.455816400000003</v>
      </c>
      <c r="E723">
        <v>70.842140099999995</v>
      </c>
      <c r="F723">
        <v>92.092888509999995</v>
      </c>
      <c r="G723">
        <v>85</v>
      </c>
      <c r="H723">
        <v>76.424360280000002</v>
      </c>
      <c r="I723">
        <v>52.334772639999997</v>
      </c>
    </row>
    <row r="724" spans="1:9" ht="14.25" customHeight="1" x14ac:dyDescent="0.3">
      <c r="A724" t="s">
        <v>1480</v>
      </c>
      <c r="B724">
        <v>89.466572220000003</v>
      </c>
      <c r="C724">
        <v>71.858715059999994</v>
      </c>
      <c r="D724">
        <v>90</v>
      </c>
      <c r="E724">
        <v>75</v>
      </c>
      <c r="F724">
        <v>96.788954770000004</v>
      </c>
      <c r="G724">
        <v>80.958577559999995</v>
      </c>
      <c r="H724">
        <v>70.542742840000003</v>
      </c>
      <c r="I724">
        <v>55.28916684</v>
      </c>
    </row>
    <row r="725" spans="1:9" ht="14.25" customHeight="1" x14ac:dyDescent="0.3">
      <c r="A725" t="s">
        <v>1482</v>
      </c>
      <c r="B725">
        <v>85.777527770000006</v>
      </c>
      <c r="C725">
        <v>60</v>
      </c>
      <c r="D725">
        <v>73.242793730000002</v>
      </c>
      <c r="E725">
        <v>60.923067039999999</v>
      </c>
      <c r="F725">
        <v>90.624888549999994</v>
      </c>
      <c r="G725">
        <v>85</v>
      </c>
      <c r="H725">
        <v>69.767610959999999</v>
      </c>
      <c r="I725">
        <v>70</v>
      </c>
    </row>
    <row r="726" spans="1:9" ht="14.25" customHeight="1" x14ac:dyDescent="0.3">
      <c r="A726" t="s">
        <v>1484</v>
      </c>
      <c r="B726">
        <v>79.737414119999997</v>
      </c>
      <c r="C726">
        <v>75.780519440000006</v>
      </c>
      <c r="D726">
        <v>73.778122870000004</v>
      </c>
      <c r="E726">
        <v>65.553788569999995</v>
      </c>
      <c r="F726">
        <v>96.156781390000006</v>
      </c>
      <c r="G726">
        <v>84.488826309999993</v>
      </c>
      <c r="H726">
        <v>75.015896740000002</v>
      </c>
      <c r="I726">
        <v>67.180769789999999</v>
      </c>
    </row>
    <row r="727" spans="1:9" ht="14.25" customHeight="1" x14ac:dyDescent="0.3">
      <c r="A727" t="s">
        <v>1486</v>
      </c>
      <c r="B727">
        <v>81.750834859999998</v>
      </c>
      <c r="C727">
        <v>67.513367479999999</v>
      </c>
      <c r="D727">
        <v>70</v>
      </c>
      <c r="E727">
        <v>62.922261020000001</v>
      </c>
      <c r="F727">
        <v>99.9</v>
      </c>
      <c r="G727">
        <v>76.066254790000002</v>
      </c>
      <c r="H727">
        <v>75.144578100000004</v>
      </c>
      <c r="I727">
        <v>57.211768120000002</v>
      </c>
    </row>
    <row r="728" spans="1:9" ht="14.25" customHeight="1" x14ac:dyDescent="0.3">
      <c r="A728" t="s">
        <v>1488</v>
      </c>
      <c r="B728">
        <v>86.153654149999994</v>
      </c>
      <c r="C728">
        <v>70.076407660000001</v>
      </c>
      <c r="D728">
        <v>70</v>
      </c>
      <c r="E728">
        <v>66.40452793</v>
      </c>
      <c r="F728">
        <v>80</v>
      </c>
      <c r="G728">
        <v>71.924569829999996</v>
      </c>
      <c r="H728">
        <v>71.246414720000004</v>
      </c>
      <c r="I728">
        <v>50</v>
      </c>
    </row>
    <row r="729" spans="1:9" ht="14.25" customHeight="1" x14ac:dyDescent="0.3">
      <c r="A729" t="s">
        <v>1490</v>
      </c>
      <c r="B729">
        <v>88.125957139999997</v>
      </c>
      <c r="C729">
        <v>64.346106149999997</v>
      </c>
      <c r="D729">
        <v>81.561542059999994</v>
      </c>
      <c r="E729">
        <v>73.290568230000005</v>
      </c>
      <c r="F729">
        <v>94.700636029999998</v>
      </c>
      <c r="G729">
        <v>71.063015489999998</v>
      </c>
      <c r="H729">
        <v>71.441810660000002</v>
      </c>
      <c r="I729">
        <v>64.905158189999995</v>
      </c>
    </row>
    <row r="730" spans="1:9" ht="14.25" customHeight="1" x14ac:dyDescent="0.3">
      <c r="A730" t="s">
        <v>1492</v>
      </c>
      <c r="B730">
        <v>89.749627140000001</v>
      </c>
      <c r="C730">
        <v>78.872470030000002</v>
      </c>
      <c r="D730">
        <v>70</v>
      </c>
      <c r="E730">
        <v>70.111198639999998</v>
      </c>
      <c r="F730">
        <v>94.085428010000001</v>
      </c>
      <c r="G730">
        <v>77.578983480000005</v>
      </c>
      <c r="H730">
        <v>73.689781460000006</v>
      </c>
      <c r="I730">
        <v>57.902016789999998</v>
      </c>
    </row>
    <row r="731" spans="1:9" ht="14.25" customHeight="1" x14ac:dyDescent="0.3">
      <c r="A731" t="s">
        <v>1494</v>
      </c>
      <c r="B731">
        <v>96.839974330000004</v>
      </c>
      <c r="C731">
        <v>65.457735319999998</v>
      </c>
      <c r="D731">
        <v>76.645139459999996</v>
      </c>
      <c r="E731">
        <v>66.382630410000004</v>
      </c>
      <c r="F731">
        <v>97.610597389999995</v>
      </c>
      <c r="G731">
        <v>85</v>
      </c>
      <c r="H731">
        <v>77.349786379999998</v>
      </c>
      <c r="I731">
        <v>53.350713399999997</v>
      </c>
    </row>
    <row r="732" spans="1:9" ht="14.25" customHeight="1" x14ac:dyDescent="0.3">
      <c r="A732" t="s">
        <v>1496</v>
      </c>
      <c r="B732">
        <v>88.267054610000002</v>
      </c>
      <c r="C732">
        <v>68.476573889999997</v>
      </c>
      <c r="D732">
        <v>70</v>
      </c>
      <c r="E732">
        <v>62.467403269999998</v>
      </c>
      <c r="F732">
        <v>80</v>
      </c>
      <c r="G732">
        <v>78.716704109999995</v>
      </c>
      <c r="H732">
        <v>71.746552280000003</v>
      </c>
      <c r="I732">
        <v>65.041931050000002</v>
      </c>
    </row>
    <row r="733" spans="1:9" ht="14.25" customHeight="1" x14ac:dyDescent="0.3">
      <c r="A733" t="s">
        <v>1498</v>
      </c>
      <c r="B733">
        <v>90.823463390000001</v>
      </c>
      <c r="C733">
        <v>66.486732309999994</v>
      </c>
      <c r="D733">
        <v>70</v>
      </c>
      <c r="E733">
        <v>55</v>
      </c>
      <c r="F733">
        <v>91.530085679999999</v>
      </c>
      <c r="G733">
        <v>77.714697090000001</v>
      </c>
      <c r="H733">
        <v>70.222314740000002</v>
      </c>
      <c r="I733">
        <v>59.516107150000003</v>
      </c>
    </row>
    <row r="734" spans="1:9" ht="14.25" customHeight="1" x14ac:dyDescent="0.3">
      <c r="A734" t="s">
        <v>1501</v>
      </c>
      <c r="B734">
        <v>88.830054529999998</v>
      </c>
      <c r="C734">
        <v>71.243949529999995</v>
      </c>
      <c r="D734">
        <v>75.387280000000004</v>
      </c>
      <c r="E734">
        <v>65.670511619999999</v>
      </c>
      <c r="F734">
        <v>93.360699990000001</v>
      </c>
      <c r="G734">
        <v>84.590024220000004</v>
      </c>
      <c r="H734">
        <v>69.739692169999998</v>
      </c>
      <c r="I734">
        <v>63.911849940000003</v>
      </c>
    </row>
    <row r="735" spans="1:9" ht="14.25" customHeight="1" x14ac:dyDescent="0.3">
      <c r="A735" t="s">
        <v>1504</v>
      </c>
      <c r="B735">
        <v>96.343989480000005</v>
      </c>
      <c r="C735">
        <v>65.160832069999998</v>
      </c>
      <c r="D735">
        <v>87.66940185</v>
      </c>
      <c r="E735">
        <v>66.755432490000004</v>
      </c>
      <c r="F735">
        <v>89.716603829999997</v>
      </c>
      <c r="G735">
        <v>82.049865359999998</v>
      </c>
      <c r="H735">
        <v>68.770609550000003</v>
      </c>
      <c r="I735">
        <v>57.416070449999999</v>
      </c>
    </row>
    <row r="736" spans="1:9" ht="14.25" customHeight="1" x14ac:dyDescent="0.3">
      <c r="A736" t="s">
        <v>1506</v>
      </c>
      <c r="B736">
        <v>84.56782982</v>
      </c>
      <c r="C736">
        <v>68.548651059999997</v>
      </c>
      <c r="D736">
        <v>86.055876350000005</v>
      </c>
      <c r="E736">
        <v>66.71368674</v>
      </c>
      <c r="F736">
        <v>93.714439540000001</v>
      </c>
      <c r="G736">
        <v>78.560624700000005</v>
      </c>
      <c r="H736">
        <v>66.601263099999997</v>
      </c>
      <c r="I736">
        <v>54.929389860000001</v>
      </c>
    </row>
    <row r="737" spans="1:9" ht="14.25" customHeight="1" x14ac:dyDescent="0.3">
      <c r="A737" t="s">
        <v>1508</v>
      </c>
      <c r="B737">
        <v>83.534029410000002</v>
      </c>
      <c r="C737">
        <v>66.75813771</v>
      </c>
      <c r="D737">
        <v>70</v>
      </c>
      <c r="E737">
        <v>74.094942990000007</v>
      </c>
      <c r="F737">
        <v>92.792441030000006</v>
      </c>
      <c r="G737">
        <v>85</v>
      </c>
      <c r="H737">
        <v>72.436442130000003</v>
      </c>
      <c r="I737">
        <v>52.609640579999997</v>
      </c>
    </row>
    <row r="738" spans="1:9" ht="14.25" customHeight="1" x14ac:dyDescent="0.3">
      <c r="A738" t="s">
        <v>1510</v>
      </c>
      <c r="B738">
        <v>92.798418589999997</v>
      </c>
      <c r="C738">
        <v>72.304133129999997</v>
      </c>
      <c r="D738">
        <v>76.614538999999994</v>
      </c>
      <c r="E738">
        <v>67.177624109999996</v>
      </c>
      <c r="F738">
        <v>84.875173480000001</v>
      </c>
      <c r="G738">
        <v>79.670659180000001</v>
      </c>
      <c r="H738">
        <v>69.002499130000004</v>
      </c>
      <c r="I738">
        <v>52.204250870000003</v>
      </c>
    </row>
    <row r="739" spans="1:9" ht="14.25" customHeight="1" x14ac:dyDescent="0.3">
      <c r="A739" t="s">
        <v>1512</v>
      </c>
      <c r="B739">
        <v>84.853459009999995</v>
      </c>
      <c r="C739">
        <v>65.776168080000005</v>
      </c>
      <c r="D739">
        <v>77.674458880000003</v>
      </c>
      <c r="E739">
        <v>65.308859749999996</v>
      </c>
      <c r="F739">
        <v>99.9</v>
      </c>
      <c r="G739">
        <v>81.486421250000006</v>
      </c>
      <c r="H739">
        <v>69.830001429999996</v>
      </c>
      <c r="I739">
        <v>65.525858299999996</v>
      </c>
    </row>
    <row r="740" spans="1:9" ht="14.25" customHeight="1" x14ac:dyDescent="0.3">
      <c r="A740" t="s">
        <v>1514</v>
      </c>
      <c r="B740">
        <v>79.593290449999998</v>
      </c>
      <c r="C740">
        <v>69.947194800000005</v>
      </c>
      <c r="D740">
        <v>83.343395979999997</v>
      </c>
      <c r="E740">
        <v>73.399980909999996</v>
      </c>
      <c r="F740">
        <v>99.9</v>
      </c>
      <c r="G740">
        <v>71.880644910000001</v>
      </c>
      <c r="H740">
        <v>68.328769930000007</v>
      </c>
      <c r="I740">
        <v>61.210159419999997</v>
      </c>
    </row>
    <row r="741" spans="1:9" ht="14.25" customHeight="1" x14ac:dyDescent="0.3">
      <c r="A741" t="s">
        <v>1516</v>
      </c>
      <c r="B741">
        <v>96.541965289999993</v>
      </c>
      <c r="C741">
        <v>64.86147253</v>
      </c>
      <c r="D741">
        <v>81.603792909999996</v>
      </c>
      <c r="E741">
        <v>67.472441489999994</v>
      </c>
      <c r="F741">
        <v>80</v>
      </c>
      <c r="G741">
        <v>78.367115380000001</v>
      </c>
      <c r="H741">
        <v>74.957413720000005</v>
      </c>
      <c r="I741">
        <v>53.284962419999999</v>
      </c>
    </row>
    <row r="742" spans="1:9" ht="14.25" customHeight="1" x14ac:dyDescent="0.3">
      <c r="A742" t="s">
        <v>1518</v>
      </c>
      <c r="B742">
        <v>80.867601820000004</v>
      </c>
      <c r="C742">
        <v>68.456628539999997</v>
      </c>
      <c r="D742">
        <v>70.174983440000005</v>
      </c>
      <c r="E742">
        <v>67.946434249999996</v>
      </c>
      <c r="F742">
        <v>87.835475400000007</v>
      </c>
      <c r="G742">
        <v>72.320572639999995</v>
      </c>
      <c r="H742">
        <v>68.501405500000004</v>
      </c>
      <c r="I742">
        <v>53.533968010000002</v>
      </c>
    </row>
    <row r="743" spans="1:9" ht="14.25" customHeight="1" x14ac:dyDescent="0.3">
      <c r="A743" t="s">
        <v>1520</v>
      </c>
      <c r="B743">
        <v>95.900101860000007</v>
      </c>
      <c r="C743">
        <v>77.962224239999998</v>
      </c>
      <c r="D743">
        <v>74.671005269999995</v>
      </c>
      <c r="E743">
        <v>69.021578969999993</v>
      </c>
      <c r="F743">
        <v>80.678468229999993</v>
      </c>
      <c r="G743">
        <v>83.83476795</v>
      </c>
      <c r="H743">
        <v>66.492757139999995</v>
      </c>
      <c r="I743">
        <v>67.503757980000003</v>
      </c>
    </row>
    <row r="744" spans="1:9" ht="14.25" customHeight="1" x14ac:dyDescent="0.3">
      <c r="A744" t="s">
        <v>1522</v>
      </c>
      <c r="B744">
        <v>87.029775670000006</v>
      </c>
      <c r="C744">
        <v>70.095678860000007</v>
      </c>
      <c r="D744">
        <v>78.765565640000005</v>
      </c>
      <c r="E744">
        <v>60.812269120000003</v>
      </c>
      <c r="F744">
        <v>80</v>
      </c>
      <c r="G744">
        <v>85</v>
      </c>
      <c r="H744">
        <v>73.053436970000007</v>
      </c>
      <c r="I744">
        <v>70</v>
      </c>
    </row>
    <row r="745" spans="1:9" ht="14.25" customHeight="1" x14ac:dyDescent="0.3">
      <c r="A745" t="s">
        <v>1524</v>
      </c>
      <c r="B745">
        <v>92.361713420000001</v>
      </c>
      <c r="C745">
        <v>78.16922984</v>
      </c>
      <c r="D745">
        <v>79.67466057</v>
      </c>
      <c r="E745">
        <v>65.848241889999997</v>
      </c>
      <c r="F745">
        <v>83.555690819999995</v>
      </c>
      <c r="G745">
        <v>73.961830750000004</v>
      </c>
      <c r="H745">
        <v>65</v>
      </c>
      <c r="I745">
        <v>70</v>
      </c>
    </row>
    <row r="746" spans="1:9" ht="14.25" customHeight="1" x14ac:dyDescent="0.3">
      <c r="A746" t="s">
        <v>1526</v>
      </c>
      <c r="B746">
        <v>95.884332799999996</v>
      </c>
      <c r="C746">
        <v>60</v>
      </c>
      <c r="D746">
        <v>86.641998819999998</v>
      </c>
      <c r="E746">
        <v>66.404607470000002</v>
      </c>
      <c r="F746">
        <v>88.217969729999993</v>
      </c>
      <c r="G746">
        <v>74.187673340000003</v>
      </c>
      <c r="H746">
        <v>66.622132350000001</v>
      </c>
      <c r="I746">
        <v>60.657131749999998</v>
      </c>
    </row>
    <row r="747" spans="1:9" ht="14.25" customHeight="1" x14ac:dyDescent="0.3">
      <c r="A747" t="s">
        <v>1528</v>
      </c>
      <c r="B747">
        <v>88.712161030000004</v>
      </c>
      <c r="C747">
        <v>60</v>
      </c>
      <c r="D747">
        <v>77.090925920000004</v>
      </c>
      <c r="E747">
        <v>71.485135319999998</v>
      </c>
      <c r="F747">
        <v>97.382282079999996</v>
      </c>
      <c r="G747">
        <v>78.14563407</v>
      </c>
      <c r="H747">
        <v>65</v>
      </c>
      <c r="I747">
        <v>63.040669080000001</v>
      </c>
    </row>
    <row r="748" spans="1:9" ht="14.25" customHeight="1" x14ac:dyDescent="0.3">
      <c r="A748" t="s">
        <v>1530</v>
      </c>
      <c r="B748">
        <v>97.581153560000004</v>
      </c>
      <c r="C748">
        <v>66.508161630000004</v>
      </c>
      <c r="D748">
        <v>73.311640639999993</v>
      </c>
      <c r="E748">
        <v>75</v>
      </c>
      <c r="F748">
        <v>96.989217049999993</v>
      </c>
      <c r="G748">
        <v>81.758809150000005</v>
      </c>
      <c r="H748">
        <v>65</v>
      </c>
      <c r="I748">
        <v>58.128233829999999</v>
      </c>
    </row>
    <row r="749" spans="1:9" ht="14.25" customHeight="1" x14ac:dyDescent="0.3">
      <c r="A749" t="s">
        <v>1532</v>
      </c>
      <c r="B749">
        <v>87.834311700000001</v>
      </c>
      <c r="C749">
        <v>60.060103320000003</v>
      </c>
      <c r="D749">
        <v>74.644189519999998</v>
      </c>
      <c r="E749">
        <v>70.419044889999995</v>
      </c>
      <c r="F749">
        <v>83.549707690000005</v>
      </c>
      <c r="G749">
        <v>76.455276889999993</v>
      </c>
      <c r="H749">
        <v>74.115929010000002</v>
      </c>
      <c r="I749">
        <v>55.464882170000003</v>
      </c>
    </row>
    <row r="750" spans="1:9" ht="14.25" customHeight="1" x14ac:dyDescent="0.3">
      <c r="A750" t="s">
        <v>1534</v>
      </c>
      <c r="B750">
        <v>91.034851290000006</v>
      </c>
      <c r="C750">
        <v>71.344594079999993</v>
      </c>
      <c r="D750">
        <v>74.55856747</v>
      </c>
      <c r="E750">
        <v>64.366813089999994</v>
      </c>
      <c r="F750">
        <v>85.854876300000001</v>
      </c>
      <c r="G750">
        <v>85</v>
      </c>
      <c r="H750">
        <v>70.973784409999993</v>
      </c>
      <c r="I750">
        <v>70</v>
      </c>
    </row>
    <row r="751" spans="1:9" ht="14.25" customHeight="1" x14ac:dyDescent="0.3">
      <c r="A751" t="s">
        <v>1536</v>
      </c>
      <c r="B751">
        <v>87.257511739999998</v>
      </c>
      <c r="C751">
        <v>74.879782129999995</v>
      </c>
      <c r="D751">
        <v>70</v>
      </c>
      <c r="E751">
        <v>67.054618669999996</v>
      </c>
      <c r="F751">
        <v>87.987788420000001</v>
      </c>
      <c r="G751">
        <v>76.877322530000001</v>
      </c>
      <c r="H751">
        <v>67.229006990000002</v>
      </c>
      <c r="I751">
        <v>60.690227870000001</v>
      </c>
    </row>
    <row r="752" spans="1:9" ht="14.25" customHeight="1" x14ac:dyDescent="0.3">
      <c r="A752" t="s">
        <v>1538</v>
      </c>
      <c r="B752">
        <v>87.842573360000003</v>
      </c>
      <c r="C752">
        <v>64.173575139999997</v>
      </c>
      <c r="D752">
        <v>74.089373420000001</v>
      </c>
      <c r="E752">
        <v>70.886631109999996</v>
      </c>
      <c r="F752">
        <v>88.153112969999995</v>
      </c>
      <c r="G752">
        <v>81.435486539999999</v>
      </c>
      <c r="H752">
        <v>70.116969049999994</v>
      </c>
      <c r="I752">
        <v>68.851899149999994</v>
      </c>
    </row>
    <row r="753" spans="1:9" ht="14.25" customHeight="1" x14ac:dyDescent="0.3">
      <c r="A753" t="s">
        <v>1540</v>
      </c>
      <c r="B753">
        <v>98.988128639999999</v>
      </c>
      <c r="C753">
        <v>68.157734930000004</v>
      </c>
      <c r="D753">
        <v>70</v>
      </c>
      <c r="E753">
        <v>70.018329629999997</v>
      </c>
      <c r="F753">
        <v>95.635598439999995</v>
      </c>
      <c r="G753">
        <v>85</v>
      </c>
      <c r="H753">
        <v>67.511837240000006</v>
      </c>
      <c r="I753">
        <v>59.270702960000001</v>
      </c>
    </row>
    <row r="754" spans="1:9" ht="14.25" customHeight="1" x14ac:dyDescent="0.3">
      <c r="A754" t="s">
        <v>1542</v>
      </c>
      <c r="B754">
        <v>81.182182429999997</v>
      </c>
      <c r="C754">
        <v>65.723417319999996</v>
      </c>
      <c r="D754">
        <v>71.875426439999998</v>
      </c>
      <c r="E754">
        <v>69.008592739999997</v>
      </c>
      <c r="F754">
        <v>99.9</v>
      </c>
      <c r="G754">
        <v>72.973157920000006</v>
      </c>
      <c r="H754">
        <v>73.96978301</v>
      </c>
      <c r="I754">
        <v>60.118451729999997</v>
      </c>
    </row>
    <row r="755" spans="1:9" ht="14.25" customHeight="1" x14ac:dyDescent="0.3">
      <c r="A755" t="s">
        <v>1544</v>
      </c>
      <c r="B755">
        <v>82.172470349999998</v>
      </c>
      <c r="C755">
        <v>69.463334489999994</v>
      </c>
      <c r="D755">
        <v>86.046178119999993</v>
      </c>
      <c r="E755">
        <v>65.167256710000004</v>
      </c>
      <c r="F755">
        <v>81.481649270000005</v>
      </c>
      <c r="G755">
        <v>85</v>
      </c>
      <c r="H755">
        <v>69.698983650000002</v>
      </c>
      <c r="I755">
        <v>50.77904212</v>
      </c>
    </row>
    <row r="756" spans="1:9" ht="14.25" customHeight="1" x14ac:dyDescent="0.3">
      <c r="A756" t="s">
        <v>1546</v>
      </c>
      <c r="B756">
        <v>83.035561970000003</v>
      </c>
      <c r="C756">
        <v>76.361943539999999</v>
      </c>
      <c r="D756">
        <v>86.182144399999999</v>
      </c>
      <c r="E756">
        <v>63.866585870000002</v>
      </c>
      <c r="F756">
        <v>83.884526600000001</v>
      </c>
      <c r="G756">
        <v>80.399334800000005</v>
      </c>
      <c r="H756">
        <v>71.445376710000005</v>
      </c>
      <c r="I756">
        <v>69.403461980000003</v>
      </c>
    </row>
    <row r="757" spans="1:9" ht="14.25" customHeight="1" x14ac:dyDescent="0.3">
      <c r="A757" t="s">
        <v>1549</v>
      </c>
      <c r="B757">
        <v>82.123846319999998</v>
      </c>
      <c r="C757">
        <v>67.336317570000006</v>
      </c>
      <c r="D757">
        <v>82.677497630000005</v>
      </c>
      <c r="E757">
        <v>65.469899659999996</v>
      </c>
      <c r="F757">
        <v>81.368990940000003</v>
      </c>
      <c r="G757">
        <v>84.201671820000001</v>
      </c>
      <c r="H757">
        <v>65</v>
      </c>
      <c r="I757">
        <v>62.319280409999998</v>
      </c>
    </row>
    <row r="758" spans="1:9" ht="14.25" customHeight="1" x14ac:dyDescent="0.3">
      <c r="A758" t="s">
        <v>1551</v>
      </c>
      <c r="B758">
        <v>91.942554450000003</v>
      </c>
      <c r="C758">
        <v>74.771168869999997</v>
      </c>
      <c r="D758">
        <v>70</v>
      </c>
      <c r="E758">
        <v>65.058255639999999</v>
      </c>
      <c r="F758">
        <v>83.037547529999998</v>
      </c>
      <c r="G758">
        <v>85</v>
      </c>
      <c r="H758">
        <v>67.657035800000003</v>
      </c>
      <c r="I758">
        <v>54.344246130000002</v>
      </c>
    </row>
    <row r="759" spans="1:9" ht="14.25" customHeight="1" x14ac:dyDescent="0.3">
      <c r="A759" t="s">
        <v>1553</v>
      </c>
      <c r="B759">
        <v>81.978330339999999</v>
      </c>
      <c r="C759">
        <v>60</v>
      </c>
      <c r="D759">
        <v>70</v>
      </c>
      <c r="E759">
        <v>62.260468940000003</v>
      </c>
      <c r="F759">
        <v>98.028699419999995</v>
      </c>
      <c r="G759">
        <v>74.681776260000007</v>
      </c>
      <c r="H759">
        <v>70.951836729999997</v>
      </c>
      <c r="I759">
        <v>56.249801910000002</v>
      </c>
    </row>
    <row r="760" spans="1:9" ht="14.25" customHeight="1" x14ac:dyDescent="0.3">
      <c r="A760" t="s">
        <v>1555</v>
      </c>
      <c r="B760">
        <v>92.119355119999994</v>
      </c>
      <c r="C760">
        <v>64.625339269999998</v>
      </c>
      <c r="D760">
        <v>74.206572379999997</v>
      </c>
      <c r="E760">
        <v>64.86744874</v>
      </c>
      <c r="F760">
        <v>93.588286719999999</v>
      </c>
      <c r="G760">
        <v>76.916501370000006</v>
      </c>
      <c r="H760">
        <v>72.906282289999993</v>
      </c>
      <c r="I760">
        <v>61.978328269999999</v>
      </c>
    </row>
    <row r="761" spans="1:9" ht="14.25" customHeight="1" x14ac:dyDescent="0.3">
      <c r="A761" t="s">
        <v>1557</v>
      </c>
      <c r="B761">
        <v>80.245115310000003</v>
      </c>
      <c r="C761">
        <v>73.860580119999995</v>
      </c>
      <c r="D761">
        <v>76.415124469999995</v>
      </c>
      <c r="E761">
        <v>68.03086433</v>
      </c>
      <c r="F761">
        <v>87.466463529999999</v>
      </c>
      <c r="G761">
        <v>67.881188570000006</v>
      </c>
      <c r="H761">
        <v>76.189265719999995</v>
      </c>
      <c r="I761">
        <v>59.649788739999998</v>
      </c>
    </row>
    <row r="762" spans="1:9" ht="14.25" customHeight="1" x14ac:dyDescent="0.3">
      <c r="A762" t="s">
        <v>1559</v>
      </c>
      <c r="B762">
        <v>89.652188940000002</v>
      </c>
      <c r="C762">
        <v>70.495307060000002</v>
      </c>
      <c r="D762">
        <v>70</v>
      </c>
      <c r="E762">
        <v>65.625603679999998</v>
      </c>
      <c r="F762">
        <v>95.263052959999996</v>
      </c>
      <c r="G762">
        <v>81.425610730000002</v>
      </c>
      <c r="H762">
        <v>76.649175200000002</v>
      </c>
      <c r="I762">
        <v>59.121789219999997</v>
      </c>
    </row>
    <row r="763" spans="1:9" ht="14.25" customHeight="1" x14ac:dyDescent="0.3">
      <c r="A763" t="s">
        <v>1561</v>
      </c>
      <c r="B763">
        <v>96.634476149999998</v>
      </c>
      <c r="C763">
        <v>75.630567350000007</v>
      </c>
      <c r="D763">
        <v>71.709718089999996</v>
      </c>
      <c r="E763">
        <v>63.742898719999999</v>
      </c>
      <c r="F763">
        <v>97.691350139999997</v>
      </c>
      <c r="G763">
        <v>79.980122679999994</v>
      </c>
      <c r="H763">
        <v>76.840381429999994</v>
      </c>
      <c r="I763">
        <v>53.685716909999996</v>
      </c>
    </row>
    <row r="764" spans="1:9" ht="14.25" customHeight="1" x14ac:dyDescent="0.3">
      <c r="A764" t="s">
        <v>1563</v>
      </c>
      <c r="B764">
        <v>92.331969670000007</v>
      </c>
      <c r="C764">
        <v>62.535818890000002</v>
      </c>
      <c r="D764">
        <v>80.707161729999996</v>
      </c>
      <c r="E764">
        <v>63.524407750000002</v>
      </c>
      <c r="F764">
        <v>93.299971009999993</v>
      </c>
      <c r="G764">
        <v>77.389255559999995</v>
      </c>
      <c r="H764">
        <v>76.007186039999993</v>
      </c>
      <c r="I764">
        <v>50</v>
      </c>
    </row>
    <row r="765" spans="1:9" ht="14.25" customHeight="1" x14ac:dyDescent="0.3">
      <c r="A765" t="s">
        <v>1565</v>
      </c>
      <c r="B765">
        <v>82.464458919999998</v>
      </c>
      <c r="C765">
        <v>70.277932460000002</v>
      </c>
      <c r="D765">
        <v>78.521140470000006</v>
      </c>
      <c r="E765">
        <v>66.510038960000003</v>
      </c>
      <c r="F765">
        <v>85.448670930000006</v>
      </c>
      <c r="G765">
        <v>82.574214420000004</v>
      </c>
      <c r="H765">
        <v>69.911759070000002</v>
      </c>
      <c r="I765">
        <v>54.940766709999998</v>
      </c>
    </row>
    <row r="766" spans="1:9" ht="14.25" customHeight="1" x14ac:dyDescent="0.3">
      <c r="A766" t="s">
        <v>1567</v>
      </c>
      <c r="B766">
        <v>90.946496580000002</v>
      </c>
      <c r="C766">
        <v>70.100431639999996</v>
      </c>
      <c r="D766">
        <v>77.271573660000001</v>
      </c>
      <c r="E766">
        <v>63.395791750000001</v>
      </c>
      <c r="F766">
        <v>86.777262559999997</v>
      </c>
      <c r="G766">
        <v>79.478885550000001</v>
      </c>
      <c r="H766">
        <v>65.163755789999996</v>
      </c>
      <c r="I766">
        <v>64.692425270000001</v>
      </c>
    </row>
    <row r="767" spans="1:9" ht="14.25" customHeight="1" x14ac:dyDescent="0.3">
      <c r="A767" t="s">
        <v>1569</v>
      </c>
      <c r="B767">
        <v>87.411097749999996</v>
      </c>
      <c r="C767">
        <v>74.567272650000007</v>
      </c>
      <c r="D767">
        <v>78.732424940000001</v>
      </c>
      <c r="E767">
        <v>62.637529469999997</v>
      </c>
      <c r="F767">
        <v>83.613085280000007</v>
      </c>
      <c r="G767">
        <v>76.535685509999993</v>
      </c>
      <c r="H767">
        <v>74.414638069999995</v>
      </c>
      <c r="I767">
        <v>70</v>
      </c>
    </row>
    <row r="768" spans="1:9" ht="14.25" customHeight="1" x14ac:dyDescent="0.3">
      <c r="A768" t="s">
        <v>1571</v>
      </c>
      <c r="B768">
        <v>77.547009450000004</v>
      </c>
      <c r="C768">
        <v>67.007857430000001</v>
      </c>
      <c r="D768">
        <v>70.582466740000001</v>
      </c>
      <c r="E768">
        <v>72.128031429999993</v>
      </c>
      <c r="F768">
        <v>86.93218727</v>
      </c>
      <c r="G768">
        <v>77.734209849999999</v>
      </c>
      <c r="H768">
        <v>76.164997720000002</v>
      </c>
      <c r="I768">
        <v>61.066797280000003</v>
      </c>
    </row>
    <row r="769" spans="1:9" ht="14.25" customHeight="1" x14ac:dyDescent="0.3">
      <c r="A769" t="s">
        <v>1573</v>
      </c>
      <c r="B769">
        <v>86.052670629999994</v>
      </c>
      <c r="C769">
        <v>79.636406350000001</v>
      </c>
      <c r="D769">
        <v>77.430622740000004</v>
      </c>
      <c r="E769">
        <v>66.213852529999997</v>
      </c>
      <c r="F769">
        <v>88.120351150000005</v>
      </c>
      <c r="G769">
        <v>75.823429090000005</v>
      </c>
      <c r="H769">
        <v>68.256807379999998</v>
      </c>
      <c r="I769">
        <v>59.905036639999999</v>
      </c>
    </row>
    <row r="770" spans="1:9" ht="14.25" customHeight="1" x14ac:dyDescent="0.3">
      <c r="A770" t="s">
        <v>1575</v>
      </c>
      <c r="B770">
        <v>86.798487289999997</v>
      </c>
      <c r="C770">
        <v>62.680664620000002</v>
      </c>
      <c r="D770">
        <v>89.302236960000002</v>
      </c>
      <c r="E770">
        <v>60.851766099999999</v>
      </c>
      <c r="F770">
        <v>86.725918140000005</v>
      </c>
      <c r="G770">
        <v>85</v>
      </c>
      <c r="H770">
        <v>73.338542419999996</v>
      </c>
      <c r="I770">
        <v>59.719365660000001</v>
      </c>
    </row>
    <row r="771" spans="1:9" ht="14.25" customHeight="1" x14ac:dyDescent="0.3">
      <c r="A771" t="s">
        <v>1577</v>
      </c>
      <c r="B771">
        <v>88.606526709999997</v>
      </c>
      <c r="C771">
        <v>67.264547129999997</v>
      </c>
      <c r="D771">
        <v>82.486189640000006</v>
      </c>
      <c r="E771">
        <v>60.231576259999997</v>
      </c>
      <c r="F771">
        <v>80</v>
      </c>
      <c r="G771">
        <v>69.553420389999999</v>
      </c>
      <c r="H771">
        <v>72.649909289999997</v>
      </c>
      <c r="I771">
        <v>58.628754270000002</v>
      </c>
    </row>
    <row r="772" spans="1:9" ht="14.25" customHeight="1" x14ac:dyDescent="0.3">
      <c r="A772" t="s">
        <v>1579</v>
      </c>
      <c r="B772">
        <v>92.79203253</v>
      </c>
      <c r="C772">
        <v>70.750220279999994</v>
      </c>
      <c r="D772">
        <v>81.244359189999997</v>
      </c>
      <c r="E772">
        <v>68.355810910000002</v>
      </c>
      <c r="F772">
        <v>85.148579310000002</v>
      </c>
      <c r="G772">
        <v>79.834789670000006</v>
      </c>
      <c r="H772">
        <v>67.097963680000007</v>
      </c>
      <c r="I772">
        <v>63.176134740000002</v>
      </c>
    </row>
    <row r="773" spans="1:9" ht="14.25" customHeight="1" x14ac:dyDescent="0.3">
      <c r="A773" t="s">
        <v>1581</v>
      </c>
      <c r="B773">
        <v>81.250368850000001</v>
      </c>
      <c r="C773">
        <v>71.78643409</v>
      </c>
      <c r="D773">
        <v>90</v>
      </c>
      <c r="E773">
        <v>67.991001710000006</v>
      </c>
      <c r="F773">
        <v>89.855861820000001</v>
      </c>
      <c r="G773">
        <v>78.310084950000004</v>
      </c>
      <c r="H773">
        <v>65.088025270000003</v>
      </c>
      <c r="I773">
        <v>66.795326950000003</v>
      </c>
    </row>
    <row r="774" spans="1:9" ht="14.25" customHeight="1" x14ac:dyDescent="0.3">
      <c r="A774" t="s">
        <v>1583</v>
      </c>
      <c r="B774">
        <v>86.376445790000005</v>
      </c>
      <c r="C774">
        <v>63.827494129999998</v>
      </c>
      <c r="D774">
        <v>78.119757480000004</v>
      </c>
      <c r="E774">
        <v>68.999401280000001</v>
      </c>
      <c r="F774">
        <v>80.516016609999994</v>
      </c>
      <c r="G774">
        <v>75.524914390000006</v>
      </c>
      <c r="H774">
        <v>71.783964409999996</v>
      </c>
      <c r="I774">
        <v>59.516899039999998</v>
      </c>
    </row>
    <row r="775" spans="1:9" ht="14.25" customHeight="1" x14ac:dyDescent="0.3">
      <c r="A775" t="s">
        <v>1585</v>
      </c>
      <c r="B775">
        <v>90.169452559999996</v>
      </c>
      <c r="C775">
        <v>65.918834810000007</v>
      </c>
      <c r="D775">
        <v>70.896178469999995</v>
      </c>
      <c r="E775">
        <v>65.493744489999997</v>
      </c>
      <c r="F775">
        <v>89.722215579999997</v>
      </c>
      <c r="G775">
        <v>68.054683859999997</v>
      </c>
      <c r="H775">
        <v>71.545225070000001</v>
      </c>
      <c r="I775">
        <v>60.389997430000001</v>
      </c>
    </row>
    <row r="776" spans="1:9" ht="14.25" customHeight="1" x14ac:dyDescent="0.3">
      <c r="A776" t="s">
        <v>1587</v>
      </c>
      <c r="B776">
        <v>81.344202440000004</v>
      </c>
      <c r="C776">
        <v>76.049466280000004</v>
      </c>
      <c r="D776">
        <v>70</v>
      </c>
      <c r="E776">
        <v>65.78897001</v>
      </c>
      <c r="F776">
        <v>89.245884430000004</v>
      </c>
      <c r="G776">
        <v>68.441133249999993</v>
      </c>
      <c r="H776">
        <v>72.689336139999995</v>
      </c>
      <c r="I776">
        <v>67.92162313</v>
      </c>
    </row>
    <row r="777" spans="1:9" ht="14.25" customHeight="1" x14ac:dyDescent="0.3">
      <c r="A777" t="s">
        <v>1589</v>
      </c>
      <c r="B777">
        <v>86.275897400000005</v>
      </c>
      <c r="C777">
        <v>61.659187639999999</v>
      </c>
      <c r="D777">
        <v>78.312218639999998</v>
      </c>
      <c r="E777">
        <v>56.001841169999999</v>
      </c>
      <c r="F777">
        <v>85.061162550000006</v>
      </c>
      <c r="G777">
        <v>70.341990469999999</v>
      </c>
      <c r="H777">
        <v>72.653224739999999</v>
      </c>
      <c r="I777">
        <v>53.56593857</v>
      </c>
    </row>
    <row r="778" spans="1:9" ht="14.25" customHeight="1" x14ac:dyDescent="0.3">
      <c r="A778" t="s">
        <v>1591</v>
      </c>
      <c r="B778">
        <v>83.901312680000004</v>
      </c>
      <c r="C778">
        <v>67.873732529999998</v>
      </c>
      <c r="D778">
        <v>80.168350520000004</v>
      </c>
      <c r="E778">
        <v>75</v>
      </c>
      <c r="F778">
        <v>87.762189309999997</v>
      </c>
      <c r="G778">
        <v>77.026985319999994</v>
      </c>
      <c r="H778">
        <v>71.710951219999998</v>
      </c>
      <c r="I778">
        <v>52.890128359999999</v>
      </c>
    </row>
    <row r="779" spans="1:9" ht="14.25" customHeight="1" x14ac:dyDescent="0.3">
      <c r="A779" t="s">
        <v>1593</v>
      </c>
      <c r="B779">
        <v>78.57658807</v>
      </c>
      <c r="C779">
        <v>70.961909079999998</v>
      </c>
      <c r="D779">
        <v>80.807923590000001</v>
      </c>
      <c r="E779">
        <v>66.171502590000003</v>
      </c>
      <c r="F779">
        <v>89.368624580000002</v>
      </c>
      <c r="G779">
        <v>71.794493720000006</v>
      </c>
      <c r="H779">
        <v>68.626255779999994</v>
      </c>
      <c r="I779">
        <v>53.463168209999999</v>
      </c>
    </row>
    <row r="780" spans="1:9" ht="14.25" customHeight="1" x14ac:dyDescent="0.3">
      <c r="A780" t="s">
        <v>1595</v>
      </c>
      <c r="B780">
        <v>92.016037249999997</v>
      </c>
      <c r="C780">
        <v>61.286118369999997</v>
      </c>
      <c r="D780">
        <v>75.564265899999995</v>
      </c>
      <c r="E780">
        <v>60.152123940000003</v>
      </c>
      <c r="F780">
        <v>81.496816420000002</v>
      </c>
      <c r="G780">
        <v>85</v>
      </c>
      <c r="H780">
        <v>70.549773869999996</v>
      </c>
      <c r="I780">
        <v>50</v>
      </c>
    </row>
    <row r="781" spans="1:9" ht="14.25" customHeight="1" x14ac:dyDescent="0.3">
      <c r="A781" t="s">
        <v>1597</v>
      </c>
      <c r="B781">
        <v>91.187495929999997</v>
      </c>
      <c r="C781">
        <v>66.897203880000006</v>
      </c>
      <c r="D781">
        <v>77.740493180000001</v>
      </c>
      <c r="E781">
        <v>66.025905429999995</v>
      </c>
      <c r="F781">
        <v>87.058574609999994</v>
      </c>
      <c r="G781">
        <v>77.538828550000005</v>
      </c>
      <c r="H781">
        <v>69.344718850000007</v>
      </c>
      <c r="I781">
        <v>59.675032100000003</v>
      </c>
    </row>
    <row r="782" spans="1:9" ht="14.25" customHeight="1" x14ac:dyDescent="0.3">
      <c r="A782" t="s">
        <v>1599</v>
      </c>
      <c r="B782">
        <v>91.432988859999995</v>
      </c>
      <c r="C782">
        <v>78.01054972</v>
      </c>
      <c r="D782">
        <v>70</v>
      </c>
      <c r="E782">
        <v>69.316141299999998</v>
      </c>
      <c r="F782">
        <v>99.899589399999996</v>
      </c>
      <c r="G782">
        <v>81.620581720000004</v>
      </c>
      <c r="H782">
        <v>85</v>
      </c>
      <c r="I782">
        <v>54.186636960000001</v>
      </c>
    </row>
    <row r="783" spans="1:9" ht="14.25" customHeight="1" x14ac:dyDescent="0.3">
      <c r="A783" t="s">
        <v>1602</v>
      </c>
      <c r="B783">
        <v>90.199473179999998</v>
      </c>
      <c r="C783">
        <v>60</v>
      </c>
      <c r="D783">
        <v>74.036050399999993</v>
      </c>
      <c r="E783">
        <v>69.405159159999997</v>
      </c>
      <c r="F783">
        <v>88.475387220000002</v>
      </c>
      <c r="G783">
        <v>78.942609759999996</v>
      </c>
      <c r="H783">
        <v>65</v>
      </c>
      <c r="I783">
        <v>52.851501149999997</v>
      </c>
    </row>
    <row r="784" spans="1:9" ht="14.25" customHeight="1" x14ac:dyDescent="0.3">
      <c r="A784" t="s">
        <v>1604</v>
      </c>
      <c r="B784">
        <v>77.257055930000007</v>
      </c>
      <c r="C784">
        <v>67.862153070000005</v>
      </c>
      <c r="D784">
        <v>77.536243510000006</v>
      </c>
      <c r="E784">
        <v>61.861718150000002</v>
      </c>
      <c r="F784">
        <v>99.9</v>
      </c>
      <c r="G784">
        <v>77.647615549999998</v>
      </c>
      <c r="H784">
        <v>69.724653959999998</v>
      </c>
      <c r="I784">
        <v>50</v>
      </c>
    </row>
    <row r="785" spans="1:9" ht="14.25" customHeight="1" x14ac:dyDescent="0.3">
      <c r="A785" t="s">
        <v>1606</v>
      </c>
      <c r="B785">
        <v>88.406255009999995</v>
      </c>
      <c r="C785">
        <v>60</v>
      </c>
      <c r="D785">
        <v>83.480812389999997</v>
      </c>
      <c r="E785">
        <v>68.708708799999997</v>
      </c>
      <c r="F785">
        <v>93.479499500000003</v>
      </c>
      <c r="G785">
        <v>80.730229829999999</v>
      </c>
      <c r="H785">
        <v>69.234350169999999</v>
      </c>
      <c r="I785">
        <v>54.306062500000003</v>
      </c>
    </row>
    <row r="786" spans="1:9" ht="14.25" customHeight="1" x14ac:dyDescent="0.3">
      <c r="A786" t="s">
        <v>1608</v>
      </c>
      <c r="B786">
        <v>79.489932179999997</v>
      </c>
      <c r="C786">
        <v>66.369757770000007</v>
      </c>
      <c r="D786">
        <v>72.757634659999994</v>
      </c>
      <c r="E786">
        <v>66.104843819999999</v>
      </c>
      <c r="F786">
        <v>91.076912530000001</v>
      </c>
      <c r="G786">
        <v>78.827451730000007</v>
      </c>
      <c r="H786">
        <v>79.036655580000001</v>
      </c>
      <c r="I786">
        <v>59.703963979999997</v>
      </c>
    </row>
    <row r="787" spans="1:9" ht="14.25" customHeight="1" x14ac:dyDescent="0.3">
      <c r="A787" t="s">
        <v>1610</v>
      </c>
      <c r="B787">
        <v>94.437736340000001</v>
      </c>
      <c r="C787">
        <v>72.768665369999994</v>
      </c>
      <c r="D787">
        <v>82.451485120000001</v>
      </c>
      <c r="E787">
        <v>65.956067500000003</v>
      </c>
      <c r="F787">
        <v>93.541997069999994</v>
      </c>
      <c r="G787">
        <v>76.622911930000001</v>
      </c>
      <c r="H787">
        <v>72.82733005</v>
      </c>
      <c r="I787">
        <v>55.689610729999998</v>
      </c>
    </row>
    <row r="788" spans="1:9" ht="14.25" customHeight="1" x14ac:dyDescent="0.3">
      <c r="A788" t="s">
        <v>1612</v>
      </c>
      <c r="B788">
        <v>88.988875469999996</v>
      </c>
      <c r="C788">
        <v>77.839586400000002</v>
      </c>
      <c r="D788">
        <v>73.944028230000001</v>
      </c>
      <c r="E788">
        <v>62.67919895</v>
      </c>
      <c r="F788">
        <v>80.178042689999998</v>
      </c>
      <c r="G788">
        <v>77.099183870000005</v>
      </c>
      <c r="H788">
        <v>71.711878679999998</v>
      </c>
      <c r="I788">
        <v>59.745496119999999</v>
      </c>
    </row>
    <row r="789" spans="1:9" ht="14.25" customHeight="1" x14ac:dyDescent="0.3">
      <c r="A789" t="s">
        <v>1614</v>
      </c>
      <c r="B789">
        <v>96.496192539999996</v>
      </c>
      <c r="C789">
        <v>69.603586640000003</v>
      </c>
      <c r="D789">
        <v>78.863406370000007</v>
      </c>
      <c r="E789">
        <v>62.582883649999999</v>
      </c>
      <c r="F789">
        <v>90.08239768</v>
      </c>
      <c r="G789">
        <v>80.739061899999996</v>
      </c>
      <c r="H789">
        <v>75.444226749999999</v>
      </c>
      <c r="I789">
        <v>58.623349920000003</v>
      </c>
    </row>
    <row r="790" spans="1:9" ht="14.25" customHeight="1" x14ac:dyDescent="0.3">
      <c r="A790" t="s">
        <v>1616</v>
      </c>
      <c r="B790">
        <v>79.710839879999995</v>
      </c>
      <c r="C790">
        <v>76.08643524</v>
      </c>
      <c r="D790">
        <v>82.646356499999996</v>
      </c>
      <c r="E790">
        <v>55</v>
      </c>
      <c r="F790">
        <v>87.623723350000006</v>
      </c>
      <c r="G790">
        <v>80.516247609999994</v>
      </c>
      <c r="H790">
        <v>74.675025610000006</v>
      </c>
      <c r="I790">
        <v>56.189617310000003</v>
      </c>
    </row>
    <row r="791" spans="1:9" ht="14.25" customHeight="1" x14ac:dyDescent="0.3">
      <c r="A791" t="s">
        <v>1618</v>
      </c>
      <c r="B791">
        <v>84.174734259999994</v>
      </c>
      <c r="C791">
        <v>60</v>
      </c>
      <c r="D791">
        <v>70</v>
      </c>
      <c r="E791">
        <v>75</v>
      </c>
      <c r="F791">
        <v>92.952662869999997</v>
      </c>
      <c r="G791">
        <v>74.051026660000005</v>
      </c>
      <c r="H791">
        <v>74.251188130000003</v>
      </c>
      <c r="I791">
        <v>55.186605360000001</v>
      </c>
    </row>
    <row r="792" spans="1:9" ht="14.25" customHeight="1" x14ac:dyDescent="0.3">
      <c r="A792" t="s">
        <v>1620</v>
      </c>
      <c r="B792">
        <v>80.150865830000001</v>
      </c>
      <c r="C792">
        <v>72.545372549999996</v>
      </c>
      <c r="D792">
        <v>75.988948500000006</v>
      </c>
      <c r="E792">
        <v>68.932584829999996</v>
      </c>
      <c r="F792">
        <v>99.297242080000004</v>
      </c>
      <c r="G792">
        <v>77.884010169999996</v>
      </c>
      <c r="H792">
        <v>69.38221763</v>
      </c>
      <c r="I792">
        <v>69.395173</v>
      </c>
    </row>
    <row r="793" spans="1:9" ht="14.25" customHeight="1" x14ac:dyDescent="0.3">
      <c r="A793" t="s">
        <v>1622</v>
      </c>
      <c r="B793">
        <v>88.856216020000005</v>
      </c>
      <c r="C793">
        <v>60</v>
      </c>
      <c r="D793">
        <v>77.380049150000005</v>
      </c>
      <c r="E793">
        <v>62.681832180000001</v>
      </c>
      <c r="F793">
        <v>88.935013029999993</v>
      </c>
      <c r="G793">
        <v>76.593958839999999</v>
      </c>
      <c r="H793">
        <v>78.287640580000001</v>
      </c>
      <c r="I793">
        <v>50</v>
      </c>
    </row>
    <row r="794" spans="1:9" ht="14.25" customHeight="1" x14ac:dyDescent="0.3">
      <c r="A794" t="s">
        <v>1624</v>
      </c>
      <c r="B794">
        <v>86.556287589999997</v>
      </c>
      <c r="C794">
        <v>68.869722710000005</v>
      </c>
      <c r="D794">
        <v>81.289788569999999</v>
      </c>
      <c r="E794">
        <v>62.230548419999998</v>
      </c>
      <c r="F794">
        <v>86.761649809999994</v>
      </c>
      <c r="G794">
        <v>75.581974020000004</v>
      </c>
      <c r="H794">
        <v>69.926480530000006</v>
      </c>
      <c r="I794">
        <v>51.415109440000002</v>
      </c>
    </row>
    <row r="795" spans="1:9" ht="14.25" customHeight="1" x14ac:dyDescent="0.3">
      <c r="A795" t="s">
        <v>1626</v>
      </c>
      <c r="B795">
        <v>95.897995879999996</v>
      </c>
      <c r="C795">
        <v>65.048560879999997</v>
      </c>
      <c r="D795">
        <v>70.108402040000001</v>
      </c>
      <c r="E795">
        <v>64.486921170000002</v>
      </c>
      <c r="F795">
        <v>93.041867460000006</v>
      </c>
      <c r="G795">
        <v>66.505268009999995</v>
      </c>
      <c r="H795">
        <v>65</v>
      </c>
      <c r="I795">
        <v>54.099956970000001</v>
      </c>
    </row>
    <row r="796" spans="1:9" ht="14.25" customHeight="1" x14ac:dyDescent="0.3">
      <c r="A796" t="s">
        <v>1628</v>
      </c>
      <c r="B796">
        <v>90.621837499999998</v>
      </c>
      <c r="C796">
        <v>69.218310549999998</v>
      </c>
      <c r="D796">
        <v>81.555105019999999</v>
      </c>
      <c r="E796">
        <v>68.12014035</v>
      </c>
      <c r="F796">
        <v>88.429351620000006</v>
      </c>
      <c r="G796">
        <v>83.759069859999997</v>
      </c>
      <c r="H796">
        <v>66.202821839999999</v>
      </c>
      <c r="I796">
        <v>56.853779240000001</v>
      </c>
    </row>
    <row r="797" spans="1:9" ht="14.25" customHeight="1" x14ac:dyDescent="0.3">
      <c r="A797" t="s">
        <v>1630</v>
      </c>
      <c r="B797">
        <v>89.412804820000005</v>
      </c>
      <c r="C797">
        <v>70.278104780000007</v>
      </c>
      <c r="D797">
        <v>75.183249270000005</v>
      </c>
      <c r="E797">
        <v>58.792538630000003</v>
      </c>
      <c r="F797">
        <v>90.314285260000005</v>
      </c>
      <c r="G797">
        <v>81.084385049999995</v>
      </c>
      <c r="H797">
        <v>70.671066850000003</v>
      </c>
      <c r="I797">
        <v>50</v>
      </c>
    </row>
    <row r="798" spans="1:9" ht="14.25" customHeight="1" x14ac:dyDescent="0.3">
      <c r="A798" t="s">
        <v>1632</v>
      </c>
      <c r="B798">
        <v>91.897930040000006</v>
      </c>
      <c r="C798">
        <v>62.177534549999997</v>
      </c>
      <c r="D798">
        <v>70</v>
      </c>
      <c r="E798">
        <v>61.596638579999997</v>
      </c>
      <c r="F798">
        <v>86.749572889999996</v>
      </c>
      <c r="G798">
        <v>78.950603810000004</v>
      </c>
      <c r="H798">
        <v>72.846594690000003</v>
      </c>
      <c r="I798">
        <v>54.956813400000001</v>
      </c>
    </row>
    <row r="799" spans="1:9" ht="14.25" customHeight="1" x14ac:dyDescent="0.3">
      <c r="A799" t="s">
        <v>1634</v>
      </c>
      <c r="B799">
        <v>84.612834219999996</v>
      </c>
      <c r="C799">
        <v>62.372563909999997</v>
      </c>
      <c r="D799">
        <v>77.236239769999997</v>
      </c>
      <c r="E799">
        <v>64.856862919999998</v>
      </c>
      <c r="F799">
        <v>98.573214780000001</v>
      </c>
      <c r="G799">
        <v>75.734048639999997</v>
      </c>
      <c r="H799">
        <v>73.99413783</v>
      </c>
      <c r="I799">
        <v>65.940863980000003</v>
      </c>
    </row>
    <row r="800" spans="1:9" ht="14.25" customHeight="1" x14ac:dyDescent="0.3">
      <c r="A800" t="s">
        <v>1636</v>
      </c>
      <c r="B800">
        <v>84.74964602</v>
      </c>
      <c r="C800">
        <v>66.581173219999997</v>
      </c>
      <c r="D800">
        <v>79.47302766</v>
      </c>
      <c r="E800">
        <v>64.845344080000004</v>
      </c>
      <c r="F800">
        <v>84.039357019999997</v>
      </c>
      <c r="G800">
        <v>74.805471850000004</v>
      </c>
      <c r="H800">
        <v>71.304750690000006</v>
      </c>
      <c r="I800">
        <v>68.261930550000002</v>
      </c>
    </row>
    <row r="801" spans="1:9" ht="14.25" customHeight="1" x14ac:dyDescent="0.3">
      <c r="A801" t="s">
        <v>1638</v>
      </c>
      <c r="B801">
        <v>87.775012340000004</v>
      </c>
      <c r="C801">
        <v>60</v>
      </c>
      <c r="D801">
        <v>70.376717869999993</v>
      </c>
      <c r="E801">
        <v>66.855854730000004</v>
      </c>
      <c r="F801">
        <v>91.360219639999997</v>
      </c>
      <c r="G801">
        <v>83.353773450000006</v>
      </c>
      <c r="H801">
        <v>75.8008478</v>
      </c>
      <c r="I801">
        <v>55.409234130000002</v>
      </c>
    </row>
    <row r="802" spans="1:9" ht="14.25" customHeight="1" x14ac:dyDescent="0.3">
      <c r="A802" t="s">
        <v>1640</v>
      </c>
      <c r="B802">
        <v>81.757939620000002</v>
      </c>
      <c r="C802">
        <v>63.595145670000001</v>
      </c>
      <c r="D802">
        <v>70.972782370000004</v>
      </c>
      <c r="E802">
        <v>65.296810530000002</v>
      </c>
      <c r="F802">
        <v>86.551232909999996</v>
      </c>
      <c r="G802">
        <v>74.041343909999995</v>
      </c>
      <c r="H802">
        <v>69.183060459999993</v>
      </c>
      <c r="I802">
        <v>57.553264570000003</v>
      </c>
    </row>
    <row r="803" spans="1:9" ht="14.25" customHeight="1" x14ac:dyDescent="0.3">
      <c r="A803" t="s">
        <v>1642</v>
      </c>
      <c r="B803">
        <v>77.594989720000001</v>
      </c>
      <c r="C803">
        <v>74.041650630000007</v>
      </c>
      <c r="D803">
        <v>88.007569549999999</v>
      </c>
      <c r="E803">
        <v>65.111887780000004</v>
      </c>
      <c r="F803">
        <v>86.992611620000005</v>
      </c>
      <c r="G803">
        <v>77.072308800000002</v>
      </c>
      <c r="H803">
        <v>67.153965799999995</v>
      </c>
      <c r="I803">
        <v>63.769888620000003</v>
      </c>
    </row>
    <row r="804" spans="1:9" ht="14.25" customHeight="1" x14ac:dyDescent="0.3">
      <c r="A804" t="s">
        <v>1644</v>
      </c>
      <c r="B804">
        <v>86.627043389999997</v>
      </c>
      <c r="C804">
        <v>67.626485329999994</v>
      </c>
      <c r="D804">
        <v>80.148704839999994</v>
      </c>
      <c r="E804">
        <v>59.478219199999998</v>
      </c>
      <c r="F804">
        <v>89.838891340000004</v>
      </c>
      <c r="G804">
        <v>74.717749999999995</v>
      </c>
      <c r="H804">
        <v>77.279635499999998</v>
      </c>
      <c r="I804">
        <v>63.935620710000002</v>
      </c>
    </row>
    <row r="805" spans="1:9" ht="14.25" customHeight="1" x14ac:dyDescent="0.3">
      <c r="A805" t="s">
        <v>1646</v>
      </c>
      <c r="B805">
        <v>83.285179020000001</v>
      </c>
      <c r="C805">
        <v>63.59064103</v>
      </c>
      <c r="D805">
        <v>78.775577749999997</v>
      </c>
      <c r="E805">
        <v>64.75404691</v>
      </c>
      <c r="F805">
        <v>83.155580069999999</v>
      </c>
      <c r="G805">
        <v>82.649657430000005</v>
      </c>
      <c r="H805">
        <v>76.38101795</v>
      </c>
      <c r="I805">
        <v>61.669871880000002</v>
      </c>
    </row>
    <row r="806" spans="1:9" ht="14.25" customHeight="1" x14ac:dyDescent="0.3">
      <c r="A806" t="s">
        <v>1648</v>
      </c>
      <c r="B806">
        <v>86.210464189999996</v>
      </c>
      <c r="C806">
        <v>66.308346330000006</v>
      </c>
      <c r="D806">
        <v>79.112290790000003</v>
      </c>
      <c r="E806">
        <v>65.97330384</v>
      </c>
      <c r="F806">
        <v>82.225239040000005</v>
      </c>
      <c r="G806">
        <v>73.70821918</v>
      </c>
      <c r="H806">
        <v>76.614040430000003</v>
      </c>
      <c r="I806">
        <v>60.40688016</v>
      </c>
    </row>
    <row r="807" spans="1:9" ht="14.25" customHeight="1" x14ac:dyDescent="0.3">
      <c r="A807" t="s">
        <v>1650</v>
      </c>
      <c r="B807">
        <v>89.978523999999993</v>
      </c>
      <c r="C807">
        <v>63.550156579999999</v>
      </c>
      <c r="D807">
        <v>71.456649319999997</v>
      </c>
      <c r="E807">
        <v>71.391869869999994</v>
      </c>
      <c r="F807">
        <v>86.76171334</v>
      </c>
      <c r="G807">
        <v>73.85638161</v>
      </c>
      <c r="H807">
        <v>72.523468010000002</v>
      </c>
      <c r="I807">
        <v>53.056869409999997</v>
      </c>
    </row>
    <row r="808" spans="1:9" ht="14.25" customHeight="1" x14ac:dyDescent="0.3">
      <c r="A808" t="s">
        <v>1652</v>
      </c>
      <c r="B808">
        <v>80.599377660000002</v>
      </c>
      <c r="C808">
        <v>67.043521729999995</v>
      </c>
      <c r="D808">
        <v>70</v>
      </c>
      <c r="E808">
        <v>66.293140199999996</v>
      </c>
      <c r="F808">
        <v>98.636483549999994</v>
      </c>
      <c r="G808">
        <v>78.855352379999999</v>
      </c>
      <c r="H808">
        <v>72.063759579999996</v>
      </c>
      <c r="I808">
        <v>50</v>
      </c>
    </row>
    <row r="809" spans="1:9" ht="14.25" customHeight="1" x14ac:dyDescent="0.3">
      <c r="A809" t="s">
        <v>1655</v>
      </c>
      <c r="B809">
        <v>86.817362309999993</v>
      </c>
      <c r="C809">
        <v>63.839078299999997</v>
      </c>
      <c r="D809">
        <v>76.452811679999996</v>
      </c>
      <c r="E809">
        <v>59.717771110000001</v>
      </c>
      <c r="F809">
        <v>90.172575019999996</v>
      </c>
      <c r="G809">
        <v>80.479813809999996</v>
      </c>
      <c r="H809">
        <v>70.517507050000006</v>
      </c>
      <c r="I809">
        <v>58.082219170000002</v>
      </c>
    </row>
    <row r="810" spans="1:9" ht="14.25" customHeight="1" x14ac:dyDescent="0.3">
      <c r="A810" t="s">
        <v>1658</v>
      </c>
      <c r="B810">
        <v>87.391970549999996</v>
      </c>
      <c r="C810">
        <v>64.205434260000004</v>
      </c>
      <c r="D810">
        <v>71.104709</v>
      </c>
      <c r="E810">
        <v>69.465356869999994</v>
      </c>
      <c r="F810">
        <v>81.790575770000004</v>
      </c>
      <c r="G810">
        <v>76.439575809999994</v>
      </c>
      <c r="H810">
        <v>74.980380080000003</v>
      </c>
      <c r="I810">
        <v>62.269973180000001</v>
      </c>
    </row>
    <row r="811" spans="1:9" ht="14.25" customHeight="1" x14ac:dyDescent="0.3">
      <c r="A811" t="s">
        <v>1660</v>
      </c>
      <c r="B811">
        <v>86.004924369999998</v>
      </c>
      <c r="C811">
        <v>75.633123949999998</v>
      </c>
      <c r="D811">
        <v>81.764356980000002</v>
      </c>
      <c r="E811">
        <v>66.147779740000004</v>
      </c>
      <c r="F811">
        <v>95.37960434</v>
      </c>
      <c r="G811">
        <v>69.839749870000006</v>
      </c>
      <c r="H811">
        <v>69.443749519999997</v>
      </c>
      <c r="I811">
        <v>70</v>
      </c>
    </row>
    <row r="812" spans="1:9" ht="14.25" customHeight="1" x14ac:dyDescent="0.3">
      <c r="A812" t="s">
        <v>1662</v>
      </c>
      <c r="B812">
        <v>86.798808919999999</v>
      </c>
      <c r="C812">
        <v>69.119093629999995</v>
      </c>
      <c r="D812">
        <v>80.365248289999997</v>
      </c>
      <c r="E812">
        <v>65.356520320000001</v>
      </c>
      <c r="F812">
        <v>83.099610589999998</v>
      </c>
      <c r="G812">
        <v>80.717337839999999</v>
      </c>
      <c r="H812">
        <v>76.119528919999993</v>
      </c>
      <c r="I812">
        <v>54.080941840000001</v>
      </c>
    </row>
    <row r="813" spans="1:9" ht="14.25" customHeight="1" x14ac:dyDescent="0.3">
      <c r="A813" t="s">
        <v>1664</v>
      </c>
      <c r="B813">
        <v>81.22105114</v>
      </c>
      <c r="C813">
        <v>71.286782619999997</v>
      </c>
      <c r="D813">
        <v>72.536408809999998</v>
      </c>
      <c r="E813">
        <v>60.603996739999999</v>
      </c>
      <c r="F813">
        <v>87.385659720000007</v>
      </c>
      <c r="G813">
        <v>73.705541510000003</v>
      </c>
      <c r="H813">
        <v>79.173788290000005</v>
      </c>
      <c r="I813">
        <v>64.878375629999994</v>
      </c>
    </row>
    <row r="814" spans="1:9" ht="14.25" customHeight="1" x14ac:dyDescent="0.3">
      <c r="A814" t="s">
        <v>1666</v>
      </c>
      <c r="B814">
        <v>79.232409410000002</v>
      </c>
      <c r="C814">
        <v>69.397257679999996</v>
      </c>
      <c r="D814">
        <v>74.297931030000001</v>
      </c>
      <c r="E814">
        <v>66.618361969999995</v>
      </c>
      <c r="F814">
        <v>89.833558699999998</v>
      </c>
      <c r="G814">
        <v>85</v>
      </c>
      <c r="H814">
        <v>76.080923170000005</v>
      </c>
      <c r="I814">
        <v>54.19294593</v>
      </c>
    </row>
    <row r="815" spans="1:9" ht="14.25" customHeight="1" x14ac:dyDescent="0.3">
      <c r="A815" t="s">
        <v>1668</v>
      </c>
      <c r="B815">
        <v>86.621824660000001</v>
      </c>
      <c r="C815">
        <v>74.125642529999993</v>
      </c>
      <c r="D815">
        <v>70</v>
      </c>
      <c r="E815">
        <v>65.767053610000005</v>
      </c>
      <c r="F815">
        <v>97.289273800000004</v>
      </c>
      <c r="G815">
        <v>76.444244710000007</v>
      </c>
      <c r="H815">
        <v>67.630373789999993</v>
      </c>
      <c r="I815">
        <v>59.207592570000003</v>
      </c>
    </row>
    <row r="816" spans="1:9" ht="14.25" customHeight="1" x14ac:dyDescent="0.3">
      <c r="A816" t="s">
        <v>1670</v>
      </c>
      <c r="B816">
        <v>83.564669129999999</v>
      </c>
      <c r="C816">
        <v>66.132148790000002</v>
      </c>
      <c r="D816">
        <v>77.840761270000002</v>
      </c>
      <c r="E816">
        <v>70.960327759999998</v>
      </c>
      <c r="F816">
        <v>80</v>
      </c>
      <c r="G816">
        <v>82.074190669999993</v>
      </c>
      <c r="H816">
        <v>68.234840890000001</v>
      </c>
      <c r="I816">
        <v>50</v>
      </c>
    </row>
    <row r="817" spans="1:9" ht="14.25" customHeight="1" x14ac:dyDescent="0.3">
      <c r="A817" t="s">
        <v>1672</v>
      </c>
      <c r="B817">
        <v>92.219616500000001</v>
      </c>
      <c r="C817">
        <v>80</v>
      </c>
      <c r="D817">
        <v>88.410727829999999</v>
      </c>
      <c r="E817">
        <v>67.786020609999994</v>
      </c>
      <c r="F817">
        <v>80</v>
      </c>
      <c r="G817">
        <v>75.245937920000003</v>
      </c>
      <c r="H817">
        <v>70.890915449999994</v>
      </c>
      <c r="I817">
        <v>62.176755929999999</v>
      </c>
    </row>
    <row r="818" spans="1:9" ht="14.25" customHeight="1" x14ac:dyDescent="0.3">
      <c r="A818" t="s">
        <v>1674</v>
      </c>
      <c r="B818">
        <v>91.3321787</v>
      </c>
      <c r="C818">
        <v>67.823457660000003</v>
      </c>
      <c r="D818">
        <v>70</v>
      </c>
      <c r="E818">
        <v>67.831351299999994</v>
      </c>
      <c r="F818">
        <v>85.997969299999994</v>
      </c>
      <c r="G818">
        <v>83.417581810000001</v>
      </c>
      <c r="H818">
        <v>70.286601730000001</v>
      </c>
      <c r="I818">
        <v>56.836126780000001</v>
      </c>
    </row>
    <row r="819" spans="1:9" ht="14.25" customHeight="1" x14ac:dyDescent="0.3">
      <c r="A819" t="s">
        <v>1676</v>
      </c>
      <c r="B819">
        <v>90.281124750000004</v>
      </c>
      <c r="C819">
        <v>70.966300189999998</v>
      </c>
      <c r="D819">
        <v>76.637881800000002</v>
      </c>
      <c r="E819">
        <v>69.807169680000001</v>
      </c>
      <c r="F819">
        <v>94.118825569999998</v>
      </c>
      <c r="G819">
        <v>76.038579569999996</v>
      </c>
      <c r="H819">
        <v>74.475164590000006</v>
      </c>
      <c r="I819">
        <v>50.111622410000003</v>
      </c>
    </row>
    <row r="820" spans="1:9" ht="14.25" customHeight="1" x14ac:dyDescent="0.3">
      <c r="A820" t="s">
        <v>1678</v>
      </c>
      <c r="B820">
        <v>98.279438049999996</v>
      </c>
      <c r="C820">
        <v>68.774226929999998</v>
      </c>
      <c r="D820">
        <v>79.995316459999998</v>
      </c>
      <c r="E820">
        <v>65.435744979999996</v>
      </c>
      <c r="F820">
        <v>84.0413791</v>
      </c>
      <c r="G820">
        <v>78.946067009999993</v>
      </c>
      <c r="H820">
        <v>65</v>
      </c>
      <c r="I820">
        <v>52.657095949999999</v>
      </c>
    </row>
    <row r="821" spans="1:9" ht="14.25" customHeight="1" x14ac:dyDescent="0.3">
      <c r="A821" t="s">
        <v>1680</v>
      </c>
      <c r="B821">
        <v>86.180398010000005</v>
      </c>
      <c r="C821">
        <v>75.383564739999997</v>
      </c>
      <c r="D821">
        <v>74.460371170000002</v>
      </c>
      <c r="E821">
        <v>68.355352780000004</v>
      </c>
      <c r="F821">
        <v>90.373601820000005</v>
      </c>
      <c r="G821">
        <v>77.770378109999996</v>
      </c>
      <c r="H821">
        <v>71.351467389999996</v>
      </c>
      <c r="I821">
        <v>55.979329020000002</v>
      </c>
    </row>
    <row r="822" spans="1:9" ht="14.25" customHeight="1" x14ac:dyDescent="0.3">
      <c r="A822" t="s">
        <v>1682</v>
      </c>
      <c r="B822">
        <v>89.904569379999998</v>
      </c>
      <c r="C822">
        <v>60</v>
      </c>
      <c r="D822">
        <v>71.661064929999995</v>
      </c>
      <c r="E822">
        <v>66.168127490000003</v>
      </c>
      <c r="F822">
        <v>81.10422423</v>
      </c>
      <c r="G822">
        <v>72.294148160000006</v>
      </c>
      <c r="H822">
        <v>65</v>
      </c>
      <c r="I822">
        <v>57.95240407</v>
      </c>
    </row>
    <row r="823" spans="1:9" ht="14.25" customHeight="1" x14ac:dyDescent="0.3">
      <c r="A823" t="s">
        <v>1684</v>
      </c>
      <c r="B823">
        <v>82.208528560000005</v>
      </c>
      <c r="C823">
        <v>74.429211890000005</v>
      </c>
      <c r="D823">
        <v>72.467829850000001</v>
      </c>
      <c r="E823">
        <v>67.460106139999994</v>
      </c>
      <c r="F823">
        <v>99.9</v>
      </c>
      <c r="G823">
        <v>80.446308540000004</v>
      </c>
      <c r="H823">
        <v>76.364591039999993</v>
      </c>
      <c r="I823">
        <v>57.764579750000003</v>
      </c>
    </row>
    <row r="824" spans="1:9" ht="14.25" customHeight="1" x14ac:dyDescent="0.3">
      <c r="A824" t="s">
        <v>1686</v>
      </c>
      <c r="B824">
        <v>82.035446590000006</v>
      </c>
      <c r="C824">
        <v>70.574940589999997</v>
      </c>
      <c r="D824">
        <v>80.684886610000007</v>
      </c>
      <c r="E824">
        <v>63.77143847</v>
      </c>
      <c r="F824">
        <v>90.165705610000003</v>
      </c>
      <c r="G824">
        <v>77.042150269999993</v>
      </c>
      <c r="H824">
        <v>77.706782309999994</v>
      </c>
      <c r="I824">
        <v>56.115361270000001</v>
      </c>
    </row>
    <row r="825" spans="1:9" ht="14.25" customHeight="1" x14ac:dyDescent="0.3">
      <c r="A825" t="s">
        <v>1688</v>
      </c>
      <c r="B825">
        <v>81.155097889999993</v>
      </c>
      <c r="C825">
        <v>64.386121619999997</v>
      </c>
      <c r="D825">
        <v>70</v>
      </c>
      <c r="E825">
        <v>69.68310194</v>
      </c>
      <c r="F825">
        <v>93.357891190000004</v>
      </c>
      <c r="G825">
        <v>75.624999310000007</v>
      </c>
      <c r="H825">
        <v>67.963595650000002</v>
      </c>
      <c r="I825">
        <v>63.594881770000001</v>
      </c>
    </row>
    <row r="826" spans="1:9" ht="14.25" customHeight="1" x14ac:dyDescent="0.3">
      <c r="A826" t="s">
        <v>1690</v>
      </c>
      <c r="B826">
        <v>94.480031440000005</v>
      </c>
      <c r="C826">
        <v>62.223159750000001</v>
      </c>
      <c r="D826">
        <v>70</v>
      </c>
      <c r="E826">
        <v>71.583453910000003</v>
      </c>
      <c r="F826">
        <v>94.974739170000007</v>
      </c>
      <c r="G826">
        <v>82.217282859999997</v>
      </c>
      <c r="H826">
        <v>67.369916480000001</v>
      </c>
      <c r="I826">
        <v>52.624473680000001</v>
      </c>
    </row>
    <row r="827" spans="1:9" ht="14.25" customHeight="1" x14ac:dyDescent="0.3">
      <c r="A827" t="s">
        <v>1692</v>
      </c>
      <c r="B827">
        <v>88.359128510000005</v>
      </c>
      <c r="C827">
        <v>60</v>
      </c>
      <c r="D827">
        <v>73.630177470000007</v>
      </c>
      <c r="E827">
        <v>68.078666429999998</v>
      </c>
      <c r="F827">
        <v>98.592091710000005</v>
      </c>
      <c r="G827">
        <v>85</v>
      </c>
      <c r="H827">
        <v>67.743130669999999</v>
      </c>
      <c r="I827">
        <v>65.574920820000003</v>
      </c>
    </row>
    <row r="828" spans="1:9" ht="14.25" customHeight="1" x14ac:dyDescent="0.3">
      <c r="A828" t="s">
        <v>1694</v>
      </c>
      <c r="B828">
        <v>82.268772200000001</v>
      </c>
      <c r="C828">
        <v>69.108322189999996</v>
      </c>
      <c r="D828">
        <v>74.166944599999994</v>
      </c>
      <c r="E828">
        <v>63.623978459999996</v>
      </c>
      <c r="F828">
        <v>89.630978249999998</v>
      </c>
      <c r="G828">
        <v>80.09149472</v>
      </c>
      <c r="H828">
        <v>65</v>
      </c>
      <c r="I828">
        <v>58.508701639999998</v>
      </c>
    </row>
    <row r="829" spans="1:9" ht="14.25" customHeight="1" x14ac:dyDescent="0.3">
      <c r="A829" t="s">
        <v>1696</v>
      </c>
      <c r="B829">
        <v>81.139399240000003</v>
      </c>
      <c r="C829">
        <v>65.235348999999999</v>
      </c>
      <c r="D829">
        <v>89.817826640000007</v>
      </c>
      <c r="E829">
        <v>61.859902150000003</v>
      </c>
      <c r="F829">
        <v>84.92699288</v>
      </c>
      <c r="G829">
        <v>81.388278549999995</v>
      </c>
      <c r="H829">
        <v>71.069570429999999</v>
      </c>
      <c r="I829">
        <v>53.5569451</v>
      </c>
    </row>
    <row r="830" spans="1:9" ht="14.25" customHeight="1" x14ac:dyDescent="0.3">
      <c r="A830" t="s">
        <v>1698</v>
      </c>
      <c r="B830">
        <v>86.528968559999996</v>
      </c>
      <c r="C830">
        <v>73.019577760000004</v>
      </c>
      <c r="D830">
        <v>70</v>
      </c>
      <c r="E830">
        <v>62.674472510000001</v>
      </c>
      <c r="F830">
        <v>99.9</v>
      </c>
      <c r="G830">
        <v>79.734063370000001</v>
      </c>
      <c r="H830">
        <v>69.910518400000001</v>
      </c>
      <c r="I830">
        <v>54.696013180000001</v>
      </c>
    </row>
    <row r="831" spans="1:9" ht="14.25" customHeight="1" x14ac:dyDescent="0.3">
      <c r="A831" t="s">
        <v>1700</v>
      </c>
      <c r="B831">
        <v>86.649575240000004</v>
      </c>
      <c r="C831">
        <v>68.597569160000006</v>
      </c>
      <c r="D831">
        <v>79.675534740000003</v>
      </c>
      <c r="E831">
        <v>66.645791220000007</v>
      </c>
      <c r="F831">
        <v>91.072186200000004</v>
      </c>
      <c r="G831">
        <v>75.509274820000002</v>
      </c>
      <c r="H831">
        <v>74.668558829999995</v>
      </c>
      <c r="I831">
        <v>53.899210959999998</v>
      </c>
    </row>
    <row r="832" spans="1:9" ht="14.25" customHeight="1" x14ac:dyDescent="0.3">
      <c r="A832" t="s">
        <v>1702</v>
      </c>
      <c r="B832">
        <v>80.875058089999996</v>
      </c>
      <c r="C832">
        <v>69.471337419999998</v>
      </c>
      <c r="D832">
        <v>75.886495760000003</v>
      </c>
      <c r="E832">
        <v>56.578011600000004</v>
      </c>
      <c r="F832">
        <v>87.700426449999995</v>
      </c>
      <c r="G832">
        <v>80.921809420000002</v>
      </c>
      <c r="H832">
        <v>65</v>
      </c>
      <c r="I832">
        <v>62.55053556</v>
      </c>
    </row>
    <row r="833" spans="1:9" ht="14.25" customHeight="1" x14ac:dyDescent="0.3">
      <c r="A833" t="s">
        <v>1704</v>
      </c>
      <c r="B833">
        <v>87.660900749999996</v>
      </c>
      <c r="C833">
        <v>69.971453519999997</v>
      </c>
      <c r="D833">
        <v>79.023166840000002</v>
      </c>
      <c r="E833">
        <v>65.782426049999998</v>
      </c>
      <c r="F833">
        <v>82.779153269999995</v>
      </c>
      <c r="G833">
        <v>85</v>
      </c>
      <c r="H833">
        <v>67.274380739999998</v>
      </c>
      <c r="I833">
        <v>50</v>
      </c>
    </row>
    <row r="834" spans="1:9" ht="14.25" customHeight="1" x14ac:dyDescent="0.3">
      <c r="A834" t="s">
        <v>1706</v>
      </c>
      <c r="B834">
        <v>94.624500659999995</v>
      </c>
      <c r="C834">
        <v>78.996700009999998</v>
      </c>
      <c r="D834">
        <v>70</v>
      </c>
      <c r="E834">
        <v>62.78815693</v>
      </c>
      <c r="F834">
        <v>99.9</v>
      </c>
      <c r="G834">
        <v>80.351614249999997</v>
      </c>
      <c r="H834">
        <v>69.554175180000001</v>
      </c>
      <c r="I834">
        <v>51.630414090000002</v>
      </c>
    </row>
    <row r="835" spans="1:9" ht="14.25" customHeight="1" x14ac:dyDescent="0.3">
      <c r="A835" t="s">
        <v>1708</v>
      </c>
      <c r="B835">
        <v>88.200845639999997</v>
      </c>
      <c r="C835">
        <v>73.17745884</v>
      </c>
      <c r="D835">
        <v>72.89885975</v>
      </c>
      <c r="E835">
        <v>68.692228830000005</v>
      </c>
      <c r="F835">
        <v>99.9</v>
      </c>
      <c r="G835">
        <v>67.364331719999996</v>
      </c>
      <c r="H835">
        <v>72.560159889999994</v>
      </c>
      <c r="I835">
        <v>60.551948510000003</v>
      </c>
    </row>
    <row r="836" spans="1:9" ht="14.25" customHeight="1" x14ac:dyDescent="0.3">
      <c r="A836" t="s">
        <v>1710</v>
      </c>
      <c r="B836">
        <v>85.810137490000002</v>
      </c>
      <c r="C836">
        <v>66.955007670000001</v>
      </c>
      <c r="D836">
        <v>70</v>
      </c>
      <c r="E836">
        <v>70.400927999999993</v>
      </c>
      <c r="F836">
        <v>90.15504104</v>
      </c>
      <c r="G836">
        <v>78.282399170000005</v>
      </c>
      <c r="H836">
        <v>66.156558709999999</v>
      </c>
      <c r="I836">
        <v>68.876193079999993</v>
      </c>
    </row>
    <row r="837" spans="1:9" ht="14.25" customHeight="1" x14ac:dyDescent="0.3">
      <c r="A837" t="s">
        <v>1713</v>
      </c>
      <c r="B837">
        <v>83.941920850000002</v>
      </c>
      <c r="C837">
        <v>64.649209810000002</v>
      </c>
      <c r="D837">
        <v>81.155355650000004</v>
      </c>
      <c r="E837">
        <v>68.235780180000006</v>
      </c>
      <c r="F837">
        <v>89.588983010000007</v>
      </c>
      <c r="G837">
        <v>77.945197070000006</v>
      </c>
      <c r="H837">
        <v>72.866494900000006</v>
      </c>
      <c r="I837">
        <v>54.779986559999998</v>
      </c>
    </row>
    <row r="838" spans="1:9" ht="14.25" customHeight="1" x14ac:dyDescent="0.3">
      <c r="A838" t="s">
        <v>1715</v>
      </c>
      <c r="B838">
        <v>88.792546700000003</v>
      </c>
      <c r="C838">
        <v>60.617655130000003</v>
      </c>
      <c r="D838">
        <v>81.373329369999993</v>
      </c>
      <c r="E838">
        <v>61.835825249999999</v>
      </c>
      <c r="F838">
        <v>99.9</v>
      </c>
      <c r="G838">
        <v>85</v>
      </c>
      <c r="H838">
        <v>70.231169309999999</v>
      </c>
      <c r="I838">
        <v>57.307967310000002</v>
      </c>
    </row>
    <row r="839" spans="1:9" ht="14.25" customHeight="1" x14ac:dyDescent="0.3">
      <c r="A839" t="s">
        <v>1717</v>
      </c>
      <c r="B839">
        <v>86.966157339999995</v>
      </c>
      <c r="C839">
        <v>70.274884729999997</v>
      </c>
      <c r="D839">
        <v>82.706544780000002</v>
      </c>
      <c r="E839">
        <v>62.007956790000001</v>
      </c>
      <c r="F839">
        <v>86.619533320000002</v>
      </c>
      <c r="G839">
        <v>76.305902739999993</v>
      </c>
      <c r="H839">
        <v>75.290807360000002</v>
      </c>
      <c r="I839">
        <v>50.087572360000003</v>
      </c>
    </row>
    <row r="840" spans="1:9" ht="14.25" customHeight="1" x14ac:dyDescent="0.3">
      <c r="A840" t="s">
        <v>1719</v>
      </c>
      <c r="B840">
        <v>99.9</v>
      </c>
      <c r="C840">
        <v>73.945139920000003</v>
      </c>
      <c r="D840">
        <v>73.058502230000002</v>
      </c>
      <c r="E840">
        <v>65.904372690000002</v>
      </c>
      <c r="F840">
        <v>87.170791390000005</v>
      </c>
      <c r="G840">
        <v>82.095407480000006</v>
      </c>
      <c r="H840">
        <v>66.691804820000002</v>
      </c>
      <c r="I840">
        <v>52.623130600000003</v>
      </c>
    </row>
    <row r="841" spans="1:9" ht="14.25" customHeight="1" x14ac:dyDescent="0.3">
      <c r="A841" t="s">
        <v>1721</v>
      </c>
      <c r="B841">
        <v>82.644494690000002</v>
      </c>
      <c r="C841">
        <v>66.519075369999996</v>
      </c>
      <c r="D841">
        <v>78.954257130000002</v>
      </c>
      <c r="E841">
        <v>65.330485749999994</v>
      </c>
      <c r="F841">
        <v>85.871708720000001</v>
      </c>
      <c r="G841">
        <v>85</v>
      </c>
      <c r="H841">
        <v>75.760432190000003</v>
      </c>
      <c r="I841">
        <v>62.483004149999999</v>
      </c>
    </row>
    <row r="842" spans="1:9" ht="14.25" customHeight="1" x14ac:dyDescent="0.3">
      <c r="A842" t="s">
        <v>1723</v>
      </c>
      <c r="B842">
        <v>92.278184049999993</v>
      </c>
      <c r="C842">
        <v>71.882845549999999</v>
      </c>
      <c r="D842">
        <v>70.939434460000001</v>
      </c>
      <c r="E842">
        <v>75</v>
      </c>
      <c r="F842">
        <v>99.9</v>
      </c>
      <c r="G842">
        <v>82.29928357</v>
      </c>
      <c r="H842">
        <v>70.345771499999998</v>
      </c>
      <c r="I842">
        <v>57.358232090000001</v>
      </c>
    </row>
    <row r="843" spans="1:9" ht="14.25" customHeight="1" x14ac:dyDescent="0.3">
      <c r="A843" t="s">
        <v>1725</v>
      </c>
      <c r="B843">
        <v>75</v>
      </c>
      <c r="C843">
        <v>72.381372470000002</v>
      </c>
      <c r="D843">
        <v>78.881502429999998</v>
      </c>
      <c r="E843">
        <v>71.633822289999998</v>
      </c>
      <c r="F843">
        <v>87.153311869999996</v>
      </c>
      <c r="G843">
        <v>71.401498900000007</v>
      </c>
      <c r="H843">
        <v>75.033392190000001</v>
      </c>
      <c r="I843">
        <v>58.614790769999999</v>
      </c>
    </row>
    <row r="844" spans="1:9" ht="14.25" customHeight="1" x14ac:dyDescent="0.3">
      <c r="A844" t="s">
        <v>1727</v>
      </c>
      <c r="B844">
        <v>85.585812919999995</v>
      </c>
      <c r="C844">
        <v>64.542220330000006</v>
      </c>
      <c r="D844">
        <v>78.677207249999995</v>
      </c>
      <c r="E844">
        <v>67.485173430000003</v>
      </c>
      <c r="F844">
        <v>97.394041439999995</v>
      </c>
      <c r="G844">
        <v>80.832874169999997</v>
      </c>
      <c r="H844">
        <v>69.438102290000003</v>
      </c>
      <c r="I844">
        <v>70</v>
      </c>
    </row>
    <row r="845" spans="1:9" ht="14.25" customHeight="1" x14ac:dyDescent="0.3">
      <c r="A845" t="s">
        <v>1729</v>
      </c>
      <c r="B845">
        <v>86.657699190000002</v>
      </c>
      <c r="C845">
        <v>78.331893449999995</v>
      </c>
      <c r="D845">
        <v>81.136999919999994</v>
      </c>
      <c r="E845">
        <v>68.724228690000004</v>
      </c>
      <c r="F845">
        <v>89.989132150000003</v>
      </c>
      <c r="G845">
        <v>79.935759430000004</v>
      </c>
      <c r="H845">
        <v>66.810093170000002</v>
      </c>
      <c r="I845">
        <v>55.216035869999999</v>
      </c>
    </row>
    <row r="846" spans="1:9" ht="14.25" customHeight="1" x14ac:dyDescent="0.3">
      <c r="A846" t="s">
        <v>1731</v>
      </c>
      <c r="B846">
        <v>90.185364250000006</v>
      </c>
      <c r="C846">
        <v>72.715478700000006</v>
      </c>
      <c r="D846">
        <v>72.198148930000002</v>
      </c>
      <c r="E846">
        <v>63.820315880000003</v>
      </c>
      <c r="F846">
        <v>93.037863569999999</v>
      </c>
      <c r="G846">
        <v>70.601127259999998</v>
      </c>
      <c r="H846">
        <v>70.440766199999999</v>
      </c>
      <c r="I846">
        <v>50</v>
      </c>
    </row>
    <row r="847" spans="1:9" ht="14.25" customHeight="1" x14ac:dyDescent="0.3">
      <c r="A847" t="s">
        <v>1733</v>
      </c>
      <c r="B847">
        <v>89.753549960000001</v>
      </c>
      <c r="C847">
        <v>60</v>
      </c>
      <c r="D847">
        <v>70</v>
      </c>
      <c r="E847">
        <v>60.967365239999999</v>
      </c>
      <c r="F847">
        <v>99.9</v>
      </c>
      <c r="G847">
        <v>73.684411760000003</v>
      </c>
      <c r="H847">
        <v>70.499003389999999</v>
      </c>
      <c r="I847">
        <v>53.45108862</v>
      </c>
    </row>
    <row r="848" spans="1:9" ht="14.25" customHeight="1" x14ac:dyDescent="0.3">
      <c r="A848" t="s">
        <v>1735</v>
      </c>
      <c r="B848">
        <v>90.070966609999999</v>
      </c>
      <c r="C848">
        <v>68.791107850000003</v>
      </c>
      <c r="D848">
        <v>72.29218865</v>
      </c>
      <c r="E848">
        <v>64.509055430000004</v>
      </c>
      <c r="F848">
        <v>85.944058839999997</v>
      </c>
      <c r="G848">
        <v>80.684638879999994</v>
      </c>
      <c r="H848">
        <v>66.735370239999995</v>
      </c>
      <c r="I848">
        <v>51.24188839</v>
      </c>
    </row>
    <row r="849" spans="1:9" ht="14.25" customHeight="1" x14ac:dyDescent="0.3">
      <c r="A849" t="s">
        <v>1737</v>
      </c>
      <c r="B849">
        <v>88.222170129999995</v>
      </c>
      <c r="C849">
        <v>72.519924090000004</v>
      </c>
      <c r="D849">
        <v>70</v>
      </c>
      <c r="E849">
        <v>64.370126240000005</v>
      </c>
      <c r="F849">
        <v>85.513081709999994</v>
      </c>
      <c r="G849">
        <v>71.092453500000005</v>
      </c>
      <c r="H849">
        <v>72.011592429999993</v>
      </c>
      <c r="I849">
        <v>50</v>
      </c>
    </row>
    <row r="850" spans="1:9" ht="14.25" customHeight="1" x14ac:dyDescent="0.3">
      <c r="A850" t="s">
        <v>1739</v>
      </c>
      <c r="B850">
        <v>88.484654039999995</v>
      </c>
      <c r="C850">
        <v>60</v>
      </c>
      <c r="D850">
        <v>70.361490770000003</v>
      </c>
      <c r="E850">
        <v>57.848343900000003</v>
      </c>
      <c r="F850">
        <v>97.404090280000005</v>
      </c>
      <c r="G850">
        <v>71.472636390000005</v>
      </c>
      <c r="H850">
        <v>76.525317520000002</v>
      </c>
      <c r="I850">
        <v>51.780399449999997</v>
      </c>
    </row>
    <row r="851" spans="1:9" ht="14.25" customHeight="1" x14ac:dyDescent="0.3">
      <c r="A851" t="s">
        <v>1741</v>
      </c>
      <c r="B851">
        <v>92.909657249999995</v>
      </c>
      <c r="C851">
        <v>60</v>
      </c>
      <c r="D851">
        <v>84.210811410000005</v>
      </c>
      <c r="E851">
        <v>67.818017789999999</v>
      </c>
      <c r="F851">
        <v>82.469820979999994</v>
      </c>
      <c r="G851">
        <v>84.451217920000005</v>
      </c>
      <c r="H851">
        <v>77.37237958</v>
      </c>
      <c r="I851">
        <v>51.823105890000001</v>
      </c>
    </row>
    <row r="852" spans="1:9" ht="14.25" customHeight="1" x14ac:dyDescent="0.3">
      <c r="A852" t="s">
        <v>1743</v>
      </c>
      <c r="B852">
        <v>83.243314729999994</v>
      </c>
      <c r="C852">
        <v>60</v>
      </c>
      <c r="D852">
        <v>74.720067169999993</v>
      </c>
      <c r="E852">
        <v>59.142103990000003</v>
      </c>
      <c r="F852">
        <v>94.144009969999999</v>
      </c>
      <c r="G852">
        <v>81.239048440000005</v>
      </c>
      <c r="H852">
        <v>68.205526309999996</v>
      </c>
      <c r="I852">
        <v>62.094173439999999</v>
      </c>
    </row>
    <row r="853" spans="1:9" ht="14.25" customHeight="1" x14ac:dyDescent="0.3">
      <c r="A853" t="s">
        <v>1745</v>
      </c>
      <c r="B853">
        <v>84.318342459999997</v>
      </c>
      <c r="C853">
        <v>60</v>
      </c>
      <c r="D853">
        <v>79.321484260000005</v>
      </c>
      <c r="E853">
        <v>64.164866070000002</v>
      </c>
      <c r="F853">
        <v>92.507966929999995</v>
      </c>
      <c r="G853">
        <v>81.299232160000003</v>
      </c>
      <c r="H853">
        <v>67.87344324</v>
      </c>
      <c r="I853">
        <v>53.959045230000001</v>
      </c>
    </row>
    <row r="854" spans="1:9" ht="14.25" customHeight="1" x14ac:dyDescent="0.3">
      <c r="A854" t="s">
        <v>1747</v>
      </c>
      <c r="B854">
        <v>87.440584360000003</v>
      </c>
      <c r="C854">
        <v>60.407725650000003</v>
      </c>
      <c r="D854">
        <v>81.592606410000002</v>
      </c>
      <c r="E854">
        <v>66.149927989999995</v>
      </c>
      <c r="F854">
        <v>85.288946129999999</v>
      </c>
      <c r="G854">
        <v>84.181086339999993</v>
      </c>
      <c r="H854">
        <v>76.418451509999997</v>
      </c>
      <c r="I854">
        <v>56.268289350000003</v>
      </c>
    </row>
    <row r="855" spans="1:9" ht="14.25" customHeight="1" x14ac:dyDescent="0.3">
      <c r="A855" t="s">
        <v>1749</v>
      </c>
      <c r="B855">
        <v>77.911633780000003</v>
      </c>
      <c r="C855">
        <v>74.817616540000003</v>
      </c>
      <c r="D855">
        <v>75.471670759999995</v>
      </c>
      <c r="E855">
        <v>67.184501510000004</v>
      </c>
      <c r="F855">
        <v>91.700686849999997</v>
      </c>
      <c r="G855">
        <v>66.850510970000002</v>
      </c>
      <c r="H855">
        <v>70.960595819999995</v>
      </c>
      <c r="I855">
        <v>58.231700289999999</v>
      </c>
    </row>
    <row r="856" spans="1:9" ht="14.25" customHeight="1" x14ac:dyDescent="0.3">
      <c r="A856" t="s">
        <v>1751</v>
      </c>
      <c r="B856">
        <v>79.6464517</v>
      </c>
      <c r="C856">
        <v>74.814343210000004</v>
      </c>
      <c r="D856">
        <v>84.99681932</v>
      </c>
      <c r="E856">
        <v>55</v>
      </c>
      <c r="F856">
        <v>98.623760709999999</v>
      </c>
      <c r="G856">
        <v>81.51944666</v>
      </c>
      <c r="H856">
        <v>70.568964399999999</v>
      </c>
      <c r="I856">
        <v>58.503592580000003</v>
      </c>
    </row>
    <row r="857" spans="1:9" ht="14.25" customHeight="1" x14ac:dyDescent="0.3">
      <c r="A857" t="s">
        <v>1753</v>
      </c>
      <c r="B857">
        <v>88.997146520000001</v>
      </c>
      <c r="C857">
        <v>72.070017919999998</v>
      </c>
      <c r="D857">
        <v>87.011450310000001</v>
      </c>
      <c r="E857">
        <v>68.801389</v>
      </c>
      <c r="F857">
        <v>98.404505080000007</v>
      </c>
      <c r="G857">
        <v>80.291243350000002</v>
      </c>
      <c r="H857">
        <v>69.026647519999997</v>
      </c>
      <c r="I857">
        <v>64.723500119999997</v>
      </c>
    </row>
    <row r="858" spans="1:9" ht="14.25" customHeight="1" x14ac:dyDescent="0.3">
      <c r="A858" t="s">
        <v>1755</v>
      </c>
      <c r="B858">
        <v>78.327619659999996</v>
      </c>
      <c r="C858">
        <v>69.218818900000002</v>
      </c>
      <c r="D858">
        <v>71.596849329999998</v>
      </c>
      <c r="E858">
        <v>60.436513429999998</v>
      </c>
      <c r="F858">
        <v>98.714185459999996</v>
      </c>
      <c r="G858">
        <v>77.477918399999993</v>
      </c>
      <c r="H858">
        <v>73.571604140000005</v>
      </c>
      <c r="I858">
        <v>51.501643700000002</v>
      </c>
    </row>
    <row r="859" spans="1:9" ht="14.25" customHeight="1" x14ac:dyDescent="0.3">
      <c r="A859" t="s">
        <v>1757</v>
      </c>
      <c r="B859">
        <v>92.437059009999999</v>
      </c>
      <c r="C859">
        <v>66.334184179999994</v>
      </c>
      <c r="D859">
        <v>70.659812509999995</v>
      </c>
      <c r="E859">
        <v>58.378716429999997</v>
      </c>
      <c r="F859">
        <v>95.517763299999999</v>
      </c>
      <c r="G859">
        <v>75.535233309999995</v>
      </c>
      <c r="H859">
        <v>75.966829880000006</v>
      </c>
      <c r="I859">
        <v>61.333092129999997</v>
      </c>
    </row>
    <row r="860" spans="1:9" ht="14.25" customHeight="1" x14ac:dyDescent="0.3">
      <c r="A860" t="s">
        <v>1759</v>
      </c>
      <c r="B860">
        <v>85.332889170000001</v>
      </c>
      <c r="C860">
        <v>80</v>
      </c>
      <c r="D860">
        <v>77.779347920000006</v>
      </c>
      <c r="E860">
        <v>63.998736639999997</v>
      </c>
      <c r="F860">
        <v>80.747840400000001</v>
      </c>
      <c r="G860">
        <v>85</v>
      </c>
      <c r="H860">
        <v>65</v>
      </c>
      <c r="I860">
        <v>55.791503229999996</v>
      </c>
    </row>
    <row r="861" spans="1:9" ht="14.25" customHeight="1" x14ac:dyDescent="0.3">
      <c r="A861" t="s">
        <v>1761</v>
      </c>
      <c r="B861">
        <v>77.707403650000003</v>
      </c>
      <c r="C861">
        <v>77.088097899999994</v>
      </c>
      <c r="D861">
        <v>77.249734340000003</v>
      </c>
      <c r="E861">
        <v>59.211400439999998</v>
      </c>
      <c r="F861">
        <v>84.728059779999995</v>
      </c>
      <c r="G861">
        <v>78.133578819999997</v>
      </c>
      <c r="H861">
        <v>75.213742389999993</v>
      </c>
      <c r="I861">
        <v>50.087413840000004</v>
      </c>
    </row>
    <row r="862" spans="1:9" ht="14.25" customHeight="1" x14ac:dyDescent="0.3">
      <c r="A862" t="s">
        <v>1763</v>
      </c>
      <c r="B862">
        <v>83.918360469999996</v>
      </c>
      <c r="C862">
        <v>60</v>
      </c>
      <c r="D862">
        <v>71.104788350000007</v>
      </c>
      <c r="E862">
        <v>65.581813350000004</v>
      </c>
      <c r="F862">
        <v>96.158130220000004</v>
      </c>
      <c r="G862">
        <v>76.009793970000004</v>
      </c>
      <c r="H862">
        <v>74.471067270000006</v>
      </c>
      <c r="I862">
        <v>51.74351102</v>
      </c>
    </row>
    <row r="863" spans="1:9" ht="14.25" customHeight="1" x14ac:dyDescent="0.3">
      <c r="A863" t="s">
        <v>1765</v>
      </c>
      <c r="B863">
        <v>84.314129289999997</v>
      </c>
      <c r="C863">
        <v>73.893432540000006</v>
      </c>
      <c r="D863">
        <v>77.582509540000004</v>
      </c>
      <c r="E863">
        <v>66.496180229999993</v>
      </c>
      <c r="F863">
        <v>90.427809620000005</v>
      </c>
      <c r="G863">
        <v>79.768744209999994</v>
      </c>
      <c r="H863">
        <v>69.501991189999998</v>
      </c>
      <c r="I863">
        <v>50</v>
      </c>
    </row>
    <row r="864" spans="1:9" ht="14.25" customHeight="1" x14ac:dyDescent="0.3">
      <c r="A864" t="s">
        <v>1767</v>
      </c>
      <c r="B864">
        <v>94.682766790000002</v>
      </c>
      <c r="C864">
        <v>72.917688999999996</v>
      </c>
      <c r="D864">
        <v>70</v>
      </c>
      <c r="E864">
        <v>65.433143950000002</v>
      </c>
      <c r="F864">
        <v>80.222271379999995</v>
      </c>
      <c r="G864">
        <v>79.411856069999999</v>
      </c>
      <c r="H864">
        <v>68.43832879</v>
      </c>
      <c r="I864">
        <v>65.383029820000004</v>
      </c>
    </row>
    <row r="865" spans="1:9" ht="14.25" customHeight="1" x14ac:dyDescent="0.3">
      <c r="A865" t="s">
        <v>1769</v>
      </c>
      <c r="B865">
        <v>83.544465720000005</v>
      </c>
      <c r="C865">
        <v>68.458982199999994</v>
      </c>
      <c r="D865">
        <v>73.31004867</v>
      </c>
      <c r="E865">
        <v>70.145790419999997</v>
      </c>
      <c r="F865">
        <v>93.192575629999993</v>
      </c>
      <c r="G865">
        <v>67.471149569999994</v>
      </c>
      <c r="H865">
        <v>72.266714469999997</v>
      </c>
      <c r="I865">
        <v>53.737782090000003</v>
      </c>
    </row>
    <row r="866" spans="1:9" ht="14.25" customHeight="1" x14ac:dyDescent="0.3">
      <c r="A866" t="s">
        <v>1771</v>
      </c>
      <c r="B866">
        <v>75</v>
      </c>
      <c r="C866">
        <v>68.096452249999999</v>
      </c>
      <c r="D866">
        <v>85.585654239999997</v>
      </c>
      <c r="E866">
        <v>67.752702819999996</v>
      </c>
      <c r="F866">
        <v>92.221588609999998</v>
      </c>
      <c r="G866">
        <v>81.992269399999998</v>
      </c>
      <c r="H866">
        <v>68.939015749999996</v>
      </c>
      <c r="I866">
        <v>54.063121109999997</v>
      </c>
    </row>
    <row r="867" spans="1:9" ht="14.25" customHeight="1" x14ac:dyDescent="0.3">
      <c r="A867" t="s">
        <v>1773</v>
      </c>
      <c r="B867">
        <v>86.713593130000007</v>
      </c>
      <c r="C867">
        <v>71.882931060000004</v>
      </c>
      <c r="D867">
        <v>79.991391649999997</v>
      </c>
      <c r="E867">
        <v>72.904729009999997</v>
      </c>
      <c r="F867">
        <v>98.18748162</v>
      </c>
      <c r="G867">
        <v>73.884588089999994</v>
      </c>
      <c r="H867">
        <v>73.50229204</v>
      </c>
      <c r="I867">
        <v>56.663448420000002</v>
      </c>
    </row>
    <row r="868" spans="1:9" ht="14.25" customHeight="1" x14ac:dyDescent="0.3">
      <c r="A868" t="s">
        <v>1775</v>
      </c>
      <c r="B868">
        <v>81.780841330000001</v>
      </c>
      <c r="C868">
        <v>67.021037219999997</v>
      </c>
      <c r="D868">
        <v>83.881675509999994</v>
      </c>
      <c r="E868">
        <v>61.39739694</v>
      </c>
      <c r="F868">
        <v>96.457905429999997</v>
      </c>
      <c r="G868">
        <v>81.576950429999997</v>
      </c>
      <c r="H868">
        <v>70.203180849999995</v>
      </c>
      <c r="I868">
        <v>64.577920919999997</v>
      </c>
    </row>
    <row r="869" spans="1:9" ht="14.25" customHeight="1" x14ac:dyDescent="0.3">
      <c r="A869" t="s">
        <v>1777</v>
      </c>
      <c r="B869">
        <v>79.899282420000006</v>
      </c>
      <c r="C869">
        <v>68.321203139999994</v>
      </c>
      <c r="D869">
        <v>80.865138939999994</v>
      </c>
      <c r="E869">
        <v>61.565266200000003</v>
      </c>
      <c r="F869">
        <v>99.9</v>
      </c>
      <c r="G869">
        <v>72.306914329999998</v>
      </c>
      <c r="H869">
        <v>74.413553690000001</v>
      </c>
      <c r="I869">
        <v>66.861228260000004</v>
      </c>
    </row>
    <row r="870" spans="1:9" ht="14.25" customHeight="1" x14ac:dyDescent="0.3">
      <c r="A870" t="s">
        <v>1779</v>
      </c>
      <c r="B870">
        <v>76.557849340000004</v>
      </c>
      <c r="C870">
        <v>77.959721560000006</v>
      </c>
      <c r="D870">
        <v>75.667867990000005</v>
      </c>
      <c r="E870">
        <v>60.690512269999999</v>
      </c>
      <c r="F870">
        <v>80.152639960000002</v>
      </c>
      <c r="G870">
        <v>75.019025310000004</v>
      </c>
      <c r="H870">
        <v>65.193093599999997</v>
      </c>
      <c r="I870">
        <v>66.077804389999997</v>
      </c>
    </row>
    <row r="871" spans="1:9" ht="14.25" customHeight="1" x14ac:dyDescent="0.3">
      <c r="A871" t="s">
        <v>1781</v>
      </c>
      <c r="B871">
        <v>96.679184710000001</v>
      </c>
      <c r="C871">
        <v>67.404541949999995</v>
      </c>
      <c r="D871">
        <v>70.660455920000004</v>
      </c>
      <c r="E871">
        <v>61.979434580000003</v>
      </c>
      <c r="F871">
        <v>97.045826270000006</v>
      </c>
      <c r="G871">
        <v>76.7715824</v>
      </c>
      <c r="H871">
        <v>74.129696960000004</v>
      </c>
      <c r="I871">
        <v>50.150728059999999</v>
      </c>
    </row>
    <row r="872" spans="1:9" ht="14.25" customHeight="1" x14ac:dyDescent="0.3">
      <c r="A872" t="s">
        <v>1783</v>
      </c>
      <c r="B872">
        <v>95.496640040000003</v>
      </c>
      <c r="C872">
        <v>71.440103059999998</v>
      </c>
      <c r="D872">
        <v>73.414278120000006</v>
      </c>
      <c r="E872">
        <v>61.306844470000001</v>
      </c>
      <c r="F872">
        <v>99.9</v>
      </c>
      <c r="G872">
        <v>73.589466920000007</v>
      </c>
      <c r="H872">
        <v>72.134789620000006</v>
      </c>
      <c r="I872">
        <v>55.660426149999999</v>
      </c>
    </row>
    <row r="873" spans="1:9" ht="14.25" customHeight="1" x14ac:dyDescent="0.3">
      <c r="A873" t="s">
        <v>1785</v>
      </c>
      <c r="B873">
        <v>84.227782980000001</v>
      </c>
      <c r="C873">
        <v>70.241631089999998</v>
      </c>
      <c r="D873">
        <v>70</v>
      </c>
      <c r="E873">
        <v>62.109559590000003</v>
      </c>
      <c r="F873">
        <v>99.9</v>
      </c>
      <c r="G873">
        <v>81.336665999999994</v>
      </c>
      <c r="H873">
        <v>69.546405239999999</v>
      </c>
      <c r="I873">
        <v>60.397095759999999</v>
      </c>
    </row>
    <row r="874" spans="1:9" ht="14.25" customHeight="1" x14ac:dyDescent="0.3">
      <c r="A874" t="s">
        <v>1787</v>
      </c>
      <c r="B874">
        <v>82.845371799999995</v>
      </c>
      <c r="C874">
        <v>67.088843530000005</v>
      </c>
      <c r="D874">
        <v>76.43679951</v>
      </c>
      <c r="E874">
        <v>68.262882540000007</v>
      </c>
      <c r="F874">
        <v>87.124949439999995</v>
      </c>
      <c r="G874">
        <v>77.894056800000001</v>
      </c>
      <c r="H874">
        <v>67.920349939999994</v>
      </c>
      <c r="I874">
        <v>59.83141638</v>
      </c>
    </row>
    <row r="875" spans="1:9" ht="14.25" customHeight="1" x14ac:dyDescent="0.3">
      <c r="A875" t="s">
        <v>1789</v>
      </c>
      <c r="B875">
        <v>88.261825220000006</v>
      </c>
      <c r="C875">
        <v>66.762532669999999</v>
      </c>
      <c r="D875">
        <v>72.097181500000005</v>
      </c>
      <c r="E875">
        <v>67.081989100000001</v>
      </c>
      <c r="F875">
        <v>80</v>
      </c>
      <c r="G875">
        <v>76.363785859999993</v>
      </c>
      <c r="H875">
        <v>67.085672299999999</v>
      </c>
      <c r="I875">
        <v>50.040974570000003</v>
      </c>
    </row>
    <row r="876" spans="1:9" ht="14.25" customHeight="1" x14ac:dyDescent="0.3">
      <c r="A876" t="s">
        <v>1791</v>
      </c>
      <c r="B876">
        <v>75</v>
      </c>
      <c r="C876">
        <v>70.468015980000004</v>
      </c>
      <c r="D876">
        <v>70.888302809999999</v>
      </c>
      <c r="E876">
        <v>58.69219708</v>
      </c>
      <c r="F876">
        <v>99.9</v>
      </c>
      <c r="G876">
        <v>85</v>
      </c>
      <c r="H876">
        <v>74.481357489999994</v>
      </c>
      <c r="I876">
        <v>50</v>
      </c>
    </row>
    <row r="877" spans="1:9" ht="14.25" customHeight="1" x14ac:dyDescent="0.3">
      <c r="A877" t="s">
        <v>1793</v>
      </c>
      <c r="B877">
        <v>75</v>
      </c>
      <c r="C877">
        <v>80</v>
      </c>
      <c r="D877">
        <v>82.017590979999994</v>
      </c>
      <c r="E877">
        <v>63.695612490000002</v>
      </c>
      <c r="F877">
        <v>83.273665190000003</v>
      </c>
      <c r="G877">
        <v>69.599093339999996</v>
      </c>
      <c r="H877">
        <v>71.140944219999994</v>
      </c>
      <c r="I877">
        <v>61.498351790000001</v>
      </c>
    </row>
    <row r="878" spans="1:9" ht="14.25" customHeight="1" x14ac:dyDescent="0.3">
      <c r="A878" t="s">
        <v>1795</v>
      </c>
      <c r="B878">
        <v>93.160163359999999</v>
      </c>
      <c r="C878">
        <v>69.902074529999993</v>
      </c>
      <c r="D878">
        <v>82.328015769999993</v>
      </c>
      <c r="E878">
        <v>66.529527709999996</v>
      </c>
      <c r="F878">
        <v>88.106535789999995</v>
      </c>
      <c r="G878">
        <v>78.9822712</v>
      </c>
      <c r="H878">
        <v>68.009977809999995</v>
      </c>
      <c r="I878">
        <v>61.153475299999997</v>
      </c>
    </row>
    <row r="879" spans="1:9" ht="14.25" customHeight="1" x14ac:dyDescent="0.3">
      <c r="A879" t="s">
        <v>1797</v>
      </c>
      <c r="B879">
        <v>77.246569309999998</v>
      </c>
      <c r="C879">
        <v>74.442981750000001</v>
      </c>
      <c r="D879">
        <v>90</v>
      </c>
      <c r="E879">
        <v>60.956545030000001</v>
      </c>
      <c r="F879">
        <v>93.943409619999997</v>
      </c>
      <c r="G879">
        <v>76.372166669999999</v>
      </c>
      <c r="H879">
        <v>78.432547249999999</v>
      </c>
      <c r="I879">
        <v>54.491782049999998</v>
      </c>
    </row>
    <row r="880" spans="1:9" ht="14.25" customHeight="1" x14ac:dyDescent="0.3">
      <c r="A880" t="s">
        <v>1800</v>
      </c>
      <c r="B880">
        <v>85.832990510000002</v>
      </c>
      <c r="C880">
        <v>62.217948049999997</v>
      </c>
      <c r="D880">
        <v>70</v>
      </c>
      <c r="E880">
        <v>64.529462379999998</v>
      </c>
      <c r="F880">
        <v>90.736480240000006</v>
      </c>
      <c r="G880">
        <v>75.086651369999998</v>
      </c>
      <c r="H880">
        <v>71.989915150000002</v>
      </c>
      <c r="I880">
        <v>59.585286019999998</v>
      </c>
    </row>
    <row r="881" spans="1:9" ht="14.25" customHeight="1" x14ac:dyDescent="0.3">
      <c r="A881" t="s">
        <v>1802</v>
      </c>
      <c r="B881">
        <v>85.099013319999997</v>
      </c>
      <c r="C881">
        <v>62.587421020000001</v>
      </c>
      <c r="D881">
        <v>84.721808060000001</v>
      </c>
      <c r="E881">
        <v>58.111916530000002</v>
      </c>
      <c r="F881">
        <v>89.632251249999996</v>
      </c>
      <c r="G881">
        <v>83.940695959999999</v>
      </c>
      <c r="H881">
        <v>70.628618970000005</v>
      </c>
      <c r="I881">
        <v>54.931136180000003</v>
      </c>
    </row>
    <row r="882" spans="1:9" ht="14.25" customHeight="1" x14ac:dyDescent="0.3">
      <c r="A882" t="s">
        <v>1804</v>
      </c>
      <c r="B882">
        <v>89.465699450000002</v>
      </c>
      <c r="C882">
        <v>61.140648810000002</v>
      </c>
      <c r="D882">
        <v>70</v>
      </c>
      <c r="E882">
        <v>69.592849099999995</v>
      </c>
      <c r="F882">
        <v>91.146369849999999</v>
      </c>
      <c r="G882">
        <v>84.350634339999999</v>
      </c>
      <c r="H882">
        <v>70.947762690000005</v>
      </c>
      <c r="I882">
        <v>59.945196780000003</v>
      </c>
    </row>
    <row r="883" spans="1:9" ht="14.25" customHeight="1" x14ac:dyDescent="0.3">
      <c r="A883" t="s">
        <v>1806</v>
      </c>
      <c r="B883">
        <v>85.387372119999995</v>
      </c>
      <c r="C883">
        <v>61.415046340000004</v>
      </c>
      <c r="D883">
        <v>74.686193000000003</v>
      </c>
      <c r="E883">
        <v>61.427349100000001</v>
      </c>
      <c r="F883">
        <v>92.032091829999999</v>
      </c>
      <c r="G883">
        <v>70.612082319999999</v>
      </c>
      <c r="H883">
        <v>67.150674179999996</v>
      </c>
      <c r="I883">
        <v>60.284952439999998</v>
      </c>
    </row>
    <row r="884" spans="1:9" ht="14.25" customHeight="1" x14ac:dyDescent="0.3">
      <c r="A884" t="s">
        <v>1808</v>
      </c>
      <c r="B884">
        <v>80.898692150000002</v>
      </c>
      <c r="C884">
        <v>60</v>
      </c>
      <c r="D884">
        <v>75.471722240000005</v>
      </c>
      <c r="E884">
        <v>59.586212150000001</v>
      </c>
      <c r="F884">
        <v>98.754984379999996</v>
      </c>
      <c r="G884">
        <v>80.518102889999994</v>
      </c>
      <c r="H884">
        <v>69.721933269999994</v>
      </c>
      <c r="I884">
        <v>52.213753599999997</v>
      </c>
    </row>
    <row r="885" spans="1:9" ht="14.25" customHeight="1" x14ac:dyDescent="0.3">
      <c r="A885" t="s">
        <v>1810</v>
      </c>
      <c r="B885">
        <v>93.983027480000004</v>
      </c>
      <c r="C885">
        <v>71.986834709999997</v>
      </c>
      <c r="D885">
        <v>82.558084609999995</v>
      </c>
      <c r="E885">
        <v>70.091685060000003</v>
      </c>
      <c r="F885">
        <v>82.325113169999995</v>
      </c>
      <c r="G885">
        <v>73.711213319999999</v>
      </c>
      <c r="H885">
        <v>70.066132609999997</v>
      </c>
      <c r="I885">
        <v>65.17671181</v>
      </c>
    </row>
    <row r="886" spans="1:9" ht="14.25" customHeight="1" x14ac:dyDescent="0.3">
      <c r="A886" t="s">
        <v>1812</v>
      </c>
      <c r="B886">
        <v>89.517371929999996</v>
      </c>
      <c r="C886">
        <v>70.323541890000001</v>
      </c>
      <c r="D886">
        <v>70</v>
      </c>
      <c r="E886">
        <v>56.862496120000003</v>
      </c>
      <c r="F886">
        <v>97.963341639999996</v>
      </c>
      <c r="G886">
        <v>75.406991199999993</v>
      </c>
      <c r="H886">
        <v>75.820216470000005</v>
      </c>
      <c r="I886">
        <v>65.896499419999998</v>
      </c>
    </row>
    <row r="887" spans="1:9" ht="14.25" customHeight="1" x14ac:dyDescent="0.3">
      <c r="A887" t="s">
        <v>1814</v>
      </c>
      <c r="B887">
        <v>90.631473940000006</v>
      </c>
      <c r="C887">
        <v>60</v>
      </c>
      <c r="D887">
        <v>72.309296239999995</v>
      </c>
      <c r="E887">
        <v>63.794303069999998</v>
      </c>
      <c r="F887">
        <v>85.277145270000005</v>
      </c>
      <c r="G887">
        <v>81.012926460000003</v>
      </c>
      <c r="H887">
        <v>75.455448439999998</v>
      </c>
      <c r="I887">
        <v>61.594259889999996</v>
      </c>
    </row>
    <row r="888" spans="1:9" ht="14.25" customHeight="1" x14ac:dyDescent="0.3">
      <c r="A888" t="s">
        <v>1816</v>
      </c>
      <c r="B888">
        <v>89.099397280000005</v>
      </c>
      <c r="C888">
        <v>63.153234320000003</v>
      </c>
      <c r="D888">
        <v>78.240367629999994</v>
      </c>
      <c r="E888">
        <v>64.087352969999998</v>
      </c>
      <c r="F888">
        <v>80.936422440000001</v>
      </c>
      <c r="G888">
        <v>76.847716349999999</v>
      </c>
      <c r="H888">
        <v>68.103256900000005</v>
      </c>
      <c r="I888">
        <v>50</v>
      </c>
    </row>
    <row r="889" spans="1:9" ht="14.25" customHeight="1" x14ac:dyDescent="0.3">
      <c r="A889" t="s">
        <v>1818</v>
      </c>
      <c r="B889">
        <v>88.930607469999998</v>
      </c>
      <c r="C889">
        <v>64.495749169999996</v>
      </c>
      <c r="D889">
        <v>80.835635179999997</v>
      </c>
      <c r="E889">
        <v>59.778518650000002</v>
      </c>
      <c r="F889">
        <v>87.183462160000005</v>
      </c>
      <c r="G889">
        <v>75.313115640000007</v>
      </c>
      <c r="H889">
        <v>66.300267489999996</v>
      </c>
      <c r="I889">
        <v>55.071453730000002</v>
      </c>
    </row>
    <row r="890" spans="1:9" ht="14.25" customHeight="1" x14ac:dyDescent="0.3">
      <c r="A890" t="s">
        <v>1820</v>
      </c>
      <c r="B890">
        <v>87.156869040000004</v>
      </c>
      <c r="C890">
        <v>71.236001119999997</v>
      </c>
      <c r="D890">
        <v>81.112216930000002</v>
      </c>
      <c r="E890">
        <v>68.982076550000002</v>
      </c>
      <c r="F890">
        <v>91.948412820000001</v>
      </c>
      <c r="G890">
        <v>77.39006741</v>
      </c>
      <c r="H890">
        <v>74.237792170000006</v>
      </c>
      <c r="I890">
        <v>50</v>
      </c>
    </row>
    <row r="891" spans="1:9" ht="14.25" customHeight="1" x14ac:dyDescent="0.3">
      <c r="A891" t="s">
        <v>1822</v>
      </c>
      <c r="B891">
        <v>79.879285370000005</v>
      </c>
      <c r="C891">
        <v>67.677019470000005</v>
      </c>
      <c r="D891">
        <v>70</v>
      </c>
      <c r="E891">
        <v>68.993715879999996</v>
      </c>
      <c r="F891">
        <v>80</v>
      </c>
      <c r="G891">
        <v>81.448976270000003</v>
      </c>
      <c r="H891">
        <v>71.066523079999996</v>
      </c>
      <c r="I891">
        <v>56.640593299999999</v>
      </c>
    </row>
    <row r="892" spans="1:9" ht="14.25" customHeight="1" x14ac:dyDescent="0.3">
      <c r="A892" t="s">
        <v>1824</v>
      </c>
      <c r="B892">
        <v>83.427053639999997</v>
      </c>
      <c r="C892">
        <v>70.074176019999996</v>
      </c>
      <c r="D892">
        <v>72.335003619999995</v>
      </c>
      <c r="E892">
        <v>59.914326840000001</v>
      </c>
      <c r="F892">
        <v>83.907299330000001</v>
      </c>
      <c r="G892">
        <v>77.272071080000003</v>
      </c>
      <c r="H892">
        <v>73.416365529999993</v>
      </c>
      <c r="I892">
        <v>63.1582504</v>
      </c>
    </row>
    <row r="893" spans="1:9" ht="14.25" customHeight="1" x14ac:dyDescent="0.3">
      <c r="A893" t="s">
        <v>1826</v>
      </c>
      <c r="B893">
        <v>80.605850469999993</v>
      </c>
      <c r="C893">
        <v>72.053862370000004</v>
      </c>
      <c r="D893">
        <v>77.029795329999999</v>
      </c>
      <c r="E893">
        <v>60.642349930000002</v>
      </c>
      <c r="F893">
        <v>85.032037169999995</v>
      </c>
      <c r="G893">
        <v>74.957297780000005</v>
      </c>
      <c r="H893">
        <v>79.544982959999999</v>
      </c>
      <c r="I893">
        <v>64.188374080000003</v>
      </c>
    </row>
    <row r="894" spans="1:9" ht="14.25" customHeight="1" x14ac:dyDescent="0.3">
      <c r="A894" t="s">
        <v>1828</v>
      </c>
      <c r="B894">
        <v>80.820179629999998</v>
      </c>
      <c r="C894">
        <v>69.076930469999994</v>
      </c>
      <c r="D894">
        <v>73.32745113</v>
      </c>
      <c r="E894">
        <v>68.095089450000003</v>
      </c>
      <c r="F894">
        <v>99.9</v>
      </c>
      <c r="G894">
        <v>81.647293410000003</v>
      </c>
      <c r="H894">
        <v>69.777945630000005</v>
      </c>
      <c r="I894">
        <v>56.48892317</v>
      </c>
    </row>
    <row r="895" spans="1:9" ht="14.25" customHeight="1" x14ac:dyDescent="0.3">
      <c r="A895" t="s">
        <v>1830</v>
      </c>
      <c r="B895">
        <v>90.336016700000002</v>
      </c>
      <c r="C895">
        <v>62.613195490000003</v>
      </c>
      <c r="D895">
        <v>73.363911509999994</v>
      </c>
      <c r="E895">
        <v>68.475192149999998</v>
      </c>
      <c r="F895">
        <v>87.645869390000001</v>
      </c>
      <c r="G895">
        <v>71.716017100000002</v>
      </c>
      <c r="H895">
        <v>65</v>
      </c>
      <c r="I895">
        <v>50</v>
      </c>
    </row>
    <row r="896" spans="1:9" ht="14.25" customHeight="1" x14ac:dyDescent="0.3">
      <c r="A896" t="s">
        <v>1832</v>
      </c>
      <c r="B896">
        <v>75</v>
      </c>
      <c r="C896">
        <v>68.431160590000005</v>
      </c>
      <c r="D896">
        <v>78.97503055</v>
      </c>
      <c r="E896">
        <v>68.28209631</v>
      </c>
      <c r="F896">
        <v>89.691475999999994</v>
      </c>
      <c r="G896">
        <v>74.524271299999995</v>
      </c>
      <c r="H896">
        <v>75.246348710000007</v>
      </c>
      <c r="I896">
        <v>64.331858330000003</v>
      </c>
    </row>
    <row r="897" spans="1:9" ht="14.25" customHeight="1" x14ac:dyDescent="0.3">
      <c r="A897" t="s">
        <v>1834</v>
      </c>
      <c r="B897">
        <v>90.731896210000002</v>
      </c>
      <c r="C897">
        <v>60.699942829999998</v>
      </c>
      <c r="D897">
        <v>72.946957170000005</v>
      </c>
      <c r="E897">
        <v>69.190619850000004</v>
      </c>
      <c r="F897">
        <v>95.224237489999993</v>
      </c>
      <c r="G897">
        <v>69.633183819999999</v>
      </c>
      <c r="H897">
        <v>72.575233699999998</v>
      </c>
      <c r="I897">
        <v>55.677627350000002</v>
      </c>
    </row>
    <row r="898" spans="1:9" ht="14.25" customHeight="1" x14ac:dyDescent="0.3">
      <c r="A898" t="s">
        <v>1836</v>
      </c>
      <c r="B898">
        <v>80.91565301</v>
      </c>
      <c r="C898">
        <v>61.86723817</v>
      </c>
      <c r="D898">
        <v>70</v>
      </c>
      <c r="E898">
        <v>62.95624961</v>
      </c>
      <c r="F898">
        <v>99.9</v>
      </c>
      <c r="G898">
        <v>81.275284869999993</v>
      </c>
      <c r="H898">
        <v>70.797157889999994</v>
      </c>
      <c r="I898">
        <v>61.423356239999997</v>
      </c>
    </row>
    <row r="899" spans="1:9" ht="14.25" customHeight="1" x14ac:dyDescent="0.3">
      <c r="A899" t="s">
        <v>1838</v>
      </c>
      <c r="B899">
        <v>83.473622109999994</v>
      </c>
      <c r="C899">
        <v>65.869734629999996</v>
      </c>
      <c r="D899">
        <v>72.591393080000003</v>
      </c>
      <c r="E899">
        <v>59.115593369999999</v>
      </c>
      <c r="F899">
        <v>85.759203409999998</v>
      </c>
      <c r="G899">
        <v>83.409587419999994</v>
      </c>
      <c r="H899">
        <v>69.820384110000006</v>
      </c>
      <c r="I899">
        <v>60.979316240000003</v>
      </c>
    </row>
    <row r="900" spans="1:9" ht="14.25" customHeight="1" x14ac:dyDescent="0.3">
      <c r="A900" t="s">
        <v>1840</v>
      </c>
      <c r="B900">
        <v>84.737475970000006</v>
      </c>
      <c r="C900">
        <v>68.201220989999996</v>
      </c>
      <c r="D900">
        <v>79.675641060000004</v>
      </c>
      <c r="E900">
        <v>64.73112716</v>
      </c>
      <c r="F900">
        <v>93.400694360000003</v>
      </c>
      <c r="G900">
        <v>84.928452140000005</v>
      </c>
      <c r="H900">
        <v>69.475129089999996</v>
      </c>
      <c r="I900">
        <v>50</v>
      </c>
    </row>
    <row r="901" spans="1:9" ht="14.25" customHeight="1" x14ac:dyDescent="0.3">
      <c r="A901" t="s">
        <v>1842</v>
      </c>
      <c r="B901">
        <v>86.318200899999994</v>
      </c>
      <c r="C901">
        <v>70.234120970000006</v>
      </c>
      <c r="D901">
        <v>82.760014960000007</v>
      </c>
      <c r="E901">
        <v>62.427102499999997</v>
      </c>
      <c r="F901">
        <v>94.413411210000007</v>
      </c>
      <c r="G901">
        <v>73.770471610000001</v>
      </c>
      <c r="H901">
        <v>71.314558469999994</v>
      </c>
      <c r="I901">
        <v>64.717643679999995</v>
      </c>
    </row>
    <row r="902" spans="1:9" ht="14.25" customHeight="1" x14ac:dyDescent="0.3">
      <c r="A902" t="s">
        <v>1844</v>
      </c>
      <c r="B902">
        <v>82.146803809999994</v>
      </c>
      <c r="C902">
        <v>69.719089460000006</v>
      </c>
      <c r="D902">
        <v>87.636956339999998</v>
      </c>
      <c r="E902">
        <v>69.424847909999997</v>
      </c>
      <c r="F902">
        <v>96.553655879999994</v>
      </c>
      <c r="G902">
        <v>79.880499950000001</v>
      </c>
      <c r="H902">
        <v>65</v>
      </c>
      <c r="I902">
        <v>52.169552150000001</v>
      </c>
    </row>
    <row r="903" spans="1:9" ht="14.25" customHeight="1" x14ac:dyDescent="0.3">
      <c r="A903" t="s">
        <v>1846</v>
      </c>
      <c r="B903">
        <v>82.163657009999994</v>
      </c>
      <c r="C903">
        <v>62.971437459999997</v>
      </c>
      <c r="D903">
        <v>76.274369219999997</v>
      </c>
      <c r="E903">
        <v>59.635075360000002</v>
      </c>
      <c r="F903">
        <v>94.166130710000004</v>
      </c>
      <c r="G903">
        <v>77.777530420000005</v>
      </c>
      <c r="H903">
        <v>73.913196139999997</v>
      </c>
      <c r="I903">
        <v>70</v>
      </c>
    </row>
    <row r="904" spans="1:9" ht="14.25" customHeight="1" x14ac:dyDescent="0.3">
      <c r="A904" t="s">
        <v>1848</v>
      </c>
      <c r="B904">
        <v>87.976782700000001</v>
      </c>
      <c r="C904">
        <v>66.58645396</v>
      </c>
      <c r="D904">
        <v>72.247642709999994</v>
      </c>
      <c r="E904">
        <v>59.285778690000001</v>
      </c>
      <c r="F904">
        <v>97.249200389999999</v>
      </c>
      <c r="G904">
        <v>79.979103989999999</v>
      </c>
      <c r="H904">
        <v>73.195653230000005</v>
      </c>
      <c r="I904">
        <v>69.541606770000001</v>
      </c>
    </row>
    <row r="905" spans="1:9" ht="14.25" customHeight="1" x14ac:dyDescent="0.3">
      <c r="A905" t="s">
        <v>1850</v>
      </c>
      <c r="B905">
        <v>75</v>
      </c>
      <c r="C905">
        <v>73.611644560000002</v>
      </c>
      <c r="D905">
        <v>72.562843020000003</v>
      </c>
      <c r="E905">
        <v>73.91967683</v>
      </c>
      <c r="F905">
        <v>87.331988390000006</v>
      </c>
      <c r="G905">
        <v>76.739007630000003</v>
      </c>
      <c r="H905">
        <v>76.045216159999995</v>
      </c>
      <c r="I905">
        <v>52.646550320000003</v>
      </c>
    </row>
    <row r="906" spans="1:9" ht="14.25" customHeight="1" x14ac:dyDescent="0.3">
      <c r="A906" t="s">
        <v>1852</v>
      </c>
      <c r="B906">
        <v>77.396439229999999</v>
      </c>
      <c r="C906">
        <v>72.621126849999996</v>
      </c>
      <c r="D906">
        <v>75.987856219999998</v>
      </c>
      <c r="E906">
        <v>63.216914119999998</v>
      </c>
      <c r="F906">
        <v>80.480127300000007</v>
      </c>
      <c r="G906">
        <v>82.089266170000002</v>
      </c>
      <c r="H906">
        <v>68.32328081</v>
      </c>
      <c r="I906">
        <v>59.208257750000001</v>
      </c>
    </row>
    <row r="907" spans="1:9" ht="14.25" customHeight="1" x14ac:dyDescent="0.3">
      <c r="A907" t="s">
        <v>1854</v>
      </c>
      <c r="B907">
        <v>81.534422849999999</v>
      </c>
      <c r="C907">
        <v>73.20039362</v>
      </c>
      <c r="D907">
        <v>81.802537549999997</v>
      </c>
      <c r="E907">
        <v>74.026401879999995</v>
      </c>
      <c r="F907">
        <v>92.170217730000005</v>
      </c>
      <c r="G907">
        <v>74.999851919999998</v>
      </c>
      <c r="H907">
        <v>70.37641988</v>
      </c>
      <c r="I907">
        <v>54.35490411</v>
      </c>
    </row>
    <row r="908" spans="1:9" ht="14.25" customHeight="1" x14ac:dyDescent="0.3">
      <c r="A908" t="s">
        <v>1856</v>
      </c>
      <c r="B908">
        <v>78.4178158</v>
      </c>
      <c r="C908">
        <v>72.207802869999995</v>
      </c>
      <c r="D908">
        <v>70.345990130000004</v>
      </c>
      <c r="E908">
        <v>59.354483979999998</v>
      </c>
      <c r="F908">
        <v>85.789292130000007</v>
      </c>
      <c r="G908">
        <v>76.914960660000006</v>
      </c>
      <c r="H908">
        <v>68.842677140000006</v>
      </c>
      <c r="I908">
        <v>52.385654840000001</v>
      </c>
    </row>
    <row r="909" spans="1:9" ht="14.25" customHeight="1" x14ac:dyDescent="0.3">
      <c r="A909" t="s">
        <v>1858</v>
      </c>
      <c r="B909">
        <v>75.472269460000007</v>
      </c>
      <c r="C909">
        <v>62.790155579999997</v>
      </c>
      <c r="D909">
        <v>74.511054400000006</v>
      </c>
      <c r="E909">
        <v>66.046731170000001</v>
      </c>
      <c r="F909">
        <v>80</v>
      </c>
      <c r="G909">
        <v>74.672341320000001</v>
      </c>
      <c r="H909">
        <v>76.413854349999994</v>
      </c>
      <c r="I909">
        <v>64.459408960000005</v>
      </c>
    </row>
    <row r="910" spans="1:9" ht="14.25" customHeight="1" x14ac:dyDescent="0.3">
      <c r="A910" t="s">
        <v>1860</v>
      </c>
      <c r="B910">
        <v>86.787724819999994</v>
      </c>
      <c r="C910">
        <v>70.162981529999996</v>
      </c>
      <c r="D910">
        <v>70</v>
      </c>
      <c r="E910">
        <v>65.370543789999999</v>
      </c>
      <c r="F910">
        <v>90.704049999999995</v>
      </c>
      <c r="G910">
        <v>80.208110540000007</v>
      </c>
      <c r="H910">
        <v>71.060562790000006</v>
      </c>
      <c r="I910">
        <v>60.948932710000001</v>
      </c>
    </row>
    <row r="911" spans="1:9" ht="14.25" customHeight="1" x14ac:dyDescent="0.3">
      <c r="A911" t="s">
        <v>1862</v>
      </c>
      <c r="B911">
        <v>93.506017619999994</v>
      </c>
      <c r="C911">
        <v>72.930405059999998</v>
      </c>
      <c r="D911">
        <v>77.321334480000004</v>
      </c>
      <c r="E911">
        <v>65.033720500000001</v>
      </c>
      <c r="F911">
        <v>80</v>
      </c>
      <c r="G911">
        <v>73.054754799999998</v>
      </c>
      <c r="H911">
        <v>71.692688590000003</v>
      </c>
      <c r="I911">
        <v>60.426654980000002</v>
      </c>
    </row>
    <row r="912" spans="1:9" ht="14.25" customHeight="1" x14ac:dyDescent="0.3">
      <c r="A912" t="s">
        <v>1864</v>
      </c>
      <c r="B912">
        <v>79.320295160000001</v>
      </c>
      <c r="C912">
        <v>73.801799209999999</v>
      </c>
      <c r="D912">
        <v>82.622570170000003</v>
      </c>
      <c r="E912">
        <v>62.646467579999999</v>
      </c>
      <c r="F912">
        <v>89.178933380000004</v>
      </c>
      <c r="G912">
        <v>72.887658450000004</v>
      </c>
      <c r="H912">
        <v>68.798481659999993</v>
      </c>
      <c r="I912">
        <v>64.045309149999994</v>
      </c>
    </row>
    <row r="913" spans="1:9" ht="14.25" customHeight="1" x14ac:dyDescent="0.3">
      <c r="A913" t="s">
        <v>1866</v>
      </c>
      <c r="B913">
        <v>83.713864270000002</v>
      </c>
      <c r="C913">
        <v>71.005561920000005</v>
      </c>
      <c r="D913">
        <v>70</v>
      </c>
      <c r="E913">
        <v>62.257661329999998</v>
      </c>
      <c r="F913">
        <v>97.085866300000006</v>
      </c>
      <c r="G913">
        <v>71.388142599999995</v>
      </c>
      <c r="H913">
        <v>72.911725270000005</v>
      </c>
      <c r="I913">
        <v>51.563039789999998</v>
      </c>
    </row>
    <row r="914" spans="1:9" ht="14.25" customHeight="1" x14ac:dyDescent="0.3">
      <c r="A914" t="s">
        <v>1868</v>
      </c>
      <c r="B914">
        <v>87.167512200000004</v>
      </c>
      <c r="C914">
        <v>68.001452490000005</v>
      </c>
      <c r="D914">
        <v>80.285637109999996</v>
      </c>
      <c r="E914">
        <v>67.108343640000001</v>
      </c>
      <c r="F914">
        <v>84.663579159999998</v>
      </c>
      <c r="G914">
        <v>77.977013690000007</v>
      </c>
      <c r="H914">
        <v>71.305088089999998</v>
      </c>
      <c r="I914">
        <v>54.20134891</v>
      </c>
    </row>
    <row r="915" spans="1:9" ht="14.25" customHeight="1" x14ac:dyDescent="0.3">
      <c r="A915" t="s">
        <v>1870</v>
      </c>
      <c r="B915">
        <v>95.120560620000006</v>
      </c>
      <c r="C915">
        <v>70.265577070000006</v>
      </c>
      <c r="D915">
        <v>79.517477459999995</v>
      </c>
      <c r="E915">
        <v>55.165649430000002</v>
      </c>
      <c r="F915">
        <v>90.919350190000003</v>
      </c>
      <c r="G915">
        <v>73.755899200000002</v>
      </c>
      <c r="H915">
        <v>66.964067529999994</v>
      </c>
      <c r="I915">
        <v>57.909845349999998</v>
      </c>
    </row>
    <row r="916" spans="1:9" ht="14.25" customHeight="1" x14ac:dyDescent="0.3">
      <c r="A916" t="s">
        <v>1872</v>
      </c>
      <c r="B916">
        <v>76.718901000000002</v>
      </c>
      <c r="C916">
        <v>76.916946499999995</v>
      </c>
      <c r="D916">
        <v>80.861873950000003</v>
      </c>
      <c r="E916">
        <v>63.345932650000002</v>
      </c>
      <c r="F916">
        <v>95.153899710000005</v>
      </c>
      <c r="G916">
        <v>77.495432179999995</v>
      </c>
      <c r="H916">
        <v>72.632575309999993</v>
      </c>
      <c r="I916">
        <v>62.698797929999998</v>
      </c>
    </row>
    <row r="917" spans="1:9" ht="14.25" customHeight="1" x14ac:dyDescent="0.3">
      <c r="A917" t="s">
        <v>1874</v>
      </c>
      <c r="B917">
        <v>87.090823610000001</v>
      </c>
      <c r="C917">
        <v>69.287381159999995</v>
      </c>
      <c r="D917">
        <v>84.770576009999999</v>
      </c>
      <c r="E917">
        <v>62.078378690000001</v>
      </c>
      <c r="F917">
        <v>85.396369469999996</v>
      </c>
      <c r="G917">
        <v>78.054960859999994</v>
      </c>
      <c r="H917">
        <v>69.939466510000003</v>
      </c>
      <c r="I917">
        <v>62.907468110000003</v>
      </c>
    </row>
    <row r="918" spans="1:9" ht="14.25" customHeight="1" x14ac:dyDescent="0.3">
      <c r="A918" t="s">
        <v>1876</v>
      </c>
      <c r="B918">
        <v>89.273216540000007</v>
      </c>
      <c r="C918">
        <v>65.763481200000001</v>
      </c>
      <c r="D918">
        <v>75.207659230000004</v>
      </c>
      <c r="E918">
        <v>62.705729980000001</v>
      </c>
      <c r="F918">
        <v>80</v>
      </c>
      <c r="G918">
        <v>75.418605490000004</v>
      </c>
      <c r="H918">
        <v>68.068089189999995</v>
      </c>
      <c r="I918">
        <v>58.574841489999997</v>
      </c>
    </row>
    <row r="919" spans="1:9" ht="14.25" customHeight="1" x14ac:dyDescent="0.3">
      <c r="A919" t="s">
        <v>1878</v>
      </c>
      <c r="B919">
        <v>86.880723099999997</v>
      </c>
      <c r="C919">
        <v>60</v>
      </c>
      <c r="D919">
        <v>75.470225940000006</v>
      </c>
      <c r="E919">
        <v>64.520562589999997</v>
      </c>
      <c r="F919">
        <v>92.841978830000002</v>
      </c>
      <c r="G919">
        <v>80.777894549999999</v>
      </c>
      <c r="H919">
        <v>65.807904019999995</v>
      </c>
      <c r="I919">
        <v>56.757794840000003</v>
      </c>
    </row>
    <row r="920" spans="1:9" ht="14.25" customHeight="1" x14ac:dyDescent="0.3">
      <c r="A920" t="s">
        <v>1880</v>
      </c>
      <c r="B920">
        <v>88.609521979999997</v>
      </c>
      <c r="C920">
        <v>67.425681350000005</v>
      </c>
      <c r="D920">
        <v>74.250541400000003</v>
      </c>
      <c r="E920">
        <v>64.378586889999994</v>
      </c>
      <c r="F920">
        <v>97.189053779999995</v>
      </c>
      <c r="G920">
        <v>81.462311479999997</v>
      </c>
      <c r="H920">
        <v>74.024970300000007</v>
      </c>
      <c r="I920">
        <v>59.301950269999999</v>
      </c>
    </row>
    <row r="921" spans="1:9" ht="14.25" customHeight="1" x14ac:dyDescent="0.3">
      <c r="A921" t="s">
        <v>1882</v>
      </c>
      <c r="B921">
        <v>75</v>
      </c>
      <c r="C921">
        <v>80</v>
      </c>
      <c r="D921">
        <v>87.799509360000002</v>
      </c>
      <c r="E921">
        <v>61.355908110000001</v>
      </c>
      <c r="F921">
        <v>84.542539849999997</v>
      </c>
      <c r="G921">
        <v>80.231938709999994</v>
      </c>
      <c r="H921">
        <v>72.255130980000004</v>
      </c>
      <c r="I921">
        <v>59.864592010000003</v>
      </c>
    </row>
    <row r="922" spans="1:9" ht="14.25" customHeight="1" x14ac:dyDescent="0.3">
      <c r="A922" t="s">
        <v>1884</v>
      </c>
      <c r="B922">
        <v>93.045351120000007</v>
      </c>
      <c r="C922">
        <v>61.594701669999999</v>
      </c>
      <c r="D922">
        <v>79.949114550000004</v>
      </c>
      <c r="E922">
        <v>61.074976730000003</v>
      </c>
      <c r="F922">
        <v>92.629999810000001</v>
      </c>
      <c r="G922">
        <v>83.573205000000002</v>
      </c>
      <c r="H922">
        <v>65</v>
      </c>
      <c r="I922">
        <v>63.405169399999998</v>
      </c>
    </row>
    <row r="923" spans="1:9" ht="14.25" customHeight="1" x14ac:dyDescent="0.3">
      <c r="A923" t="s">
        <v>1886</v>
      </c>
      <c r="B923">
        <v>87.225667040000005</v>
      </c>
      <c r="C923">
        <v>71.570412520000005</v>
      </c>
      <c r="D923">
        <v>82.209200640000006</v>
      </c>
      <c r="E923">
        <v>64.771746390000004</v>
      </c>
      <c r="F923">
        <v>99.9</v>
      </c>
      <c r="G923">
        <v>79.788538540000005</v>
      </c>
      <c r="H923">
        <v>74.175788319999995</v>
      </c>
      <c r="I923">
        <v>56.642110330000001</v>
      </c>
    </row>
    <row r="924" spans="1:9" ht="14.25" customHeight="1" x14ac:dyDescent="0.3">
      <c r="A924" t="s">
        <v>1888</v>
      </c>
      <c r="B924">
        <v>88.666077049999998</v>
      </c>
      <c r="C924">
        <v>78.033491659999996</v>
      </c>
      <c r="D924">
        <v>82.866129020000002</v>
      </c>
      <c r="E924">
        <v>55</v>
      </c>
      <c r="F924">
        <v>92.752474890000002</v>
      </c>
      <c r="G924">
        <v>74.326137410000001</v>
      </c>
      <c r="H924">
        <v>73.221558290000004</v>
      </c>
      <c r="I924">
        <v>54.018941730000002</v>
      </c>
    </row>
    <row r="925" spans="1:9" ht="14.25" customHeight="1" x14ac:dyDescent="0.3">
      <c r="A925" t="s">
        <v>1890</v>
      </c>
      <c r="B925">
        <v>81.703778479999997</v>
      </c>
      <c r="C925">
        <v>68.499906490000001</v>
      </c>
      <c r="D925">
        <v>70</v>
      </c>
      <c r="E925">
        <v>68.164225990000006</v>
      </c>
      <c r="F925">
        <v>85.518948030000004</v>
      </c>
      <c r="G925">
        <v>75.693692290000001</v>
      </c>
      <c r="H925">
        <v>73.093419400000002</v>
      </c>
      <c r="I925">
        <v>70</v>
      </c>
    </row>
    <row r="926" spans="1:9" ht="14.25" customHeight="1" x14ac:dyDescent="0.3">
      <c r="A926" t="s">
        <v>1892</v>
      </c>
      <c r="B926">
        <v>94.811974280000001</v>
      </c>
      <c r="C926">
        <v>75.318439150000003</v>
      </c>
      <c r="D926">
        <v>76.722137559999993</v>
      </c>
      <c r="E926">
        <v>72.456046850000007</v>
      </c>
      <c r="F926">
        <v>94.92394942</v>
      </c>
      <c r="G926">
        <v>77.191695659999993</v>
      </c>
      <c r="H926">
        <v>71.009473569999997</v>
      </c>
      <c r="I926">
        <v>51.93846095</v>
      </c>
    </row>
    <row r="927" spans="1:9" ht="14.25" customHeight="1" x14ac:dyDescent="0.3">
      <c r="A927" t="s">
        <v>1894</v>
      </c>
      <c r="B927">
        <v>87.724115960000006</v>
      </c>
      <c r="C927">
        <v>73.174533670000002</v>
      </c>
      <c r="D927">
        <v>70</v>
      </c>
      <c r="E927">
        <v>60.161132139999999</v>
      </c>
      <c r="F927">
        <v>91.380652690000005</v>
      </c>
      <c r="G927">
        <v>71.877900960000005</v>
      </c>
      <c r="H927">
        <v>66.577975949999995</v>
      </c>
      <c r="I927">
        <v>50</v>
      </c>
    </row>
    <row r="928" spans="1:9" ht="14.25" customHeight="1" x14ac:dyDescent="0.3">
      <c r="A928" t="s">
        <v>1896</v>
      </c>
      <c r="B928">
        <v>89.640202909999999</v>
      </c>
      <c r="C928">
        <v>66.149256510000001</v>
      </c>
      <c r="D928">
        <v>84.371968890000005</v>
      </c>
      <c r="E928">
        <v>58.271736879999999</v>
      </c>
      <c r="F928">
        <v>92.58948427</v>
      </c>
      <c r="G928">
        <v>76.258702729999996</v>
      </c>
      <c r="H928">
        <v>66.682032669999998</v>
      </c>
      <c r="I928">
        <v>60.84119218</v>
      </c>
    </row>
    <row r="929" spans="1:9" ht="14.25" customHeight="1" x14ac:dyDescent="0.3">
      <c r="A929" t="s">
        <v>1898</v>
      </c>
      <c r="B929">
        <v>80.912515130000003</v>
      </c>
      <c r="C929">
        <v>66.620713589999994</v>
      </c>
      <c r="D929">
        <v>82.692721660000004</v>
      </c>
      <c r="E929">
        <v>71.285069750000005</v>
      </c>
      <c r="F929">
        <v>89.721420249999994</v>
      </c>
      <c r="G929">
        <v>79.074695849999998</v>
      </c>
      <c r="H929">
        <v>76.429380480000006</v>
      </c>
      <c r="I929">
        <v>64.633750669999998</v>
      </c>
    </row>
    <row r="930" spans="1:9" ht="14.25" customHeight="1" x14ac:dyDescent="0.3">
      <c r="A930" t="s">
        <v>1900</v>
      </c>
      <c r="B930">
        <v>81.259779519999995</v>
      </c>
      <c r="C930">
        <v>72.942130300000002</v>
      </c>
      <c r="D930">
        <v>71.777391440000002</v>
      </c>
      <c r="E930">
        <v>70.917641669999995</v>
      </c>
      <c r="F930">
        <v>92.574799029999994</v>
      </c>
      <c r="G930">
        <v>76.877761289999995</v>
      </c>
      <c r="H930">
        <v>69.348124290000001</v>
      </c>
      <c r="I930">
        <v>67.861289170000006</v>
      </c>
    </row>
    <row r="931" spans="1:9" ht="14.25" customHeight="1" x14ac:dyDescent="0.3">
      <c r="A931" t="s">
        <v>1902</v>
      </c>
      <c r="B931">
        <v>75.433651620000006</v>
      </c>
      <c r="C931">
        <v>78.791788990000001</v>
      </c>
      <c r="D931">
        <v>80.112984819999994</v>
      </c>
      <c r="E931">
        <v>66.575039529999998</v>
      </c>
      <c r="F931">
        <v>84.729024870000003</v>
      </c>
      <c r="G931">
        <v>78.908021910000002</v>
      </c>
      <c r="H931">
        <v>71.807331439999999</v>
      </c>
      <c r="I931">
        <v>66.596020420000002</v>
      </c>
    </row>
    <row r="932" spans="1:9" ht="14.25" customHeight="1" x14ac:dyDescent="0.3">
      <c r="A932" t="s">
        <v>1904</v>
      </c>
      <c r="B932">
        <v>86.824635169999993</v>
      </c>
      <c r="C932">
        <v>61.855928740000003</v>
      </c>
      <c r="D932">
        <v>79.38305948</v>
      </c>
      <c r="E932">
        <v>58.504678749999997</v>
      </c>
      <c r="F932">
        <v>97.181766400000001</v>
      </c>
      <c r="G932">
        <v>83.278020299999994</v>
      </c>
      <c r="H932">
        <v>73.093917509999997</v>
      </c>
      <c r="I932">
        <v>61.301542060000003</v>
      </c>
    </row>
    <row r="933" spans="1:9" ht="14.25" customHeight="1" x14ac:dyDescent="0.3">
      <c r="A933" t="s">
        <v>1906</v>
      </c>
      <c r="B933">
        <v>84.020166380000006</v>
      </c>
      <c r="C933">
        <v>68.880545310000002</v>
      </c>
      <c r="D933">
        <v>84.995201300000005</v>
      </c>
      <c r="E933">
        <v>60.088755300000003</v>
      </c>
      <c r="F933">
        <v>98.553136109999997</v>
      </c>
      <c r="G933">
        <v>76.913739059999997</v>
      </c>
      <c r="H933">
        <v>71.752949060000006</v>
      </c>
      <c r="I933">
        <v>64.475191719999998</v>
      </c>
    </row>
    <row r="934" spans="1:9" ht="14.25" customHeight="1" x14ac:dyDescent="0.3">
      <c r="A934" t="s">
        <v>1908</v>
      </c>
      <c r="B934">
        <v>78.504691620000003</v>
      </c>
      <c r="C934">
        <v>68.614653340000004</v>
      </c>
      <c r="D934">
        <v>86.333678520000007</v>
      </c>
      <c r="E934">
        <v>63.409309579999999</v>
      </c>
      <c r="F934">
        <v>99.156060530000005</v>
      </c>
      <c r="G934">
        <v>76.018394580000006</v>
      </c>
      <c r="H934">
        <v>76.782534709999993</v>
      </c>
      <c r="I934">
        <v>60.589131559999998</v>
      </c>
    </row>
    <row r="935" spans="1:9" ht="14.25" customHeight="1" x14ac:dyDescent="0.3">
      <c r="A935" t="s">
        <v>1910</v>
      </c>
      <c r="B935">
        <v>95.961231479999995</v>
      </c>
      <c r="C935">
        <v>64.525338640000001</v>
      </c>
      <c r="D935">
        <v>83.159269730000005</v>
      </c>
      <c r="E935">
        <v>75</v>
      </c>
      <c r="F935">
        <v>80</v>
      </c>
      <c r="G935">
        <v>71.767323410000003</v>
      </c>
      <c r="H935">
        <v>65</v>
      </c>
      <c r="I935">
        <v>50.107862920000002</v>
      </c>
    </row>
    <row r="936" spans="1:9" ht="14.25" customHeight="1" x14ac:dyDescent="0.3">
      <c r="A936" t="s">
        <v>1912</v>
      </c>
      <c r="B936">
        <v>79.933152669999998</v>
      </c>
      <c r="C936">
        <v>80</v>
      </c>
      <c r="D936">
        <v>77.421050149999999</v>
      </c>
      <c r="E936">
        <v>66.697005039999993</v>
      </c>
      <c r="F936">
        <v>82.192365769999995</v>
      </c>
      <c r="G936">
        <v>81.456624829999996</v>
      </c>
      <c r="H936">
        <v>73.589958260000003</v>
      </c>
      <c r="I936">
        <v>52.986741639999998</v>
      </c>
    </row>
    <row r="937" spans="1:9" ht="14.25" customHeight="1" x14ac:dyDescent="0.3">
      <c r="A937" t="s">
        <v>1914</v>
      </c>
      <c r="B937">
        <v>81.311357909999998</v>
      </c>
      <c r="C937">
        <v>73.380326969999999</v>
      </c>
      <c r="D937">
        <v>75.188150629999996</v>
      </c>
      <c r="E937">
        <v>66.225183009999995</v>
      </c>
      <c r="F937">
        <v>87.646572739999996</v>
      </c>
      <c r="G937">
        <v>65</v>
      </c>
      <c r="H937">
        <v>71.657130300000006</v>
      </c>
      <c r="I937">
        <v>55.694247089999998</v>
      </c>
    </row>
    <row r="938" spans="1:9" ht="14.25" customHeight="1" x14ac:dyDescent="0.3">
      <c r="A938" t="s">
        <v>1916</v>
      </c>
      <c r="B938">
        <v>84.796492709999995</v>
      </c>
      <c r="C938">
        <v>66.202228259999998</v>
      </c>
      <c r="D938">
        <v>75.657777760000002</v>
      </c>
      <c r="E938">
        <v>66.198455980000006</v>
      </c>
      <c r="F938">
        <v>91.276416889999993</v>
      </c>
      <c r="G938">
        <v>72.976814480000002</v>
      </c>
      <c r="H938">
        <v>73.963962499999994</v>
      </c>
      <c r="I938">
        <v>54.47724959</v>
      </c>
    </row>
    <row r="939" spans="1:9" ht="14.25" customHeight="1" x14ac:dyDescent="0.3">
      <c r="A939" t="s">
        <v>1918</v>
      </c>
      <c r="B939">
        <v>87.810309290000006</v>
      </c>
      <c r="C939">
        <v>74.639403160000001</v>
      </c>
      <c r="D939">
        <v>75.276368309999995</v>
      </c>
      <c r="E939">
        <v>66.430875810000003</v>
      </c>
      <c r="F939">
        <v>90.956364010000001</v>
      </c>
      <c r="G939">
        <v>85</v>
      </c>
      <c r="H939">
        <v>72.902272789999998</v>
      </c>
      <c r="I939">
        <v>53.713200710000002</v>
      </c>
    </row>
    <row r="940" spans="1:9" ht="14.25" customHeight="1" x14ac:dyDescent="0.3">
      <c r="A940" t="s">
        <v>1920</v>
      </c>
      <c r="B940">
        <v>85.985907670000003</v>
      </c>
      <c r="C940">
        <v>60</v>
      </c>
      <c r="D940">
        <v>77.03861157</v>
      </c>
      <c r="E940">
        <v>64.477532490000002</v>
      </c>
      <c r="F940">
        <v>96.898560709999998</v>
      </c>
      <c r="G940">
        <v>80.692069900000007</v>
      </c>
      <c r="H940">
        <v>76.246697310000002</v>
      </c>
      <c r="I940">
        <v>58.03919466</v>
      </c>
    </row>
    <row r="941" spans="1:9" ht="14.25" customHeight="1" x14ac:dyDescent="0.3">
      <c r="A941" t="s">
        <v>1922</v>
      </c>
      <c r="B941">
        <v>81.811649520000003</v>
      </c>
      <c r="C941">
        <v>75.204339430000005</v>
      </c>
      <c r="D941">
        <v>70.808912050000004</v>
      </c>
      <c r="E941">
        <v>67.078808890000005</v>
      </c>
      <c r="F941">
        <v>80.470800019999999</v>
      </c>
      <c r="G941">
        <v>81.356723689999995</v>
      </c>
      <c r="H941">
        <v>67.892964860000006</v>
      </c>
      <c r="I941">
        <v>63.556532320000002</v>
      </c>
    </row>
    <row r="942" spans="1:9" ht="14.25" customHeight="1" x14ac:dyDescent="0.3">
      <c r="A942" t="s">
        <v>1924</v>
      </c>
      <c r="B942">
        <v>75</v>
      </c>
      <c r="C942">
        <v>62.467154309999998</v>
      </c>
      <c r="D942">
        <v>72.950602079999996</v>
      </c>
      <c r="E942">
        <v>58.088120279999998</v>
      </c>
      <c r="F942">
        <v>80</v>
      </c>
      <c r="G942">
        <v>78.759160480000006</v>
      </c>
      <c r="H942">
        <v>75.396529150000006</v>
      </c>
      <c r="I942">
        <v>50</v>
      </c>
    </row>
    <row r="943" spans="1:9" ht="14.25" customHeight="1" x14ac:dyDescent="0.3">
      <c r="A943" t="s">
        <v>1926</v>
      </c>
      <c r="B943">
        <v>81.238525859999996</v>
      </c>
      <c r="C943">
        <v>71.472042669999993</v>
      </c>
      <c r="D943">
        <v>80.78534793</v>
      </c>
      <c r="E943">
        <v>63.520866480000002</v>
      </c>
      <c r="F943">
        <v>90.558512019999995</v>
      </c>
      <c r="G943">
        <v>81.348567739999993</v>
      </c>
      <c r="H943">
        <v>65.508960579999993</v>
      </c>
      <c r="I943">
        <v>53.259466889999999</v>
      </c>
    </row>
    <row r="944" spans="1:9" ht="14.25" customHeight="1" x14ac:dyDescent="0.3">
      <c r="A944" t="s">
        <v>1928</v>
      </c>
      <c r="B944">
        <v>90.931438400000005</v>
      </c>
      <c r="C944">
        <v>69.383181680000007</v>
      </c>
      <c r="D944">
        <v>70.467232199999998</v>
      </c>
      <c r="E944">
        <v>64.102907810000005</v>
      </c>
      <c r="F944">
        <v>90.897253469999995</v>
      </c>
      <c r="G944">
        <v>85</v>
      </c>
      <c r="H944">
        <v>74.929616820000007</v>
      </c>
      <c r="I944">
        <v>70</v>
      </c>
    </row>
    <row r="945" spans="1:9" ht="14.25" customHeight="1" x14ac:dyDescent="0.3">
      <c r="A945" t="s">
        <v>1930</v>
      </c>
      <c r="B945">
        <v>86.435273879999997</v>
      </c>
      <c r="C945">
        <v>67.690412460000005</v>
      </c>
      <c r="D945">
        <v>76.485659139999996</v>
      </c>
      <c r="E945">
        <v>63.07907514</v>
      </c>
      <c r="F945">
        <v>90.093739389999996</v>
      </c>
      <c r="G945">
        <v>82.811529759999999</v>
      </c>
      <c r="H945">
        <v>68.011773090000005</v>
      </c>
      <c r="I945">
        <v>56.745382640000003</v>
      </c>
    </row>
    <row r="946" spans="1:9" ht="14.25" customHeight="1" x14ac:dyDescent="0.3">
      <c r="A946" t="s">
        <v>1932</v>
      </c>
      <c r="B946">
        <v>78.865346459999998</v>
      </c>
      <c r="C946">
        <v>77.622070390000005</v>
      </c>
      <c r="D946">
        <v>73.002373509999998</v>
      </c>
      <c r="E946">
        <v>66.458000470000002</v>
      </c>
      <c r="F946">
        <v>95.079061710000005</v>
      </c>
      <c r="G946">
        <v>72.768507200000002</v>
      </c>
      <c r="H946">
        <v>70.864608419999996</v>
      </c>
      <c r="I946">
        <v>63.448417050000003</v>
      </c>
    </row>
    <row r="947" spans="1:9" ht="14.25" customHeight="1" x14ac:dyDescent="0.3">
      <c r="A947" t="s">
        <v>1934</v>
      </c>
      <c r="B947">
        <v>90.167176600000005</v>
      </c>
      <c r="C947">
        <v>63.096508630000002</v>
      </c>
      <c r="D947">
        <v>79.275376769999994</v>
      </c>
      <c r="E947">
        <v>67.998458740000004</v>
      </c>
      <c r="F947">
        <v>80</v>
      </c>
      <c r="G947">
        <v>69.220318680000005</v>
      </c>
      <c r="H947">
        <v>66.322540419999996</v>
      </c>
      <c r="I947">
        <v>50</v>
      </c>
    </row>
    <row r="948" spans="1:9" ht="14.25" customHeight="1" x14ac:dyDescent="0.3">
      <c r="A948" t="s">
        <v>1936</v>
      </c>
      <c r="B948">
        <v>85.290467699999994</v>
      </c>
      <c r="C948">
        <v>77.571848739999993</v>
      </c>
      <c r="D948">
        <v>72.573155619999994</v>
      </c>
      <c r="E948">
        <v>73.826241179999997</v>
      </c>
      <c r="F948">
        <v>94.961321999999996</v>
      </c>
      <c r="G948">
        <v>75.826538630000002</v>
      </c>
      <c r="H948">
        <v>66.730138120000007</v>
      </c>
      <c r="I948">
        <v>70</v>
      </c>
    </row>
    <row r="949" spans="1:9" ht="14.25" customHeight="1" x14ac:dyDescent="0.3">
      <c r="A949" t="s">
        <v>1938</v>
      </c>
      <c r="B949">
        <v>81.068729149999996</v>
      </c>
      <c r="C949">
        <v>67.600103720000007</v>
      </c>
      <c r="D949">
        <v>84.961603199999999</v>
      </c>
      <c r="E949">
        <v>65.623738889999998</v>
      </c>
      <c r="F949">
        <v>92.710593009999997</v>
      </c>
      <c r="G949">
        <v>84.144577650000002</v>
      </c>
      <c r="H949">
        <v>75.710123339999996</v>
      </c>
      <c r="I949">
        <v>53.198561210000001</v>
      </c>
    </row>
    <row r="950" spans="1:9" ht="14.25" customHeight="1" x14ac:dyDescent="0.3">
      <c r="A950" t="s">
        <v>1940</v>
      </c>
      <c r="B950">
        <v>89.783421559999994</v>
      </c>
      <c r="C950">
        <v>72.248315259999998</v>
      </c>
      <c r="D950">
        <v>85.446529519999999</v>
      </c>
      <c r="E950">
        <v>56.748719880000003</v>
      </c>
      <c r="F950">
        <v>88.235758680000004</v>
      </c>
      <c r="G950">
        <v>68.896230059999994</v>
      </c>
      <c r="H950">
        <v>66.107404360000004</v>
      </c>
      <c r="I950">
        <v>60.4827522</v>
      </c>
    </row>
    <row r="951" spans="1:9" ht="14.25" customHeight="1" x14ac:dyDescent="0.3">
      <c r="A951" t="s">
        <v>1942</v>
      </c>
      <c r="B951">
        <v>87.857906670000006</v>
      </c>
      <c r="C951">
        <v>69.70758988</v>
      </c>
      <c r="D951">
        <v>79.396915079999999</v>
      </c>
      <c r="E951">
        <v>75</v>
      </c>
      <c r="F951">
        <v>80</v>
      </c>
      <c r="G951">
        <v>74.780694159999996</v>
      </c>
      <c r="H951">
        <v>75.324626570000007</v>
      </c>
      <c r="I951">
        <v>53.220287650000003</v>
      </c>
    </row>
    <row r="952" spans="1:9" ht="14.25" customHeight="1" x14ac:dyDescent="0.3">
      <c r="A952" t="s">
        <v>1944</v>
      </c>
      <c r="B952">
        <v>87.125144340000006</v>
      </c>
      <c r="C952">
        <v>69.711205019999994</v>
      </c>
      <c r="D952">
        <v>78.780951819999999</v>
      </c>
      <c r="E952">
        <v>69.241154949999995</v>
      </c>
      <c r="F952">
        <v>98.376772970000005</v>
      </c>
      <c r="G952">
        <v>80.412814499999996</v>
      </c>
      <c r="H952">
        <v>70.414209560000003</v>
      </c>
      <c r="I952">
        <v>50</v>
      </c>
    </row>
    <row r="953" spans="1:9" ht="14.25" customHeight="1" x14ac:dyDescent="0.3">
      <c r="A953" t="s">
        <v>1946</v>
      </c>
      <c r="B953">
        <v>77.878657930000003</v>
      </c>
      <c r="C953">
        <v>73.034591520000006</v>
      </c>
      <c r="D953">
        <v>79.615840340000005</v>
      </c>
      <c r="E953">
        <v>60.935100210000002</v>
      </c>
      <c r="F953">
        <v>86.300742260000007</v>
      </c>
      <c r="G953">
        <v>74.914265880000002</v>
      </c>
      <c r="H953">
        <v>77.723735820000002</v>
      </c>
      <c r="I953">
        <v>60.415370090000003</v>
      </c>
    </row>
    <row r="954" spans="1:9" ht="14.25" customHeight="1" x14ac:dyDescent="0.3">
      <c r="A954" t="s">
        <v>1948</v>
      </c>
      <c r="B954">
        <v>81.203169729999999</v>
      </c>
      <c r="C954">
        <v>66.699892329999997</v>
      </c>
      <c r="D954">
        <v>79.332427780000003</v>
      </c>
      <c r="E954">
        <v>67.667472110000006</v>
      </c>
      <c r="F954">
        <v>83.956689109999999</v>
      </c>
      <c r="G954">
        <v>70.760737430000006</v>
      </c>
      <c r="H954">
        <v>68.537243380000007</v>
      </c>
      <c r="I954">
        <v>59.346497759999998</v>
      </c>
    </row>
    <row r="955" spans="1:9" ht="14.25" customHeight="1" x14ac:dyDescent="0.3">
      <c r="A955" t="s">
        <v>1950</v>
      </c>
      <c r="B955">
        <v>87.492628819999993</v>
      </c>
      <c r="C955">
        <v>60</v>
      </c>
      <c r="D955">
        <v>75.843005809999994</v>
      </c>
      <c r="E955">
        <v>58.44240602</v>
      </c>
      <c r="F955">
        <v>81.413151409999998</v>
      </c>
      <c r="G955">
        <v>85</v>
      </c>
      <c r="H955">
        <v>76.881145270000005</v>
      </c>
      <c r="I955">
        <v>50</v>
      </c>
    </row>
    <row r="956" spans="1:9" ht="14.25" customHeight="1" x14ac:dyDescent="0.3">
      <c r="A956" t="s">
        <v>1952</v>
      </c>
      <c r="B956">
        <v>87.010636340000005</v>
      </c>
      <c r="C956">
        <v>71.050676080000002</v>
      </c>
      <c r="D956">
        <v>70</v>
      </c>
      <c r="E956">
        <v>73.944859879999996</v>
      </c>
      <c r="F956">
        <v>98.473439299999995</v>
      </c>
      <c r="G956">
        <v>71.666858360000006</v>
      </c>
      <c r="H956">
        <v>69.259356690000004</v>
      </c>
      <c r="I956">
        <v>56.60311454</v>
      </c>
    </row>
    <row r="957" spans="1:9" ht="14.25" customHeight="1" x14ac:dyDescent="0.3">
      <c r="A957" t="s">
        <v>1954</v>
      </c>
      <c r="B957">
        <v>90.975439170000001</v>
      </c>
      <c r="C957">
        <v>74.61821132</v>
      </c>
      <c r="D957">
        <v>80.891093650000002</v>
      </c>
      <c r="E957">
        <v>64.276636530000005</v>
      </c>
      <c r="F957">
        <v>90.981115720000005</v>
      </c>
      <c r="G957">
        <v>78.796660360000004</v>
      </c>
      <c r="H957">
        <v>65</v>
      </c>
      <c r="I957">
        <v>62.731466820000001</v>
      </c>
    </row>
    <row r="958" spans="1:9" ht="14.25" customHeight="1" x14ac:dyDescent="0.3">
      <c r="A958" t="s">
        <v>1956</v>
      </c>
      <c r="B958">
        <v>79.322801490000003</v>
      </c>
      <c r="C958">
        <v>63.183705260000004</v>
      </c>
      <c r="D958">
        <v>83.806174380000002</v>
      </c>
      <c r="E958">
        <v>62.131236059999999</v>
      </c>
      <c r="F958">
        <v>89.469608440000002</v>
      </c>
      <c r="G958">
        <v>76.342020360000006</v>
      </c>
      <c r="H958">
        <v>72.246966959999995</v>
      </c>
      <c r="I958">
        <v>56.262590279999998</v>
      </c>
    </row>
    <row r="959" spans="1:9" ht="14.25" customHeight="1" x14ac:dyDescent="0.3">
      <c r="A959" t="s">
        <v>1958</v>
      </c>
      <c r="B959">
        <v>81.049541320000003</v>
      </c>
      <c r="C959">
        <v>70.413359659999998</v>
      </c>
      <c r="D959">
        <v>78.928879420000001</v>
      </c>
      <c r="E959">
        <v>68.03281921</v>
      </c>
      <c r="F959">
        <v>96.073514099999997</v>
      </c>
      <c r="G959">
        <v>71.497969190000006</v>
      </c>
      <c r="H959">
        <v>72.574517920000005</v>
      </c>
      <c r="I959">
        <v>51.450043620000002</v>
      </c>
    </row>
    <row r="960" spans="1:9" ht="14.25" customHeight="1" x14ac:dyDescent="0.3">
      <c r="A960" t="s">
        <v>1960</v>
      </c>
      <c r="B960">
        <v>84.946279770000004</v>
      </c>
      <c r="C960">
        <v>66.967315679999999</v>
      </c>
      <c r="D960">
        <v>76.130875200000006</v>
      </c>
      <c r="E960">
        <v>63.197601480000003</v>
      </c>
      <c r="F960">
        <v>91.673121710000004</v>
      </c>
      <c r="G960">
        <v>75.859875439999996</v>
      </c>
      <c r="H960">
        <v>71.703072340000006</v>
      </c>
      <c r="I960">
        <v>64.522131610000002</v>
      </c>
    </row>
    <row r="961" spans="1:9" ht="14.25" customHeight="1" x14ac:dyDescent="0.3">
      <c r="A961" t="s">
        <v>1962</v>
      </c>
      <c r="B961">
        <v>82.754174390000003</v>
      </c>
      <c r="C961">
        <v>73.722977330000006</v>
      </c>
      <c r="D961">
        <v>85.765467999999998</v>
      </c>
      <c r="E961">
        <v>65.5927887</v>
      </c>
      <c r="F961">
        <v>90.524680309999994</v>
      </c>
      <c r="G961">
        <v>82.673651500000005</v>
      </c>
      <c r="H961">
        <v>69.860124799999994</v>
      </c>
      <c r="I961">
        <v>63.554271210000003</v>
      </c>
    </row>
    <row r="962" spans="1:9" ht="14.25" customHeight="1" x14ac:dyDescent="0.3">
      <c r="A962" t="s">
        <v>1964</v>
      </c>
      <c r="B962">
        <v>81.430976670000007</v>
      </c>
      <c r="C962">
        <v>62.084998450000001</v>
      </c>
      <c r="D962">
        <v>72.591509419999994</v>
      </c>
      <c r="E962">
        <v>69.636339620000001</v>
      </c>
      <c r="F962">
        <v>81.041266059999998</v>
      </c>
      <c r="G962">
        <v>79.655788200000003</v>
      </c>
      <c r="H962">
        <v>67.590633400000002</v>
      </c>
      <c r="I962">
        <v>69.268021829999995</v>
      </c>
    </row>
    <row r="963" spans="1:9" ht="14.25" customHeight="1" x14ac:dyDescent="0.3">
      <c r="A963" t="s">
        <v>1966</v>
      </c>
      <c r="B963">
        <v>89.555254079999997</v>
      </c>
      <c r="C963">
        <v>70.177826899999999</v>
      </c>
      <c r="D963">
        <v>72.760148380000004</v>
      </c>
      <c r="E963">
        <v>64.427974180000007</v>
      </c>
      <c r="F963">
        <v>92.591243469999995</v>
      </c>
      <c r="G963">
        <v>74.061114829999994</v>
      </c>
      <c r="H963">
        <v>70.717006760000004</v>
      </c>
      <c r="I963">
        <v>50</v>
      </c>
    </row>
    <row r="964" spans="1:9" ht="14.25" customHeight="1" x14ac:dyDescent="0.3">
      <c r="A964" t="s">
        <v>1968</v>
      </c>
      <c r="B964">
        <v>93.719232899999994</v>
      </c>
      <c r="C964">
        <v>69.660782639999994</v>
      </c>
      <c r="D964">
        <v>77.116763199999994</v>
      </c>
      <c r="E964">
        <v>62.28674565</v>
      </c>
      <c r="F964">
        <v>93.917312609999996</v>
      </c>
      <c r="G964">
        <v>79.67760251</v>
      </c>
      <c r="H964">
        <v>65</v>
      </c>
      <c r="I964">
        <v>53.381116910000003</v>
      </c>
    </row>
    <row r="965" spans="1:9" ht="14.25" customHeight="1" x14ac:dyDescent="0.3">
      <c r="A965" t="s">
        <v>1970</v>
      </c>
      <c r="B965">
        <v>79.729949439999999</v>
      </c>
      <c r="C965">
        <v>73.416769680000002</v>
      </c>
      <c r="D965">
        <v>78.739916719999997</v>
      </c>
      <c r="E965">
        <v>65.968839329999994</v>
      </c>
      <c r="F965">
        <v>83.277895720000004</v>
      </c>
      <c r="G965">
        <v>79.442339450000006</v>
      </c>
      <c r="H965">
        <v>69.42810987</v>
      </c>
      <c r="I965">
        <v>70</v>
      </c>
    </row>
    <row r="966" spans="1:9" ht="14.25" customHeight="1" x14ac:dyDescent="0.3">
      <c r="A966" t="s">
        <v>1972</v>
      </c>
      <c r="B966">
        <v>88.299287430000007</v>
      </c>
      <c r="C966">
        <v>66.703926620000004</v>
      </c>
      <c r="D966">
        <v>78.525543229999997</v>
      </c>
      <c r="E966">
        <v>66.796521100000007</v>
      </c>
      <c r="F966">
        <v>88.451699559999994</v>
      </c>
      <c r="G966">
        <v>82.646508909999994</v>
      </c>
      <c r="H966">
        <v>73.919802950000005</v>
      </c>
      <c r="I966">
        <v>57.919883460000001</v>
      </c>
    </row>
    <row r="967" spans="1:9" ht="14.25" customHeight="1" x14ac:dyDescent="0.3">
      <c r="A967" t="s">
        <v>1974</v>
      </c>
      <c r="B967">
        <v>79.251087999999996</v>
      </c>
      <c r="C967">
        <v>74.870414139999994</v>
      </c>
      <c r="D967">
        <v>70</v>
      </c>
      <c r="E967">
        <v>61.791290949999997</v>
      </c>
      <c r="F967">
        <v>92.190984880000002</v>
      </c>
      <c r="G967">
        <v>82.352959350000006</v>
      </c>
      <c r="H967">
        <v>74.641162989999998</v>
      </c>
      <c r="I967">
        <v>57.97675744</v>
      </c>
    </row>
    <row r="968" spans="1:9" ht="14.25" customHeight="1" x14ac:dyDescent="0.3">
      <c r="A968" t="s">
        <v>1976</v>
      </c>
      <c r="B968">
        <v>81.085255230000001</v>
      </c>
      <c r="C968">
        <v>64.655737110000004</v>
      </c>
      <c r="D968">
        <v>78.596620389999998</v>
      </c>
      <c r="E968">
        <v>63.171167740000001</v>
      </c>
      <c r="F968">
        <v>87.394359989999998</v>
      </c>
      <c r="G968">
        <v>85</v>
      </c>
      <c r="H968">
        <v>67.949921149999994</v>
      </c>
      <c r="I968">
        <v>56.713651900000002</v>
      </c>
    </row>
    <row r="969" spans="1:9" ht="14.25" customHeight="1" x14ac:dyDescent="0.3">
      <c r="A969" t="s">
        <v>1978</v>
      </c>
      <c r="B969">
        <v>77.682215159999998</v>
      </c>
      <c r="C969">
        <v>60</v>
      </c>
      <c r="D969">
        <v>75.980873900000006</v>
      </c>
      <c r="E969">
        <v>65.350172119999996</v>
      </c>
      <c r="F969">
        <v>93.211124100000006</v>
      </c>
      <c r="G969">
        <v>71.816779789999998</v>
      </c>
      <c r="H969">
        <v>67.407023269999996</v>
      </c>
      <c r="I969">
        <v>62.548015290000002</v>
      </c>
    </row>
    <row r="970" spans="1:9" ht="14.25" customHeight="1" x14ac:dyDescent="0.3">
      <c r="A970" t="s">
        <v>1980</v>
      </c>
      <c r="B970">
        <v>83.906715939999998</v>
      </c>
      <c r="C970">
        <v>63.065145790000003</v>
      </c>
      <c r="D970">
        <v>75.708671409999994</v>
      </c>
      <c r="E970">
        <v>65.295914350000004</v>
      </c>
      <c r="F970">
        <v>94.858500309999997</v>
      </c>
      <c r="G970">
        <v>73.974210249999999</v>
      </c>
      <c r="H970">
        <v>69.206429589999999</v>
      </c>
      <c r="I970">
        <v>52.165508699999997</v>
      </c>
    </row>
    <row r="971" spans="1:9" ht="14.25" customHeight="1" x14ac:dyDescent="0.3">
      <c r="A971" t="s">
        <v>1982</v>
      </c>
      <c r="B971">
        <v>89.501373950000001</v>
      </c>
      <c r="C971">
        <v>69.616291849999996</v>
      </c>
      <c r="D971">
        <v>70</v>
      </c>
      <c r="E971">
        <v>55</v>
      </c>
      <c r="F971">
        <v>81.165264460000003</v>
      </c>
      <c r="G971">
        <v>78.509146569999999</v>
      </c>
      <c r="H971">
        <v>70.377580019999996</v>
      </c>
      <c r="I971">
        <v>56.808967670000001</v>
      </c>
    </row>
    <row r="972" spans="1:9" ht="14.25" customHeight="1" x14ac:dyDescent="0.3">
      <c r="A972" t="s">
        <v>1984</v>
      </c>
      <c r="B972">
        <v>76.190369430000004</v>
      </c>
      <c r="C972">
        <v>62.605708159999999</v>
      </c>
      <c r="D972">
        <v>73.524630200000004</v>
      </c>
      <c r="E972">
        <v>66.423261460000006</v>
      </c>
      <c r="F972">
        <v>88.375782169999994</v>
      </c>
      <c r="G972">
        <v>73.764317059999996</v>
      </c>
      <c r="H972">
        <v>73.147115459999995</v>
      </c>
      <c r="I972">
        <v>67.002543099999997</v>
      </c>
    </row>
    <row r="973" spans="1:9" ht="14.25" customHeight="1" x14ac:dyDescent="0.3">
      <c r="A973" t="s">
        <v>1986</v>
      </c>
      <c r="B973">
        <v>86.747628539999994</v>
      </c>
      <c r="C973">
        <v>60.534841880000002</v>
      </c>
      <c r="D973">
        <v>81.15644992</v>
      </c>
      <c r="E973">
        <v>69.833112330000006</v>
      </c>
      <c r="F973">
        <v>80.623640280000004</v>
      </c>
      <c r="G973">
        <v>85</v>
      </c>
      <c r="H973">
        <v>71.342084970000002</v>
      </c>
      <c r="I973">
        <v>61.34346996</v>
      </c>
    </row>
    <row r="974" spans="1:9" ht="14.25" customHeight="1" x14ac:dyDescent="0.3">
      <c r="A974" t="s">
        <v>1988</v>
      </c>
      <c r="B974">
        <v>89.189977619999993</v>
      </c>
      <c r="C974">
        <v>76.98375317</v>
      </c>
      <c r="D974">
        <v>86.714566910000002</v>
      </c>
      <c r="E974">
        <v>62.383393929999997</v>
      </c>
      <c r="F974">
        <v>99.9</v>
      </c>
      <c r="G974">
        <v>81.650234220000002</v>
      </c>
      <c r="H974">
        <v>72.753674070000002</v>
      </c>
      <c r="I974">
        <v>56.374458429999997</v>
      </c>
    </row>
    <row r="975" spans="1:9" ht="14.25" customHeight="1" x14ac:dyDescent="0.3">
      <c r="A975" t="s">
        <v>1990</v>
      </c>
      <c r="B975">
        <v>79.118858900000006</v>
      </c>
      <c r="C975">
        <v>74.118275550000007</v>
      </c>
      <c r="D975">
        <v>79.687961189999996</v>
      </c>
      <c r="E975">
        <v>74.495473189999998</v>
      </c>
      <c r="F975">
        <v>95.998096649999994</v>
      </c>
      <c r="G975">
        <v>76.48486939</v>
      </c>
      <c r="H975">
        <v>75.042728990000001</v>
      </c>
      <c r="I975">
        <v>62.727195080000001</v>
      </c>
    </row>
    <row r="976" spans="1:9" ht="14.25" customHeight="1" x14ac:dyDescent="0.3">
      <c r="A976" t="s">
        <v>1992</v>
      </c>
      <c r="B976">
        <v>93.08768001</v>
      </c>
      <c r="C976">
        <v>65.499218690000006</v>
      </c>
      <c r="D976">
        <v>85.333486519999994</v>
      </c>
      <c r="E976">
        <v>59.49041708</v>
      </c>
      <c r="F976">
        <v>88.427606769999997</v>
      </c>
      <c r="G976">
        <v>81.435933969999994</v>
      </c>
      <c r="H976">
        <v>74.121475790000005</v>
      </c>
      <c r="I976">
        <v>54.759103940000003</v>
      </c>
    </row>
    <row r="977" spans="1:9" ht="14.25" customHeight="1" x14ac:dyDescent="0.3">
      <c r="A977" t="s">
        <v>1994</v>
      </c>
      <c r="B977">
        <v>75.645441500000004</v>
      </c>
      <c r="C977">
        <v>67.498117460000003</v>
      </c>
      <c r="D977">
        <v>73.870415769999994</v>
      </c>
      <c r="E977">
        <v>74.164118149999993</v>
      </c>
      <c r="F977">
        <v>85.96341074</v>
      </c>
      <c r="G977">
        <v>81.53903407</v>
      </c>
      <c r="H977">
        <v>74.389059880000005</v>
      </c>
      <c r="I977">
        <v>50</v>
      </c>
    </row>
    <row r="978" spans="1:9" ht="14.25" customHeight="1" x14ac:dyDescent="0.3">
      <c r="A978" t="s">
        <v>1996</v>
      </c>
      <c r="B978">
        <v>88.944784850000005</v>
      </c>
      <c r="C978">
        <v>65.181815619999995</v>
      </c>
      <c r="D978">
        <v>77.174198880000006</v>
      </c>
      <c r="E978">
        <v>71.549924099999998</v>
      </c>
      <c r="F978">
        <v>87.265730970000007</v>
      </c>
      <c r="G978">
        <v>81.180249200000006</v>
      </c>
      <c r="H978">
        <v>73.520266219999996</v>
      </c>
      <c r="I978">
        <v>55.524301690000001</v>
      </c>
    </row>
    <row r="979" spans="1:9" ht="14.25" customHeight="1" x14ac:dyDescent="0.3">
      <c r="A979" t="s">
        <v>1998</v>
      </c>
      <c r="B979">
        <v>86.841782210000005</v>
      </c>
      <c r="C979">
        <v>69.058112429999994</v>
      </c>
      <c r="D979">
        <v>75.405357129999999</v>
      </c>
      <c r="E979">
        <v>65.751546180000005</v>
      </c>
      <c r="F979">
        <v>92.228333919999997</v>
      </c>
      <c r="G979">
        <v>80.066816939999995</v>
      </c>
      <c r="H979">
        <v>71.846028459999999</v>
      </c>
      <c r="I979">
        <v>68.273462390000006</v>
      </c>
    </row>
    <row r="980" spans="1:9" ht="14.25" customHeight="1" x14ac:dyDescent="0.3">
      <c r="A980" t="s">
        <v>2000</v>
      </c>
      <c r="B980">
        <v>79.552340130000005</v>
      </c>
      <c r="C980">
        <v>64.372430780000002</v>
      </c>
      <c r="D980">
        <v>85.621689040000007</v>
      </c>
      <c r="E980">
        <v>71.061459959999993</v>
      </c>
      <c r="F980">
        <v>85.532657270000001</v>
      </c>
      <c r="G980">
        <v>78.828594039999999</v>
      </c>
      <c r="H980">
        <v>70.906175439999998</v>
      </c>
      <c r="I980">
        <v>51.574576729999997</v>
      </c>
    </row>
    <row r="981" spans="1:9" ht="14.25" customHeight="1" x14ac:dyDescent="0.3">
      <c r="A981" t="s">
        <v>2002</v>
      </c>
      <c r="B981">
        <v>86.672058910000004</v>
      </c>
      <c r="C981">
        <v>68.151527130000005</v>
      </c>
      <c r="D981">
        <v>75.979310850000005</v>
      </c>
      <c r="E981">
        <v>67.322622080000002</v>
      </c>
      <c r="F981">
        <v>82.588883989999999</v>
      </c>
      <c r="G981">
        <v>76.938155730000005</v>
      </c>
      <c r="H981">
        <v>68.763456649999995</v>
      </c>
      <c r="I981">
        <v>61.809997189999997</v>
      </c>
    </row>
    <row r="982" spans="1:9" ht="14.25" customHeight="1" x14ac:dyDescent="0.3">
      <c r="A982" t="s">
        <v>2004</v>
      </c>
      <c r="B982">
        <v>82.374451250000007</v>
      </c>
      <c r="C982">
        <v>65.860127489999996</v>
      </c>
      <c r="D982">
        <v>79.984811059999998</v>
      </c>
      <c r="E982">
        <v>68.148914320000003</v>
      </c>
      <c r="F982">
        <v>88.063155440000003</v>
      </c>
      <c r="G982">
        <v>77.38181032</v>
      </c>
      <c r="H982">
        <v>72.266220090000004</v>
      </c>
      <c r="I982">
        <v>63.349375760000001</v>
      </c>
    </row>
    <row r="983" spans="1:9" ht="14.25" customHeight="1" x14ac:dyDescent="0.3">
      <c r="A983" t="s">
        <v>2006</v>
      </c>
      <c r="B983">
        <v>89.563496580000006</v>
      </c>
      <c r="C983">
        <v>70.998300060000005</v>
      </c>
      <c r="D983">
        <v>78.871993540000005</v>
      </c>
      <c r="E983">
        <v>70.81328164</v>
      </c>
      <c r="F983">
        <v>81.641271970000005</v>
      </c>
      <c r="G983">
        <v>75.563243080000007</v>
      </c>
      <c r="H983">
        <v>65</v>
      </c>
      <c r="I983">
        <v>61.230071469999999</v>
      </c>
    </row>
    <row r="984" spans="1:9" ht="14.25" customHeight="1" x14ac:dyDescent="0.3">
      <c r="A984" t="s">
        <v>2008</v>
      </c>
      <c r="B984">
        <v>87.555655340000001</v>
      </c>
      <c r="C984">
        <v>65.828988589999994</v>
      </c>
      <c r="D984">
        <v>82.798474119999995</v>
      </c>
      <c r="E984">
        <v>60.845517579999999</v>
      </c>
      <c r="F984">
        <v>84.134377740000005</v>
      </c>
      <c r="G984">
        <v>76.238994270000006</v>
      </c>
      <c r="H984">
        <v>74.097914470000006</v>
      </c>
      <c r="I984">
        <v>57.791229360000003</v>
      </c>
    </row>
    <row r="985" spans="1:9" ht="14.25" customHeight="1" x14ac:dyDescent="0.3">
      <c r="A985" t="s">
        <v>2010</v>
      </c>
      <c r="B985">
        <v>85.079765629999997</v>
      </c>
      <c r="C985">
        <v>79.744664270000001</v>
      </c>
      <c r="D985">
        <v>77.523359630000002</v>
      </c>
      <c r="E985">
        <v>67.180221810000006</v>
      </c>
      <c r="F985">
        <v>81.894477249999994</v>
      </c>
      <c r="G985">
        <v>81.11740202</v>
      </c>
      <c r="H985">
        <v>73.21699065</v>
      </c>
      <c r="I985">
        <v>53.23049177</v>
      </c>
    </row>
    <row r="986" spans="1:9" ht="14.25" customHeight="1" x14ac:dyDescent="0.3">
      <c r="A986" t="s">
        <v>2012</v>
      </c>
      <c r="B986">
        <v>87.229316220000001</v>
      </c>
      <c r="C986">
        <v>68.226355870000006</v>
      </c>
      <c r="D986">
        <v>83.556557589999997</v>
      </c>
      <c r="E986">
        <v>74.032717390000002</v>
      </c>
      <c r="F986">
        <v>93.007299500000002</v>
      </c>
      <c r="G986">
        <v>80.744909519999993</v>
      </c>
      <c r="H986">
        <v>65</v>
      </c>
      <c r="I986">
        <v>52.829050080000002</v>
      </c>
    </row>
    <row r="987" spans="1:9" ht="14.25" customHeight="1" x14ac:dyDescent="0.3">
      <c r="A987" t="s">
        <v>2014</v>
      </c>
      <c r="B987">
        <v>84.842227100000002</v>
      </c>
      <c r="C987">
        <v>64.816388279999998</v>
      </c>
      <c r="D987">
        <v>70</v>
      </c>
      <c r="E987">
        <v>63.159785999999997</v>
      </c>
      <c r="F987">
        <v>94.7021345</v>
      </c>
      <c r="G987">
        <v>70.488226830000002</v>
      </c>
      <c r="H987">
        <v>70.430389430000005</v>
      </c>
      <c r="I987">
        <v>60.660075159999998</v>
      </c>
    </row>
    <row r="988" spans="1:9" ht="14.25" customHeight="1" x14ac:dyDescent="0.3">
      <c r="A988" t="s">
        <v>2016</v>
      </c>
      <c r="B988">
        <v>81.473561489999994</v>
      </c>
      <c r="C988">
        <v>63.829968409999999</v>
      </c>
      <c r="D988">
        <v>79.116284980000003</v>
      </c>
      <c r="E988">
        <v>55</v>
      </c>
      <c r="F988">
        <v>92.425798139999998</v>
      </c>
      <c r="G988">
        <v>73.783531019999998</v>
      </c>
      <c r="H988">
        <v>71.689032019999999</v>
      </c>
      <c r="I988">
        <v>61.19196436</v>
      </c>
    </row>
    <row r="989" spans="1:9" ht="14.25" customHeight="1" x14ac:dyDescent="0.3">
      <c r="A989" t="s">
        <v>2018</v>
      </c>
      <c r="B989">
        <v>79.885347719999999</v>
      </c>
      <c r="C989">
        <v>68.103036840000001</v>
      </c>
      <c r="D989">
        <v>70.055302380000001</v>
      </c>
      <c r="E989">
        <v>64.686363279999995</v>
      </c>
      <c r="F989">
        <v>94.989947389999998</v>
      </c>
      <c r="G989">
        <v>78.908806159999997</v>
      </c>
      <c r="H989">
        <v>74.066234780000002</v>
      </c>
      <c r="I989">
        <v>59.11126359</v>
      </c>
    </row>
    <row r="990" spans="1:9" ht="14.25" customHeight="1" x14ac:dyDescent="0.3">
      <c r="A990" t="s">
        <v>2020</v>
      </c>
      <c r="B990">
        <v>95.225537509999995</v>
      </c>
      <c r="C990">
        <v>60</v>
      </c>
      <c r="D990">
        <v>70</v>
      </c>
      <c r="E990">
        <v>62.922517419999998</v>
      </c>
      <c r="F990">
        <v>90.560321049999999</v>
      </c>
      <c r="G990">
        <v>81.473536530000004</v>
      </c>
      <c r="H990">
        <v>77.334639370000005</v>
      </c>
      <c r="I990">
        <v>50</v>
      </c>
    </row>
    <row r="991" spans="1:9" ht="14.25" customHeight="1" x14ac:dyDescent="0.3">
      <c r="A991" t="s">
        <v>2022</v>
      </c>
      <c r="B991">
        <v>85.55007938</v>
      </c>
      <c r="C991">
        <v>64.464542570000006</v>
      </c>
      <c r="D991">
        <v>83.362111100000007</v>
      </c>
      <c r="E991">
        <v>68.415279279999993</v>
      </c>
      <c r="F991">
        <v>93.820875430000001</v>
      </c>
      <c r="G991">
        <v>72.989507090000004</v>
      </c>
      <c r="H991">
        <v>71.347955780000007</v>
      </c>
      <c r="I991">
        <v>60.418441479999998</v>
      </c>
    </row>
    <row r="992" spans="1:9" ht="14.25" customHeight="1" x14ac:dyDescent="0.3">
      <c r="A992" t="s">
        <v>2024</v>
      </c>
      <c r="B992">
        <v>77.180176059999994</v>
      </c>
      <c r="C992">
        <v>67.563918560000005</v>
      </c>
      <c r="D992">
        <v>75.051358649999997</v>
      </c>
      <c r="E992">
        <v>64.925183140000001</v>
      </c>
      <c r="F992">
        <v>99.9</v>
      </c>
      <c r="G992">
        <v>71.559298720000001</v>
      </c>
      <c r="H992">
        <v>71.42286077</v>
      </c>
      <c r="I992">
        <v>58.24846024</v>
      </c>
    </row>
    <row r="993" spans="1:9" ht="14.25" customHeight="1" x14ac:dyDescent="0.3">
      <c r="A993" t="s">
        <v>2026</v>
      </c>
      <c r="B993">
        <v>99.9</v>
      </c>
      <c r="C993">
        <v>66.957534699999997</v>
      </c>
      <c r="D993">
        <v>79.154470739999994</v>
      </c>
      <c r="E993">
        <v>63.616989160000003</v>
      </c>
      <c r="F993">
        <v>83.647541380000007</v>
      </c>
      <c r="G993">
        <v>78.928119730000006</v>
      </c>
      <c r="H993">
        <v>67.958598519999995</v>
      </c>
      <c r="I993">
        <v>66.850540330000001</v>
      </c>
    </row>
    <row r="994" spans="1:9" ht="14.25" customHeight="1" x14ac:dyDescent="0.3">
      <c r="A994" t="s">
        <v>2028</v>
      </c>
      <c r="B994">
        <v>86.395310420000001</v>
      </c>
      <c r="C994">
        <v>64.976686999999998</v>
      </c>
      <c r="D994">
        <v>87.421628470000002</v>
      </c>
      <c r="E994">
        <v>55</v>
      </c>
      <c r="F994">
        <v>85.188812279999993</v>
      </c>
      <c r="G994">
        <v>79.277684719999996</v>
      </c>
      <c r="H994">
        <v>68.722574809999998</v>
      </c>
      <c r="I994">
        <v>70</v>
      </c>
    </row>
    <row r="995" spans="1:9" ht="14.25" customHeight="1" x14ac:dyDescent="0.3">
      <c r="A995" t="s">
        <v>2030</v>
      </c>
      <c r="B995">
        <v>79.259458559999999</v>
      </c>
      <c r="C995">
        <v>63.223799079999999</v>
      </c>
      <c r="D995">
        <v>73.814046610000005</v>
      </c>
      <c r="E995">
        <v>62.497715599999999</v>
      </c>
      <c r="F995">
        <v>82.023054880000004</v>
      </c>
      <c r="G995">
        <v>82.781914490000005</v>
      </c>
      <c r="H995">
        <v>70.874684299999998</v>
      </c>
      <c r="I995">
        <v>50</v>
      </c>
    </row>
    <row r="996" spans="1:9" ht="14.25" customHeight="1" x14ac:dyDescent="0.3">
      <c r="A996" t="s">
        <v>2032</v>
      </c>
      <c r="B996">
        <v>84.838538139999997</v>
      </c>
      <c r="C996">
        <v>60</v>
      </c>
      <c r="D996">
        <v>81.961262450000007</v>
      </c>
      <c r="E996">
        <v>62.087274999999998</v>
      </c>
      <c r="F996">
        <v>94.621624729999994</v>
      </c>
      <c r="G996">
        <v>85</v>
      </c>
      <c r="H996">
        <v>74.567013320000001</v>
      </c>
      <c r="I996">
        <v>59.238444479999998</v>
      </c>
    </row>
    <row r="997" spans="1:9" ht="14.25" customHeight="1" x14ac:dyDescent="0.3">
      <c r="A997" t="s">
        <v>2034</v>
      </c>
      <c r="B997">
        <v>99.9</v>
      </c>
      <c r="C997">
        <v>69.851008989999997</v>
      </c>
      <c r="D997">
        <v>72.993381569999997</v>
      </c>
      <c r="E997">
        <v>65.170470179999995</v>
      </c>
      <c r="F997">
        <v>95.142453750000001</v>
      </c>
      <c r="G997">
        <v>76.428621329999999</v>
      </c>
      <c r="H997">
        <v>66.073316879999993</v>
      </c>
      <c r="I997">
        <v>54.711016149999999</v>
      </c>
    </row>
    <row r="998" spans="1:9" ht="14.25" customHeight="1" x14ac:dyDescent="0.3">
      <c r="A998" t="s">
        <v>2036</v>
      </c>
      <c r="B998">
        <v>88.632896329999994</v>
      </c>
      <c r="C998">
        <v>75.536347899999996</v>
      </c>
      <c r="D998">
        <v>74.657704440000003</v>
      </c>
      <c r="E998">
        <v>61.294281949999998</v>
      </c>
      <c r="F998">
        <v>95.608831480000006</v>
      </c>
      <c r="G998">
        <v>77.470533219999993</v>
      </c>
      <c r="H998">
        <v>71.978908739999994</v>
      </c>
      <c r="I998">
        <v>55.433689790000003</v>
      </c>
    </row>
    <row r="999" spans="1:9" ht="14.25" customHeight="1" x14ac:dyDescent="0.3">
      <c r="A999" t="s">
        <v>2038</v>
      </c>
      <c r="B999">
        <v>80.272288329999995</v>
      </c>
      <c r="C999">
        <v>60</v>
      </c>
      <c r="D999">
        <v>90</v>
      </c>
      <c r="E999">
        <v>67.905659249999999</v>
      </c>
      <c r="F999">
        <v>91.599761130000005</v>
      </c>
      <c r="G999">
        <v>78.67957389</v>
      </c>
      <c r="H999">
        <v>71.660910950000002</v>
      </c>
      <c r="I999">
        <v>70</v>
      </c>
    </row>
    <row r="1000" spans="1:9" ht="14.25" customHeight="1" x14ac:dyDescent="0.3">
      <c r="A1000" t="s">
        <v>2040</v>
      </c>
      <c r="B1000">
        <v>84.87266606</v>
      </c>
      <c r="C1000">
        <v>71.227290010000004</v>
      </c>
      <c r="D1000">
        <v>70.121949849999993</v>
      </c>
      <c r="E1000">
        <v>57.136156030000002</v>
      </c>
      <c r="F1000">
        <v>89.17802476</v>
      </c>
      <c r="G1000">
        <v>74.777396190000005</v>
      </c>
      <c r="H1000">
        <v>71.474869870000006</v>
      </c>
      <c r="I1000">
        <v>63.637861630000003</v>
      </c>
    </row>
    <row r="1001" spans="1:9" ht="14.25" customHeight="1" x14ac:dyDescent="0.3">
      <c r="A1001" t="s">
        <v>2042</v>
      </c>
      <c r="B1001">
        <v>93.688809079999999</v>
      </c>
      <c r="C1001">
        <v>76.57402372</v>
      </c>
      <c r="D1001">
        <v>81.297223340000002</v>
      </c>
      <c r="E1001">
        <v>70.948612080000004</v>
      </c>
      <c r="F1001">
        <v>95.914821119999999</v>
      </c>
      <c r="G1001">
        <v>80.281026830000002</v>
      </c>
      <c r="H1001">
        <v>66.579494830000002</v>
      </c>
      <c r="I1001">
        <v>50</v>
      </c>
    </row>
    <row r="1002" spans="1:9" ht="14.25" customHeight="1" x14ac:dyDescent="0.3">
      <c r="A1002" t="s">
        <v>2802</v>
      </c>
      <c r="B1002">
        <v>75.008568999999994</v>
      </c>
      <c r="C1002">
        <v>89.584100000000007</v>
      </c>
      <c r="D1002">
        <v>78.259630000000001</v>
      </c>
      <c r="E1002">
        <v>78.123547000000002</v>
      </c>
      <c r="F1002">
        <v>88.453366000000003</v>
      </c>
      <c r="G1002">
        <v>70.256986999999995</v>
      </c>
      <c r="H1002">
        <v>82.123689999999996</v>
      </c>
      <c r="I1002">
        <v>97</v>
      </c>
    </row>
    <row r="1003" spans="1:9" ht="14.25" customHeight="1" x14ac:dyDescent="0.3">
      <c r="A1003" t="s">
        <v>2803</v>
      </c>
      <c r="B1003">
        <v>85.456199999999995</v>
      </c>
      <c r="C1003">
        <v>74.985619999999997</v>
      </c>
      <c r="D1003">
        <v>87.145690000000002</v>
      </c>
      <c r="E1003">
        <v>70.458320000000001</v>
      </c>
      <c r="F1003">
        <v>82.147599999999997</v>
      </c>
      <c r="G1003">
        <v>95</v>
      </c>
      <c r="H1003">
        <v>89.214500000000001</v>
      </c>
      <c r="I1003">
        <v>78.214556000000002</v>
      </c>
    </row>
  </sheetData>
  <conditionalFormatting sqref="A1002:A1003">
    <cfRule type="cellIs" dxfId="54" priority="2" operator="equal">
      <formula>"N/A"</formula>
    </cfRule>
    <cfRule type="cellIs" dxfId="53" priority="3" operator="equal">
      <formula>"NA"</formula>
    </cfRule>
  </conditionalFormatting>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1003"/>
  <sheetViews>
    <sheetView zoomScaleNormal="100" workbookViewId="0"/>
  </sheetViews>
  <sheetFormatPr defaultColWidth="8.6640625" defaultRowHeight="14.4" x14ac:dyDescent="0.3"/>
  <cols>
    <col min="1" max="1" width="17.88671875" customWidth="1"/>
    <col min="2" max="2" width="26.33203125" style="5" customWidth="1"/>
    <col min="3" max="3" width="30.6640625" style="5" customWidth="1"/>
    <col min="4" max="4" width="25" style="5" customWidth="1"/>
    <col min="5" max="5" width="29.33203125" style="5" customWidth="1"/>
    <col min="6" max="6" width="26.44140625" style="5" customWidth="1"/>
    <col min="7" max="7" width="30.77734375" style="5" customWidth="1"/>
    <col min="8" max="8" width="32.109375" style="5" customWidth="1"/>
    <col min="9" max="9" width="36.44140625" style="5" customWidth="1"/>
  </cols>
  <sheetData>
    <row r="1" spans="1:9" ht="14.25" customHeight="1" x14ac:dyDescent="0.3">
      <c r="A1" s="4" t="s">
        <v>1</v>
      </c>
      <c r="B1" s="6" t="s">
        <v>2804</v>
      </c>
      <c r="C1" s="6" t="s">
        <v>2805</v>
      </c>
      <c r="D1" s="6" t="s">
        <v>2806</v>
      </c>
      <c r="E1" s="6" t="s">
        <v>2807</v>
      </c>
      <c r="F1" s="6" t="s">
        <v>2808</v>
      </c>
      <c r="G1" s="6" t="s">
        <v>2809</v>
      </c>
      <c r="H1" s="6" t="s">
        <v>2810</v>
      </c>
      <c r="I1" s="6" t="s">
        <v>2811</v>
      </c>
    </row>
    <row r="2" spans="1:9" ht="14.25" customHeight="1" x14ac:dyDescent="0.3">
      <c r="A2" t="s">
        <v>2094</v>
      </c>
      <c r="B2" s="5">
        <v>91.665353280000005</v>
      </c>
      <c r="C2" s="5">
        <v>64.472586280000002</v>
      </c>
      <c r="D2" s="5">
        <v>75.446229990000006</v>
      </c>
      <c r="E2" s="5">
        <v>66.947884400000007</v>
      </c>
      <c r="F2" s="5">
        <v>80.535501749999995</v>
      </c>
      <c r="G2" s="5">
        <v>78.052880979999998</v>
      </c>
      <c r="H2" s="5">
        <v>74.805507469999995</v>
      </c>
      <c r="I2" s="5">
        <v>54.760030229999998</v>
      </c>
    </row>
    <row r="3" spans="1:9" ht="14.25" customHeight="1" x14ac:dyDescent="0.3">
      <c r="A3" t="s">
        <v>17</v>
      </c>
      <c r="B3" s="5">
        <v>87.654193460000002</v>
      </c>
      <c r="C3" s="5">
        <v>67.820685659999995</v>
      </c>
      <c r="D3" s="5">
        <v>77.648152760000002</v>
      </c>
      <c r="E3" s="5">
        <v>67.762033419999995</v>
      </c>
      <c r="F3" s="5">
        <v>90.721900270000006</v>
      </c>
      <c r="G3" s="5">
        <v>73.554424710000006</v>
      </c>
      <c r="H3" s="5">
        <v>67.865059930000001</v>
      </c>
      <c r="I3" s="5">
        <v>59.274791329999999</v>
      </c>
    </row>
    <row r="4" spans="1:9" ht="14.25" customHeight="1" x14ac:dyDescent="0.3">
      <c r="A4" t="s">
        <v>19</v>
      </c>
      <c r="B4" s="5">
        <v>87.049486520000002</v>
      </c>
      <c r="C4" s="5">
        <v>73.833676740000001</v>
      </c>
      <c r="D4" s="5">
        <v>75.678608949999997</v>
      </c>
      <c r="E4" s="5">
        <v>68.029196159999998</v>
      </c>
      <c r="F4" s="5">
        <v>94.535746309999993</v>
      </c>
      <c r="G4" s="5">
        <v>71.574285459999999</v>
      </c>
      <c r="H4" s="5">
        <v>67.194050880000006</v>
      </c>
      <c r="I4" s="5">
        <v>50</v>
      </c>
    </row>
    <row r="5" spans="1:9" ht="14.25" customHeight="1" x14ac:dyDescent="0.3">
      <c r="A5" t="s">
        <v>2095</v>
      </c>
      <c r="B5" s="5">
        <v>85.713902700000006</v>
      </c>
      <c r="C5" s="5">
        <v>70.380426999999997</v>
      </c>
      <c r="D5" s="5">
        <v>76.472089890000007</v>
      </c>
      <c r="E5" s="5">
        <v>60.393160709999997</v>
      </c>
      <c r="F5" s="5">
        <v>93.241402170000001</v>
      </c>
      <c r="G5" s="5">
        <v>75.730622420000003</v>
      </c>
      <c r="H5" s="5">
        <v>76.560149409999994</v>
      </c>
      <c r="I5" s="5">
        <v>64.492761169999994</v>
      </c>
    </row>
    <row r="6" spans="1:9" ht="14.25" customHeight="1" x14ac:dyDescent="0.3">
      <c r="A6" t="s">
        <v>23</v>
      </c>
      <c r="B6" s="5">
        <v>93.12175637</v>
      </c>
      <c r="C6" s="5">
        <v>68.620500980000003</v>
      </c>
      <c r="D6" s="5">
        <v>77.653629089999995</v>
      </c>
      <c r="E6" s="5">
        <v>66.811238650000007</v>
      </c>
      <c r="F6" s="5">
        <v>90.971236309999995</v>
      </c>
      <c r="G6" s="5">
        <v>79.839091310000001</v>
      </c>
      <c r="H6" s="5">
        <v>74.383354449999999</v>
      </c>
      <c r="I6" s="5">
        <v>65.949048860000005</v>
      </c>
    </row>
    <row r="7" spans="1:9" ht="14.25" customHeight="1" x14ac:dyDescent="0.3">
      <c r="A7" t="s">
        <v>2096</v>
      </c>
      <c r="B7" s="5">
        <v>91.202608589999997</v>
      </c>
      <c r="C7" s="5">
        <v>77.368115180000004</v>
      </c>
      <c r="D7" s="5">
        <v>70</v>
      </c>
      <c r="E7" s="5">
        <v>65.027168689999996</v>
      </c>
      <c r="F7" s="5">
        <v>93.457185719999998</v>
      </c>
      <c r="G7" s="5">
        <v>83.671175930000004</v>
      </c>
      <c r="H7" s="5">
        <v>77.504628969999999</v>
      </c>
      <c r="I7" s="5">
        <v>50</v>
      </c>
    </row>
    <row r="8" spans="1:9" ht="14.25" customHeight="1" x14ac:dyDescent="0.3">
      <c r="A8" t="s">
        <v>27</v>
      </c>
      <c r="B8" s="5">
        <v>78.806084679999998</v>
      </c>
      <c r="C8" s="5">
        <v>65.087842980000005</v>
      </c>
      <c r="D8" s="5">
        <v>74.683539510000003</v>
      </c>
      <c r="E8" s="5">
        <v>60.436103039999999</v>
      </c>
      <c r="F8" s="5">
        <v>94.145564179999994</v>
      </c>
      <c r="G8" s="5">
        <v>71.491548039999998</v>
      </c>
      <c r="H8" s="5">
        <v>67.209314149999997</v>
      </c>
      <c r="I8" s="5">
        <v>52.915449979999998</v>
      </c>
    </row>
    <row r="9" spans="1:9" ht="14.25" customHeight="1" x14ac:dyDescent="0.3">
      <c r="A9" t="s">
        <v>2097</v>
      </c>
      <c r="B9" s="5">
        <v>80.045044959999998</v>
      </c>
      <c r="C9" s="5">
        <v>60</v>
      </c>
      <c r="D9" s="5">
        <v>81.150110040000001</v>
      </c>
      <c r="E9" s="5">
        <v>75</v>
      </c>
      <c r="F9" s="5">
        <v>80</v>
      </c>
      <c r="G9" s="5">
        <v>74.297456819999994</v>
      </c>
      <c r="H9" s="5">
        <v>72.593604130000003</v>
      </c>
      <c r="I9" s="5">
        <v>57.801526729999999</v>
      </c>
    </row>
    <row r="10" spans="1:9" ht="14.25" customHeight="1" x14ac:dyDescent="0.3">
      <c r="A10" t="s">
        <v>31</v>
      </c>
      <c r="B10" s="5">
        <v>84.226793729999997</v>
      </c>
      <c r="C10" s="5">
        <v>69.953556890000002</v>
      </c>
      <c r="D10" s="5">
        <v>70</v>
      </c>
      <c r="E10" s="5">
        <v>63.358897419999998</v>
      </c>
      <c r="F10" s="5">
        <v>88.499793220000001</v>
      </c>
      <c r="G10" s="5">
        <v>79.561852569999999</v>
      </c>
      <c r="H10" s="5">
        <v>69.863281580000006</v>
      </c>
      <c r="I10" s="5">
        <v>69.679202419999996</v>
      </c>
    </row>
    <row r="11" spans="1:9" ht="14.25" customHeight="1" x14ac:dyDescent="0.3">
      <c r="A11" t="s">
        <v>2098</v>
      </c>
      <c r="B11" s="5">
        <v>89.602269509999999</v>
      </c>
      <c r="C11" s="5">
        <v>66.597591859999994</v>
      </c>
      <c r="D11" s="5">
        <v>77.567887429999999</v>
      </c>
      <c r="E11" s="5">
        <v>68.086795670000001</v>
      </c>
      <c r="F11" s="5">
        <v>99.9</v>
      </c>
      <c r="G11" s="5">
        <v>76.946860009999995</v>
      </c>
      <c r="H11" s="5">
        <v>70.401646209999996</v>
      </c>
      <c r="I11" s="5">
        <v>60.821486470000004</v>
      </c>
    </row>
    <row r="12" spans="1:9" ht="14.25" customHeight="1" x14ac:dyDescent="0.3">
      <c r="A12" t="s">
        <v>2099</v>
      </c>
      <c r="B12" s="5">
        <v>91.396171170000002</v>
      </c>
      <c r="C12" s="5">
        <v>68.689777309999997</v>
      </c>
      <c r="D12" s="5">
        <v>70</v>
      </c>
      <c r="E12" s="5">
        <v>60.844100160000004</v>
      </c>
      <c r="F12" s="5">
        <v>95.907413899999995</v>
      </c>
      <c r="G12" s="5">
        <v>79.423690019999995</v>
      </c>
      <c r="H12" s="5">
        <v>72.160361469999998</v>
      </c>
      <c r="I12" s="5">
        <v>51.529862919999999</v>
      </c>
    </row>
    <row r="13" spans="1:9" ht="14.25" customHeight="1" x14ac:dyDescent="0.3">
      <c r="A13" t="s">
        <v>2100</v>
      </c>
      <c r="B13" s="5">
        <v>78.267945229999995</v>
      </c>
      <c r="C13" s="5">
        <v>79.35764795</v>
      </c>
      <c r="D13" s="5">
        <v>74.445449670000002</v>
      </c>
      <c r="E13" s="5">
        <v>73.167360130000006</v>
      </c>
      <c r="F13" s="5">
        <v>95.395274659999998</v>
      </c>
      <c r="G13" s="5">
        <v>75.139835730000001</v>
      </c>
      <c r="H13" s="5">
        <v>73.560245069999993</v>
      </c>
      <c r="I13" s="5">
        <v>59.764703019999999</v>
      </c>
    </row>
    <row r="14" spans="1:9" ht="14.25" customHeight="1" x14ac:dyDescent="0.3">
      <c r="A14" t="s">
        <v>2101</v>
      </c>
      <c r="B14" s="5">
        <v>87.21558417</v>
      </c>
      <c r="C14" s="5">
        <v>70.434878269999999</v>
      </c>
      <c r="D14" s="5">
        <v>73.375498250000007</v>
      </c>
      <c r="E14" s="5">
        <v>69.797155380000007</v>
      </c>
      <c r="F14" s="5">
        <v>80.246712900000006</v>
      </c>
      <c r="G14" s="5">
        <v>80.552681649999997</v>
      </c>
      <c r="H14" s="5">
        <v>68.592786599999997</v>
      </c>
      <c r="I14" s="5">
        <v>50</v>
      </c>
    </row>
    <row r="15" spans="1:9" ht="14.25" customHeight="1" x14ac:dyDescent="0.3">
      <c r="A15" t="s">
        <v>2102</v>
      </c>
      <c r="B15" s="5">
        <v>81.453963520000002</v>
      </c>
      <c r="C15" s="5">
        <v>62.267088459999997</v>
      </c>
      <c r="D15" s="5">
        <v>82.207744039999994</v>
      </c>
      <c r="E15" s="5">
        <v>70.302207850000002</v>
      </c>
      <c r="F15" s="5">
        <v>85.587294139999997</v>
      </c>
      <c r="G15" s="5">
        <v>84.887672670000001</v>
      </c>
      <c r="H15" s="5">
        <v>70.837715549999999</v>
      </c>
      <c r="I15" s="5">
        <v>53.719754000000002</v>
      </c>
    </row>
    <row r="16" spans="1:9" ht="14.25" customHeight="1" x14ac:dyDescent="0.3">
      <c r="A16" t="s">
        <v>2103</v>
      </c>
      <c r="B16" s="5">
        <v>80.564782260000001</v>
      </c>
      <c r="C16" s="5">
        <v>69.490667639999998</v>
      </c>
      <c r="D16" s="5">
        <v>78.645091960000002</v>
      </c>
      <c r="E16" s="5">
        <v>66.10962705</v>
      </c>
      <c r="F16" s="5">
        <v>99.9</v>
      </c>
      <c r="G16" s="5">
        <v>77.837270880000005</v>
      </c>
      <c r="H16" s="5">
        <v>66.016498479999996</v>
      </c>
      <c r="I16" s="5">
        <v>61.749554009999997</v>
      </c>
    </row>
    <row r="17" spans="1:9" ht="14.25" customHeight="1" x14ac:dyDescent="0.3">
      <c r="A17" t="s">
        <v>2104</v>
      </c>
      <c r="B17" s="5">
        <v>95.246557999999993</v>
      </c>
      <c r="C17" s="5">
        <v>65.319337930000003</v>
      </c>
      <c r="D17" s="5">
        <v>70</v>
      </c>
      <c r="E17" s="5">
        <v>68.874663479999995</v>
      </c>
      <c r="F17" s="5">
        <v>92.0097588</v>
      </c>
      <c r="G17" s="5">
        <v>77.401859490000007</v>
      </c>
      <c r="H17" s="5">
        <v>67.648610180000006</v>
      </c>
      <c r="I17" s="5">
        <v>61.878284430000001</v>
      </c>
    </row>
    <row r="18" spans="1:9" ht="14.25" customHeight="1" x14ac:dyDescent="0.3">
      <c r="A18" t="s">
        <v>2105</v>
      </c>
      <c r="B18" s="5">
        <v>75</v>
      </c>
      <c r="C18" s="5">
        <v>68.987092140000001</v>
      </c>
      <c r="D18" s="5">
        <v>75.584455680000005</v>
      </c>
      <c r="E18" s="5">
        <v>64.66537744</v>
      </c>
      <c r="F18" s="5">
        <v>96.335242530000002</v>
      </c>
      <c r="G18" s="5">
        <v>73.336466610000002</v>
      </c>
      <c r="H18" s="5">
        <v>72.236646449999995</v>
      </c>
      <c r="I18" s="5">
        <v>60.115408289999998</v>
      </c>
    </row>
    <row r="19" spans="1:9" ht="14.25" customHeight="1" x14ac:dyDescent="0.3">
      <c r="A19" t="s">
        <v>2106</v>
      </c>
      <c r="B19" s="5">
        <v>80.250771259999993</v>
      </c>
      <c r="C19" s="5">
        <v>75.746034769999994</v>
      </c>
      <c r="D19" s="5">
        <v>82.716875560000005</v>
      </c>
      <c r="E19" s="5">
        <v>72.128401539999999</v>
      </c>
      <c r="F19" s="5">
        <v>85.200885420000006</v>
      </c>
      <c r="G19" s="5">
        <v>80.113230239999993</v>
      </c>
      <c r="H19" s="5">
        <v>71.28658978</v>
      </c>
      <c r="I19" s="5">
        <v>62.62283652</v>
      </c>
    </row>
    <row r="20" spans="1:9" ht="14.25" customHeight="1" x14ac:dyDescent="0.3">
      <c r="A20" t="s">
        <v>51</v>
      </c>
      <c r="B20" s="5">
        <v>95.091433670000001</v>
      </c>
      <c r="C20" s="5">
        <v>67.156055350000003</v>
      </c>
      <c r="D20" s="5">
        <v>74.449300949999994</v>
      </c>
      <c r="E20" s="5">
        <v>63.150566120000001</v>
      </c>
      <c r="F20" s="5">
        <v>99.9</v>
      </c>
      <c r="G20" s="5">
        <v>73.898048029999998</v>
      </c>
      <c r="H20" s="5">
        <v>70.937344499999995</v>
      </c>
      <c r="I20" s="5">
        <v>54.261797700000002</v>
      </c>
    </row>
    <row r="21" spans="1:9" ht="14.25" customHeight="1" x14ac:dyDescent="0.3">
      <c r="A21" t="s">
        <v>2107</v>
      </c>
      <c r="B21" s="5">
        <v>98.118804010000005</v>
      </c>
      <c r="C21" s="5">
        <v>67.144920499999998</v>
      </c>
      <c r="D21" s="5">
        <v>87.167290390000005</v>
      </c>
      <c r="E21" s="5">
        <v>62.460245520000001</v>
      </c>
      <c r="F21" s="5">
        <v>84.123701780000005</v>
      </c>
      <c r="G21" s="5">
        <v>68.975103439999998</v>
      </c>
      <c r="H21" s="5">
        <v>74.679737070000002</v>
      </c>
      <c r="I21" s="5">
        <v>62.953719939999999</v>
      </c>
    </row>
    <row r="22" spans="1:9" ht="14.25" customHeight="1" x14ac:dyDescent="0.3">
      <c r="A22" t="s">
        <v>2108</v>
      </c>
      <c r="B22" s="5">
        <v>91.229112270000002</v>
      </c>
      <c r="C22" s="5">
        <v>64.401921680000001</v>
      </c>
      <c r="D22" s="5">
        <v>83.111886780000006</v>
      </c>
      <c r="E22" s="5">
        <v>71.098371999999998</v>
      </c>
      <c r="F22" s="5">
        <v>92.681232570000006</v>
      </c>
      <c r="G22" s="5">
        <v>76.904634909999999</v>
      </c>
      <c r="H22" s="5">
        <v>75.124816559999999</v>
      </c>
      <c r="I22" s="5">
        <v>57.803730459999997</v>
      </c>
    </row>
    <row r="23" spans="1:9" ht="14.25" customHeight="1" x14ac:dyDescent="0.3">
      <c r="A23" t="s">
        <v>57</v>
      </c>
      <c r="B23" s="5">
        <v>91.488793630000004</v>
      </c>
      <c r="C23" s="5">
        <v>67.981841110000005</v>
      </c>
      <c r="D23" s="5">
        <v>78.171675429999993</v>
      </c>
      <c r="E23" s="5">
        <v>67.032847250000003</v>
      </c>
      <c r="F23" s="5">
        <v>87.880431470000005</v>
      </c>
      <c r="G23" s="5">
        <v>84.05463555</v>
      </c>
      <c r="H23" s="5">
        <v>74.195987070000001</v>
      </c>
      <c r="I23" s="5">
        <v>57.84925982</v>
      </c>
    </row>
    <row r="24" spans="1:9" ht="14.25" customHeight="1" x14ac:dyDescent="0.3">
      <c r="A24" t="s">
        <v>2109</v>
      </c>
      <c r="B24" s="5">
        <v>84.404177259999997</v>
      </c>
      <c r="C24" s="5">
        <v>62.822724460000003</v>
      </c>
      <c r="D24" s="5">
        <v>73.330048149999996</v>
      </c>
      <c r="E24" s="5">
        <v>64.651730029999996</v>
      </c>
      <c r="F24" s="5">
        <v>99.255977329999993</v>
      </c>
      <c r="G24" s="5">
        <v>69.438640079999999</v>
      </c>
      <c r="H24" s="5">
        <v>71.378401859999997</v>
      </c>
      <c r="I24" s="5">
        <v>50</v>
      </c>
    </row>
    <row r="25" spans="1:9" ht="14.25" customHeight="1" x14ac:dyDescent="0.3">
      <c r="A25" t="s">
        <v>2110</v>
      </c>
      <c r="B25" s="5">
        <v>85.768657259999998</v>
      </c>
      <c r="C25" s="5">
        <v>73.651689039999994</v>
      </c>
      <c r="D25" s="5">
        <v>76.950234440000003</v>
      </c>
      <c r="E25" s="5">
        <v>69.501881119999993</v>
      </c>
      <c r="F25" s="5">
        <v>82.095925100000002</v>
      </c>
      <c r="G25" s="5">
        <v>81.816794290000004</v>
      </c>
      <c r="H25" s="5">
        <v>66.827223250000003</v>
      </c>
      <c r="I25" s="5">
        <v>58.502323740000001</v>
      </c>
    </row>
    <row r="26" spans="1:9" ht="14.25" customHeight="1" x14ac:dyDescent="0.3">
      <c r="A26" t="s">
        <v>63</v>
      </c>
      <c r="B26" s="5">
        <v>85.890560269999995</v>
      </c>
      <c r="C26" s="5">
        <v>60</v>
      </c>
      <c r="D26" s="5">
        <v>80.665877519999995</v>
      </c>
      <c r="E26" s="5">
        <v>73.938607200000007</v>
      </c>
      <c r="F26" s="5">
        <v>91.269685910000007</v>
      </c>
      <c r="G26" s="5">
        <v>84.105181090000002</v>
      </c>
      <c r="H26" s="5">
        <v>78.74034872</v>
      </c>
      <c r="I26" s="5">
        <v>61.033969290000002</v>
      </c>
    </row>
    <row r="27" spans="1:9" ht="14.25" customHeight="1" x14ac:dyDescent="0.3">
      <c r="A27" t="s">
        <v>2111</v>
      </c>
      <c r="B27" s="5">
        <v>78.016351999999998</v>
      </c>
      <c r="C27" s="5">
        <v>63.744302220000002</v>
      </c>
      <c r="D27" s="5">
        <v>70.803684070000003</v>
      </c>
      <c r="E27" s="5">
        <v>59.628201850000004</v>
      </c>
      <c r="F27" s="5">
        <v>81.564761469999993</v>
      </c>
      <c r="G27" s="5">
        <v>84.558017879999994</v>
      </c>
      <c r="H27" s="5">
        <v>75.848272159999993</v>
      </c>
      <c r="I27" s="5">
        <v>55.060473999999999</v>
      </c>
    </row>
    <row r="28" spans="1:9" ht="14.25" customHeight="1" x14ac:dyDescent="0.3">
      <c r="A28" t="s">
        <v>2112</v>
      </c>
      <c r="B28" s="5">
        <v>80.531329229999997</v>
      </c>
      <c r="C28" s="5">
        <v>69.548489349999997</v>
      </c>
      <c r="D28" s="5">
        <v>77.2793736</v>
      </c>
      <c r="E28" s="5">
        <v>66.641511350000002</v>
      </c>
      <c r="F28" s="5">
        <v>80</v>
      </c>
      <c r="G28" s="5">
        <v>79.635200879999999</v>
      </c>
      <c r="H28" s="5">
        <v>73.282151780000007</v>
      </c>
      <c r="I28" s="5">
        <v>53.409700749999999</v>
      </c>
    </row>
    <row r="29" spans="1:9" ht="14.25" customHeight="1" x14ac:dyDescent="0.3">
      <c r="A29" t="s">
        <v>2113</v>
      </c>
      <c r="B29" s="5">
        <v>86.069954929999994</v>
      </c>
      <c r="C29" s="5">
        <v>73.541631539999997</v>
      </c>
      <c r="D29" s="5">
        <v>70.436095390000006</v>
      </c>
      <c r="E29" s="5">
        <v>66.054767850000005</v>
      </c>
      <c r="F29" s="5">
        <v>98.806944029999997</v>
      </c>
      <c r="G29" s="5">
        <v>83.058811599999999</v>
      </c>
      <c r="H29" s="5">
        <v>66.315981010000002</v>
      </c>
      <c r="I29" s="5">
        <v>62.650614400000002</v>
      </c>
    </row>
    <row r="30" spans="1:9" ht="14.25" customHeight="1" x14ac:dyDescent="0.3">
      <c r="A30" t="s">
        <v>2114</v>
      </c>
      <c r="B30" s="5">
        <v>77.830275709999995</v>
      </c>
      <c r="C30" s="5">
        <v>75.687532570000002</v>
      </c>
      <c r="D30" s="5">
        <v>78.576517749999994</v>
      </c>
      <c r="E30" s="5">
        <v>72.397237590000003</v>
      </c>
      <c r="F30" s="5">
        <v>92.180650630000002</v>
      </c>
      <c r="G30" s="5">
        <v>76.075625180000003</v>
      </c>
      <c r="H30" s="5">
        <v>73.901631230000007</v>
      </c>
      <c r="I30" s="5">
        <v>66.156974829999996</v>
      </c>
    </row>
    <row r="31" spans="1:9" ht="14.25" customHeight="1" x14ac:dyDescent="0.3">
      <c r="A31" t="s">
        <v>73</v>
      </c>
      <c r="B31" s="5">
        <v>75</v>
      </c>
      <c r="C31" s="5">
        <v>73.415563950000006</v>
      </c>
      <c r="D31" s="5">
        <v>84.114769120000005</v>
      </c>
      <c r="E31" s="5">
        <v>67.515852350000003</v>
      </c>
      <c r="F31" s="5">
        <v>89.666777030000006</v>
      </c>
      <c r="G31" s="5">
        <v>77.50044905</v>
      </c>
      <c r="H31" s="5">
        <v>70.095182070000007</v>
      </c>
      <c r="I31" s="5">
        <v>53.497259390000004</v>
      </c>
    </row>
    <row r="32" spans="1:9" ht="14.25" customHeight="1" x14ac:dyDescent="0.3">
      <c r="A32" t="s">
        <v>2115</v>
      </c>
      <c r="B32" s="5">
        <v>94.822873599999994</v>
      </c>
      <c r="C32" s="5">
        <v>78.176471000000006</v>
      </c>
      <c r="D32" s="5">
        <v>76.858711189999994</v>
      </c>
      <c r="E32" s="5">
        <v>68.459489750000003</v>
      </c>
      <c r="F32" s="5">
        <v>87.552001369999999</v>
      </c>
      <c r="G32" s="5">
        <v>78.827724040000007</v>
      </c>
      <c r="H32" s="5">
        <v>76.138774150000003</v>
      </c>
      <c r="I32" s="5">
        <v>64.53831701</v>
      </c>
    </row>
    <row r="33" spans="1:9" ht="14.25" customHeight="1" x14ac:dyDescent="0.3">
      <c r="A33" t="s">
        <v>2116</v>
      </c>
      <c r="B33" s="5">
        <v>90.361917039999994</v>
      </c>
      <c r="C33" s="5">
        <v>64.212671110000002</v>
      </c>
      <c r="D33" s="5">
        <v>81.375180200000003</v>
      </c>
      <c r="E33" s="5">
        <v>56.871590179999998</v>
      </c>
      <c r="F33" s="5">
        <v>91.307878689999995</v>
      </c>
      <c r="G33" s="5">
        <v>79.879860140000005</v>
      </c>
      <c r="H33" s="5">
        <v>72.683469130000006</v>
      </c>
      <c r="I33" s="5">
        <v>50</v>
      </c>
    </row>
    <row r="34" spans="1:9" ht="14.25" customHeight="1" x14ac:dyDescent="0.3">
      <c r="A34" t="s">
        <v>79</v>
      </c>
      <c r="B34" s="5">
        <v>86.028271000000004</v>
      </c>
      <c r="C34" s="5">
        <v>62.513459599999997</v>
      </c>
      <c r="D34" s="5">
        <v>73.315255239999999</v>
      </c>
      <c r="E34" s="5">
        <v>67.23914714</v>
      </c>
      <c r="F34" s="5">
        <v>87.620922030000003</v>
      </c>
      <c r="G34" s="5">
        <v>73.734891869999998</v>
      </c>
      <c r="H34" s="5">
        <v>71.977678010000005</v>
      </c>
      <c r="I34" s="5">
        <v>55.807803300000003</v>
      </c>
    </row>
    <row r="35" spans="1:9" ht="14.25" customHeight="1" x14ac:dyDescent="0.3">
      <c r="A35" t="s">
        <v>81</v>
      </c>
      <c r="B35" s="5">
        <v>86.904041800000002</v>
      </c>
      <c r="C35" s="5">
        <v>65.280095900000006</v>
      </c>
      <c r="D35" s="5">
        <v>83.772282230000002</v>
      </c>
      <c r="E35" s="5">
        <v>71.515390679999996</v>
      </c>
      <c r="F35" s="5">
        <v>80.939950670000002</v>
      </c>
      <c r="G35" s="5">
        <v>77.022811939999997</v>
      </c>
      <c r="H35" s="5">
        <v>69.866920809999996</v>
      </c>
      <c r="I35" s="5">
        <v>54.11724925</v>
      </c>
    </row>
    <row r="36" spans="1:9" ht="14.25" customHeight="1" x14ac:dyDescent="0.3">
      <c r="A36" t="s">
        <v>83</v>
      </c>
      <c r="B36" s="5">
        <v>86.081716249999999</v>
      </c>
      <c r="C36" s="5">
        <v>69.868300840000003</v>
      </c>
      <c r="D36" s="5">
        <v>79.433423570000002</v>
      </c>
      <c r="E36" s="5">
        <v>71.062247310000004</v>
      </c>
      <c r="F36" s="5">
        <v>83.676283060000003</v>
      </c>
      <c r="G36" s="5">
        <v>74.725147609999993</v>
      </c>
      <c r="H36" s="5">
        <v>73.418354249999993</v>
      </c>
      <c r="I36" s="5">
        <v>57.569532189999997</v>
      </c>
    </row>
    <row r="37" spans="1:9" ht="14.25" customHeight="1" x14ac:dyDescent="0.3">
      <c r="A37" t="s">
        <v>2117</v>
      </c>
      <c r="B37" s="5">
        <v>78.528705560000006</v>
      </c>
      <c r="C37" s="5">
        <v>68.237020029999996</v>
      </c>
      <c r="D37" s="5">
        <v>82.225165059999995</v>
      </c>
      <c r="E37" s="5">
        <v>67.456678519999997</v>
      </c>
      <c r="F37" s="5">
        <v>96.678157560000002</v>
      </c>
      <c r="G37" s="5">
        <v>74.040904710000007</v>
      </c>
      <c r="H37" s="5">
        <v>71.25295362</v>
      </c>
      <c r="I37" s="5">
        <v>58.83731229</v>
      </c>
    </row>
    <row r="38" spans="1:9" ht="14.25" customHeight="1" x14ac:dyDescent="0.3">
      <c r="A38" t="s">
        <v>88</v>
      </c>
      <c r="B38" s="5">
        <v>87.852590890000002</v>
      </c>
      <c r="C38" s="5">
        <v>71.484289430000004</v>
      </c>
      <c r="D38" s="5">
        <v>79.510799039999995</v>
      </c>
      <c r="E38" s="5">
        <v>63.737842430000001</v>
      </c>
      <c r="F38" s="5">
        <v>87.059123009999993</v>
      </c>
      <c r="G38" s="5">
        <v>67.632326950000007</v>
      </c>
      <c r="H38" s="5">
        <v>71.282053700000006</v>
      </c>
      <c r="I38" s="5">
        <v>70</v>
      </c>
    </row>
    <row r="39" spans="1:9" ht="14.25" customHeight="1" x14ac:dyDescent="0.3">
      <c r="A39" t="s">
        <v>2118</v>
      </c>
      <c r="B39" s="5">
        <v>86.524516890000001</v>
      </c>
      <c r="C39" s="5">
        <v>61.020121099999997</v>
      </c>
      <c r="D39" s="5">
        <v>70</v>
      </c>
      <c r="E39" s="5">
        <v>74.282686389999995</v>
      </c>
      <c r="F39" s="5">
        <v>87.878844150000006</v>
      </c>
      <c r="G39" s="5">
        <v>74.149972570000003</v>
      </c>
      <c r="H39" s="5">
        <v>68.332400449999994</v>
      </c>
      <c r="I39" s="5">
        <v>55.99698137</v>
      </c>
    </row>
    <row r="40" spans="1:9" ht="14.25" customHeight="1" x14ac:dyDescent="0.3">
      <c r="A40" t="s">
        <v>2119</v>
      </c>
      <c r="B40" s="5">
        <v>99.9</v>
      </c>
      <c r="C40" s="5">
        <v>62.542192960000001</v>
      </c>
      <c r="D40" s="5">
        <v>84.37815028</v>
      </c>
      <c r="E40" s="5">
        <v>75</v>
      </c>
      <c r="F40" s="5">
        <v>89.667792840000004</v>
      </c>
      <c r="G40" s="5">
        <v>77.486759070000005</v>
      </c>
      <c r="H40" s="5">
        <v>74.178111119999997</v>
      </c>
      <c r="I40" s="5">
        <v>62.470672100000002</v>
      </c>
    </row>
    <row r="41" spans="1:9" ht="14.25" customHeight="1" x14ac:dyDescent="0.3">
      <c r="A41" t="s">
        <v>94</v>
      </c>
      <c r="B41" s="5">
        <v>87.065629380000004</v>
      </c>
      <c r="C41" s="5">
        <v>74.430480700000004</v>
      </c>
      <c r="D41" s="5">
        <v>73.820604680000002</v>
      </c>
      <c r="E41" s="5">
        <v>64.461986749999994</v>
      </c>
      <c r="F41" s="5">
        <v>99.9</v>
      </c>
      <c r="G41" s="5">
        <v>83.296212130000001</v>
      </c>
      <c r="H41" s="5">
        <v>72.309090260000005</v>
      </c>
      <c r="I41" s="5">
        <v>52.408817020000001</v>
      </c>
    </row>
    <row r="42" spans="1:9" ht="14.25" customHeight="1" x14ac:dyDescent="0.3">
      <c r="A42" t="s">
        <v>2120</v>
      </c>
      <c r="B42" s="5">
        <v>86.819791109999997</v>
      </c>
      <c r="C42" s="5">
        <v>70.773139889999996</v>
      </c>
      <c r="D42" s="5">
        <v>71.401748519999998</v>
      </c>
      <c r="E42" s="5">
        <v>62.753369399999997</v>
      </c>
      <c r="F42" s="5">
        <v>98.326877109999998</v>
      </c>
      <c r="G42" s="5">
        <v>75.026828640000005</v>
      </c>
      <c r="H42" s="5">
        <v>66.864579989999996</v>
      </c>
      <c r="I42" s="5">
        <v>52.060562519999998</v>
      </c>
    </row>
    <row r="43" spans="1:9" ht="14.25" customHeight="1" x14ac:dyDescent="0.3">
      <c r="A43" t="s">
        <v>98</v>
      </c>
      <c r="B43" s="5">
        <v>86.148160649999994</v>
      </c>
      <c r="C43" s="5">
        <v>64.885632529999995</v>
      </c>
      <c r="D43" s="5">
        <v>82.370762369999994</v>
      </c>
      <c r="E43" s="5">
        <v>67.296148610000003</v>
      </c>
      <c r="F43" s="5">
        <v>88.946745089999993</v>
      </c>
      <c r="G43" s="5">
        <v>74.990346349999996</v>
      </c>
      <c r="H43" s="5">
        <v>76.062193339999993</v>
      </c>
      <c r="I43" s="5">
        <v>50</v>
      </c>
    </row>
    <row r="44" spans="1:9" ht="14.25" customHeight="1" x14ac:dyDescent="0.3">
      <c r="A44" t="s">
        <v>2121</v>
      </c>
      <c r="B44" s="5">
        <v>84.039018859999999</v>
      </c>
      <c r="C44" s="5">
        <v>64.410989060000006</v>
      </c>
      <c r="D44" s="5">
        <v>76.055999720000003</v>
      </c>
      <c r="E44" s="5">
        <v>66.309070439999999</v>
      </c>
      <c r="F44" s="5">
        <v>80</v>
      </c>
      <c r="G44" s="5">
        <v>80.458758169999996</v>
      </c>
      <c r="H44" s="5">
        <v>69.538645500000001</v>
      </c>
      <c r="I44" s="5">
        <v>53.650755109999999</v>
      </c>
    </row>
    <row r="45" spans="1:9" ht="14.25" customHeight="1" x14ac:dyDescent="0.3">
      <c r="A45" t="s">
        <v>2122</v>
      </c>
      <c r="B45" s="5">
        <v>93.484336099999993</v>
      </c>
      <c r="C45" s="5">
        <v>71.639472839999996</v>
      </c>
      <c r="D45" s="5">
        <v>70</v>
      </c>
      <c r="E45" s="5">
        <v>74.684443999999999</v>
      </c>
      <c r="F45" s="5">
        <v>87.768307100000001</v>
      </c>
      <c r="G45" s="5">
        <v>73.930160040000004</v>
      </c>
      <c r="H45" s="5">
        <v>72.489525810000004</v>
      </c>
      <c r="I45" s="5">
        <v>58.888346749999997</v>
      </c>
    </row>
    <row r="46" spans="1:9" ht="14.25" customHeight="1" x14ac:dyDescent="0.3">
      <c r="A46" t="s">
        <v>104</v>
      </c>
      <c r="B46" s="5">
        <v>87.436674580000002</v>
      </c>
      <c r="C46" s="5">
        <v>67.814593209999998</v>
      </c>
      <c r="D46" s="5">
        <v>78.551042640000006</v>
      </c>
      <c r="E46" s="5">
        <v>60.167187300000002</v>
      </c>
      <c r="F46" s="5">
        <v>88.196512659999996</v>
      </c>
      <c r="G46" s="5">
        <v>81.935166080000002</v>
      </c>
      <c r="H46" s="5">
        <v>72.541781349999994</v>
      </c>
      <c r="I46" s="5">
        <v>69.989938370000004</v>
      </c>
    </row>
    <row r="47" spans="1:9" ht="14.25" customHeight="1" x14ac:dyDescent="0.3">
      <c r="A47" t="s">
        <v>2123</v>
      </c>
      <c r="B47" s="5">
        <v>80.510269100000002</v>
      </c>
      <c r="C47" s="5">
        <v>67.732183079999999</v>
      </c>
      <c r="D47" s="5">
        <v>78.418237020000007</v>
      </c>
      <c r="E47" s="5">
        <v>59.116166139999997</v>
      </c>
      <c r="F47" s="5">
        <v>92.778458000000001</v>
      </c>
      <c r="G47" s="5">
        <v>76.384545579999994</v>
      </c>
      <c r="H47" s="5">
        <v>70.786566120000003</v>
      </c>
      <c r="I47" s="5">
        <v>56.92335783</v>
      </c>
    </row>
    <row r="48" spans="1:9" ht="14.25" customHeight="1" x14ac:dyDescent="0.3">
      <c r="A48" t="s">
        <v>2124</v>
      </c>
      <c r="B48" s="5">
        <v>81.486248200000006</v>
      </c>
      <c r="C48" s="5">
        <v>61.726329880000002</v>
      </c>
      <c r="D48" s="5">
        <v>72.710268720000002</v>
      </c>
      <c r="E48" s="5">
        <v>69.009967329999995</v>
      </c>
      <c r="F48" s="5">
        <v>96.183340169999994</v>
      </c>
      <c r="G48" s="5">
        <v>83.993429019999994</v>
      </c>
      <c r="H48" s="5">
        <v>65</v>
      </c>
      <c r="I48" s="5">
        <v>56.827854309999999</v>
      </c>
    </row>
    <row r="49" spans="1:9" ht="14.25" customHeight="1" x14ac:dyDescent="0.3">
      <c r="A49" t="s">
        <v>2125</v>
      </c>
      <c r="B49" s="5">
        <v>91.113290820000003</v>
      </c>
      <c r="C49" s="5">
        <v>68.983937909999995</v>
      </c>
      <c r="D49" s="5">
        <v>78.801563950000002</v>
      </c>
      <c r="E49" s="5">
        <v>62.374892619999997</v>
      </c>
      <c r="F49" s="5">
        <v>87.847807270000004</v>
      </c>
      <c r="G49" s="5">
        <v>80.821265049999994</v>
      </c>
      <c r="H49" s="5">
        <v>78.562931930000005</v>
      </c>
      <c r="I49" s="5">
        <v>56.262502789999999</v>
      </c>
    </row>
    <row r="50" spans="1:9" ht="14.25" customHeight="1" x14ac:dyDescent="0.3">
      <c r="A50" t="s">
        <v>112</v>
      </c>
      <c r="B50" s="5">
        <v>82.054217159999993</v>
      </c>
      <c r="C50" s="5">
        <v>67.440007420000001</v>
      </c>
      <c r="D50" s="5">
        <v>81.12432742</v>
      </c>
      <c r="E50" s="5">
        <v>66.108572480000007</v>
      </c>
      <c r="F50" s="5">
        <v>87.422110040000007</v>
      </c>
      <c r="G50" s="5">
        <v>72.453875150000002</v>
      </c>
      <c r="H50" s="5">
        <v>69.965875740000001</v>
      </c>
      <c r="I50" s="5">
        <v>66.242100100000002</v>
      </c>
    </row>
    <row r="51" spans="1:9" ht="14.25" customHeight="1" x14ac:dyDescent="0.3">
      <c r="A51" t="s">
        <v>2126</v>
      </c>
      <c r="B51" s="5">
        <v>83.904247420000004</v>
      </c>
      <c r="C51" s="5">
        <v>70.290253849999999</v>
      </c>
      <c r="D51" s="5">
        <v>79.483993839999997</v>
      </c>
      <c r="E51" s="5">
        <v>61.226161390000001</v>
      </c>
      <c r="F51" s="5">
        <v>88.559779610000007</v>
      </c>
      <c r="G51" s="5">
        <v>73.872914539999996</v>
      </c>
      <c r="H51" s="5">
        <v>66.926739100000006</v>
      </c>
      <c r="I51" s="5">
        <v>62.41410621</v>
      </c>
    </row>
    <row r="52" spans="1:9" ht="14.25" customHeight="1" x14ac:dyDescent="0.3">
      <c r="A52" t="s">
        <v>116</v>
      </c>
      <c r="B52" s="5">
        <v>75.528219660000005</v>
      </c>
      <c r="C52" s="5">
        <v>65.433492999999999</v>
      </c>
      <c r="D52" s="5">
        <v>80.448598169999997</v>
      </c>
      <c r="E52" s="5">
        <v>67.222315649999999</v>
      </c>
      <c r="F52" s="5">
        <v>97.825954370000005</v>
      </c>
      <c r="G52" s="5">
        <v>78.924018239999995</v>
      </c>
      <c r="H52" s="5">
        <v>74.554995149999996</v>
      </c>
      <c r="I52" s="5">
        <v>63.098733279999998</v>
      </c>
    </row>
    <row r="53" spans="1:9" ht="14.25" customHeight="1" x14ac:dyDescent="0.3">
      <c r="A53" t="s">
        <v>2127</v>
      </c>
      <c r="B53" s="5">
        <v>82.152879690000006</v>
      </c>
      <c r="C53" s="5">
        <v>66.241278660000006</v>
      </c>
      <c r="D53" s="5">
        <v>70</v>
      </c>
      <c r="E53" s="5">
        <v>73.364003569999994</v>
      </c>
      <c r="F53" s="5">
        <v>91.468118419999996</v>
      </c>
      <c r="G53" s="5">
        <v>76.60530799</v>
      </c>
      <c r="H53" s="5">
        <v>72.715040939999994</v>
      </c>
      <c r="I53" s="5">
        <v>62.583030970000003</v>
      </c>
    </row>
    <row r="54" spans="1:9" ht="14.25" customHeight="1" x14ac:dyDescent="0.3">
      <c r="A54" t="s">
        <v>2128</v>
      </c>
      <c r="B54" s="5">
        <v>85.498718940000003</v>
      </c>
      <c r="C54" s="5">
        <v>60</v>
      </c>
      <c r="D54" s="5">
        <v>70</v>
      </c>
      <c r="E54" s="5">
        <v>60.334076039999999</v>
      </c>
      <c r="F54" s="5">
        <v>87.590461910000002</v>
      </c>
      <c r="G54" s="5">
        <v>85</v>
      </c>
      <c r="H54" s="5">
        <v>70.686306110000004</v>
      </c>
      <c r="I54" s="5">
        <v>54.414958310000003</v>
      </c>
    </row>
    <row r="55" spans="1:9" ht="14.25" customHeight="1" x14ac:dyDescent="0.3">
      <c r="A55" t="s">
        <v>2129</v>
      </c>
      <c r="B55" s="5">
        <v>77.998938100000004</v>
      </c>
      <c r="C55" s="5">
        <v>72.784214719999994</v>
      </c>
      <c r="D55" s="5">
        <v>70</v>
      </c>
      <c r="E55" s="5">
        <v>68.66334698</v>
      </c>
      <c r="F55" s="5">
        <v>90.970167480000001</v>
      </c>
      <c r="G55" s="5">
        <v>76.932413359999998</v>
      </c>
      <c r="H55" s="5">
        <v>69.228959399999994</v>
      </c>
      <c r="I55" s="5">
        <v>57.362748250000003</v>
      </c>
    </row>
    <row r="56" spans="1:9" ht="14.25" customHeight="1" x14ac:dyDescent="0.3">
      <c r="A56" t="s">
        <v>2130</v>
      </c>
      <c r="B56" s="5">
        <v>84.963885149999996</v>
      </c>
      <c r="C56" s="5">
        <v>65.080778640000005</v>
      </c>
      <c r="D56" s="5">
        <v>82.128057609999999</v>
      </c>
      <c r="E56" s="5">
        <v>74.491400339999998</v>
      </c>
      <c r="F56" s="5">
        <v>83.801138230000007</v>
      </c>
      <c r="G56" s="5">
        <v>77.477000959999998</v>
      </c>
      <c r="H56" s="5">
        <v>69.607568200000003</v>
      </c>
      <c r="I56" s="5">
        <v>58.296394300000003</v>
      </c>
    </row>
    <row r="57" spans="1:9" ht="14.25" customHeight="1" x14ac:dyDescent="0.3">
      <c r="A57" t="s">
        <v>126</v>
      </c>
      <c r="B57" s="5">
        <v>88.756395359999999</v>
      </c>
      <c r="C57" s="5">
        <v>68.753352500000005</v>
      </c>
      <c r="D57" s="5">
        <v>71.29835362</v>
      </c>
      <c r="E57" s="5">
        <v>59.557335109999997</v>
      </c>
      <c r="F57" s="5">
        <v>87.734711610000005</v>
      </c>
      <c r="G57" s="5">
        <v>75.773467839999995</v>
      </c>
      <c r="H57" s="5">
        <v>71.013021910000006</v>
      </c>
      <c r="I57" s="5">
        <v>50.724176970000002</v>
      </c>
    </row>
    <row r="58" spans="1:9" ht="14.25" customHeight="1" x14ac:dyDescent="0.3">
      <c r="A58" t="s">
        <v>2131</v>
      </c>
      <c r="B58" s="5">
        <v>84.420705620000007</v>
      </c>
      <c r="C58" s="5">
        <v>64.832089310000001</v>
      </c>
      <c r="D58" s="5">
        <v>74.765103730000007</v>
      </c>
      <c r="E58" s="5">
        <v>62.860506489999999</v>
      </c>
      <c r="F58" s="5">
        <v>91.428688399999999</v>
      </c>
      <c r="G58" s="5">
        <v>81.518074010000007</v>
      </c>
      <c r="H58" s="5">
        <v>65</v>
      </c>
      <c r="I58" s="5">
        <v>56.847077749999997</v>
      </c>
    </row>
    <row r="59" spans="1:9" ht="14.25" customHeight="1" x14ac:dyDescent="0.3">
      <c r="A59" t="s">
        <v>2132</v>
      </c>
      <c r="B59" s="5">
        <v>88.180918430000006</v>
      </c>
      <c r="C59" s="5">
        <v>70.899862690000006</v>
      </c>
      <c r="D59" s="5">
        <v>76.905058870000005</v>
      </c>
      <c r="E59" s="5">
        <v>67.81233297</v>
      </c>
      <c r="F59" s="5">
        <v>94.459757100000004</v>
      </c>
      <c r="G59" s="5">
        <v>79.208640040000006</v>
      </c>
      <c r="H59" s="5">
        <v>71.156047700000002</v>
      </c>
      <c r="I59" s="5">
        <v>53.613749400000003</v>
      </c>
    </row>
    <row r="60" spans="1:9" ht="14.25" customHeight="1" x14ac:dyDescent="0.3">
      <c r="A60" t="s">
        <v>2133</v>
      </c>
      <c r="B60" s="5">
        <v>93.914913560000002</v>
      </c>
      <c r="C60" s="5">
        <v>74.920639140000006</v>
      </c>
      <c r="D60" s="5">
        <v>85.018022430000002</v>
      </c>
      <c r="E60" s="5">
        <v>58.364017169999997</v>
      </c>
      <c r="F60" s="5">
        <v>90.459137569999996</v>
      </c>
      <c r="G60" s="5">
        <v>74.571905810000004</v>
      </c>
      <c r="H60" s="5">
        <v>70.773818660000003</v>
      </c>
      <c r="I60" s="5">
        <v>60.229879740000001</v>
      </c>
    </row>
    <row r="61" spans="1:9" ht="14.25" customHeight="1" x14ac:dyDescent="0.3">
      <c r="A61" t="s">
        <v>2134</v>
      </c>
      <c r="B61" s="5">
        <v>92.891452020000003</v>
      </c>
      <c r="C61" s="5">
        <v>65.308723060000005</v>
      </c>
      <c r="D61" s="5">
        <v>80.390400369999995</v>
      </c>
      <c r="E61" s="5">
        <v>56.306195600000002</v>
      </c>
      <c r="F61" s="5">
        <v>91.784682750000002</v>
      </c>
      <c r="G61" s="5">
        <v>79.468379409999997</v>
      </c>
      <c r="H61" s="5">
        <v>78.111419900000001</v>
      </c>
      <c r="I61" s="5">
        <v>50</v>
      </c>
    </row>
    <row r="62" spans="1:9" ht="14.25" customHeight="1" x14ac:dyDescent="0.3">
      <c r="A62" t="s">
        <v>2135</v>
      </c>
      <c r="B62" s="5">
        <v>94.97159954</v>
      </c>
      <c r="C62" s="5">
        <v>62.645941350000001</v>
      </c>
      <c r="D62" s="5">
        <v>70.831173370000002</v>
      </c>
      <c r="E62" s="5">
        <v>60.341314969999999</v>
      </c>
      <c r="F62" s="5">
        <v>91.749324729999998</v>
      </c>
      <c r="G62" s="5">
        <v>67.882877879999995</v>
      </c>
      <c r="H62" s="5">
        <v>74.355155980000006</v>
      </c>
      <c r="I62" s="5">
        <v>64.023091359999995</v>
      </c>
    </row>
    <row r="63" spans="1:9" ht="14.25" customHeight="1" x14ac:dyDescent="0.3">
      <c r="A63" t="s">
        <v>2136</v>
      </c>
      <c r="B63" s="5">
        <v>78.997678219999997</v>
      </c>
      <c r="C63" s="5">
        <v>60.891462490000002</v>
      </c>
      <c r="D63" s="5">
        <v>82.253444689999995</v>
      </c>
      <c r="E63" s="5">
        <v>69.533885499999997</v>
      </c>
      <c r="F63" s="5">
        <v>90.632492450000001</v>
      </c>
      <c r="G63" s="5">
        <v>70.421590780000002</v>
      </c>
      <c r="H63" s="5">
        <v>72.977603599999995</v>
      </c>
      <c r="I63" s="5">
        <v>50.789428839999999</v>
      </c>
    </row>
    <row r="64" spans="1:9" ht="14.25" customHeight="1" x14ac:dyDescent="0.3">
      <c r="A64" t="s">
        <v>2137</v>
      </c>
      <c r="B64" s="5">
        <v>81.935078300000001</v>
      </c>
      <c r="C64" s="5">
        <v>66.754267519999999</v>
      </c>
      <c r="D64" s="5">
        <v>70</v>
      </c>
      <c r="E64" s="5">
        <v>69.876094499999994</v>
      </c>
      <c r="F64" s="5">
        <v>89.886267970000006</v>
      </c>
      <c r="G64" s="5">
        <v>79.540892249999999</v>
      </c>
      <c r="H64" s="5">
        <v>69.29349302</v>
      </c>
      <c r="I64" s="5">
        <v>55.019534700000001</v>
      </c>
    </row>
    <row r="65" spans="1:9" ht="14.25" customHeight="1" x14ac:dyDescent="0.3">
      <c r="A65" t="s">
        <v>142</v>
      </c>
      <c r="B65" s="5">
        <v>80.363971199999995</v>
      </c>
      <c r="C65" s="5">
        <v>69.83375126</v>
      </c>
      <c r="D65" s="5">
        <v>80.733785690000005</v>
      </c>
      <c r="E65" s="5">
        <v>63.035432159999999</v>
      </c>
      <c r="F65" s="5">
        <v>96.819542949999999</v>
      </c>
      <c r="G65" s="5">
        <v>66.161941459999994</v>
      </c>
      <c r="H65" s="5">
        <v>69.371790669999996</v>
      </c>
      <c r="I65" s="5">
        <v>62.049484649999997</v>
      </c>
    </row>
    <row r="66" spans="1:9" ht="14.25" customHeight="1" x14ac:dyDescent="0.3">
      <c r="A66" t="s">
        <v>144</v>
      </c>
      <c r="B66" s="5">
        <v>80.995594100000005</v>
      </c>
      <c r="C66" s="5">
        <v>74.412028969999994</v>
      </c>
      <c r="D66" s="5">
        <v>76.065119069999994</v>
      </c>
      <c r="E66" s="5">
        <v>66.523816569999994</v>
      </c>
      <c r="F66" s="5">
        <v>83.919777830000001</v>
      </c>
      <c r="G66" s="5">
        <v>77.535356989999997</v>
      </c>
      <c r="H66" s="5">
        <v>76.047177590000004</v>
      </c>
      <c r="I66" s="5">
        <v>64.584935779999995</v>
      </c>
    </row>
    <row r="67" spans="1:9" ht="14.25" customHeight="1" x14ac:dyDescent="0.3">
      <c r="A67" t="s">
        <v>146</v>
      </c>
      <c r="B67" s="5">
        <v>75</v>
      </c>
      <c r="C67" s="5">
        <v>69.078029749999999</v>
      </c>
      <c r="D67" s="5">
        <v>87.73329536</v>
      </c>
      <c r="E67" s="5">
        <v>63.479515990000003</v>
      </c>
      <c r="F67" s="5">
        <v>89.758142379999995</v>
      </c>
      <c r="G67" s="5">
        <v>85</v>
      </c>
      <c r="H67" s="5">
        <v>79.861566319999994</v>
      </c>
      <c r="I67" s="5">
        <v>61.683911520000002</v>
      </c>
    </row>
    <row r="68" spans="1:9" ht="14.25" customHeight="1" x14ac:dyDescent="0.3">
      <c r="A68" t="s">
        <v>2138</v>
      </c>
      <c r="B68" s="5">
        <v>77.010678920000004</v>
      </c>
      <c r="C68" s="5">
        <v>72.195932810000002</v>
      </c>
      <c r="D68" s="5">
        <v>76.654049540000003</v>
      </c>
      <c r="E68" s="5">
        <v>75</v>
      </c>
      <c r="F68" s="5">
        <v>90.301474749999997</v>
      </c>
      <c r="G68" s="5">
        <v>78.791074989999998</v>
      </c>
      <c r="H68" s="5">
        <v>70.072312460000006</v>
      </c>
      <c r="I68" s="5">
        <v>67.300395019999996</v>
      </c>
    </row>
    <row r="69" spans="1:9" ht="14.25" customHeight="1" x14ac:dyDescent="0.3">
      <c r="A69" t="s">
        <v>2139</v>
      </c>
      <c r="B69" s="5">
        <v>88.602067779999999</v>
      </c>
      <c r="C69" s="5">
        <v>60.388466510000001</v>
      </c>
      <c r="D69" s="5">
        <v>79.565696119999998</v>
      </c>
      <c r="E69" s="5">
        <v>55</v>
      </c>
      <c r="F69" s="5">
        <v>92.8851674</v>
      </c>
      <c r="G69" s="5">
        <v>79.137572379999995</v>
      </c>
      <c r="H69" s="5">
        <v>70.625473670000005</v>
      </c>
      <c r="I69" s="5">
        <v>61.52468829</v>
      </c>
    </row>
    <row r="70" spans="1:9" ht="14.25" customHeight="1" x14ac:dyDescent="0.3">
      <c r="A70" t="s">
        <v>2140</v>
      </c>
      <c r="B70" s="5">
        <v>88.327443130000006</v>
      </c>
      <c r="C70" s="5">
        <v>74.055900370000003</v>
      </c>
      <c r="D70" s="5">
        <v>76.723352410000004</v>
      </c>
      <c r="E70" s="5">
        <v>66.645394400000001</v>
      </c>
      <c r="F70" s="5">
        <v>89.393448149999998</v>
      </c>
      <c r="G70" s="5">
        <v>82.031214680000005</v>
      </c>
      <c r="H70" s="5">
        <v>67.390280579999995</v>
      </c>
      <c r="I70" s="5">
        <v>50</v>
      </c>
    </row>
    <row r="71" spans="1:9" ht="14.25" customHeight="1" x14ac:dyDescent="0.3">
      <c r="A71" t="s">
        <v>2141</v>
      </c>
      <c r="B71" s="5">
        <v>78.708773429999994</v>
      </c>
      <c r="C71" s="5">
        <v>68.573515169999993</v>
      </c>
      <c r="D71" s="5">
        <v>74.220830590000006</v>
      </c>
      <c r="E71" s="5">
        <v>63.618805270000003</v>
      </c>
      <c r="F71" s="5">
        <v>95.231104909999999</v>
      </c>
      <c r="G71" s="5">
        <v>77.13362592</v>
      </c>
      <c r="H71" s="5">
        <v>67.761979679999996</v>
      </c>
      <c r="I71" s="5">
        <v>55.291787300000003</v>
      </c>
    </row>
    <row r="72" spans="1:9" ht="14.25" customHeight="1" x14ac:dyDescent="0.3">
      <c r="A72" t="s">
        <v>156</v>
      </c>
      <c r="B72" s="5">
        <v>78.769742600000001</v>
      </c>
      <c r="C72" s="5">
        <v>60</v>
      </c>
      <c r="D72" s="5">
        <v>70.537634409999995</v>
      </c>
      <c r="E72" s="5">
        <v>68.846735480000007</v>
      </c>
      <c r="F72" s="5">
        <v>99.9</v>
      </c>
      <c r="G72" s="5">
        <v>84.894565450000002</v>
      </c>
      <c r="H72" s="5">
        <v>68.692248300000003</v>
      </c>
      <c r="I72" s="5">
        <v>62.792671720000001</v>
      </c>
    </row>
    <row r="73" spans="1:9" ht="14.25" customHeight="1" x14ac:dyDescent="0.3">
      <c r="A73" t="s">
        <v>2142</v>
      </c>
      <c r="B73" s="5">
        <v>91.69913536</v>
      </c>
      <c r="C73" s="5">
        <v>69.161639440000002</v>
      </c>
      <c r="D73" s="5">
        <v>71.438795150000004</v>
      </c>
      <c r="E73" s="5">
        <v>75</v>
      </c>
      <c r="F73" s="5">
        <v>86.894176270000003</v>
      </c>
      <c r="G73" s="5">
        <v>71.875031100000001</v>
      </c>
      <c r="H73" s="5">
        <v>68.783270759999994</v>
      </c>
      <c r="I73" s="5">
        <v>58.573415570000002</v>
      </c>
    </row>
    <row r="74" spans="1:9" ht="14.25" customHeight="1" x14ac:dyDescent="0.3">
      <c r="A74" t="s">
        <v>2143</v>
      </c>
      <c r="B74" s="5">
        <v>83.147748050000004</v>
      </c>
      <c r="C74" s="5">
        <v>60.275464309999997</v>
      </c>
      <c r="D74" s="5">
        <v>77.158492390000006</v>
      </c>
      <c r="E74" s="5">
        <v>61.349363320000002</v>
      </c>
      <c r="F74" s="5">
        <v>80</v>
      </c>
      <c r="G74" s="5">
        <v>70.354850639999995</v>
      </c>
      <c r="H74" s="5">
        <v>66.087244729999995</v>
      </c>
      <c r="I74" s="5">
        <v>55.034495679999999</v>
      </c>
    </row>
    <row r="75" spans="1:9" ht="14.25" customHeight="1" x14ac:dyDescent="0.3">
      <c r="A75" t="s">
        <v>162</v>
      </c>
      <c r="B75" s="5">
        <v>85.264815769999998</v>
      </c>
      <c r="C75" s="5">
        <v>61.952929040000001</v>
      </c>
      <c r="D75" s="5">
        <v>76.48745169</v>
      </c>
      <c r="E75" s="5">
        <v>75</v>
      </c>
      <c r="F75" s="5">
        <v>94.750628509999999</v>
      </c>
      <c r="G75" s="5">
        <v>73.117462470000007</v>
      </c>
      <c r="H75" s="5">
        <v>68.443154530000001</v>
      </c>
      <c r="I75" s="5">
        <v>59.037464219999997</v>
      </c>
    </row>
    <row r="76" spans="1:9" ht="14.25" customHeight="1" x14ac:dyDescent="0.3">
      <c r="A76" t="s">
        <v>164</v>
      </c>
      <c r="B76" s="5">
        <v>85.409182189999996</v>
      </c>
      <c r="C76" s="5">
        <v>60</v>
      </c>
      <c r="D76" s="5">
        <v>76.301867529999996</v>
      </c>
      <c r="E76" s="5">
        <v>75</v>
      </c>
      <c r="F76" s="5">
        <v>87.022648200000006</v>
      </c>
      <c r="G76" s="5">
        <v>82.488243030000007</v>
      </c>
      <c r="H76" s="5">
        <v>65</v>
      </c>
      <c r="I76" s="5">
        <v>52.672248330000002</v>
      </c>
    </row>
    <row r="77" spans="1:9" ht="14.25" customHeight="1" x14ac:dyDescent="0.3">
      <c r="A77" t="s">
        <v>2144</v>
      </c>
      <c r="B77" s="5">
        <v>78.043869790000002</v>
      </c>
      <c r="C77" s="5">
        <v>67.481604050000001</v>
      </c>
      <c r="D77" s="5">
        <v>70</v>
      </c>
      <c r="E77" s="5">
        <v>75</v>
      </c>
      <c r="F77" s="5">
        <v>84.059531640000003</v>
      </c>
      <c r="G77" s="5">
        <v>80.380540150000002</v>
      </c>
      <c r="H77" s="5">
        <v>66.462426429999994</v>
      </c>
      <c r="I77" s="5">
        <v>53.93636678</v>
      </c>
    </row>
    <row r="78" spans="1:9" ht="14.25" customHeight="1" x14ac:dyDescent="0.3">
      <c r="A78" t="s">
        <v>168</v>
      </c>
      <c r="B78" s="5">
        <v>75</v>
      </c>
      <c r="C78" s="5">
        <v>70.153291519999996</v>
      </c>
      <c r="D78" s="5">
        <v>77.102862880000004</v>
      </c>
      <c r="E78" s="5">
        <v>57.609852429999997</v>
      </c>
      <c r="F78" s="5">
        <v>87.15389442</v>
      </c>
      <c r="G78" s="5">
        <v>77.81273582</v>
      </c>
      <c r="H78" s="5">
        <v>70.982307719999994</v>
      </c>
      <c r="I78" s="5">
        <v>57.649865699999999</v>
      </c>
    </row>
    <row r="79" spans="1:9" ht="14.25" customHeight="1" x14ac:dyDescent="0.3">
      <c r="A79" t="s">
        <v>170</v>
      </c>
      <c r="B79" s="5">
        <v>80.122592190000006</v>
      </c>
      <c r="C79" s="5">
        <v>68.794073470000001</v>
      </c>
      <c r="D79" s="5">
        <v>76.942867809999996</v>
      </c>
      <c r="E79" s="5">
        <v>66.287795079999995</v>
      </c>
      <c r="F79" s="5">
        <v>90.453057270000002</v>
      </c>
      <c r="G79" s="5">
        <v>76.551725739999995</v>
      </c>
      <c r="H79" s="5">
        <v>65</v>
      </c>
      <c r="I79" s="5">
        <v>50</v>
      </c>
    </row>
    <row r="80" spans="1:9" ht="14.25" customHeight="1" x14ac:dyDescent="0.3">
      <c r="A80" t="s">
        <v>172</v>
      </c>
      <c r="B80" s="5">
        <v>90.204115959999996</v>
      </c>
      <c r="C80" s="5">
        <v>64.261713830000005</v>
      </c>
      <c r="D80" s="5">
        <v>78.165766509999997</v>
      </c>
      <c r="E80" s="5">
        <v>65.042364919999997</v>
      </c>
      <c r="F80" s="5">
        <v>80</v>
      </c>
      <c r="G80" s="5">
        <v>74.471553950000001</v>
      </c>
      <c r="H80" s="5">
        <v>65</v>
      </c>
      <c r="I80" s="5">
        <v>58.760234009999998</v>
      </c>
    </row>
    <row r="81" spans="1:9" ht="14.25" customHeight="1" x14ac:dyDescent="0.3">
      <c r="A81" t="s">
        <v>2145</v>
      </c>
      <c r="B81" s="5">
        <v>76.284101629999995</v>
      </c>
      <c r="C81" s="5">
        <v>69.330561070000002</v>
      </c>
      <c r="D81" s="5">
        <v>82.775417230000002</v>
      </c>
      <c r="E81" s="5">
        <v>60.543894459999997</v>
      </c>
      <c r="F81" s="5">
        <v>94.389537099999998</v>
      </c>
      <c r="G81" s="5">
        <v>79.157114649999997</v>
      </c>
      <c r="H81" s="5">
        <v>69.692409429999998</v>
      </c>
      <c r="I81" s="5">
        <v>56.333680700000002</v>
      </c>
    </row>
    <row r="82" spans="1:9" ht="14.25" customHeight="1" x14ac:dyDescent="0.3">
      <c r="A82" t="s">
        <v>176</v>
      </c>
      <c r="B82" s="5">
        <v>75</v>
      </c>
      <c r="C82" s="5">
        <v>67.998358179999997</v>
      </c>
      <c r="D82" s="5">
        <v>82.458932630000007</v>
      </c>
      <c r="E82" s="5">
        <v>58.102996470000001</v>
      </c>
      <c r="F82" s="5">
        <v>85.489588179999998</v>
      </c>
      <c r="G82" s="5">
        <v>79.931124690000004</v>
      </c>
      <c r="H82" s="5">
        <v>73.493302479999997</v>
      </c>
      <c r="I82" s="5">
        <v>60.079438189999998</v>
      </c>
    </row>
    <row r="83" spans="1:9" ht="14.25" customHeight="1" x14ac:dyDescent="0.3">
      <c r="A83" t="s">
        <v>178</v>
      </c>
      <c r="B83" s="5">
        <v>75</v>
      </c>
      <c r="C83" s="5">
        <v>69.698421550000006</v>
      </c>
      <c r="D83" s="5">
        <v>72.11824421</v>
      </c>
      <c r="E83" s="5">
        <v>73.763444120000003</v>
      </c>
      <c r="F83" s="5">
        <v>85.931419399999996</v>
      </c>
      <c r="G83" s="5">
        <v>77.295504219999998</v>
      </c>
      <c r="H83" s="5">
        <v>70.06065692</v>
      </c>
      <c r="I83" s="5">
        <v>50</v>
      </c>
    </row>
    <row r="84" spans="1:9" ht="14.25" customHeight="1" x14ac:dyDescent="0.3">
      <c r="A84" t="s">
        <v>180</v>
      </c>
      <c r="B84" s="5">
        <v>80.433093589999999</v>
      </c>
      <c r="C84" s="5">
        <v>63.38311633</v>
      </c>
      <c r="D84" s="5">
        <v>72.520845789999996</v>
      </c>
      <c r="E84" s="5">
        <v>65.653037920000003</v>
      </c>
      <c r="F84" s="5">
        <v>90.268743069999999</v>
      </c>
      <c r="G84" s="5">
        <v>72.570810649999999</v>
      </c>
      <c r="H84" s="5">
        <v>67.801749459999996</v>
      </c>
      <c r="I84" s="5">
        <v>61.470168409999999</v>
      </c>
    </row>
    <row r="85" spans="1:9" ht="14.25" customHeight="1" x14ac:dyDescent="0.3">
      <c r="A85" t="s">
        <v>2146</v>
      </c>
      <c r="B85" s="5">
        <v>97.013962629999995</v>
      </c>
      <c r="C85" s="5">
        <v>74.171056789999994</v>
      </c>
      <c r="D85" s="5">
        <v>81.231958980000002</v>
      </c>
      <c r="E85" s="5">
        <v>58.040417900000001</v>
      </c>
      <c r="F85" s="5">
        <v>83.29725612</v>
      </c>
      <c r="G85" s="5">
        <v>79.864202140000003</v>
      </c>
      <c r="H85" s="5">
        <v>71.595814660000002</v>
      </c>
      <c r="I85" s="5">
        <v>63.263308379999998</v>
      </c>
    </row>
    <row r="86" spans="1:9" ht="14.25" customHeight="1" x14ac:dyDescent="0.3">
      <c r="A86" t="s">
        <v>2147</v>
      </c>
      <c r="B86" s="5">
        <v>99.9</v>
      </c>
      <c r="C86" s="5">
        <v>69.952336040000006</v>
      </c>
      <c r="D86" s="5">
        <v>81.80300269</v>
      </c>
      <c r="E86" s="5">
        <v>75</v>
      </c>
      <c r="F86" s="5">
        <v>99.9</v>
      </c>
      <c r="G86" s="5">
        <v>74.144986939999995</v>
      </c>
      <c r="H86" s="5">
        <v>66.085497059999994</v>
      </c>
      <c r="I86" s="5">
        <v>52.548786720000003</v>
      </c>
    </row>
    <row r="87" spans="1:9" ht="14.25" customHeight="1" x14ac:dyDescent="0.3">
      <c r="A87" t="s">
        <v>2148</v>
      </c>
      <c r="B87" s="5">
        <v>83.511167380000003</v>
      </c>
      <c r="C87" s="5">
        <v>67.052209079999997</v>
      </c>
      <c r="D87" s="5">
        <v>75.218729830000001</v>
      </c>
      <c r="E87" s="5">
        <v>70.321547949999996</v>
      </c>
      <c r="F87" s="5">
        <v>87.965677869999993</v>
      </c>
      <c r="G87" s="5">
        <v>70.107767050000007</v>
      </c>
      <c r="H87" s="5">
        <v>73.058640150000002</v>
      </c>
      <c r="I87" s="5">
        <v>66.232228599999999</v>
      </c>
    </row>
    <row r="88" spans="1:9" ht="14.25" customHeight="1" x14ac:dyDescent="0.3">
      <c r="A88" t="s">
        <v>2149</v>
      </c>
      <c r="B88" s="5">
        <v>99.9</v>
      </c>
      <c r="C88" s="5">
        <v>73.935320919999995</v>
      </c>
      <c r="D88" s="5">
        <v>71.088720510000002</v>
      </c>
      <c r="E88" s="5">
        <v>65.646588980000004</v>
      </c>
      <c r="F88" s="5">
        <v>91.808935590000004</v>
      </c>
      <c r="G88" s="5">
        <v>76.459147639999998</v>
      </c>
      <c r="H88" s="5">
        <v>67.941009269999995</v>
      </c>
      <c r="I88" s="5">
        <v>64.566891060000003</v>
      </c>
    </row>
    <row r="89" spans="1:9" ht="14.25" customHeight="1" x14ac:dyDescent="0.3">
      <c r="A89" t="s">
        <v>2150</v>
      </c>
      <c r="B89" s="5">
        <v>81.551186639999997</v>
      </c>
      <c r="C89" s="5">
        <v>67.937079760000003</v>
      </c>
      <c r="D89" s="5">
        <v>70</v>
      </c>
      <c r="E89" s="5">
        <v>68.923177589999995</v>
      </c>
      <c r="F89" s="5">
        <v>80</v>
      </c>
      <c r="G89" s="5">
        <v>69.219796130000006</v>
      </c>
      <c r="H89" s="5">
        <v>78.137538890000002</v>
      </c>
      <c r="I89" s="5">
        <v>55.203547069999999</v>
      </c>
    </row>
    <row r="90" spans="1:9" ht="14.25" customHeight="1" x14ac:dyDescent="0.3">
      <c r="A90" t="s">
        <v>192</v>
      </c>
      <c r="B90" s="5">
        <v>87.665213559999998</v>
      </c>
      <c r="C90" s="5">
        <v>61.763752709999999</v>
      </c>
      <c r="D90" s="5">
        <v>70.620979399999996</v>
      </c>
      <c r="E90" s="5">
        <v>63.547469120000002</v>
      </c>
      <c r="F90" s="5">
        <v>93.686743879999995</v>
      </c>
      <c r="G90" s="5">
        <v>85</v>
      </c>
      <c r="H90" s="5">
        <v>78.073006109999994</v>
      </c>
      <c r="I90" s="5">
        <v>51.535776949999999</v>
      </c>
    </row>
    <row r="91" spans="1:9" ht="14.25" customHeight="1" x14ac:dyDescent="0.3">
      <c r="A91" t="s">
        <v>194</v>
      </c>
      <c r="B91" s="5">
        <v>79.530072200000006</v>
      </c>
      <c r="C91" s="5">
        <v>65.577188199999995</v>
      </c>
      <c r="D91" s="5">
        <v>90</v>
      </c>
      <c r="E91" s="5">
        <v>61.721940930000002</v>
      </c>
      <c r="F91" s="5">
        <v>93.827790460000003</v>
      </c>
      <c r="G91" s="5">
        <v>76.732324629999994</v>
      </c>
      <c r="H91" s="5">
        <v>69.280088269999993</v>
      </c>
      <c r="I91" s="5">
        <v>64.31074993</v>
      </c>
    </row>
    <row r="92" spans="1:9" ht="14.25" customHeight="1" x14ac:dyDescent="0.3">
      <c r="A92" t="s">
        <v>196</v>
      </c>
      <c r="B92" s="5">
        <v>84.741194419999999</v>
      </c>
      <c r="C92" s="5">
        <v>66.628453359999995</v>
      </c>
      <c r="D92" s="5">
        <v>76.19578765</v>
      </c>
      <c r="E92" s="5">
        <v>63.489579089999999</v>
      </c>
      <c r="F92" s="5">
        <v>89.207243239999997</v>
      </c>
      <c r="G92" s="5">
        <v>75.603720429999996</v>
      </c>
      <c r="H92" s="5">
        <v>66.554182499999996</v>
      </c>
      <c r="I92" s="5">
        <v>63.381572949999999</v>
      </c>
    </row>
    <row r="93" spans="1:9" ht="14.25" customHeight="1" x14ac:dyDescent="0.3">
      <c r="A93" t="s">
        <v>2151</v>
      </c>
      <c r="B93" s="5">
        <v>87.702766199999999</v>
      </c>
      <c r="C93" s="5">
        <v>80</v>
      </c>
      <c r="D93" s="5">
        <v>79.521272310000001</v>
      </c>
      <c r="E93" s="5">
        <v>61.56147696</v>
      </c>
      <c r="F93" s="5">
        <v>90.141073390000003</v>
      </c>
      <c r="G93" s="5">
        <v>84.904944229999998</v>
      </c>
      <c r="H93" s="5">
        <v>73.819191900000007</v>
      </c>
      <c r="I93" s="5">
        <v>61.549062040000003</v>
      </c>
    </row>
    <row r="94" spans="1:9" ht="14.25" customHeight="1" x14ac:dyDescent="0.3">
      <c r="A94" t="s">
        <v>2152</v>
      </c>
      <c r="B94" s="5">
        <v>87.283196950000004</v>
      </c>
      <c r="C94" s="5">
        <v>71.902798320000002</v>
      </c>
      <c r="D94" s="5">
        <v>83.148344140000006</v>
      </c>
      <c r="E94" s="5">
        <v>58.364104949999998</v>
      </c>
      <c r="F94" s="5">
        <v>88.559232710000003</v>
      </c>
      <c r="G94" s="5">
        <v>78.146097069999996</v>
      </c>
      <c r="H94" s="5">
        <v>69.881402899999998</v>
      </c>
      <c r="I94" s="5">
        <v>50</v>
      </c>
    </row>
    <row r="95" spans="1:9" ht="14.25" customHeight="1" x14ac:dyDescent="0.3">
      <c r="A95" t="s">
        <v>2153</v>
      </c>
      <c r="B95" s="5">
        <v>84.079311320000002</v>
      </c>
      <c r="C95" s="5">
        <v>73.197278339999997</v>
      </c>
      <c r="D95" s="5">
        <v>85.521745550000006</v>
      </c>
      <c r="E95" s="5">
        <v>61.405052320000003</v>
      </c>
      <c r="F95" s="5">
        <v>90.746474329999998</v>
      </c>
      <c r="G95" s="5">
        <v>74.70661681</v>
      </c>
      <c r="H95" s="5">
        <v>74.090382149999996</v>
      </c>
      <c r="I95" s="5">
        <v>62.13442439</v>
      </c>
    </row>
    <row r="96" spans="1:9" ht="14.25" customHeight="1" x14ac:dyDescent="0.3">
      <c r="A96" t="s">
        <v>2154</v>
      </c>
      <c r="B96" s="5">
        <v>85.083320839999999</v>
      </c>
      <c r="C96" s="5">
        <v>72.332552590000006</v>
      </c>
      <c r="D96" s="5">
        <v>79.329478629999997</v>
      </c>
      <c r="E96" s="5">
        <v>71.754218890000004</v>
      </c>
      <c r="F96" s="5">
        <v>82.093254549999997</v>
      </c>
      <c r="G96" s="5">
        <v>79.940226789999997</v>
      </c>
      <c r="H96" s="5">
        <v>70.144217249999997</v>
      </c>
      <c r="I96" s="5">
        <v>55.772493740000002</v>
      </c>
    </row>
    <row r="97" spans="1:9" ht="14.25" customHeight="1" x14ac:dyDescent="0.3">
      <c r="A97" t="s">
        <v>2155</v>
      </c>
      <c r="B97" s="5">
        <v>79.673274559999996</v>
      </c>
      <c r="C97" s="5">
        <v>62.108291360000003</v>
      </c>
      <c r="D97" s="5">
        <v>79.730035849999993</v>
      </c>
      <c r="E97" s="5">
        <v>60.487736720000001</v>
      </c>
      <c r="F97" s="5">
        <v>96.775996550000002</v>
      </c>
      <c r="G97" s="5">
        <v>75.974966190000004</v>
      </c>
      <c r="H97" s="5">
        <v>74.319503089999998</v>
      </c>
      <c r="I97" s="5">
        <v>55.165272389999998</v>
      </c>
    </row>
    <row r="98" spans="1:9" ht="14.25" customHeight="1" x14ac:dyDescent="0.3">
      <c r="A98" t="s">
        <v>208</v>
      </c>
      <c r="B98" s="5">
        <v>81.401309420000004</v>
      </c>
      <c r="C98" s="5">
        <v>73.642970980000001</v>
      </c>
      <c r="D98" s="5">
        <v>70</v>
      </c>
      <c r="E98" s="5">
        <v>66.279692749999995</v>
      </c>
      <c r="F98" s="5">
        <v>94.607816970000002</v>
      </c>
      <c r="G98" s="5">
        <v>74.181024019999995</v>
      </c>
      <c r="H98" s="5">
        <v>77.844570039999994</v>
      </c>
      <c r="I98" s="5">
        <v>50</v>
      </c>
    </row>
    <row r="99" spans="1:9" ht="14.25" customHeight="1" x14ac:dyDescent="0.3">
      <c r="A99" t="s">
        <v>2156</v>
      </c>
      <c r="B99" s="5">
        <v>83.375007420000003</v>
      </c>
      <c r="C99" s="5">
        <v>74.779325389999997</v>
      </c>
      <c r="D99" s="5">
        <v>78.460337069999994</v>
      </c>
      <c r="E99" s="5">
        <v>74.946423569999993</v>
      </c>
      <c r="F99" s="5">
        <v>93.018851799999993</v>
      </c>
      <c r="G99" s="5">
        <v>83.948619370000003</v>
      </c>
      <c r="H99" s="5">
        <v>73.603913649999996</v>
      </c>
      <c r="I99" s="5">
        <v>61.877733020000001</v>
      </c>
    </row>
    <row r="100" spans="1:9" ht="14.25" customHeight="1" x14ac:dyDescent="0.3">
      <c r="A100" t="s">
        <v>2157</v>
      </c>
      <c r="B100" s="5">
        <v>79.139252909999996</v>
      </c>
      <c r="C100" s="5">
        <v>75.969781519999998</v>
      </c>
      <c r="D100" s="5">
        <v>71.086762100000001</v>
      </c>
      <c r="E100" s="5">
        <v>61.07474122</v>
      </c>
      <c r="F100" s="5">
        <v>87.303813950000006</v>
      </c>
      <c r="G100" s="5">
        <v>75.189164329999997</v>
      </c>
      <c r="H100" s="5">
        <v>67.840313269999996</v>
      </c>
      <c r="I100" s="5">
        <v>69.715055199999995</v>
      </c>
    </row>
    <row r="101" spans="1:9" ht="14.25" customHeight="1" x14ac:dyDescent="0.3">
      <c r="A101" t="s">
        <v>2158</v>
      </c>
      <c r="B101" s="5">
        <v>81.756660609999997</v>
      </c>
      <c r="C101" s="5">
        <v>61.209392039999997</v>
      </c>
      <c r="D101" s="5">
        <v>79.692439469999997</v>
      </c>
      <c r="E101" s="5">
        <v>64.349131529999994</v>
      </c>
      <c r="F101" s="5">
        <v>86.249097129999996</v>
      </c>
      <c r="G101" s="5">
        <v>83.750592380000001</v>
      </c>
      <c r="H101" s="5">
        <v>69.673099129999997</v>
      </c>
      <c r="I101" s="5">
        <v>66.499358650000005</v>
      </c>
    </row>
    <row r="102" spans="1:9" ht="14.25" customHeight="1" x14ac:dyDescent="0.3">
      <c r="A102" t="s">
        <v>2159</v>
      </c>
      <c r="B102" s="5">
        <v>92.266531819999997</v>
      </c>
      <c r="C102" s="5">
        <v>68.323577900000004</v>
      </c>
      <c r="D102" s="5">
        <v>87.157744039999997</v>
      </c>
      <c r="E102" s="5">
        <v>56.734073209999998</v>
      </c>
      <c r="F102" s="5">
        <v>91.895896899999997</v>
      </c>
      <c r="G102" s="5">
        <v>78.873114909999998</v>
      </c>
      <c r="H102" s="5">
        <v>69.029636229999994</v>
      </c>
      <c r="I102" s="5">
        <v>63.151932369999997</v>
      </c>
    </row>
    <row r="103" spans="1:9" ht="14.25" customHeight="1" x14ac:dyDescent="0.3">
      <c r="A103" t="s">
        <v>2160</v>
      </c>
      <c r="B103" s="5">
        <v>90.779485809999997</v>
      </c>
      <c r="C103" s="5">
        <v>75.455114969999997</v>
      </c>
      <c r="D103" s="5">
        <v>83.667133120000003</v>
      </c>
      <c r="E103" s="5">
        <v>70.634968639999997</v>
      </c>
      <c r="F103" s="5">
        <v>83.515075330000002</v>
      </c>
      <c r="G103" s="5">
        <v>75.462677720000002</v>
      </c>
      <c r="H103" s="5">
        <v>71.575505710000002</v>
      </c>
      <c r="I103" s="5">
        <v>60.940352169999997</v>
      </c>
    </row>
    <row r="104" spans="1:9" ht="14.25" customHeight="1" x14ac:dyDescent="0.3">
      <c r="A104" t="s">
        <v>2161</v>
      </c>
      <c r="B104" s="5">
        <v>83.871956519999998</v>
      </c>
      <c r="C104" s="5">
        <v>70.623763350000004</v>
      </c>
      <c r="D104" s="5">
        <v>77.039927120000002</v>
      </c>
      <c r="E104" s="5">
        <v>69.520921099999995</v>
      </c>
      <c r="F104" s="5">
        <v>80.380406629999996</v>
      </c>
      <c r="G104" s="5">
        <v>77.400701850000004</v>
      </c>
      <c r="H104" s="5">
        <v>71.071759929999999</v>
      </c>
      <c r="I104" s="5">
        <v>64.641627720000002</v>
      </c>
    </row>
    <row r="105" spans="1:9" ht="14.25" customHeight="1" x14ac:dyDescent="0.3">
      <c r="A105" t="s">
        <v>224</v>
      </c>
      <c r="B105" s="5">
        <v>93.825192049999998</v>
      </c>
      <c r="C105" s="5">
        <v>77.291070189999999</v>
      </c>
      <c r="D105" s="5">
        <v>70.714188609999994</v>
      </c>
      <c r="E105" s="5">
        <v>63.798457300000003</v>
      </c>
      <c r="F105" s="5">
        <v>99.03176139</v>
      </c>
      <c r="G105" s="5">
        <v>71.460718229999998</v>
      </c>
      <c r="H105" s="5">
        <v>72.485347739999995</v>
      </c>
      <c r="I105" s="5">
        <v>53.1673215</v>
      </c>
    </row>
    <row r="106" spans="1:9" ht="14.25" customHeight="1" x14ac:dyDescent="0.3">
      <c r="A106" t="s">
        <v>226</v>
      </c>
      <c r="B106" s="5">
        <v>75</v>
      </c>
      <c r="C106" s="5">
        <v>67.107567360000004</v>
      </c>
      <c r="D106" s="5">
        <v>83.479061700000003</v>
      </c>
      <c r="E106" s="5">
        <v>63.039089240000003</v>
      </c>
      <c r="F106" s="5">
        <v>97.740679959999994</v>
      </c>
      <c r="G106" s="5">
        <v>83.325862479999998</v>
      </c>
      <c r="H106" s="5">
        <v>71.41395335</v>
      </c>
      <c r="I106" s="5">
        <v>58.978411280000003</v>
      </c>
    </row>
    <row r="107" spans="1:9" ht="14.25" customHeight="1" x14ac:dyDescent="0.3">
      <c r="A107" t="s">
        <v>2162</v>
      </c>
      <c r="B107" s="5">
        <v>75</v>
      </c>
      <c r="C107" s="5">
        <v>72.210884840000006</v>
      </c>
      <c r="D107" s="5">
        <v>70</v>
      </c>
      <c r="E107" s="5">
        <v>65.809091620000004</v>
      </c>
      <c r="F107" s="5">
        <v>80</v>
      </c>
      <c r="G107" s="5">
        <v>76.701076299999997</v>
      </c>
      <c r="H107" s="5">
        <v>65.143377839999999</v>
      </c>
      <c r="I107" s="5">
        <v>57.082847909999998</v>
      </c>
    </row>
    <row r="108" spans="1:9" ht="14.25" customHeight="1" x14ac:dyDescent="0.3">
      <c r="A108" t="s">
        <v>230</v>
      </c>
      <c r="B108" s="5">
        <v>75</v>
      </c>
      <c r="C108" s="5">
        <v>68.219302020000001</v>
      </c>
      <c r="D108" s="5">
        <v>82.411869050000007</v>
      </c>
      <c r="E108" s="5">
        <v>57.306776990000003</v>
      </c>
      <c r="F108" s="5">
        <v>94.986806349999995</v>
      </c>
      <c r="G108" s="5">
        <v>77.564174019999996</v>
      </c>
      <c r="H108" s="5">
        <v>69.215678969999999</v>
      </c>
      <c r="I108" s="5">
        <v>61.562754740000003</v>
      </c>
    </row>
    <row r="109" spans="1:9" ht="14.25" customHeight="1" x14ac:dyDescent="0.3">
      <c r="A109" t="s">
        <v>2163</v>
      </c>
      <c r="B109" s="5">
        <v>97.128600410000004</v>
      </c>
      <c r="C109" s="5">
        <v>70.816280800000001</v>
      </c>
      <c r="D109" s="5">
        <v>80.857295109999995</v>
      </c>
      <c r="E109" s="5">
        <v>62.691631719999997</v>
      </c>
      <c r="F109" s="5">
        <v>86.842312609999993</v>
      </c>
      <c r="G109" s="5">
        <v>79.195138569999997</v>
      </c>
      <c r="H109" s="5">
        <v>72.452581620000004</v>
      </c>
      <c r="I109" s="5">
        <v>57.294561819999998</v>
      </c>
    </row>
    <row r="110" spans="1:9" ht="14.25" customHeight="1" x14ac:dyDescent="0.3">
      <c r="A110" t="s">
        <v>2164</v>
      </c>
      <c r="B110" s="5">
        <v>97.165370229999994</v>
      </c>
      <c r="C110" s="5">
        <v>69.954533999999995</v>
      </c>
      <c r="D110" s="5">
        <v>73.190204379999997</v>
      </c>
      <c r="E110" s="5">
        <v>57.422164170000002</v>
      </c>
      <c r="F110" s="5">
        <v>80.581252599999999</v>
      </c>
      <c r="G110" s="5">
        <v>74.738913210000007</v>
      </c>
      <c r="H110" s="5">
        <v>72.420314590000004</v>
      </c>
      <c r="I110" s="5">
        <v>56.808086119999999</v>
      </c>
    </row>
    <row r="111" spans="1:9" ht="14.25" customHeight="1" x14ac:dyDescent="0.3">
      <c r="A111" t="s">
        <v>2165</v>
      </c>
      <c r="B111" s="5">
        <v>90.504890130000007</v>
      </c>
      <c r="C111" s="5">
        <v>72.293583670000004</v>
      </c>
      <c r="D111" s="5">
        <v>84.762243179999999</v>
      </c>
      <c r="E111" s="5">
        <v>68.896664619999996</v>
      </c>
      <c r="F111" s="5">
        <v>81.244570730000007</v>
      </c>
      <c r="G111" s="5">
        <v>73.377073629999998</v>
      </c>
      <c r="H111" s="5">
        <v>71.741102780000006</v>
      </c>
      <c r="I111" s="5">
        <v>56.279986839999999</v>
      </c>
    </row>
    <row r="112" spans="1:9" ht="14.25" customHeight="1" x14ac:dyDescent="0.3">
      <c r="A112" t="s">
        <v>239</v>
      </c>
      <c r="B112" s="5">
        <v>78.562246979999998</v>
      </c>
      <c r="C112" s="5">
        <v>70.462360889999999</v>
      </c>
      <c r="D112" s="5">
        <v>75.336569569999995</v>
      </c>
      <c r="E112" s="5">
        <v>61.223084309999997</v>
      </c>
      <c r="F112" s="5">
        <v>97.755472600000004</v>
      </c>
      <c r="G112" s="5">
        <v>75.859706950000003</v>
      </c>
      <c r="H112" s="5">
        <v>65.550063780000002</v>
      </c>
      <c r="I112" s="5">
        <v>58.965367399999998</v>
      </c>
    </row>
    <row r="113" spans="1:9" ht="14.25" customHeight="1" x14ac:dyDescent="0.3">
      <c r="A113" t="s">
        <v>2166</v>
      </c>
      <c r="B113" s="5">
        <v>88.339541299999993</v>
      </c>
      <c r="C113" s="5">
        <v>65.975786549999995</v>
      </c>
      <c r="D113" s="5">
        <v>77.768687020000002</v>
      </c>
      <c r="E113" s="5">
        <v>66.401459990000006</v>
      </c>
      <c r="F113" s="5">
        <v>80.908874900000001</v>
      </c>
      <c r="G113" s="5">
        <v>73.554537159999995</v>
      </c>
      <c r="H113" s="5">
        <v>72.804343209999999</v>
      </c>
      <c r="I113" s="5">
        <v>66.230151149999998</v>
      </c>
    </row>
    <row r="114" spans="1:9" ht="14.25" customHeight="1" x14ac:dyDescent="0.3">
      <c r="A114" t="s">
        <v>2167</v>
      </c>
      <c r="B114" s="5">
        <v>75</v>
      </c>
      <c r="C114" s="5">
        <v>60</v>
      </c>
      <c r="D114" s="5">
        <v>80.258653649999999</v>
      </c>
      <c r="E114" s="5">
        <v>62.77020589</v>
      </c>
      <c r="F114" s="5">
        <v>94.679254349999994</v>
      </c>
      <c r="G114" s="5">
        <v>79.572679809999997</v>
      </c>
      <c r="H114" s="5">
        <v>67.807920210000006</v>
      </c>
      <c r="I114" s="5">
        <v>57.073870759999998</v>
      </c>
    </row>
    <row r="115" spans="1:9" ht="14.25" customHeight="1" x14ac:dyDescent="0.3">
      <c r="A115" t="s">
        <v>2168</v>
      </c>
      <c r="B115" s="5">
        <v>85.640322409999996</v>
      </c>
      <c r="C115" s="5">
        <v>65.794366740000001</v>
      </c>
      <c r="D115" s="5">
        <v>82.215766810000005</v>
      </c>
      <c r="E115" s="5">
        <v>67.725019459999999</v>
      </c>
      <c r="F115" s="5">
        <v>93.733221090000001</v>
      </c>
      <c r="G115" s="5">
        <v>77.489880009999993</v>
      </c>
      <c r="H115" s="5">
        <v>76.210308220000002</v>
      </c>
      <c r="I115" s="5">
        <v>50</v>
      </c>
    </row>
    <row r="116" spans="1:9" ht="14.25" customHeight="1" x14ac:dyDescent="0.3">
      <c r="A116" t="s">
        <v>2169</v>
      </c>
      <c r="B116" s="5">
        <v>81.879815219999998</v>
      </c>
      <c r="C116" s="5">
        <v>73.555382179999995</v>
      </c>
      <c r="D116" s="5">
        <v>76.417470960000003</v>
      </c>
      <c r="E116" s="5">
        <v>66.009149410000006</v>
      </c>
      <c r="F116" s="5">
        <v>88.132050239999998</v>
      </c>
      <c r="G116" s="5">
        <v>70.706037010000003</v>
      </c>
      <c r="H116" s="5">
        <v>72.277194690000002</v>
      </c>
      <c r="I116" s="5">
        <v>57.843837729999997</v>
      </c>
    </row>
    <row r="117" spans="1:9" ht="14.25" customHeight="1" x14ac:dyDescent="0.3">
      <c r="A117" t="s">
        <v>249</v>
      </c>
      <c r="B117" s="5">
        <v>88.292161780000001</v>
      </c>
      <c r="C117" s="5">
        <v>71.572738450000003</v>
      </c>
      <c r="D117" s="5">
        <v>75.833124659999996</v>
      </c>
      <c r="E117" s="5">
        <v>58.076133390000003</v>
      </c>
      <c r="F117" s="5">
        <v>91.443687969999999</v>
      </c>
      <c r="G117" s="5">
        <v>78.991510980000001</v>
      </c>
      <c r="H117" s="5">
        <v>76.881335879999995</v>
      </c>
      <c r="I117" s="5">
        <v>56.269634869999997</v>
      </c>
    </row>
    <row r="118" spans="1:9" ht="14.25" customHeight="1" x14ac:dyDescent="0.3">
      <c r="A118" t="s">
        <v>2170</v>
      </c>
      <c r="B118" s="5">
        <v>94.862989330000005</v>
      </c>
      <c r="C118" s="5">
        <v>60</v>
      </c>
      <c r="D118" s="5">
        <v>79.805978440000004</v>
      </c>
      <c r="E118" s="5">
        <v>65.652456700000002</v>
      </c>
      <c r="F118" s="5">
        <v>80</v>
      </c>
      <c r="G118" s="5">
        <v>84.61026828</v>
      </c>
      <c r="H118" s="5">
        <v>72.775631829999995</v>
      </c>
      <c r="I118" s="5">
        <v>59.159786439999998</v>
      </c>
    </row>
    <row r="119" spans="1:9" ht="14.25" customHeight="1" x14ac:dyDescent="0.3">
      <c r="A119" t="s">
        <v>253</v>
      </c>
      <c r="B119" s="5">
        <v>80.34552884</v>
      </c>
      <c r="C119" s="5">
        <v>62.739240709999997</v>
      </c>
      <c r="D119" s="5">
        <v>70</v>
      </c>
      <c r="E119" s="5">
        <v>71.707329759999993</v>
      </c>
      <c r="F119" s="5">
        <v>90.551502450000001</v>
      </c>
      <c r="G119" s="5">
        <v>73.246246720000002</v>
      </c>
      <c r="H119" s="5">
        <v>68.187310510000003</v>
      </c>
      <c r="I119" s="5">
        <v>57.124647430000003</v>
      </c>
    </row>
    <row r="120" spans="1:9" ht="14.25" customHeight="1" x14ac:dyDescent="0.3">
      <c r="A120" t="s">
        <v>2171</v>
      </c>
      <c r="B120" s="5">
        <v>83.449529159999997</v>
      </c>
      <c r="C120" s="5">
        <v>78.852188859999998</v>
      </c>
      <c r="D120" s="5">
        <v>77.382151910000005</v>
      </c>
      <c r="E120" s="5">
        <v>69.692219300000005</v>
      </c>
      <c r="F120" s="5">
        <v>99.9</v>
      </c>
      <c r="G120" s="5">
        <v>81.456899519999993</v>
      </c>
      <c r="H120" s="5">
        <v>70.929750429999999</v>
      </c>
      <c r="I120" s="5">
        <v>62.309085959999997</v>
      </c>
    </row>
    <row r="121" spans="1:9" ht="14.25" customHeight="1" x14ac:dyDescent="0.3">
      <c r="A121" t="s">
        <v>257</v>
      </c>
      <c r="B121" s="5">
        <v>78.393661789999996</v>
      </c>
      <c r="C121" s="5">
        <v>66.027561309999996</v>
      </c>
      <c r="D121" s="5">
        <v>81.932877469999994</v>
      </c>
      <c r="E121" s="5">
        <v>61.224986309999998</v>
      </c>
      <c r="F121" s="5">
        <v>87.221036359999999</v>
      </c>
      <c r="G121" s="5">
        <v>81.589569499999996</v>
      </c>
      <c r="H121" s="5">
        <v>68.536849860000004</v>
      </c>
      <c r="I121" s="5">
        <v>56.961141179999998</v>
      </c>
    </row>
    <row r="122" spans="1:9" ht="14.25" customHeight="1" x14ac:dyDescent="0.3">
      <c r="A122" t="s">
        <v>2172</v>
      </c>
      <c r="B122" s="5">
        <v>83.860455279999996</v>
      </c>
      <c r="C122" s="5">
        <v>66.979553330000002</v>
      </c>
      <c r="D122" s="5">
        <v>77.913166129999993</v>
      </c>
      <c r="E122" s="5">
        <v>62.70737226</v>
      </c>
      <c r="F122" s="5">
        <v>99.457873649999996</v>
      </c>
      <c r="G122" s="5">
        <v>78.914597229999998</v>
      </c>
      <c r="H122" s="5">
        <v>69.922667000000004</v>
      </c>
      <c r="I122" s="5">
        <v>52.478717549999999</v>
      </c>
    </row>
    <row r="123" spans="1:9" ht="14.25" customHeight="1" x14ac:dyDescent="0.3">
      <c r="A123" t="s">
        <v>261</v>
      </c>
      <c r="B123" s="5">
        <v>77.63082679</v>
      </c>
      <c r="C123" s="5">
        <v>60</v>
      </c>
      <c r="D123" s="5">
        <v>83.590013170000006</v>
      </c>
      <c r="E123" s="5">
        <v>58.183280850000003</v>
      </c>
      <c r="F123" s="5">
        <v>98.763581790000003</v>
      </c>
      <c r="G123" s="5">
        <v>82.784377719999995</v>
      </c>
      <c r="H123" s="5">
        <v>74.917754189999997</v>
      </c>
      <c r="I123" s="5">
        <v>55.624064230000002</v>
      </c>
    </row>
    <row r="124" spans="1:9" ht="14.25" customHeight="1" x14ac:dyDescent="0.3">
      <c r="A124" t="s">
        <v>2173</v>
      </c>
      <c r="B124" s="5">
        <v>85.546968449999994</v>
      </c>
      <c r="C124" s="5">
        <v>73.295622719999997</v>
      </c>
      <c r="D124" s="5">
        <v>70.226863249999994</v>
      </c>
      <c r="E124" s="5">
        <v>68.154790640000002</v>
      </c>
      <c r="F124" s="5">
        <v>89.142822809999998</v>
      </c>
      <c r="G124" s="5">
        <v>73.723951659999997</v>
      </c>
      <c r="H124" s="5">
        <v>75.596978210000003</v>
      </c>
      <c r="I124" s="5">
        <v>60.421235729999999</v>
      </c>
    </row>
    <row r="125" spans="1:9" ht="14.25" customHeight="1" x14ac:dyDescent="0.3">
      <c r="A125" t="s">
        <v>2174</v>
      </c>
      <c r="B125" s="5">
        <v>99.9</v>
      </c>
      <c r="C125" s="5">
        <v>67.711277359999997</v>
      </c>
      <c r="D125" s="5">
        <v>82.044590529999994</v>
      </c>
      <c r="E125" s="5">
        <v>62.117615110000003</v>
      </c>
      <c r="F125" s="5">
        <v>87.587564920000005</v>
      </c>
      <c r="G125" s="5">
        <v>81.378009180000006</v>
      </c>
      <c r="H125" s="5">
        <v>71.005991600000002</v>
      </c>
      <c r="I125" s="5">
        <v>63.269888520000002</v>
      </c>
    </row>
    <row r="126" spans="1:9" ht="14.25" customHeight="1" x14ac:dyDescent="0.3">
      <c r="A126" t="s">
        <v>267</v>
      </c>
      <c r="B126" s="5">
        <v>90.633831700000002</v>
      </c>
      <c r="C126" s="5">
        <v>68.235768719999996</v>
      </c>
      <c r="D126" s="5">
        <v>84.545534889999999</v>
      </c>
      <c r="E126" s="5">
        <v>71.394955870000004</v>
      </c>
      <c r="F126" s="5">
        <v>80</v>
      </c>
      <c r="G126" s="5">
        <v>85</v>
      </c>
      <c r="H126" s="5">
        <v>69.989077030000004</v>
      </c>
      <c r="I126" s="5">
        <v>54.039675410000001</v>
      </c>
    </row>
    <row r="127" spans="1:9" ht="14.25" customHeight="1" x14ac:dyDescent="0.3">
      <c r="A127" t="s">
        <v>2175</v>
      </c>
      <c r="B127" s="5">
        <v>94.712903179999998</v>
      </c>
      <c r="C127" s="5">
        <v>66.679473400000006</v>
      </c>
      <c r="D127" s="5">
        <v>76.158257579999997</v>
      </c>
      <c r="E127" s="5">
        <v>68.843485909999998</v>
      </c>
      <c r="F127" s="5">
        <v>84.493498369999998</v>
      </c>
      <c r="G127" s="5">
        <v>80.262444700000003</v>
      </c>
      <c r="H127" s="5">
        <v>72.048100509999998</v>
      </c>
      <c r="I127" s="5">
        <v>69.210919700000005</v>
      </c>
    </row>
    <row r="128" spans="1:9" ht="14.25" customHeight="1" x14ac:dyDescent="0.3">
      <c r="A128" t="s">
        <v>2176</v>
      </c>
      <c r="B128" s="5">
        <v>79.739079559999993</v>
      </c>
      <c r="C128" s="5">
        <v>67.614747249999994</v>
      </c>
      <c r="D128" s="5">
        <v>74.116830480000004</v>
      </c>
      <c r="E128" s="5">
        <v>63.307747569999997</v>
      </c>
      <c r="F128" s="5">
        <v>86.34307613</v>
      </c>
      <c r="G128" s="5">
        <v>81.214236720000002</v>
      </c>
      <c r="H128" s="5">
        <v>66.884504440000001</v>
      </c>
      <c r="I128" s="5">
        <v>54.362441760000003</v>
      </c>
    </row>
    <row r="129" spans="1:9" ht="14.25" customHeight="1" x14ac:dyDescent="0.3">
      <c r="A129" t="s">
        <v>2177</v>
      </c>
      <c r="B129" s="5">
        <v>85.436774540000002</v>
      </c>
      <c r="C129" s="5">
        <v>60</v>
      </c>
      <c r="D129" s="5">
        <v>80.753416779999995</v>
      </c>
      <c r="E129" s="5">
        <v>64.050823510000001</v>
      </c>
      <c r="F129" s="5">
        <v>86.101359849999994</v>
      </c>
      <c r="G129" s="5">
        <v>76.611816050000002</v>
      </c>
      <c r="H129" s="5">
        <v>66.862879430000007</v>
      </c>
      <c r="I129" s="5">
        <v>51.229871680000002</v>
      </c>
    </row>
    <row r="130" spans="1:9" ht="14.25" customHeight="1" x14ac:dyDescent="0.3">
      <c r="A130" t="s">
        <v>2178</v>
      </c>
      <c r="B130" s="5">
        <v>78.565185360000001</v>
      </c>
      <c r="C130" s="5">
        <v>65.116616339999993</v>
      </c>
      <c r="D130" s="5">
        <v>76.897090689999999</v>
      </c>
      <c r="E130" s="5">
        <v>67.76487693</v>
      </c>
      <c r="F130" s="5">
        <v>92.690855209999995</v>
      </c>
      <c r="G130" s="5">
        <v>73.429272760000003</v>
      </c>
      <c r="H130" s="5">
        <v>74.597231809999997</v>
      </c>
      <c r="I130" s="5">
        <v>63.813843949999999</v>
      </c>
    </row>
    <row r="131" spans="1:9" ht="14.25" customHeight="1" x14ac:dyDescent="0.3">
      <c r="A131" t="s">
        <v>2179</v>
      </c>
      <c r="B131" s="5">
        <v>81.235271370000007</v>
      </c>
      <c r="C131" s="5">
        <v>60</v>
      </c>
      <c r="D131" s="5">
        <v>70</v>
      </c>
      <c r="E131" s="5">
        <v>75</v>
      </c>
      <c r="F131" s="5">
        <v>86.337643979999996</v>
      </c>
      <c r="G131" s="5">
        <v>72.098316030000007</v>
      </c>
      <c r="H131" s="5">
        <v>69.526521310000007</v>
      </c>
      <c r="I131" s="5">
        <v>51.51578997</v>
      </c>
    </row>
    <row r="132" spans="1:9" ht="14.25" customHeight="1" x14ac:dyDescent="0.3">
      <c r="A132" t="s">
        <v>280</v>
      </c>
      <c r="B132" s="5">
        <v>85.489238459999996</v>
      </c>
      <c r="C132" s="5">
        <v>62.334472650000002</v>
      </c>
      <c r="D132" s="5">
        <v>80.819061579999996</v>
      </c>
      <c r="E132" s="5">
        <v>66.962604880000001</v>
      </c>
      <c r="F132" s="5">
        <v>81.869441449999997</v>
      </c>
      <c r="G132" s="5">
        <v>79.286583140000005</v>
      </c>
      <c r="H132" s="5">
        <v>74.627422339999995</v>
      </c>
      <c r="I132" s="5">
        <v>58.102692279999999</v>
      </c>
    </row>
    <row r="133" spans="1:9" ht="14.25" customHeight="1" x14ac:dyDescent="0.3">
      <c r="A133" t="s">
        <v>2180</v>
      </c>
      <c r="B133" s="5">
        <v>83.908405400000007</v>
      </c>
      <c r="C133" s="5">
        <v>73.382811239999995</v>
      </c>
      <c r="D133" s="5">
        <v>79.970282580000003</v>
      </c>
      <c r="E133" s="5">
        <v>70.971136979999997</v>
      </c>
      <c r="F133" s="5">
        <v>95.664048289999997</v>
      </c>
      <c r="G133" s="5">
        <v>83.57676773</v>
      </c>
      <c r="H133" s="5">
        <v>68.81539884</v>
      </c>
      <c r="I133" s="5">
        <v>59.593124060000001</v>
      </c>
    </row>
    <row r="134" spans="1:9" ht="14.25" customHeight="1" x14ac:dyDescent="0.3">
      <c r="A134" t="s">
        <v>2181</v>
      </c>
      <c r="B134" s="5">
        <v>80.935797320000006</v>
      </c>
      <c r="C134" s="5">
        <v>65.618215190000001</v>
      </c>
      <c r="D134" s="5">
        <v>90</v>
      </c>
      <c r="E134" s="5">
        <v>63.715516620000002</v>
      </c>
      <c r="F134" s="5">
        <v>81.66721253</v>
      </c>
      <c r="G134" s="5">
        <v>82.925443110000003</v>
      </c>
      <c r="H134" s="5">
        <v>71.117185829999997</v>
      </c>
      <c r="I134" s="5">
        <v>62.126310539999999</v>
      </c>
    </row>
    <row r="135" spans="1:9" ht="14.25" customHeight="1" x14ac:dyDescent="0.3">
      <c r="A135" t="s">
        <v>286</v>
      </c>
      <c r="B135" s="5">
        <v>90.172266250000007</v>
      </c>
      <c r="C135" s="5">
        <v>65.009218959999998</v>
      </c>
      <c r="D135" s="5">
        <v>82.859036709999998</v>
      </c>
      <c r="E135" s="5">
        <v>67.454859299999995</v>
      </c>
      <c r="F135" s="5">
        <v>86.233391150000003</v>
      </c>
      <c r="G135" s="5">
        <v>80.724685019999995</v>
      </c>
      <c r="H135" s="5">
        <v>74.123948540000001</v>
      </c>
      <c r="I135" s="5">
        <v>70</v>
      </c>
    </row>
    <row r="136" spans="1:9" ht="14.25" customHeight="1" x14ac:dyDescent="0.3">
      <c r="A136" t="s">
        <v>2182</v>
      </c>
      <c r="B136" s="5">
        <v>93.131461020000003</v>
      </c>
      <c r="C136" s="5">
        <v>73.457842729999996</v>
      </c>
      <c r="D136" s="5">
        <v>70</v>
      </c>
      <c r="E136" s="5">
        <v>69.262207250000003</v>
      </c>
      <c r="F136" s="5">
        <v>91.383665590000007</v>
      </c>
      <c r="G136" s="5">
        <v>78.178579869999993</v>
      </c>
      <c r="H136" s="5">
        <v>69.309953579999998</v>
      </c>
      <c r="I136" s="5">
        <v>54.644854420000001</v>
      </c>
    </row>
    <row r="137" spans="1:9" ht="14.25" customHeight="1" x14ac:dyDescent="0.3">
      <c r="A137" t="s">
        <v>2183</v>
      </c>
      <c r="B137" s="5">
        <v>82.269599650000004</v>
      </c>
      <c r="C137" s="5">
        <v>67.848530449999998</v>
      </c>
      <c r="D137" s="5">
        <v>80.438034029999997</v>
      </c>
      <c r="E137" s="5">
        <v>64.755455339999997</v>
      </c>
      <c r="F137" s="5">
        <v>98.566274070000006</v>
      </c>
      <c r="G137" s="5">
        <v>81.23645046</v>
      </c>
      <c r="H137" s="5">
        <v>75.898684410000001</v>
      </c>
      <c r="I137" s="5">
        <v>64.644825109999999</v>
      </c>
    </row>
    <row r="138" spans="1:9" ht="14.25" customHeight="1" x14ac:dyDescent="0.3">
      <c r="A138" t="s">
        <v>2184</v>
      </c>
      <c r="B138" s="5">
        <v>84.856100299999994</v>
      </c>
      <c r="C138" s="5">
        <v>61.275485320000001</v>
      </c>
      <c r="D138" s="5">
        <v>81.752542969999993</v>
      </c>
      <c r="E138" s="5">
        <v>70.288108980000004</v>
      </c>
      <c r="F138" s="5">
        <v>89.668311779999996</v>
      </c>
      <c r="G138" s="5">
        <v>77.915398940000003</v>
      </c>
      <c r="H138" s="5">
        <v>73.507412000000002</v>
      </c>
      <c r="I138" s="5">
        <v>62.73240328</v>
      </c>
    </row>
    <row r="139" spans="1:9" ht="14.25" customHeight="1" x14ac:dyDescent="0.3">
      <c r="A139" t="s">
        <v>2185</v>
      </c>
      <c r="B139" s="5">
        <v>80.305808839999997</v>
      </c>
      <c r="C139" s="5">
        <v>71.289224570000002</v>
      </c>
      <c r="D139" s="5">
        <v>74.345784969999997</v>
      </c>
      <c r="E139" s="5">
        <v>62.418456169999999</v>
      </c>
      <c r="F139" s="5">
        <v>87.649681169999994</v>
      </c>
      <c r="G139" s="5">
        <v>83.470184880000005</v>
      </c>
      <c r="H139" s="5">
        <v>74.551782299999999</v>
      </c>
      <c r="I139" s="5">
        <v>55.780609609999999</v>
      </c>
    </row>
    <row r="140" spans="1:9" ht="14.25" customHeight="1" x14ac:dyDescent="0.3">
      <c r="A140" t="s">
        <v>296</v>
      </c>
      <c r="B140" s="5">
        <v>86.30689898</v>
      </c>
      <c r="C140" s="5">
        <v>74.824071410000002</v>
      </c>
      <c r="D140" s="5">
        <v>85.650518840000004</v>
      </c>
      <c r="E140" s="5">
        <v>64.582053340000002</v>
      </c>
      <c r="F140" s="5">
        <v>84.93946219</v>
      </c>
      <c r="G140" s="5">
        <v>77.46506814</v>
      </c>
      <c r="H140" s="5">
        <v>67.243083380000002</v>
      </c>
      <c r="I140" s="5">
        <v>69.1765659</v>
      </c>
    </row>
    <row r="141" spans="1:9" ht="14.25" customHeight="1" x14ac:dyDescent="0.3">
      <c r="A141" t="s">
        <v>298</v>
      </c>
      <c r="B141" s="5">
        <v>94.427836659999997</v>
      </c>
      <c r="C141" s="5">
        <v>67.323771350000001</v>
      </c>
      <c r="D141" s="5">
        <v>79.981106949999997</v>
      </c>
      <c r="E141" s="5">
        <v>69.614550690000002</v>
      </c>
      <c r="F141" s="5">
        <v>97.507492360000001</v>
      </c>
      <c r="G141" s="5">
        <v>80.70020753</v>
      </c>
      <c r="H141" s="5">
        <v>71.905789130000002</v>
      </c>
      <c r="I141" s="5">
        <v>59.053070339999998</v>
      </c>
    </row>
    <row r="142" spans="1:9" ht="14.25" customHeight="1" x14ac:dyDescent="0.3">
      <c r="A142" t="s">
        <v>300</v>
      </c>
      <c r="B142" s="5">
        <v>81.091962100000003</v>
      </c>
      <c r="C142" s="5">
        <v>73.226835370000003</v>
      </c>
      <c r="D142" s="5">
        <v>72.941413109999999</v>
      </c>
      <c r="E142" s="5">
        <v>75</v>
      </c>
      <c r="F142" s="5">
        <v>82.223602080000006</v>
      </c>
      <c r="G142" s="5">
        <v>70.15154081</v>
      </c>
      <c r="H142" s="5">
        <v>71.840706670000003</v>
      </c>
      <c r="I142" s="5">
        <v>68.745965999999996</v>
      </c>
    </row>
    <row r="143" spans="1:9" ht="14.25" customHeight="1" x14ac:dyDescent="0.3">
      <c r="A143" t="s">
        <v>2186</v>
      </c>
      <c r="B143" s="5">
        <v>85.543475029999996</v>
      </c>
      <c r="C143" s="5">
        <v>76.111300580000005</v>
      </c>
      <c r="D143" s="5">
        <v>89.18502101</v>
      </c>
      <c r="E143" s="5">
        <v>73.247659479999996</v>
      </c>
      <c r="F143" s="5">
        <v>97.670537390000007</v>
      </c>
      <c r="G143" s="5">
        <v>85</v>
      </c>
      <c r="H143" s="5">
        <v>69.196137149999998</v>
      </c>
      <c r="I143" s="5">
        <v>59.568981700000002</v>
      </c>
    </row>
    <row r="144" spans="1:9" ht="14.25" customHeight="1" x14ac:dyDescent="0.3">
      <c r="A144" t="s">
        <v>2187</v>
      </c>
      <c r="B144" s="5">
        <v>81.633178659999999</v>
      </c>
      <c r="C144" s="5">
        <v>70.759167880000007</v>
      </c>
      <c r="D144" s="5">
        <v>78.079108629999993</v>
      </c>
      <c r="E144" s="5">
        <v>69.349193499999998</v>
      </c>
      <c r="F144" s="5">
        <v>94.081621190000007</v>
      </c>
      <c r="G144" s="5">
        <v>82.199024750000007</v>
      </c>
      <c r="H144" s="5">
        <v>72.547724590000001</v>
      </c>
      <c r="I144" s="5">
        <v>60.93438544</v>
      </c>
    </row>
    <row r="145" spans="1:9" ht="14.25" customHeight="1" x14ac:dyDescent="0.3">
      <c r="A145" t="s">
        <v>2188</v>
      </c>
      <c r="B145" s="5">
        <v>84.213273040000004</v>
      </c>
      <c r="C145" s="5">
        <v>73.905017189999995</v>
      </c>
      <c r="D145" s="5">
        <v>71.871827960000005</v>
      </c>
      <c r="E145" s="5">
        <v>68.496292449999999</v>
      </c>
      <c r="F145" s="5">
        <v>82.033476379999996</v>
      </c>
      <c r="G145" s="5">
        <v>77.531044879999996</v>
      </c>
      <c r="H145" s="5">
        <v>69.868586309999998</v>
      </c>
      <c r="I145" s="5">
        <v>50</v>
      </c>
    </row>
    <row r="146" spans="1:9" ht="14.25" customHeight="1" x14ac:dyDescent="0.3">
      <c r="A146" t="s">
        <v>2189</v>
      </c>
      <c r="B146" s="5">
        <v>78.43692197</v>
      </c>
      <c r="C146" s="5">
        <v>71.179829229999996</v>
      </c>
      <c r="D146" s="5">
        <v>78.060428999999999</v>
      </c>
      <c r="E146" s="5">
        <v>67.291805640000007</v>
      </c>
      <c r="F146" s="5">
        <v>99.9</v>
      </c>
      <c r="G146" s="5">
        <v>80.365039460000006</v>
      </c>
      <c r="H146" s="5">
        <v>72.065888240000007</v>
      </c>
      <c r="I146" s="5">
        <v>60.77510667</v>
      </c>
    </row>
    <row r="147" spans="1:9" ht="14.25" customHeight="1" x14ac:dyDescent="0.3">
      <c r="A147" t="s">
        <v>2190</v>
      </c>
      <c r="B147" s="5">
        <v>89.170008229999993</v>
      </c>
      <c r="C147" s="5">
        <v>71.308076470000003</v>
      </c>
      <c r="D147" s="5">
        <v>73.918545170000002</v>
      </c>
      <c r="E147" s="5">
        <v>66.252701360000003</v>
      </c>
      <c r="F147" s="5">
        <v>95.017844980000007</v>
      </c>
      <c r="G147" s="5">
        <v>72.035925989999996</v>
      </c>
      <c r="H147" s="5">
        <v>75.288172880000005</v>
      </c>
      <c r="I147" s="5">
        <v>57.780846840000002</v>
      </c>
    </row>
    <row r="148" spans="1:9" ht="14.25" customHeight="1" x14ac:dyDescent="0.3">
      <c r="A148" t="s">
        <v>2191</v>
      </c>
      <c r="B148" s="5">
        <v>78.226000839999998</v>
      </c>
      <c r="C148" s="5">
        <v>77.707509580000007</v>
      </c>
      <c r="D148" s="5">
        <v>74.481758999999997</v>
      </c>
      <c r="E148" s="5">
        <v>60.757494319999999</v>
      </c>
      <c r="F148" s="5">
        <v>80.523243480000005</v>
      </c>
      <c r="G148" s="5">
        <v>76.829893440000006</v>
      </c>
      <c r="H148" s="5">
        <v>72.844168359999998</v>
      </c>
      <c r="I148" s="5">
        <v>52.508756939999998</v>
      </c>
    </row>
    <row r="149" spans="1:9" ht="14.25" customHeight="1" x14ac:dyDescent="0.3">
      <c r="A149" t="s">
        <v>2192</v>
      </c>
      <c r="B149" s="5">
        <v>96.753519729999994</v>
      </c>
      <c r="C149" s="5">
        <v>65.960917850000001</v>
      </c>
      <c r="D149" s="5">
        <v>74.478655110000005</v>
      </c>
      <c r="E149" s="5">
        <v>66.619925530000003</v>
      </c>
      <c r="F149" s="5">
        <v>94.132427250000006</v>
      </c>
      <c r="G149" s="5">
        <v>77.714374989999996</v>
      </c>
      <c r="H149" s="5">
        <v>71.59985537</v>
      </c>
      <c r="I149" s="5">
        <v>65.42788607</v>
      </c>
    </row>
    <row r="150" spans="1:9" ht="14.25" customHeight="1" x14ac:dyDescent="0.3">
      <c r="A150" t="s">
        <v>316</v>
      </c>
      <c r="B150" s="5">
        <v>94.624437279999995</v>
      </c>
      <c r="C150" s="5">
        <v>72.761120919999996</v>
      </c>
      <c r="D150" s="5">
        <v>87.744439259999993</v>
      </c>
      <c r="E150" s="5">
        <v>61.259956090000003</v>
      </c>
      <c r="F150" s="5">
        <v>82.396114679999997</v>
      </c>
      <c r="G150" s="5">
        <v>80.197186970000004</v>
      </c>
      <c r="H150" s="5">
        <v>66.144334720000003</v>
      </c>
      <c r="I150" s="5">
        <v>69.16010172</v>
      </c>
    </row>
    <row r="151" spans="1:9" ht="14.25" customHeight="1" x14ac:dyDescent="0.3">
      <c r="A151" t="s">
        <v>318</v>
      </c>
      <c r="B151" s="5">
        <v>87.373678979999994</v>
      </c>
      <c r="C151" s="5">
        <v>70.218469159999998</v>
      </c>
      <c r="D151" s="5">
        <v>70</v>
      </c>
      <c r="E151" s="5">
        <v>69.305569689999999</v>
      </c>
      <c r="F151" s="5">
        <v>96.081286939999998</v>
      </c>
      <c r="G151" s="5">
        <v>75.448570889999999</v>
      </c>
      <c r="H151" s="5">
        <v>67.398668299999997</v>
      </c>
      <c r="I151" s="5">
        <v>51.139518279999997</v>
      </c>
    </row>
    <row r="152" spans="1:9" ht="14.25" customHeight="1" x14ac:dyDescent="0.3">
      <c r="A152" t="s">
        <v>320</v>
      </c>
      <c r="B152" s="5">
        <v>85.367464339999998</v>
      </c>
      <c r="C152" s="5">
        <v>71.143816990000005</v>
      </c>
      <c r="D152" s="5">
        <v>82.807671159999998</v>
      </c>
      <c r="E152" s="5">
        <v>63.847245129999997</v>
      </c>
      <c r="F152" s="5">
        <v>83.537504350000006</v>
      </c>
      <c r="G152" s="5">
        <v>75.905087210000005</v>
      </c>
      <c r="H152" s="5">
        <v>67.527540259999995</v>
      </c>
      <c r="I152" s="5">
        <v>51.655736589999997</v>
      </c>
    </row>
    <row r="153" spans="1:9" ht="14.25" customHeight="1" x14ac:dyDescent="0.3">
      <c r="A153" t="s">
        <v>322</v>
      </c>
      <c r="B153" s="5">
        <v>82.905757859999994</v>
      </c>
      <c r="C153" s="5">
        <v>70.478375369999995</v>
      </c>
      <c r="D153" s="5">
        <v>80.471397609999997</v>
      </c>
      <c r="E153" s="5">
        <v>56.170812820000002</v>
      </c>
      <c r="F153" s="5">
        <v>80</v>
      </c>
      <c r="G153" s="5">
        <v>81.953759930000004</v>
      </c>
      <c r="H153" s="5">
        <v>76.435945610000005</v>
      </c>
      <c r="I153" s="5">
        <v>58.082969759999997</v>
      </c>
    </row>
    <row r="154" spans="1:9" ht="14.25" customHeight="1" x14ac:dyDescent="0.3">
      <c r="A154" t="s">
        <v>324</v>
      </c>
      <c r="B154" s="5">
        <v>81.9581132</v>
      </c>
      <c r="C154" s="5">
        <v>62.050094039999998</v>
      </c>
      <c r="D154" s="5">
        <v>71.894139379999999</v>
      </c>
      <c r="E154" s="5">
        <v>70.278182670000007</v>
      </c>
      <c r="F154" s="5">
        <v>93.185819690000002</v>
      </c>
      <c r="G154" s="5">
        <v>75.075051070000001</v>
      </c>
      <c r="H154" s="5">
        <v>79.033799689999995</v>
      </c>
      <c r="I154" s="5">
        <v>66.536454550000002</v>
      </c>
    </row>
    <row r="155" spans="1:9" ht="14.25" customHeight="1" x14ac:dyDescent="0.3">
      <c r="A155" t="s">
        <v>326</v>
      </c>
      <c r="B155" s="5">
        <v>87.194615089999999</v>
      </c>
      <c r="C155" s="5">
        <v>72.447946400000006</v>
      </c>
      <c r="D155" s="5">
        <v>84.527977430000007</v>
      </c>
      <c r="E155" s="5">
        <v>64.328422309999993</v>
      </c>
      <c r="F155" s="5">
        <v>94.943813809999995</v>
      </c>
      <c r="G155" s="5">
        <v>71.29061514</v>
      </c>
      <c r="H155" s="5">
        <v>71.366686349999995</v>
      </c>
      <c r="I155" s="5">
        <v>57.263879529999997</v>
      </c>
    </row>
    <row r="156" spans="1:9" ht="14.25" customHeight="1" x14ac:dyDescent="0.3">
      <c r="A156" t="s">
        <v>328</v>
      </c>
      <c r="B156" s="5">
        <v>86.532916200000003</v>
      </c>
      <c r="C156" s="5">
        <v>62.901995130000003</v>
      </c>
      <c r="D156" s="5">
        <v>70</v>
      </c>
      <c r="E156" s="5">
        <v>73.566627010000005</v>
      </c>
      <c r="F156" s="5">
        <v>91.126777279999999</v>
      </c>
      <c r="G156" s="5">
        <v>73.81585887</v>
      </c>
      <c r="H156" s="5">
        <v>70.767921540000003</v>
      </c>
      <c r="I156" s="5">
        <v>55.864537409999997</v>
      </c>
    </row>
    <row r="157" spans="1:9" ht="14.25" customHeight="1" x14ac:dyDescent="0.3">
      <c r="A157" t="s">
        <v>2193</v>
      </c>
      <c r="B157" s="5">
        <v>86.516388070000005</v>
      </c>
      <c r="C157" s="5">
        <v>66.3917249</v>
      </c>
      <c r="D157" s="5">
        <v>73.118028940000002</v>
      </c>
      <c r="E157" s="5">
        <v>63.919637100000003</v>
      </c>
      <c r="F157" s="5">
        <v>89.379508659999999</v>
      </c>
      <c r="G157" s="5">
        <v>84.790553320000001</v>
      </c>
      <c r="H157" s="5">
        <v>75.467013449999996</v>
      </c>
      <c r="I157" s="5">
        <v>63.774118420000001</v>
      </c>
    </row>
    <row r="158" spans="1:9" ht="14.25" customHeight="1" x14ac:dyDescent="0.3">
      <c r="A158" t="s">
        <v>2194</v>
      </c>
      <c r="B158" s="5">
        <v>85.481784610000005</v>
      </c>
      <c r="C158" s="5">
        <v>70.249937450000004</v>
      </c>
      <c r="D158" s="5">
        <v>73.395198019999995</v>
      </c>
      <c r="E158" s="5">
        <v>66.227163730000001</v>
      </c>
      <c r="F158" s="5">
        <v>95.166705339999993</v>
      </c>
      <c r="G158" s="5">
        <v>74.615979010000004</v>
      </c>
      <c r="H158" s="5">
        <v>67.114601789999995</v>
      </c>
      <c r="I158" s="5">
        <v>56.091241519999997</v>
      </c>
    </row>
    <row r="159" spans="1:9" ht="14.25" customHeight="1" x14ac:dyDescent="0.3">
      <c r="A159" t="s">
        <v>2195</v>
      </c>
      <c r="B159" s="5">
        <v>83.941666850000004</v>
      </c>
      <c r="C159" s="5">
        <v>69.994123729999998</v>
      </c>
      <c r="D159" s="5">
        <v>70.0312184</v>
      </c>
      <c r="E159" s="5">
        <v>67.190813539999994</v>
      </c>
      <c r="F159" s="5">
        <v>91.184334410000005</v>
      </c>
      <c r="G159" s="5">
        <v>82.766668199999998</v>
      </c>
      <c r="H159" s="5">
        <v>65.638310950000005</v>
      </c>
      <c r="I159" s="5">
        <v>55.206648010000002</v>
      </c>
    </row>
    <row r="160" spans="1:9" ht="14.25" customHeight="1" x14ac:dyDescent="0.3">
      <c r="A160" t="s">
        <v>2196</v>
      </c>
      <c r="B160" s="5">
        <v>90.330020489999995</v>
      </c>
      <c r="C160" s="5">
        <v>64.56933257</v>
      </c>
      <c r="D160" s="5">
        <v>79.934705730000005</v>
      </c>
      <c r="E160" s="5">
        <v>69.433572330000004</v>
      </c>
      <c r="F160" s="5">
        <v>90.128236849999993</v>
      </c>
      <c r="G160" s="5">
        <v>85</v>
      </c>
      <c r="H160" s="5">
        <v>73.65202755</v>
      </c>
      <c r="I160" s="5">
        <v>58.579985129999997</v>
      </c>
    </row>
    <row r="161" spans="1:9" ht="14.25" customHeight="1" x14ac:dyDescent="0.3">
      <c r="A161" t="s">
        <v>2197</v>
      </c>
      <c r="B161" s="5">
        <v>91.885192680000003</v>
      </c>
      <c r="C161" s="5">
        <v>60</v>
      </c>
      <c r="D161" s="5">
        <v>70</v>
      </c>
      <c r="E161" s="5">
        <v>61.450680820000002</v>
      </c>
      <c r="F161" s="5">
        <v>93.825520109999999</v>
      </c>
      <c r="G161" s="5">
        <v>85</v>
      </c>
      <c r="H161" s="5">
        <v>76.251117390000005</v>
      </c>
      <c r="I161" s="5">
        <v>53.939248419999998</v>
      </c>
    </row>
    <row r="162" spans="1:9" ht="14.25" customHeight="1" x14ac:dyDescent="0.3">
      <c r="A162" t="s">
        <v>2198</v>
      </c>
      <c r="B162" s="5">
        <v>76.288659499999994</v>
      </c>
      <c r="C162" s="5">
        <v>64.494677850000002</v>
      </c>
      <c r="D162" s="5">
        <v>79.857006929999997</v>
      </c>
      <c r="E162" s="5">
        <v>68.454356730000001</v>
      </c>
      <c r="F162" s="5">
        <v>88.162290409999997</v>
      </c>
      <c r="G162" s="5">
        <v>80.877185900000001</v>
      </c>
      <c r="H162" s="5">
        <v>74.696826040000005</v>
      </c>
      <c r="I162" s="5">
        <v>51.637114709999999</v>
      </c>
    </row>
    <row r="163" spans="1:9" ht="14.25" customHeight="1" x14ac:dyDescent="0.3">
      <c r="A163" t="s">
        <v>342</v>
      </c>
      <c r="B163" s="5">
        <v>85.832829320000002</v>
      </c>
      <c r="C163" s="5">
        <v>63.451296259999999</v>
      </c>
      <c r="D163" s="5">
        <v>77.163394049999994</v>
      </c>
      <c r="E163" s="5">
        <v>57.285886640000001</v>
      </c>
      <c r="F163" s="5">
        <v>92.789067779999996</v>
      </c>
      <c r="G163" s="5">
        <v>69.467395409999995</v>
      </c>
      <c r="H163" s="5">
        <v>74.818571559999995</v>
      </c>
      <c r="I163" s="5">
        <v>59.366540639999997</v>
      </c>
    </row>
    <row r="164" spans="1:9" ht="14.25" customHeight="1" x14ac:dyDescent="0.3">
      <c r="A164" t="s">
        <v>2199</v>
      </c>
      <c r="B164" s="5">
        <v>75</v>
      </c>
      <c r="C164" s="5">
        <v>74.191244310000002</v>
      </c>
      <c r="D164" s="5">
        <v>70</v>
      </c>
      <c r="E164" s="5">
        <v>59.668114060000001</v>
      </c>
      <c r="F164" s="5">
        <v>83.982186600000006</v>
      </c>
      <c r="G164" s="5">
        <v>81.074048989999994</v>
      </c>
      <c r="H164" s="5">
        <v>69.972631899999996</v>
      </c>
      <c r="I164" s="5">
        <v>66.997141060000004</v>
      </c>
    </row>
    <row r="165" spans="1:9" ht="14.25" customHeight="1" x14ac:dyDescent="0.3">
      <c r="A165" t="s">
        <v>2200</v>
      </c>
      <c r="B165" s="5">
        <v>80.445408319999999</v>
      </c>
      <c r="C165" s="5">
        <v>70.112944959999993</v>
      </c>
      <c r="D165" s="5">
        <v>80.080595500000001</v>
      </c>
      <c r="E165" s="5">
        <v>66.474027699999994</v>
      </c>
      <c r="F165" s="5">
        <v>87.027775599999998</v>
      </c>
      <c r="G165" s="5">
        <v>85</v>
      </c>
      <c r="H165" s="5">
        <v>67.528348870000002</v>
      </c>
      <c r="I165" s="5">
        <v>64.233054100000004</v>
      </c>
    </row>
    <row r="166" spans="1:9" ht="14.25" customHeight="1" x14ac:dyDescent="0.3">
      <c r="A166" t="s">
        <v>2201</v>
      </c>
      <c r="B166" s="5">
        <v>81.399019499999994</v>
      </c>
      <c r="C166" s="5">
        <v>60.172979230000003</v>
      </c>
      <c r="D166" s="5">
        <v>71.935692529999997</v>
      </c>
      <c r="E166" s="5">
        <v>70.157111490000005</v>
      </c>
      <c r="F166" s="5">
        <v>87.334788540000005</v>
      </c>
      <c r="G166" s="5">
        <v>75.039760380000004</v>
      </c>
      <c r="H166" s="5">
        <v>69.955961180000003</v>
      </c>
      <c r="I166" s="5">
        <v>69.021732349999994</v>
      </c>
    </row>
    <row r="167" spans="1:9" ht="14.25" customHeight="1" x14ac:dyDescent="0.3">
      <c r="A167" t="s">
        <v>350</v>
      </c>
      <c r="B167" s="5">
        <v>83.111294889999996</v>
      </c>
      <c r="C167" s="5">
        <v>63.980648479999999</v>
      </c>
      <c r="D167" s="5">
        <v>75.792509949999996</v>
      </c>
      <c r="E167" s="5">
        <v>68.500586699999999</v>
      </c>
      <c r="F167" s="5">
        <v>93.081434439999995</v>
      </c>
      <c r="G167" s="5">
        <v>65.229461810000004</v>
      </c>
      <c r="H167" s="5">
        <v>72.810185820000001</v>
      </c>
      <c r="I167" s="5">
        <v>64.638923500000004</v>
      </c>
    </row>
    <row r="168" spans="1:9" ht="14.25" customHeight="1" x14ac:dyDescent="0.3">
      <c r="A168" t="s">
        <v>2202</v>
      </c>
      <c r="B168" s="5">
        <v>84.311992259999997</v>
      </c>
      <c r="C168" s="5">
        <v>75.343547939999993</v>
      </c>
      <c r="D168" s="5">
        <v>76.98518661</v>
      </c>
      <c r="E168" s="5">
        <v>64.161263759999997</v>
      </c>
      <c r="F168" s="5">
        <v>92.650708019999996</v>
      </c>
      <c r="G168" s="5">
        <v>85</v>
      </c>
      <c r="H168" s="5">
        <v>65</v>
      </c>
      <c r="I168" s="5">
        <v>62.165580120000001</v>
      </c>
    </row>
    <row r="169" spans="1:9" ht="14.25" customHeight="1" x14ac:dyDescent="0.3">
      <c r="A169" t="s">
        <v>2203</v>
      </c>
      <c r="B169" s="5">
        <v>93.57099504</v>
      </c>
      <c r="C169" s="5">
        <v>63.61889223</v>
      </c>
      <c r="D169" s="5">
        <v>83.213938209999995</v>
      </c>
      <c r="E169" s="5">
        <v>56.929064769999997</v>
      </c>
      <c r="F169" s="5">
        <v>84.134326299999998</v>
      </c>
      <c r="G169" s="5">
        <v>76.916155660000001</v>
      </c>
      <c r="H169" s="5">
        <v>71.926923790000004</v>
      </c>
      <c r="I169" s="5">
        <v>50</v>
      </c>
    </row>
    <row r="170" spans="1:9" ht="14.25" customHeight="1" x14ac:dyDescent="0.3">
      <c r="A170" t="s">
        <v>2204</v>
      </c>
      <c r="B170" s="5">
        <v>84.141466399999999</v>
      </c>
      <c r="C170" s="5">
        <v>78.461478400000004</v>
      </c>
      <c r="D170" s="5">
        <v>72.802066960000005</v>
      </c>
      <c r="E170" s="5">
        <v>68.298338979999997</v>
      </c>
      <c r="F170" s="5">
        <v>99.9</v>
      </c>
      <c r="G170" s="5">
        <v>74.639370540000002</v>
      </c>
      <c r="H170" s="5">
        <v>65</v>
      </c>
      <c r="I170" s="5">
        <v>60.599092589999998</v>
      </c>
    </row>
    <row r="171" spans="1:9" ht="14.25" customHeight="1" x14ac:dyDescent="0.3">
      <c r="A171" t="s">
        <v>2205</v>
      </c>
      <c r="B171" s="5">
        <v>86.370312209999994</v>
      </c>
      <c r="C171" s="5">
        <v>74.037704730000002</v>
      </c>
      <c r="D171" s="5">
        <v>76.135645010000005</v>
      </c>
      <c r="E171" s="5">
        <v>64.268718820000004</v>
      </c>
      <c r="F171" s="5">
        <v>81.264458469999994</v>
      </c>
      <c r="G171" s="5">
        <v>79.597225800000004</v>
      </c>
      <c r="H171" s="5">
        <v>77.992151649999997</v>
      </c>
      <c r="I171" s="5">
        <v>50.908587519999998</v>
      </c>
    </row>
    <row r="172" spans="1:9" ht="14.25" customHeight="1" x14ac:dyDescent="0.3">
      <c r="A172" t="s">
        <v>360</v>
      </c>
      <c r="B172" s="5">
        <v>84.560327189999995</v>
      </c>
      <c r="C172" s="5">
        <v>69.070561530000006</v>
      </c>
      <c r="D172" s="5">
        <v>76.631235489999995</v>
      </c>
      <c r="E172" s="5">
        <v>67.728060619999994</v>
      </c>
      <c r="F172" s="5">
        <v>95.410822490000001</v>
      </c>
      <c r="G172" s="5">
        <v>85</v>
      </c>
      <c r="H172" s="5">
        <v>71.291920899999994</v>
      </c>
      <c r="I172" s="5">
        <v>62.12483967</v>
      </c>
    </row>
    <row r="173" spans="1:9" ht="14.25" customHeight="1" x14ac:dyDescent="0.3">
      <c r="A173" t="s">
        <v>2206</v>
      </c>
      <c r="B173" s="5">
        <v>80.748358069999995</v>
      </c>
      <c r="C173" s="5">
        <v>80</v>
      </c>
      <c r="D173" s="5">
        <v>70</v>
      </c>
      <c r="E173" s="5">
        <v>63.476688179999996</v>
      </c>
      <c r="F173" s="5">
        <v>87.713670780000001</v>
      </c>
      <c r="G173" s="5">
        <v>83.111586990000006</v>
      </c>
      <c r="H173" s="5">
        <v>68.279577059999994</v>
      </c>
      <c r="I173" s="5">
        <v>62.34372329</v>
      </c>
    </row>
    <row r="174" spans="1:9" ht="14.25" customHeight="1" x14ac:dyDescent="0.3">
      <c r="A174" t="s">
        <v>2207</v>
      </c>
      <c r="B174" s="5">
        <v>94.883574390000007</v>
      </c>
      <c r="C174" s="5">
        <v>70.207143889999998</v>
      </c>
      <c r="D174" s="5">
        <v>75.299082220000003</v>
      </c>
      <c r="E174" s="5">
        <v>73.97692936</v>
      </c>
      <c r="F174" s="5">
        <v>94.744477840000002</v>
      </c>
      <c r="G174" s="5">
        <v>85</v>
      </c>
      <c r="H174" s="5">
        <v>71.701559380000006</v>
      </c>
      <c r="I174" s="5">
        <v>69.227719089999994</v>
      </c>
    </row>
    <row r="175" spans="1:9" ht="14.25" customHeight="1" x14ac:dyDescent="0.3">
      <c r="A175" t="s">
        <v>2208</v>
      </c>
      <c r="B175" s="5">
        <v>83.094271250000006</v>
      </c>
      <c r="C175" s="5">
        <v>64.492443530000003</v>
      </c>
      <c r="D175" s="5">
        <v>78.019413520000001</v>
      </c>
      <c r="E175" s="5">
        <v>67.837452350000007</v>
      </c>
      <c r="F175" s="5">
        <v>89.934420320000001</v>
      </c>
      <c r="G175" s="5">
        <v>76.941657820000003</v>
      </c>
      <c r="H175" s="5">
        <v>69.326993860000002</v>
      </c>
      <c r="I175" s="5">
        <v>53.554494949999999</v>
      </c>
    </row>
    <row r="176" spans="1:9" ht="14.25" customHeight="1" x14ac:dyDescent="0.3">
      <c r="A176" t="s">
        <v>2209</v>
      </c>
      <c r="B176" s="5">
        <v>91.261103599999998</v>
      </c>
      <c r="C176" s="5">
        <v>65.008711989999995</v>
      </c>
      <c r="D176" s="5">
        <v>74.157482369999997</v>
      </c>
      <c r="E176" s="5">
        <v>71.24109009</v>
      </c>
      <c r="F176" s="5">
        <v>81.385764839999993</v>
      </c>
      <c r="G176" s="5">
        <v>80.769353159999994</v>
      </c>
      <c r="H176" s="5">
        <v>77.482465259999998</v>
      </c>
      <c r="I176" s="5">
        <v>52.774391569999999</v>
      </c>
    </row>
    <row r="177" spans="1:9" ht="14.25" customHeight="1" x14ac:dyDescent="0.3">
      <c r="A177" t="s">
        <v>2210</v>
      </c>
      <c r="B177" s="5">
        <v>84.979553780000003</v>
      </c>
      <c r="C177" s="5">
        <v>66.490627869999997</v>
      </c>
      <c r="D177" s="5">
        <v>79.154959939999998</v>
      </c>
      <c r="E177" s="5">
        <v>67.367067739999996</v>
      </c>
      <c r="F177" s="5">
        <v>94.978111659999996</v>
      </c>
      <c r="G177" s="5">
        <v>81.775970999999998</v>
      </c>
      <c r="H177" s="5">
        <v>76.116478839999999</v>
      </c>
      <c r="I177" s="5">
        <v>55.368677480000002</v>
      </c>
    </row>
    <row r="178" spans="1:9" ht="14.25" customHeight="1" x14ac:dyDescent="0.3">
      <c r="A178" t="s">
        <v>2211</v>
      </c>
      <c r="B178" s="5">
        <v>82.473481309999997</v>
      </c>
      <c r="C178" s="5">
        <v>73.08138769</v>
      </c>
      <c r="D178" s="5">
        <v>75.516795590000001</v>
      </c>
      <c r="E178" s="5">
        <v>62.172823630000003</v>
      </c>
      <c r="F178" s="5">
        <v>88.675771019999999</v>
      </c>
      <c r="G178" s="5">
        <v>79.434682330000001</v>
      </c>
      <c r="H178" s="5">
        <v>72.739820609999995</v>
      </c>
      <c r="I178" s="5">
        <v>59.379049639999998</v>
      </c>
    </row>
    <row r="179" spans="1:9" ht="14.25" customHeight="1" x14ac:dyDescent="0.3">
      <c r="A179" t="s">
        <v>2212</v>
      </c>
      <c r="B179" s="5">
        <v>75</v>
      </c>
      <c r="C179" s="5">
        <v>74.122847340000007</v>
      </c>
      <c r="D179" s="5">
        <v>81.461375709999999</v>
      </c>
      <c r="E179" s="5">
        <v>66.956338669999994</v>
      </c>
      <c r="F179" s="5">
        <v>85.094939490000002</v>
      </c>
      <c r="G179" s="5">
        <v>77.524857240000003</v>
      </c>
      <c r="H179" s="5">
        <v>74.898949459999997</v>
      </c>
      <c r="I179" s="5">
        <v>50</v>
      </c>
    </row>
    <row r="180" spans="1:9" ht="14.25" customHeight="1" x14ac:dyDescent="0.3">
      <c r="A180" t="s">
        <v>377</v>
      </c>
      <c r="B180" s="5">
        <v>75</v>
      </c>
      <c r="C180" s="5">
        <v>70.819245370000004</v>
      </c>
      <c r="D180" s="5">
        <v>70.864420580000001</v>
      </c>
      <c r="E180" s="5">
        <v>60.218045009999997</v>
      </c>
      <c r="F180" s="5">
        <v>80.906584120000005</v>
      </c>
      <c r="G180" s="5">
        <v>80.955772069999995</v>
      </c>
      <c r="H180" s="5">
        <v>65.65707587</v>
      </c>
      <c r="I180" s="5">
        <v>63.485246220000001</v>
      </c>
    </row>
    <row r="181" spans="1:9" ht="14.25" customHeight="1" x14ac:dyDescent="0.3">
      <c r="A181" t="s">
        <v>379</v>
      </c>
      <c r="B181" s="5">
        <v>92.095652869999995</v>
      </c>
      <c r="C181" s="5">
        <v>63.926077069999998</v>
      </c>
      <c r="D181" s="5">
        <v>83.647232250000002</v>
      </c>
      <c r="E181" s="5">
        <v>63.693205319999997</v>
      </c>
      <c r="F181" s="5">
        <v>90.660394210000007</v>
      </c>
      <c r="G181" s="5">
        <v>73.359782820000007</v>
      </c>
      <c r="H181" s="5">
        <v>73.279249710000002</v>
      </c>
      <c r="I181" s="5">
        <v>57.656059310000003</v>
      </c>
    </row>
    <row r="182" spans="1:9" ht="14.25" customHeight="1" x14ac:dyDescent="0.3">
      <c r="A182" t="s">
        <v>381</v>
      </c>
      <c r="B182" s="5">
        <v>88.574790199999995</v>
      </c>
      <c r="C182" s="5">
        <v>67.117018079999994</v>
      </c>
      <c r="D182" s="5">
        <v>83.707873190000001</v>
      </c>
      <c r="E182" s="5">
        <v>72.990214739999999</v>
      </c>
      <c r="F182" s="5">
        <v>96.303126719999995</v>
      </c>
      <c r="G182" s="5">
        <v>72.05736856</v>
      </c>
      <c r="H182" s="5">
        <v>71.155118130000005</v>
      </c>
      <c r="I182" s="5">
        <v>62.901040109999997</v>
      </c>
    </row>
    <row r="183" spans="1:9" ht="14.25" customHeight="1" x14ac:dyDescent="0.3">
      <c r="A183" t="s">
        <v>2213</v>
      </c>
      <c r="B183" s="5">
        <v>89.795153159999998</v>
      </c>
      <c r="C183" s="5">
        <v>72.405145349999998</v>
      </c>
      <c r="D183" s="5">
        <v>90</v>
      </c>
      <c r="E183" s="5">
        <v>68.596407900000003</v>
      </c>
      <c r="F183" s="5">
        <v>99.9</v>
      </c>
      <c r="G183" s="5">
        <v>82.397292190000002</v>
      </c>
      <c r="H183" s="5">
        <v>70.001469020000002</v>
      </c>
      <c r="I183" s="5">
        <v>54.630869310000001</v>
      </c>
    </row>
    <row r="184" spans="1:9" ht="14.25" customHeight="1" x14ac:dyDescent="0.3">
      <c r="A184" t="s">
        <v>2214</v>
      </c>
      <c r="B184" s="5">
        <v>83.967966989999994</v>
      </c>
      <c r="C184" s="5">
        <v>68.761229560000004</v>
      </c>
      <c r="D184" s="5">
        <v>78.458342799999997</v>
      </c>
      <c r="E184" s="5">
        <v>60.93354377</v>
      </c>
      <c r="F184" s="5">
        <v>90.890170909999995</v>
      </c>
      <c r="G184" s="5">
        <v>78.619723309999998</v>
      </c>
      <c r="H184" s="5">
        <v>66.191992830000004</v>
      </c>
      <c r="I184" s="5">
        <v>56.23805265</v>
      </c>
    </row>
    <row r="185" spans="1:9" ht="14.25" customHeight="1" x14ac:dyDescent="0.3">
      <c r="A185" t="s">
        <v>387</v>
      </c>
      <c r="B185" s="5">
        <v>88.128469260000003</v>
      </c>
      <c r="C185" s="5">
        <v>60.537388030000002</v>
      </c>
      <c r="D185" s="5">
        <v>72.530670799999996</v>
      </c>
      <c r="E185" s="5">
        <v>62.540465390000001</v>
      </c>
      <c r="F185" s="5">
        <v>99.9</v>
      </c>
      <c r="G185" s="5">
        <v>75.031686989999997</v>
      </c>
      <c r="H185" s="5">
        <v>68.088839840000006</v>
      </c>
      <c r="I185" s="5">
        <v>58.288879170000001</v>
      </c>
    </row>
    <row r="186" spans="1:9" ht="14.25" customHeight="1" x14ac:dyDescent="0.3">
      <c r="A186" t="s">
        <v>389</v>
      </c>
      <c r="B186" s="5">
        <v>78.638241780000001</v>
      </c>
      <c r="C186" s="5">
        <v>64.402135299999998</v>
      </c>
      <c r="D186" s="5">
        <v>78.412952829999995</v>
      </c>
      <c r="E186" s="5">
        <v>71.449884929999996</v>
      </c>
      <c r="F186" s="5">
        <v>99.9</v>
      </c>
      <c r="G186" s="5">
        <v>77.451795290000007</v>
      </c>
      <c r="H186" s="5">
        <v>69.284391909999997</v>
      </c>
      <c r="I186" s="5">
        <v>62.600599289999998</v>
      </c>
    </row>
    <row r="187" spans="1:9" ht="14.25" customHeight="1" x14ac:dyDescent="0.3">
      <c r="A187" t="s">
        <v>2215</v>
      </c>
      <c r="B187" s="5">
        <v>85.867891009999994</v>
      </c>
      <c r="C187" s="5">
        <v>72.243142539999994</v>
      </c>
      <c r="D187" s="5">
        <v>77.727792489999999</v>
      </c>
      <c r="E187" s="5">
        <v>63.354199889999997</v>
      </c>
      <c r="F187" s="5">
        <v>84.359922639999994</v>
      </c>
      <c r="G187" s="5">
        <v>73.244905900000006</v>
      </c>
      <c r="H187" s="5">
        <v>68.060146320000001</v>
      </c>
      <c r="I187" s="5">
        <v>52.003853280000001</v>
      </c>
    </row>
    <row r="188" spans="1:9" ht="14.25" customHeight="1" x14ac:dyDescent="0.3">
      <c r="A188" t="s">
        <v>393</v>
      </c>
      <c r="B188" s="5">
        <v>83.979177640000003</v>
      </c>
      <c r="C188" s="5">
        <v>60</v>
      </c>
      <c r="D188" s="5">
        <v>70</v>
      </c>
      <c r="E188" s="5">
        <v>70.886956100000006</v>
      </c>
      <c r="F188" s="5">
        <v>92.631706960000002</v>
      </c>
      <c r="G188" s="5">
        <v>76.873491529999995</v>
      </c>
      <c r="H188" s="5">
        <v>65</v>
      </c>
      <c r="I188" s="5">
        <v>52.9710356</v>
      </c>
    </row>
    <row r="189" spans="1:9" ht="14.25" customHeight="1" x14ac:dyDescent="0.3">
      <c r="A189" t="s">
        <v>2216</v>
      </c>
      <c r="B189" s="5">
        <v>81.493159910000003</v>
      </c>
      <c r="C189" s="5">
        <v>70.52169791</v>
      </c>
      <c r="D189" s="5">
        <v>72.488995410000001</v>
      </c>
      <c r="E189" s="5">
        <v>63.017484430000003</v>
      </c>
      <c r="F189" s="5">
        <v>99.9</v>
      </c>
      <c r="G189" s="5">
        <v>74.659179179999995</v>
      </c>
      <c r="H189" s="5">
        <v>75.937661390000002</v>
      </c>
      <c r="I189" s="5">
        <v>59.654566780000003</v>
      </c>
    </row>
    <row r="190" spans="1:9" ht="14.25" customHeight="1" x14ac:dyDescent="0.3">
      <c r="A190" t="s">
        <v>2217</v>
      </c>
      <c r="B190" s="5">
        <v>75</v>
      </c>
      <c r="C190" s="5">
        <v>71.6565777</v>
      </c>
      <c r="D190" s="5">
        <v>71.53568568</v>
      </c>
      <c r="E190" s="5">
        <v>68.11198263</v>
      </c>
      <c r="F190" s="5">
        <v>90.913713360000003</v>
      </c>
      <c r="G190" s="5">
        <v>78.288133889999997</v>
      </c>
      <c r="H190" s="5">
        <v>66.054471620000001</v>
      </c>
      <c r="I190" s="5">
        <v>57.96555489</v>
      </c>
    </row>
    <row r="191" spans="1:9" ht="14.25" customHeight="1" x14ac:dyDescent="0.3">
      <c r="A191" t="s">
        <v>2218</v>
      </c>
      <c r="B191" s="5">
        <v>90.132737289999994</v>
      </c>
      <c r="C191" s="5">
        <v>71.418915130000002</v>
      </c>
      <c r="D191" s="5">
        <v>70</v>
      </c>
      <c r="E191" s="5">
        <v>73.171813869999994</v>
      </c>
      <c r="F191" s="5">
        <v>87.080196099999995</v>
      </c>
      <c r="G191" s="5">
        <v>77.435490799999997</v>
      </c>
      <c r="H191" s="5">
        <v>70.01586519</v>
      </c>
      <c r="I191" s="5">
        <v>54.271774809999997</v>
      </c>
    </row>
    <row r="192" spans="1:9" ht="14.25" customHeight="1" x14ac:dyDescent="0.3">
      <c r="A192" t="s">
        <v>2219</v>
      </c>
      <c r="B192" s="5">
        <v>89.889769720000004</v>
      </c>
      <c r="C192" s="5">
        <v>67.679992440000007</v>
      </c>
      <c r="D192" s="5">
        <v>85.315805690000005</v>
      </c>
      <c r="E192" s="5">
        <v>72.578693470000005</v>
      </c>
      <c r="F192" s="5">
        <v>85.200475109999999</v>
      </c>
      <c r="G192" s="5">
        <v>82.696912310000002</v>
      </c>
      <c r="H192" s="5">
        <v>72.348058839999993</v>
      </c>
      <c r="I192" s="5">
        <v>50</v>
      </c>
    </row>
    <row r="193" spans="1:9" ht="14.25" customHeight="1" x14ac:dyDescent="0.3">
      <c r="A193" t="s">
        <v>2220</v>
      </c>
      <c r="B193" s="5">
        <v>84.562561650000006</v>
      </c>
      <c r="C193" s="5">
        <v>63.820042719999996</v>
      </c>
      <c r="D193" s="5">
        <v>84.197783819999998</v>
      </c>
      <c r="E193" s="5">
        <v>65.139584810000002</v>
      </c>
      <c r="F193" s="5">
        <v>83.848184660000001</v>
      </c>
      <c r="G193" s="5">
        <v>72.844035419999997</v>
      </c>
      <c r="H193" s="5">
        <v>75.486611030000006</v>
      </c>
      <c r="I193" s="5">
        <v>63.537459900000002</v>
      </c>
    </row>
    <row r="194" spans="1:9" ht="14.25" customHeight="1" x14ac:dyDescent="0.3">
      <c r="A194" t="s">
        <v>2221</v>
      </c>
      <c r="B194" s="5">
        <v>88.973415329999995</v>
      </c>
      <c r="C194" s="5">
        <v>60</v>
      </c>
      <c r="D194" s="5">
        <v>80.855168649999996</v>
      </c>
      <c r="E194" s="5">
        <v>67.409837859999996</v>
      </c>
      <c r="F194" s="5">
        <v>99.9</v>
      </c>
      <c r="G194" s="5">
        <v>79.988002129999998</v>
      </c>
      <c r="H194" s="5">
        <v>70.728341909999997</v>
      </c>
      <c r="I194" s="5">
        <v>50.13113405</v>
      </c>
    </row>
    <row r="195" spans="1:9" ht="14.25" customHeight="1" x14ac:dyDescent="0.3">
      <c r="A195" t="s">
        <v>2222</v>
      </c>
      <c r="B195" s="5">
        <v>84.47847702</v>
      </c>
      <c r="C195" s="5">
        <v>63.797427550000002</v>
      </c>
      <c r="D195" s="5">
        <v>75.758497680000005</v>
      </c>
      <c r="E195" s="5">
        <v>69.976062499999998</v>
      </c>
      <c r="F195" s="5">
        <v>95.53001845</v>
      </c>
      <c r="G195" s="5">
        <v>76.362793300000007</v>
      </c>
      <c r="H195" s="5">
        <v>67.171906840000005</v>
      </c>
      <c r="I195" s="5">
        <v>57.428532920000002</v>
      </c>
    </row>
    <row r="196" spans="1:9" ht="14.25" customHeight="1" x14ac:dyDescent="0.3">
      <c r="A196" t="s">
        <v>2223</v>
      </c>
      <c r="B196" s="5">
        <v>80.412048990000002</v>
      </c>
      <c r="C196" s="5">
        <v>68.261750599999999</v>
      </c>
      <c r="D196" s="5">
        <v>73.403357009999993</v>
      </c>
      <c r="E196" s="5">
        <v>70.45372261</v>
      </c>
      <c r="F196" s="5">
        <v>82.5062724</v>
      </c>
      <c r="G196" s="5">
        <v>65.62613125</v>
      </c>
      <c r="H196" s="5">
        <v>69.312364209999998</v>
      </c>
      <c r="I196" s="5">
        <v>61.917138559999998</v>
      </c>
    </row>
    <row r="197" spans="1:9" ht="14.25" customHeight="1" x14ac:dyDescent="0.3">
      <c r="A197" t="s">
        <v>411</v>
      </c>
      <c r="B197" s="5">
        <v>87.235277150000002</v>
      </c>
      <c r="C197" s="5">
        <v>64.964181550000006</v>
      </c>
      <c r="D197" s="5">
        <v>74.771487989999997</v>
      </c>
      <c r="E197" s="5">
        <v>66.364151030000002</v>
      </c>
      <c r="F197" s="5">
        <v>86.029331470000002</v>
      </c>
      <c r="G197" s="5">
        <v>71.581697309999996</v>
      </c>
      <c r="H197" s="5">
        <v>70.469780670000006</v>
      </c>
      <c r="I197" s="5">
        <v>54.756365879999997</v>
      </c>
    </row>
    <row r="198" spans="1:9" ht="14.25" customHeight="1" x14ac:dyDescent="0.3">
      <c r="A198" t="s">
        <v>2224</v>
      </c>
      <c r="B198" s="5">
        <v>90.023566509999995</v>
      </c>
      <c r="C198" s="5">
        <v>70.751348829999998</v>
      </c>
      <c r="D198" s="5">
        <v>80.576995629999999</v>
      </c>
      <c r="E198" s="5">
        <v>59.506390250000003</v>
      </c>
      <c r="F198" s="5">
        <v>84.653444230000005</v>
      </c>
      <c r="G198" s="5">
        <v>74.391411390000002</v>
      </c>
      <c r="H198" s="5">
        <v>70.653773380000004</v>
      </c>
      <c r="I198" s="5">
        <v>57.263426559999999</v>
      </c>
    </row>
    <row r="199" spans="1:9" ht="14.25" customHeight="1" x14ac:dyDescent="0.3">
      <c r="A199" t="s">
        <v>415</v>
      </c>
      <c r="B199" s="5">
        <v>82.014821999999995</v>
      </c>
      <c r="C199" s="5">
        <v>60</v>
      </c>
      <c r="D199" s="5">
        <v>83.51531233</v>
      </c>
      <c r="E199" s="5">
        <v>61.494882429999997</v>
      </c>
      <c r="F199" s="5">
        <v>91.878940439999994</v>
      </c>
      <c r="G199" s="5">
        <v>78.370627979999995</v>
      </c>
      <c r="H199" s="5">
        <v>67.628413960000003</v>
      </c>
      <c r="I199" s="5">
        <v>55.677062970000001</v>
      </c>
    </row>
    <row r="200" spans="1:9" ht="14.25" customHeight="1" x14ac:dyDescent="0.3">
      <c r="A200" t="s">
        <v>417</v>
      </c>
      <c r="B200" s="5">
        <v>83.611801</v>
      </c>
      <c r="C200" s="5">
        <v>66.984752970000002</v>
      </c>
      <c r="D200" s="5">
        <v>82.291154309999996</v>
      </c>
      <c r="E200" s="5">
        <v>71.890393720000006</v>
      </c>
      <c r="F200" s="5">
        <v>99.9</v>
      </c>
      <c r="G200" s="5">
        <v>76.422145839999999</v>
      </c>
      <c r="H200" s="5">
        <v>69.626700940000006</v>
      </c>
      <c r="I200" s="5">
        <v>67.177268859999998</v>
      </c>
    </row>
    <row r="201" spans="1:9" ht="14.25" customHeight="1" x14ac:dyDescent="0.3">
      <c r="A201" t="s">
        <v>2225</v>
      </c>
      <c r="B201" s="5">
        <v>80.391038039999998</v>
      </c>
      <c r="C201" s="5">
        <v>76.162504190000007</v>
      </c>
      <c r="D201" s="5">
        <v>74.377735139999999</v>
      </c>
      <c r="E201" s="5">
        <v>73.822588960000004</v>
      </c>
      <c r="F201" s="5">
        <v>93.276271039999997</v>
      </c>
      <c r="G201" s="5">
        <v>76.247894900000006</v>
      </c>
      <c r="H201" s="5">
        <v>69.200942139999995</v>
      </c>
      <c r="I201" s="5">
        <v>50</v>
      </c>
    </row>
    <row r="202" spans="1:9" ht="14.25" customHeight="1" x14ac:dyDescent="0.3">
      <c r="A202" t="s">
        <v>421</v>
      </c>
      <c r="B202" s="5">
        <v>90.991873909999995</v>
      </c>
      <c r="C202" s="5">
        <v>65.201839340000006</v>
      </c>
      <c r="D202" s="5">
        <v>70</v>
      </c>
      <c r="E202" s="5">
        <v>67.723875509999999</v>
      </c>
      <c r="F202" s="5">
        <v>89.937282909999993</v>
      </c>
      <c r="G202" s="5">
        <v>78.580782360000001</v>
      </c>
      <c r="H202" s="5">
        <v>65</v>
      </c>
      <c r="I202" s="5">
        <v>58.482632520000003</v>
      </c>
    </row>
    <row r="203" spans="1:9" ht="14.25" customHeight="1" x14ac:dyDescent="0.3">
      <c r="A203" t="s">
        <v>2226</v>
      </c>
      <c r="B203" s="5">
        <v>94.562070289999994</v>
      </c>
      <c r="C203" s="5">
        <v>67.919486190000001</v>
      </c>
      <c r="D203" s="5">
        <v>85.414079340000001</v>
      </c>
      <c r="E203" s="5">
        <v>70.769649180000002</v>
      </c>
      <c r="F203" s="5">
        <v>96.713516589999998</v>
      </c>
      <c r="G203" s="5">
        <v>73.255885140000004</v>
      </c>
      <c r="H203" s="5">
        <v>68.064838739999999</v>
      </c>
      <c r="I203" s="5">
        <v>60.820444969999997</v>
      </c>
    </row>
    <row r="204" spans="1:9" ht="14.25" customHeight="1" x14ac:dyDescent="0.3">
      <c r="A204" t="s">
        <v>425</v>
      </c>
      <c r="B204" s="5">
        <v>81.194732200000004</v>
      </c>
      <c r="C204" s="5">
        <v>80</v>
      </c>
      <c r="D204" s="5">
        <v>78.273943380000006</v>
      </c>
      <c r="E204" s="5">
        <v>66.985173369999998</v>
      </c>
      <c r="F204" s="5">
        <v>99.478283509999997</v>
      </c>
      <c r="G204" s="5">
        <v>77.063816239999994</v>
      </c>
      <c r="H204" s="5">
        <v>68.533067790000004</v>
      </c>
      <c r="I204" s="5">
        <v>50</v>
      </c>
    </row>
    <row r="205" spans="1:9" ht="14.25" customHeight="1" x14ac:dyDescent="0.3">
      <c r="A205" t="s">
        <v>2227</v>
      </c>
      <c r="B205" s="5">
        <v>85.337027550000002</v>
      </c>
      <c r="C205" s="5">
        <v>75.321914039999996</v>
      </c>
      <c r="D205" s="5">
        <v>80.751964650000005</v>
      </c>
      <c r="E205" s="5">
        <v>69.031172819999995</v>
      </c>
      <c r="F205" s="5">
        <v>84.330848189999998</v>
      </c>
      <c r="G205" s="5">
        <v>80.597787289999999</v>
      </c>
      <c r="H205" s="5">
        <v>65.343708789999994</v>
      </c>
      <c r="I205" s="5">
        <v>50</v>
      </c>
    </row>
    <row r="206" spans="1:9" ht="14.25" customHeight="1" x14ac:dyDescent="0.3">
      <c r="A206" t="s">
        <v>429</v>
      </c>
      <c r="B206" s="5">
        <v>85.458773170000001</v>
      </c>
      <c r="C206" s="5">
        <v>70.653345540000004</v>
      </c>
      <c r="D206" s="5">
        <v>73.407889019999999</v>
      </c>
      <c r="E206" s="5">
        <v>67.592665499999995</v>
      </c>
      <c r="F206" s="5">
        <v>99.9</v>
      </c>
      <c r="G206" s="5">
        <v>84.610771839999998</v>
      </c>
      <c r="H206" s="5">
        <v>72.595919019999997</v>
      </c>
      <c r="I206" s="5">
        <v>56.584915909999999</v>
      </c>
    </row>
    <row r="207" spans="1:9" ht="14.25" customHeight="1" x14ac:dyDescent="0.3">
      <c r="A207" t="s">
        <v>2228</v>
      </c>
      <c r="B207" s="5">
        <v>81.171503439999995</v>
      </c>
      <c r="C207" s="5">
        <v>65.956043589999993</v>
      </c>
      <c r="D207" s="5">
        <v>70</v>
      </c>
      <c r="E207" s="5">
        <v>64.333356859999995</v>
      </c>
      <c r="F207" s="5">
        <v>91.500725040000006</v>
      </c>
      <c r="G207" s="5">
        <v>78.886869090000005</v>
      </c>
      <c r="H207" s="5">
        <v>67.107257739999994</v>
      </c>
      <c r="I207" s="5">
        <v>70</v>
      </c>
    </row>
    <row r="208" spans="1:9" ht="14.25" customHeight="1" x14ac:dyDescent="0.3">
      <c r="A208" t="s">
        <v>433</v>
      </c>
      <c r="B208" s="5">
        <v>87.754539789999995</v>
      </c>
      <c r="C208" s="5">
        <v>61.38054108</v>
      </c>
      <c r="D208" s="5">
        <v>82.73368232</v>
      </c>
      <c r="E208" s="5">
        <v>65.822374449999998</v>
      </c>
      <c r="F208" s="5">
        <v>89.312035789999996</v>
      </c>
      <c r="G208" s="5">
        <v>83.186745959999996</v>
      </c>
      <c r="H208" s="5">
        <v>74.857822709999994</v>
      </c>
      <c r="I208" s="5">
        <v>64.382629890000004</v>
      </c>
    </row>
    <row r="209" spans="1:9" ht="14.25" customHeight="1" x14ac:dyDescent="0.3">
      <c r="A209" t="s">
        <v>435</v>
      </c>
      <c r="B209" s="5">
        <v>84.156447420000006</v>
      </c>
      <c r="C209" s="5">
        <v>73.179023090000001</v>
      </c>
      <c r="D209" s="5">
        <v>81.373337179999993</v>
      </c>
      <c r="E209" s="5">
        <v>61.716651749999997</v>
      </c>
      <c r="F209" s="5">
        <v>89.276915770000002</v>
      </c>
      <c r="G209" s="5">
        <v>74.638605769999998</v>
      </c>
      <c r="H209" s="5">
        <v>77.432950230000003</v>
      </c>
      <c r="I209" s="5">
        <v>59.735841000000001</v>
      </c>
    </row>
    <row r="210" spans="1:9" ht="14.25" customHeight="1" x14ac:dyDescent="0.3">
      <c r="A210" t="s">
        <v>2229</v>
      </c>
      <c r="B210" s="5">
        <v>79.760589150000001</v>
      </c>
      <c r="C210" s="5">
        <v>72.908185119999999</v>
      </c>
      <c r="D210" s="5">
        <v>78.543117199999998</v>
      </c>
      <c r="E210" s="5">
        <v>59.271720420000001</v>
      </c>
      <c r="F210" s="5">
        <v>92.089285410000002</v>
      </c>
      <c r="G210" s="5">
        <v>73.963232640000001</v>
      </c>
      <c r="H210" s="5">
        <v>70.780723820000006</v>
      </c>
      <c r="I210" s="5">
        <v>51.465626700000001</v>
      </c>
    </row>
    <row r="211" spans="1:9" ht="14.25" customHeight="1" x14ac:dyDescent="0.3">
      <c r="A211" t="s">
        <v>2230</v>
      </c>
      <c r="B211" s="5">
        <v>84.855911680000006</v>
      </c>
      <c r="C211" s="5">
        <v>69.921018239999995</v>
      </c>
      <c r="D211" s="5">
        <v>73.382733040000005</v>
      </c>
      <c r="E211" s="5">
        <v>65.642790329999997</v>
      </c>
      <c r="F211" s="5">
        <v>92.882880779999994</v>
      </c>
      <c r="G211" s="5">
        <v>78.314792080000004</v>
      </c>
      <c r="H211" s="5">
        <v>67.339512810000002</v>
      </c>
      <c r="I211" s="5">
        <v>55.782162659999997</v>
      </c>
    </row>
    <row r="212" spans="1:9" ht="14.25" customHeight="1" x14ac:dyDescent="0.3">
      <c r="A212" t="s">
        <v>2231</v>
      </c>
      <c r="B212" s="5">
        <v>92.479264729999997</v>
      </c>
      <c r="C212" s="5">
        <v>70.24382842</v>
      </c>
      <c r="D212" s="5">
        <v>73.660501670000002</v>
      </c>
      <c r="E212" s="5">
        <v>72.235612040000007</v>
      </c>
      <c r="F212" s="5">
        <v>82.228348940000004</v>
      </c>
      <c r="G212" s="5">
        <v>73.542073810000005</v>
      </c>
      <c r="H212" s="5">
        <v>67.388828660000001</v>
      </c>
      <c r="I212" s="5">
        <v>56.091679929999998</v>
      </c>
    </row>
    <row r="213" spans="1:9" ht="14.25" customHeight="1" x14ac:dyDescent="0.3">
      <c r="A213" t="s">
        <v>2232</v>
      </c>
      <c r="B213" s="5">
        <v>75</v>
      </c>
      <c r="C213" s="5">
        <v>72.316748090000004</v>
      </c>
      <c r="D213" s="5">
        <v>81.192079509999999</v>
      </c>
      <c r="E213" s="5">
        <v>67.190934429999999</v>
      </c>
      <c r="F213" s="5">
        <v>86.63065813</v>
      </c>
      <c r="G213" s="5">
        <v>76.110341669999997</v>
      </c>
      <c r="H213" s="5">
        <v>77.665023230000003</v>
      </c>
      <c r="I213" s="5">
        <v>53.663354380000001</v>
      </c>
    </row>
    <row r="214" spans="1:9" ht="14.25" customHeight="1" x14ac:dyDescent="0.3">
      <c r="A214" t="s">
        <v>447</v>
      </c>
      <c r="B214" s="5">
        <v>93.033923169999994</v>
      </c>
      <c r="C214" s="5">
        <v>72.202705269999996</v>
      </c>
      <c r="D214" s="5">
        <v>73.130546109999997</v>
      </c>
      <c r="E214" s="5">
        <v>68.594059659999999</v>
      </c>
      <c r="F214" s="5">
        <v>91.823899780000005</v>
      </c>
      <c r="G214" s="5">
        <v>81.984049150000004</v>
      </c>
      <c r="H214" s="5">
        <v>71.321374030000001</v>
      </c>
      <c r="I214" s="5">
        <v>57.319026780000002</v>
      </c>
    </row>
    <row r="215" spans="1:9" ht="14.25" customHeight="1" x14ac:dyDescent="0.3">
      <c r="A215" t="s">
        <v>449</v>
      </c>
      <c r="B215" s="5">
        <v>83.761449170000006</v>
      </c>
      <c r="C215" s="5">
        <v>73.903689200000002</v>
      </c>
      <c r="D215" s="5">
        <v>70</v>
      </c>
      <c r="E215" s="5">
        <v>55.277154959999997</v>
      </c>
      <c r="F215" s="5">
        <v>85.336364630000006</v>
      </c>
      <c r="G215" s="5">
        <v>77.966070529999996</v>
      </c>
      <c r="H215" s="5">
        <v>68.138830150000004</v>
      </c>
      <c r="I215" s="5">
        <v>70</v>
      </c>
    </row>
    <row r="216" spans="1:9" ht="14.25" customHeight="1" x14ac:dyDescent="0.3">
      <c r="A216" t="s">
        <v>451</v>
      </c>
      <c r="B216" s="5">
        <v>86.245571530000007</v>
      </c>
      <c r="C216" s="5">
        <v>68.750883729999998</v>
      </c>
      <c r="D216" s="5">
        <v>71.138585070000005</v>
      </c>
      <c r="E216" s="5">
        <v>65.942212359999999</v>
      </c>
      <c r="F216" s="5">
        <v>86.001749860000004</v>
      </c>
      <c r="G216" s="5">
        <v>85</v>
      </c>
      <c r="H216" s="5">
        <v>68.742426100000003</v>
      </c>
      <c r="I216" s="5">
        <v>50</v>
      </c>
    </row>
    <row r="217" spans="1:9" ht="14.25" customHeight="1" x14ac:dyDescent="0.3">
      <c r="A217" t="s">
        <v>2233</v>
      </c>
      <c r="B217" s="5">
        <v>81.586771970000001</v>
      </c>
      <c r="C217" s="5">
        <v>60.004607030000003</v>
      </c>
      <c r="D217" s="5">
        <v>75.089527509999996</v>
      </c>
      <c r="E217" s="5">
        <v>64.664229719999994</v>
      </c>
      <c r="F217" s="5">
        <v>86.652203180000001</v>
      </c>
      <c r="G217" s="5">
        <v>74.8047988</v>
      </c>
      <c r="H217" s="5">
        <v>69.386514349999999</v>
      </c>
      <c r="I217" s="5">
        <v>59.60072005</v>
      </c>
    </row>
    <row r="218" spans="1:9" ht="14.25" customHeight="1" x14ac:dyDescent="0.3">
      <c r="A218" t="s">
        <v>2234</v>
      </c>
      <c r="B218" s="5">
        <v>82.288507339999995</v>
      </c>
      <c r="C218" s="5">
        <v>77.079798120000007</v>
      </c>
      <c r="D218" s="5">
        <v>70</v>
      </c>
      <c r="E218" s="5">
        <v>69.319751960000005</v>
      </c>
      <c r="F218" s="5">
        <v>87.810209709999995</v>
      </c>
      <c r="G218" s="5">
        <v>71.688164659999998</v>
      </c>
      <c r="H218" s="5">
        <v>67.138495699999993</v>
      </c>
      <c r="I218" s="5">
        <v>52.62442051</v>
      </c>
    </row>
    <row r="219" spans="1:9" ht="14.25" customHeight="1" x14ac:dyDescent="0.3">
      <c r="A219" t="s">
        <v>2235</v>
      </c>
      <c r="B219" s="5">
        <v>88.896593289999998</v>
      </c>
      <c r="C219" s="5">
        <v>65.218197180000004</v>
      </c>
      <c r="D219" s="5">
        <v>70.263144409999995</v>
      </c>
      <c r="E219" s="5">
        <v>62.83333184</v>
      </c>
      <c r="F219" s="5">
        <v>93.679423630000002</v>
      </c>
      <c r="G219" s="5">
        <v>85</v>
      </c>
      <c r="H219" s="5">
        <v>76.293393649999999</v>
      </c>
      <c r="I219" s="5">
        <v>53.09498439</v>
      </c>
    </row>
    <row r="220" spans="1:9" ht="14.25" customHeight="1" x14ac:dyDescent="0.3">
      <c r="A220" t="s">
        <v>2236</v>
      </c>
      <c r="B220" s="5">
        <v>89.333140229999998</v>
      </c>
      <c r="C220" s="5">
        <v>65.900417469999994</v>
      </c>
      <c r="D220" s="5">
        <v>70</v>
      </c>
      <c r="E220" s="5">
        <v>69.941239719999999</v>
      </c>
      <c r="F220" s="5">
        <v>99.08038569</v>
      </c>
      <c r="G220" s="5">
        <v>84.001188540000001</v>
      </c>
      <c r="H220" s="5">
        <v>71.207294640000001</v>
      </c>
      <c r="I220" s="5">
        <v>50.103714689999997</v>
      </c>
    </row>
    <row r="221" spans="1:9" ht="14.25" customHeight="1" x14ac:dyDescent="0.3">
      <c r="A221" t="s">
        <v>2237</v>
      </c>
      <c r="B221" s="5">
        <v>87.025054150000003</v>
      </c>
      <c r="C221" s="5">
        <v>60</v>
      </c>
      <c r="D221" s="5">
        <v>75.070424650000007</v>
      </c>
      <c r="E221" s="5">
        <v>55.85854338</v>
      </c>
      <c r="F221" s="5">
        <v>96.337171409999996</v>
      </c>
      <c r="G221" s="5">
        <v>85</v>
      </c>
      <c r="H221" s="5">
        <v>67.44768723</v>
      </c>
      <c r="I221" s="5">
        <v>50</v>
      </c>
    </row>
    <row r="222" spans="1:9" ht="14.25" customHeight="1" x14ac:dyDescent="0.3">
      <c r="A222" t="s">
        <v>463</v>
      </c>
      <c r="B222" s="5">
        <v>84.419188120000001</v>
      </c>
      <c r="C222" s="5">
        <v>60</v>
      </c>
      <c r="D222" s="5">
        <v>70</v>
      </c>
      <c r="E222" s="5">
        <v>65.484841180000004</v>
      </c>
      <c r="F222" s="5">
        <v>89.789359250000004</v>
      </c>
      <c r="G222" s="5">
        <v>85</v>
      </c>
      <c r="H222" s="5">
        <v>71.643594609999994</v>
      </c>
      <c r="I222" s="5">
        <v>60.142575780000001</v>
      </c>
    </row>
    <row r="223" spans="1:9" ht="14.25" customHeight="1" x14ac:dyDescent="0.3">
      <c r="A223" t="s">
        <v>2238</v>
      </c>
      <c r="B223" s="5">
        <v>89.865038479999996</v>
      </c>
      <c r="C223" s="5">
        <v>60.821949850000003</v>
      </c>
      <c r="D223" s="5">
        <v>70</v>
      </c>
      <c r="E223" s="5">
        <v>69.779954939999996</v>
      </c>
      <c r="F223" s="5">
        <v>81.504229330000001</v>
      </c>
      <c r="G223" s="5">
        <v>78.490661380000006</v>
      </c>
      <c r="H223" s="5">
        <v>72.479346590000006</v>
      </c>
      <c r="I223" s="5">
        <v>64.601657369999998</v>
      </c>
    </row>
    <row r="224" spans="1:9" ht="14.25" customHeight="1" x14ac:dyDescent="0.3">
      <c r="A224" t="s">
        <v>467</v>
      </c>
      <c r="B224" s="5">
        <v>82.168582529999995</v>
      </c>
      <c r="C224" s="5">
        <v>67.205210280000003</v>
      </c>
      <c r="D224" s="5">
        <v>78.809719290000004</v>
      </c>
      <c r="E224" s="5">
        <v>62.367041729999997</v>
      </c>
      <c r="F224" s="5">
        <v>90.796812090000003</v>
      </c>
      <c r="G224" s="5">
        <v>74.000027880000005</v>
      </c>
      <c r="H224" s="5">
        <v>71.094154860000003</v>
      </c>
      <c r="I224" s="5">
        <v>67.667721560000004</v>
      </c>
    </row>
    <row r="225" spans="1:9" ht="14.25" customHeight="1" x14ac:dyDescent="0.3">
      <c r="A225" t="s">
        <v>2239</v>
      </c>
      <c r="B225" s="5">
        <v>84.67655542</v>
      </c>
      <c r="C225" s="5">
        <v>68.131714239999994</v>
      </c>
      <c r="D225" s="5">
        <v>82.740466679999997</v>
      </c>
      <c r="E225" s="5">
        <v>72.009457670000003</v>
      </c>
      <c r="F225" s="5">
        <v>87.815135560000002</v>
      </c>
      <c r="G225" s="5">
        <v>66.800371040000002</v>
      </c>
      <c r="H225" s="5">
        <v>70.457384930000003</v>
      </c>
      <c r="I225" s="5">
        <v>60.99453089</v>
      </c>
    </row>
    <row r="226" spans="1:9" ht="14.25" customHeight="1" x14ac:dyDescent="0.3">
      <c r="A226" t="s">
        <v>471</v>
      </c>
      <c r="B226" s="5">
        <v>82.840585110000006</v>
      </c>
      <c r="C226" s="5">
        <v>69.048073919999993</v>
      </c>
      <c r="D226" s="5">
        <v>80.88701141</v>
      </c>
      <c r="E226" s="5">
        <v>68.511928459999993</v>
      </c>
      <c r="F226" s="5">
        <v>86.505445100000003</v>
      </c>
      <c r="G226" s="5">
        <v>78.591462460000002</v>
      </c>
      <c r="H226" s="5">
        <v>65.946060599999996</v>
      </c>
      <c r="I226" s="5">
        <v>60.146838410000001</v>
      </c>
    </row>
    <row r="227" spans="1:9" ht="14.25" customHeight="1" x14ac:dyDescent="0.3">
      <c r="A227" t="s">
        <v>2240</v>
      </c>
      <c r="B227" s="5">
        <v>82.288291630000003</v>
      </c>
      <c r="C227" s="5">
        <v>64.44685106</v>
      </c>
      <c r="D227" s="5">
        <v>75.051744659999997</v>
      </c>
      <c r="E227" s="5">
        <v>66.868430689999997</v>
      </c>
      <c r="F227" s="5">
        <v>82.732921039999994</v>
      </c>
      <c r="G227" s="5">
        <v>78.203869589999996</v>
      </c>
      <c r="H227" s="5">
        <v>70.288324759999995</v>
      </c>
      <c r="I227" s="5">
        <v>63.585956690000003</v>
      </c>
    </row>
    <row r="228" spans="1:9" ht="14.25" customHeight="1" x14ac:dyDescent="0.3">
      <c r="A228" t="s">
        <v>2241</v>
      </c>
      <c r="B228" s="5">
        <v>85.343022980000001</v>
      </c>
      <c r="C228" s="5">
        <v>61.33786362</v>
      </c>
      <c r="D228" s="5">
        <v>80.234636109999997</v>
      </c>
      <c r="E228" s="5">
        <v>66.483022770000005</v>
      </c>
      <c r="F228" s="5">
        <v>82.872128919999994</v>
      </c>
      <c r="G228" s="5">
        <v>82.218704169999995</v>
      </c>
      <c r="H228" s="5">
        <v>69.07511581</v>
      </c>
      <c r="I228" s="5">
        <v>50</v>
      </c>
    </row>
    <row r="229" spans="1:9" ht="14.25" customHeight="1" x14ac:dyDescent="0.3">
      <c r="A229" t="s">
        <v>477</v>
      </c>
      <c r="B229" s="5">
        <v>82.397869389999997</v>
      </c>
      <c r="C229" s="5">
        <v>79.383048079999995</v>
      </c>
      <c r="D229" s="5">
        <v>79.590918310000006</v>
      </c>
      <c r="E229" s="5">
        <v>69.859038499999997</v>
      </c>
      <c r="F229" s="5">
        <v>94.059761710000004</v>
      </c>
      <c r="G229" s="5">
        <v>81.224553319999998</v>
      </c>
      <c r="H229" s="5">
        <v>72.396336969999993</v>
      </c>
      <c r="I229" s="5">
        <v>58.009448710000001</v>
      </c>
    </row>
    <row r="230" spans="1:9" ht="14.25" customHeight="1" x14ac:dyDescent="0.3">
      <c r="A230" t="s">
        <v>479</v>
      </c>
      <c r="B230" s="5">
        <v>75.773156950000001</v>
      </c>
      <c r="C230" s="5">
        <v>61.443256920000003</v>
      </c>
      <c r="D230" s="5">
        <v>84.445422879999995</v>
      </c>
      <c r="E230" s="5">
        <v>68.739205269999999</v>
      </c>
      <c r="F230" s="5">
        <v>85.093166179999997</v>
      </c>
      <c r="G230" s="5">
        <v>81.172712399999995</v>
      </c>
      <c r="H230" s="5">
        <v>70.621270060000001</v>
      </c>
      <c r="I230" s="5">
        <v>66.909858569999997</v>
      </c>
    </row>
    <row r="231" spans="1:9" ht="14.25" customHeight="1" x14ac:dyDescent="0.3">
      <c r="A231" t="s">
        <v>2242</v>
      </c>
      <c r="B231" s="5">
        <v>92.356135460000004</v>
      </c>
      <c r="C231" s="5">
        <v>69.035594509999996</v>
      </c>
      <c r="D231" s="5">
        <v>70</v>
      </c>
      <c r="E231" s="5">
        <v>65.648643140000004</v>
      </c>
      <c r="F231" s="5">
        <v>91.008646959999993</v>
      </c>
      <c r="G231" s="5">
        <v>82.183533949999998</v>
      </c>
      <c r="H231" s="5">
        <v>66.752572790000002</v>
      </c>
      <c r="I231" s="5">
        <v>60.922009959999997</v>
      </c>
    </row>
    <row r="232" spans="1:9" ht="14.25" customHeight="1" x14ac:dyDescent="0.3">
      <c r="A232" t="s">
        <v>483</v>
      </c>
      <c r="B232" s="5">
        <v>82.355349869999998</v>
      </c>
      <c r="C232" s="5">
        <v>72.253007569999994</v>
      </c>
      <c r="D232" s="5">
        <v>73.81440345</v>
      </c>
      <c r="E232" s="5">
        <v>68.287176209999998</v>
      </c>
      <c r="F232" s="5">
        <v>99.393762409999994</v>
      </c>
      <c r="G232" s="5">
        <v>79.024106459999999</v>
      </c>
      <c r="H232" s="5">
        <v>69.49281028</v>
      </c>
      <c r="I232" s="5">
        <v>67.436531099999996</v>
      </c>
    </row>
    <row r="233" spans="1:9" ht="14.25" customHeight="1" x14ac:dyDescent="0.3">
      <c r="A233" t="s">
        <v>2243</v>
      </c>
      <c r="B233" s="5">
        <v>95.719510749999998</v>
      </c>
      <c r="C233" s="5">
        <v>75.909041020000004</v>
      </c>
      <c r="D233" s="5">
        <v>70</v>
      </c>
      <c r="E233" s="5">
        <v>60.836695200000001</v>
      </c>
      <c r="F233" s="5">
        <v>80</v>
      </c>
      <c r="G233" s="5">
        <v>84.055806450000006</v>
      </c>
      <c r="H233" s="5">
        <v>72.533170819999995</v>
      </c>
      <c r="I233" s="5">
        <v>55.26673392</v>
      </c>
    </row>
    <row r="234" spans="1:9" ht="14.25" customHeight="1" x14ac:dyDescent="0.3">
      <c r="A234" t="s">
        <v>2244</v>
      </c>
      <c r="B234" s="5">
        <v>75.773145459999995</v>
      </c>
      <c r="C234" s="5">
        <v>76.406340839999999</v>
      </c>
      <c r="D234" s="5">
        <v>73.566826539999994</v>
      </c>
      <c r="E234" s="5">
        <v>56.160130590000001</v>
      </c>
      <c r="F234" s="5">
        <v>83.226124850000005</v>
      </c>
      <c r="G234" s="5">
        <v>77.40610787</v>
      </c>
      <c r="H234" s="5">
        <v>75.535278570000003</v>
      </c>
      <c r="I234" s="5">
        <v>53.862244939999997</v>
      </c>
    </row>
    <row r="235" spans="1:9" ht="14.25" customHeight="1" x14ac:dyDescent="0.3">
      <c r="A235" t="s">
        <v>489</v>
      </c>
      <c r="B235" s="5">
        <v>86.004465350000004</v>
      </c>
      <c r="C235" s="5">
        <v>66.585501590000007</v>
      </c>
      <c r="D235" s="5">
        <v>73.913586539999997</v>
      </c>
      <c r="E235" s="5">
        <v>66.299697269999996</v>
      </c>
      <c r="F235" s="5">
        <v>86.950475769999997</v>
      </c>
      <c r="G235" s="5">
        <v>74.53101384</v>
      </c>
      <c r="H235" s="5">
        <v>68.879243979999998</v>
      </c>
      <c r="I235" s="5">
        <v>53.608794340000003</v>
      </c>
    </row>
    <row r="236" spans="1:9" ht="14.25" customHeight="1" x14ac:dyDescent="0.3">
      <c r="A236" t="s">
        <v>2245</v>
      </c>
      <c r="B236" s="5">
        <v>92.016264109999995</v>
      </c>
      <c r="C236" s="5">
        <v>80</v>
      </c>
      <c r="D236" s="5">
        <v>85.791305739999999</v>
      </c>
      <c r="E236" s="5">
        <v>69.061064090000002</v>
      </c>
      <c r="F236" s="5">
        <v>80</v>
      </c>
      <c r="G236" s="5">
        <v>78.409910920000002</v>
      </c>
      <c r="H236" s="5">
        <v>68.645409520000001</v>
      </c>
      <c r="I236" s="5">
        <v>50</v>
      </c>
    </row>
    <row r="237" spans="1:9" ht="14.25" customHeight="1" x14ac:dyDescent="0.3">
      <c r="A237" t="s">
        <v>493</v>
      </c>
      <c r="B237" s="5">
        <v>85.115088360000001</v>
      </c>
      <c r="C237" s="5">
        <v>65.314799320000006</v>
      </c>
      <c r="D237" s="5">
        <v>83.857208999999997</v>
      </c>
      <c r="E237" s="5">
        <v>69.106279130000004</v>
      </c>
      <c r="F237" s="5">
        <v>95.095628590000004</v>
      </c>
      <c r="G237" s="5">
        <v>78.854456799999994</v>
      </c>
      <c r="H237" s="5">
        <v>65</v>
      </c>
      <c r="I237" s="5">
        <v>50.890751629999997</v>
      </c>
    </row>
    <row r="238" spans="1:9" ht="14.25" customHeight="1" x14ac:dyDescent="0.3">
      <c r="A238" t="s">
        <v>2246</v>
      </c>
      <c r="B238" s="5">
        <v>91.66310824</v>
      </c>
      <c r="C238" s="5">
        <v>65.595411080000005</v>
      </c>
      <c r="D238" s="5">
        <v>76.092566329999997</v>
      </c>
      <c r="E238" s="5">
        <v>60.193912869999998</v>
      </c>
      <c r="F238" s="5">
        <v>93.120716790000003</v>
      </c>
      <c r="G238" s="5">
        <v>85</v>
      </c>
      <c r="H238" s="5">
        <v>72.633790059999995</v>
      </c>
      <c r="I238" s="5">
        <v>61.424800689999998</v>
      </c>
    </row>
    <row r="239" spans="1:9" ht="14.25" customHeight="1" x14ac:dyDescent="0.3">
      <c r="A239" t="s">
        <v>2247</v>
      </c>
      <c r="B239" s="5">
        <v>87.508720150000002</v>
      </c>
      <c r="C239" s="5">
        <v>75.643950419999996</v>
      </c>
      <c r="D239" s="5">
        <v>70</v>
      </c>
      <c r="E239" s="5">
        <v>73.172561049999999</v>
      </c>
      <c r="F239" s="5">
        <v>95.588173569999995</v>
      </c>
      <c r="G239" s="5">
        <v>83.680823540000006</v>
      </c>
      <c r="H239" s="5">
        <v>74.913554959999999</v>
      </c>
      <c r="I239" s="5">
        <v>55.478216639999999</v>
      </c>
    </row>
    <row r="240" spans="1:9" ht="14.25" customHeight="1" x14ac:dyDescent="0.3">
      <c r="A240" t="s">
        <v>2248</v>
      </c>
      <c r="B240" s="5">
        <v>80.177421359999997</v>
      </c>
      <c r="C240" s="5">
        <v>74.961046600000003</v>
      </c>
      <c r="D240" s="5">
        <v>74.958754420000005</v>
      </c>
      <c r="E240" s="5">
        <v>68.596965479999994</v>
      </c>
      <c r="F240" s="5">
        <v>82.225604410000003</v>
      </c>
      <c r="G240" s="5">
        <v>74.478538479999997</v>
      </c>
      <c r="H240" s="5">
        <v>67.511450859999997</v>
      </c>
      <c r="I240" s="5">
        <v>60.248254109999998</v>
      </c>
    </row>
    <row r="241" spans="1:9" ht="14.25" customHeight="1" x14ac:dyDescent="0.3">
      <c r="A241" t="s">
        <v>2249</v>
      </c>
      <c r="B241" s="5">
        <v>85.805062340000006</v>
      </c>
      <c r="C241" s="5">
        <v>72.534881170000006</v>
      </c>
      <c r="D241" s="5">
        <v>88.724679379999998</v>
      </c>
      <c r="E241" s="5">
        <v>61.99321054</v>
      </c>
      <c r="F241" s="5">
        <v>92.914847300000005</v>
      </c>
      <c r="G241" s="5">
        <v>79.486691919999998</v>
      </c>
      <c r="H241" s="5">
        <v>68.89648803</v>
      </c>
      <c r="I241" s="5">
        <v>60.051692959999997</v>
      </c>
    </row>
    <row r="242" spans="1:9" ht="14.25" customHeight="1" x14ac:dyDescent="0.3">
      <c r="A242" t="s">
        <v>2250</v>
      </c>
      <c r="B242" s="5">
        <v>90.182664200000005</v>
      </c>
      <c r="C242" s="5">
        <v>74.36544404</v>
      </c>
      <c r="D242" s="5">
        <v>76.17817119</v>
      </c>
      <c r="E242" s="5">
        <v>75</v>
      </c>
      <c r="F242" s="5">
        <v>99.9</v>
      </c>
      <c r="G242" s="5">
        <v>85</v>
      </c>
      <c r="H242" s="5">
        <v>65.539464769999995</v>
      </c>
      <c r="I242" s="5">
        <v>62.135893379999999</v>
      </c>
    </row>
    <row r="243" spans="1:9" ht="14.25" customHeight="1" x14ac:dyDescent="0.3">
      <c r="A243" t="s">
        <v>2251</v>
      </c>
      <c r="B243" s="5">
        <v>75.87921833</v>
      </c>
      <c r="C243" s="5">
        <v>69.434238559999997</v>
      </c>
      <c r="D243" s="5">
        <v>77.217792000000003</v>
      </c>
      <c r="E243" s="5">
        <v>68.990551740000001</v>
      </c>
      <c r="F243" s="5">
        <v>95.347232669999997</v>
      </c>
      <c r="G243" s="5">
        <v>76.398142949999993</v>
      </c>
      <c r="H243" s="5">
        <v>77.497587940000003</v>
      </c>
      <c r="I243" s="5">
        <v>61.429701540000003</v>
      </c>
    </row>
    <row r="244" spans="1:9" ht="14.25" customHeight="1" x14ac:dyDescent="0.3">
      <c r="A244" t="s">
        <v>507</v>
      </c>
      <c r="B244" s="5">
        <v>97.546615489999994</v>
      </c>
      <c r="C244" s="5">
        <v>63.434898259999997</v>
      </c>
      <c r="D244" s="5">
        <v>74.226256789999994</v>
      </c>
      <c r="E244" s="5">
        <v>62.254904830000001</v>
      </c>
      <c r="F244" s="5">
        <v>89.021165589999995</v>
      </c>
      <c r="G244" s="5">
        <v>65</v>
      </c>
      <c r="H244" s="5">
        <v>76.436769260000005</v>
      </c>
      <c r="I244" s="5">
        <v>52.662892069999998</v>
      </c>
    </row>
    <row r="245" spans="1:9" ht="14.25" customHeight="1" x14ac:dyDescent="0.3">
      <c r="A245" t="s">
        <v>2252</v>
      </c>
      <c r="B245" s="5">
        <v>83.344916679999997</v>
      </c>
      <c r="C245" s="5">
        <v>78.272604759999993</v>
      </c>
      <c r="D245" s="5">
        <v>83.332403900000003</v>
      </c>
      <c r="E245" s="5">
        <v>75</v>
      </c>
      <c r="F245" s="5">
        <v>83.518831300000002</v>
      </c>
      <c r="G245" s="5">
        <v>78.309067200000001</v>
      </c>
      <c r="H245" s="5">
        <v>67.865038720000001</v>
      </c>
      <c r="I245" s="5">
        <v>56.414930869999999</v>
      </c>
    </row>
    <row r="246" spans="1:9" ht="14.25" customHeight="1" x14ac:dyDescent="0.3">
      <c r="A246" t="s">
        <v>2253</v>
      </c>
      <c r="B246" s="5">
        <v>89.521651489999996</v>
      </c>
      <c r="C246" s="5">
        <v>75.158267940000002</v>
      </c>
      <c r="D246" s="5">
        <v>81.228836650000005</v>
      </c>
      <c r="E246" s="5">
        <v>74.113316949999998</v>
      </c>
      <c r="F246" s="5">
        <v>90.919157870000006</v>
      </c>
      <c r="G246" s="5">
        <v>83.999343920000001</v>
      </c>
      <c r="H246" s="5">
        <v>66.601245719999994</v>
      </c>
      <c r="I246" s="5">
        <v>52.857003939999998</v>
      </c>
    </row>
    <row r="247" spans="1:9" ht="14.25" customHeight="1" x14ac:dyDescent="0.3">
      <c r="A247" t="s">
        <v>2254</v>
      </c>
      <c r="B247" s="5">
        <v>95.822804129999994</v>
      </c>
      <c r="C247" s="5">
        <v>66.054595230000004</v>
      </c>
      <c r="D247" s="5">
        <v>79.924984159999994</v>
      </c>
      <c r="E247" s="5">
        <v>68.658870190000002</v>
      </c>
      <c r="F247" s="5">
        <v>86.665440380000007</v>
      </c>
      <c r="G247" s="5">
        <v>82.320874059999994</v>
      </c>
      <c r="H247" s="5">
        <v>66.806075440000001</v>
      </c>
      <c r="I247" s="5">
        <v>52.225083699999999</v>
      </c>
    </row>
    <row r="248" spans="1:9" ht="14.25" customHeight="1" x14ac:dyDescent="0.3">
      <c r="A248" t="s">
        <v>2255</v>
      </c>
      <c r="B248" s="5">
        <v>82.927173150000002</v>
      </c>
      <c r="C248" s="5">
        <v>64.011066450000001</v>
      </c>
      <c r="D248" s="5">
        <v>72.876398660000007</v>
      </c>
      <c r="E248" s="5">
        <v>68.196279880000006</v>
      </c>
      <c r="F248" s="5">
        <v>88.702910099999997</v>
      </c>
      <c r="G248" s="5">
        <v>77.694670560000006</v>
      </c>
      <c r="H248" s="5">
        <v>65.681245309999994</v>
      </c>
      <c r="I248" s="5">
        <v>60.6583921</v>
      </c>
    </row>
    <row r="249" spans="1:9" ht="14.25" customHeight="1" x14ac:dyDescent="0.3">
      <c r="A249" t="s">
        <v>2256</v>
      </c>
      <c r="B249" s="5">
        <v>86.042076219999998</v>
      </c>
      <c r="C249" s="5">
        <v>69.033263270000006</v>
      </c>
      <c r="D249" s="5">
        <v>70</v>
      </c>
      <c r="E249" s="5">
        <v>61.106882079999998</v>
      </c>
      <c r="F249" s="5">
        <v>91.173245269999995</v>
      </c>
      <c r="G249" s="5">
        <v>79.914533390000003</v>
      </c>
      <c r="H249" s="5">
        <v>70.513044140000005</v>
      </c>
      <c r="I249" s="5">
        <v>50.868980190000002</v>
      </c>
    </row>
    <row r="250" spans="1:9" ht="14.25" customHeight="1" x14ac:dyDescent="0.3">
      <c r="A250" t="s">
        <v>519</v>
      </c>
      <c r="B250" s="5">
        <v>82.222360739999999</v>
      </c>
      <c r="C250" s="5">
        <v>70.330292330000006</v>
      </c>
      <c r="D250" s="5">
        <v>78.284239560000003</v>
      </c>
      <c r="E250" s="5">
        <v>65.236681070000003</v>
      </c>
      <c r="F250" s="5">
        <v>89.305933100000004</v>
      </c>
      <c r="G250" s="5">
        <v>78.122443259999997</v>
      </c>
      <c r="H250" s="5">
        <v>73.794719000000001</v>
      </c>
      <c r="I250" s="5">
        <v>69.47478898</v>
      </c>
    </row>
    <row r="251" spans="1:9" ht="14.25" customHeight="1" x14ac:dyDescent="0.3">
      <c r="A251" t="s">
        <v>2257</v>
      </c>
      <c r="B251" s="5">
        <v>81.159908680000001</v>
      </c>
      <c r="C251" s="5">
        <v>72.692875670000006</v>
      </c>
      <c r="D251" s="5">
        <v>70</v>
      </c>
      <c r="E251" s="5">
        <v>58.75351371</v>
      </c>
      <c r="F251" s="5">
        <v>98.06828582</v>
      </c>
      <c r="G251" s="5">
        <v>79.169200529999998</v>
      </c>
      <c r="H251" s="5">
        <v>66.955602650000003</v>
      </c>
      <c r="I251" s="5">
        <v>50</v>
      </c>
    </row>
    <row r="252" spans="1:9" ht="14.25" customHeight="1" x14ac:dyDescent="0.3">
      <c r="A252" t="s">
        <v>2258</v>
      </c>
      <c r="B252" s="5">
        <v>96.012965609999995</v>
      </c>
      <c r="C252" s="5">
        <v>79.695458979999998</v>
      </c>
      <c r="D252" s="5">
        <v>75.857291559999993</v>
      </c>
      <c r="E252" s="5">
        <v>66.812782220000003</v>
      </c>
      <c r="F252" s="5">
        <v>87.450800720000004</v>
      </c>
      <c r="G252" s="5">
        <v>84.485642380000002</v>
      </c>
      <c r="H252" s="5">
        <v>71.296326809999996</v>
      </c>
      <c r="I252" s="5">
        <v>62.999236359999998</v>
      </c>
    </row>
    <row r="253" spans="1:9" ht="14.25" customHeight="1" x14ac:dyDescent="0.3">
      <c r="A253" t="s">
        <v>2259</v>
      </c>
      <c r="B253" s="5">
        <v>88.501714070000006</v>
      </c>
      <c r="C253" s="5">
        <v>64.892120520000006</v>
      </c>
      <c r="D253" s="5">
        <v>85.806535819999993</v>
      </c>
      <c r="E253" s="5">
        <v>69.914267910000007</v>
      </c>
      <c r="F253" s="5">
        <v>97.018342180000005</v>
      </c>
      <c r="G253" s="5">
        <v>76.48421372</v>
      </c>
      <c r="H253" s="5">
        <v>70.523508280000001</v>
      </c>
      <c r="I253" s="5">
        <v>70</v>
      </c>
    </row>
    <row r="254" spans="1:9" ht="14.25" customHeight="1" x14ac:dyDescent="0.3">
      <c r="A254" t="s">
        <v>2260</v>
      </c>
      <c r="B254" s="5">
        <v>84.430602530000002</v>
      </c>
      <c r="C254" s="5">
        <v>64.585493700000001</v>
      </c>
      <c r="D254" s="5">
        <v>79.817658140000006</v>
      </c>
      <c r="E254" s="5">
        <v>63.255859200000003</v>
      </c>
      <c r="F254" s="5">
        <v>99.283428760000007</v>
      </c>
      <c r="G254" s="5">
        <v>84.802668310000001</v>
      </c>
      <c r="H254" s="5">
        <v>68.866711949999996</v>
      </c>
      <c r="I254" s="5">
        <v>58.914265139999998</v>
      </c>
    </row>
    <row r="255" spans="1:9" ht="14.25" customHeight="1" x14ac:dyDescent="0.3">
      <c r="A255" t="s">
        <v>2261</v>
      </c>
      <c r="B255" s="5">
        <v>80.291750780000001</v>
      </c>
      <c r="C255" s="5">
        <v>62.56430787</v>
      </c>
      <c r="D255" s="5">
        <v>79.200702269999994</v>
      </c>
      <c r="E255" s="5">
        <v>68.795083599999998</v>
      </c>
      <c r="F255" s="5">
        <v>92.704640999999995</v>
      </c>
      <c r="G255" s="5">
        <v>74.664957869999995</v>
      </c>
      <c r="H255" s="5">
        <v>78.115144720000004</v>
      </c>
      <c r="I255" s="5">
        <v>57.138502510000002</v>
      </c>
    </row>
    <row r="256" spans="1:9" ht="14.25" customHeight="1" x14ac:dyDescent="0.3">
      <c r="A256" t="s">
        <v>2262</v>
      </c>
      <c r="B256" s="5">
        <v>79.849247149999997</v>
      </c>
      <c r="C256" s="5">
        <v>60</v>
      </c>
      <c r="D256" s="5">
        <v>80.743906499999994</v>
      </c>
      <c r="E256" s="5">
        <v>60.729870310000003</v>
      </c>
      <c r="F256" s="5">
        <v>90.388610569999997</v>
      </c>
      <c r="G256" s="5">
        <v>79.919010830000005</v>
      </c>
      <c r="H256" s="5">
        <v>71.234707909999997</v>
      </c>
      <c r="I256" s="5">
        <v>50.991094879999999</v>
      </c>
    </row>
    <row r="257" spans="1:9" ht="14.25" customHeight="1" x14ac:dyDescent="0.3">
      <c r="A257" t="s">
        <v>2263</v>
      </c>
      <c r="B257" s="5">
        <v>88.096102419999994</v>
      </c>
      <c r="C257" s="5">
        <v>74.659273279999994</v>
      </c>
      <c r="D257" s="5">
        <v>76.348455150000007</v>
      </c>
      <c r="E257" s="5">
        <v>63.416233759999997</v>
      </c>
      <c r="F257" s="5">
        <v>85.178608310000001</v>
      </c>
      <c r="G257" s="5">
        <v>74.476800499999996</v>
      </c>
      <c r="H257" s="5">
        <v>77.016459839999996</v>
      </c>
      <c r="I257" s="5">
        <v>58.360179049999999</v>
      </c>
    </row>
    <row r="258" spans="1:9" ht="14.25" customHeight="1" x14ac:dyDescent="0.3">
      <c r="A258" t="s">
        <v>535</v>
      </c>
      <c r="B258" s="5">
        <v>90.301153720000002</v>
      </c>
      <c r="C258" s="5">
        <v>60</v>
      </c>
      <c r="D258" s="5">
        <v>78.591262909999998</v>
      </c>
      <c r="E258" s="5">
        <v>67.17955336</v>
      </c>
      <c r="F258" s="5">
        <v>80.017010540000001</v>
      </c>
      <c r="G258" s="5">
        <v>83.360720819999997</v>
      </c>
      <c r="H258" s="5">
        <v>70.530277429999998</v>
      </c>
      <c r="I258" s="5">
        <v>50</v>
      </c>
    </row>
    <row r="259" spans="1:9" ht="14.25" customHeight="1" x14ac:dyDescent="0.3">
      <c r="A259" t="s">
        <v>537</v>
      </c>
      <c r="B259" s="5">
        <v>82.409180480000003</v>
      </c>
      <c r="C259" s="5">
        <v>76.564967480000007</v>
      </c>
      <c r="D259" s="5">
        <v>87.638453080000005</v>
      </c>
      <c r="E259" s="5">
        <v>68.892725319999997</v>
      </c>
      <c r="F259" s="5">
        <v>88.306307910000001</v>
      </c>
      <c r="G259" s="5">
        <v>78.632381210000005</v>
      </c>
      <c r="H259" s="5">
        <v>77.214439189999993</v>
      </c>
      <c r="I259" s="5">
        <v>58.523568160000004</v>
      </c>
    </row>
    <row r="260" spans="1:9" ht="14.25" customHeight="1" x14ac:dyDescent="0.3">
      <c r="A260" t="s">
        <v>539</v>
      </c>
      <c r="B260" s="5">
        <v>80.287980289999993</v>
      </c>
      <c r="C260" s="5">
        <v>73.048442460000004</v>
      </c>
      <c r="D260" s="5">
        <v>70</v>
      </c>
      <c r="E260" s="5">
        <v>70.107858809999996</v>
      </c>
      <c r="F260" s="5">
        <v>99.9</v>
      </c>
      <c r="G260" s="5">
        <v>83.791991929999995</v>
      </c>
      <c r="H260" s="5">
        <v>68.074934900000002</v>
      </c>
      <c r="I260" s="5">
        <v>50</v>
      </c>
    </row>
    <row r="261" spans="1:9" ht="14.25" customHeight="1" x14ac:dyDescent="0.3">
      <c r="A261" t="s">
        <v>541</v>
      </c>
      <c r="B261" s="5">
        <v>92.857113949999999</v>
      </c>
      <c r="C261" s="5">
        <v>73.730983170000002</v>
      </c>
      <c r="D261" s="5">
        <v>75.901536059999998</v>
      </c>
      <c r="E261" s="5">
        <v>57.358433580000003</v>
      </c>
      <c r="F261" s="5">
        <v>96.787803190000005</v>
      </c>
      <c r="G261" s="5">
        <v>79.294871000000001</v>
      </c>
      <c r="H261" s="5">
        <v>69.228269479999994</v>
      </c>
      <c r="I261" s="5">
        <v>50</v>
      </c>
    </row>
    <row r="262" spans="1:9" ht="14.25" customHeight="1" x14ac:dyDescent="0.3">
      <c r="A262" t="s">
        <v>543</v>
      </c>
      <c r="B262" s="5">
        <v>84.762193150000002</v>
      </c>
      <c r="C262" s="5">
        <v>64.287854820000007</v>
      </c>
      <c r="D262" s="5">
        <v>72.208736680000001</v>
      </c>
      <c r="E262" s="5">
        <v>55</v>
      </c>
      <c r="F262" s="5">
        <v>96.166271370000004</v>
      </c>
      <c r="G262" s="5">
        <v>84.695728720000005</v>
      </c>
      <c r="H262" s="5">
        <v>77.911966739999997</v>
      </c>
      <c r="I262" s="5">
        <v>50.985540139999998</v>
      </c>
    </row>
    <row r="263" spans="1:9" ht="14.25" customHeight="1" x14ac:dyDescent="0.3">
      <c r="A263" t="s">
        <v>545</v>
      </c>
      <c r="B263" s="5">
        <v>84.151229020000002</v>
      </c>
      <c r="C263" s="5">
        <v>71.003091339999997</v>
      </c>
      <c r="D263" s="5">
        <v>87.164596509999996</v>
      </c>
      <c r="E263" s="5">
        <v>65.064070689999994</v>
      </c>
      <c r="F263" s="5">
        <v>84.345495360000001</v>
      </c>
      <c r="G263" s="5">
        <v>76.352271610000003</v>
      </c>
      <c r="H263" s="5">
        <v>71.975214730000005</v>
      </c>
      <c r="I263" s="5">
        <v>58.957387359999998</v>
      </c>
    </row>
    <row r="264" spans="1:9" ht="14.25" customHeight="1" x14ac:dyDescent="0.3">
      <c r="A264" t="s">
        <v>2264</v>
      </c>
      <c r="B264" s="5">
        <v>87.885438129999997</v>
      </c>
      <c r="C264" s="5">
        <v>73.92711894</v>
      </c>
      <c r="D264" s="5">
        <v>77.766549650000002</v>
      </c>
      <c r="E264" s="5">
        <v>67.849650350000005</v>
      </c>
      <c r="F264" s="5">
        <v>99.9</v>
      </c>
      <c r="G264" s="5">
        <v>83.540350590000003</v>
      </c>
      <c r="H264" s="5">
        <v>65.045274809999995</v>
      </c>
      <c r="I264" s="5">
        <v>62.374693659999998</v>
      </c>
    </row>
    <row r="265" spans="1:9" ht="14.25" customHeight="1" x14ac:dyDescent="0.3">
      <c r="A265" t="s">
        <v>550</v>
      </c>
      <c r="B265" s="5">
        <v>88.596177690000005</v>
      </c>
      <c r="C265" s="5">
        <v>63.125025909999998</v>
      </c>
      <c r="D265" s="5">
        <v>73.848816459999995</v>
      </c>
      <c r="E265" s="5">
        <v>70.198055659999994</v>
      </c>
      <c r="F265" s="5">
        <v>99.9</v>
      </c>
      <c r="G265" s="5">
        <v>77.732817920000002</v>
      </c>
      <c r="H265" s="5">
        <v>77.584531769999998</v>
      </c>
      <c r="I265" s="5">
        <v>59.818881619999999</v>
      </c>
    </row>
    <row r="266" spans="1:9" ht="14.25" customHeight="1" x14ac:dyDescent="0.3">
      <c r="A266" t="s">
        <v>552</v>
      </c>
      <c r="B266" s="5">
        <v>91.122484779999994</v>
      </c>
      <c r="C266" s="5">
        <v>73.904884359999997</v>
      </c>
      <c r="D266" s="5">
        <v>70</v>
      </c>
      <c r="E266" s="5">
        <v>61.852370180000001</v>
      </c>
      <c r="F266" s="5">
        <v>99.9</v>
      </c>
      <c r="G266" s="5">
        <v>69.969356480000002</v>
      </c>
      <c r="H266" s="5">
        <v>66.266599400000004</v>
      </c>
      <c r="I266" s="5">
        <v>58.984773869999998</v>
      </c>
    </row>
    <row r="267" spans="1:9" ht="14.25" customHeight="1" x14ac:dyDescent="0.3">
      <c r="A267" t="s">
        <v>2265</v>
      </c>
      <c r="B267" s="5">
        <v>96.776441779999999</v>
      </c>
      <c r="C267" s="5">
        <v>72.387218570000002</v>
      </c>
      <c r="D267" s="5">
        <v>86.180224089999996</v>
      </c>
      <c r="E267" s="5">
        <v>64.974992049999997</v>
      </c>
      <c r="F267" s="5">
        <v>86.300323140000003</v>
      </c>
      <c r="G267" s="5">
        <v>78.478232969999993</v>
      </c>
      <c r="H267" s="5">
        <v>65</v>
      </c>
      <c r="I267" s="5">
        <v>60.77828324</v>
      </c>
    </row>
    <row r="268" spans="1:9" ht="14.25" customHeight="1" x14ac:dyDescent="0.3">
      <c r="A268" t="s">
        <v>2266</v>
      </c>
      <c r="B268" s="5">
        <v>85.389548559999994</v>
      </c>
      <c r="C268" s="5">
        <v>70.264323329999996</v>
      </c>
      <c r="D268" s="5">
        <v>70</v>
      </c>
      <c r="E268" s="5">
        <v>65.198609189999999</v>
      </c>
      <c r="F268" s="5">
        <v>99.9</v>
      </c>
      <c r="G268" s="5">
        <v>74.625216609999995</v>
      </c>
      <c r="H268" s="5">
        <v>73.184775950000002</v>
      </c>
      <c r="I268" s="5">
        <v>61.697594070000001</v>
      </c>
    </row>
    <row r="269" spans="1:9" ht="14.25" customHeight="1" x14ac:dyDescent="0.3">
      <c r="A269" t="s">
        <v>2267</v>
      </c>
      <c r="B269" s="5">
        <v>86.612911690000004</v>
      </c>
      <c r="C269" s="5">
        <v>65.615338629999997</v>
      </c>
      <c r="D269" s="5">
        <v>70</v>
      </c>
      <c r="E269" s="5">
        <v>68.739499289999998</v>
      </c>
      <c r="F269" s="5">
        <v>99.9</v>
      </c>
      <c r="G269" s="5">
        <v>70.071486239999999</v>
      </c>
      <c r="H269" s="5">
        <v>74.989589230000007</v>
      </c>
      <c r="I269" s="5">
        <v>57.000298229999999</v>
      </c>
    </row>
    <row r="270" spans="1:9" ht="14.25" customHeight="1" x14ac:dyDescent="0.3">
      <c r="A270" t="s">
        <v>2268</v>
      </c>
      <c r="B270" s="5">
        <v>92.837682569999998</v>
      </c>
      <c r="C270" s="5">
        <v>72.090782660000002</v>
      </c>
      <c r="D270" s="5">
        <v>70</v>
      </c>
      <c r="E270" s="5">
        <v>68.404025270000005</v>
      </c>
      <c r="F270" s="5">
        <v>96.402398070000004</v>
      </c>
      <c r="G270" s="5">
        <v>76.645968719999999</v>
      </c>
      <c r="H270" s="5">
        <v>67.821528389999997</v>
      </c>
      <c r="I270" s="5">
        <v>66.254633200000001</v>
      </c>
    </row>
    <row r="271" spans="1:9" ht="14.25" customHeight="1" x14ac:dyDescent="0.3">
      <c r="A271" t="s">
        <v>2269</v>
      </c>
      <c r="B271" s="5">
        <v>86.693210750000006</v>
      </c>
      <c r="C271" s="5">
        <v>67.325655990000001</v>
      </c>
      <c r="D271" s="5">
        <v>71.40562018</v>
      </c>
      <c r="E271" s="5">
        <v>65.435390859999998</v>
      </c>
      <c r="F271" s="5">
        <v>85.231307240000007</v>
      </c>
      <c r="G271" s="5">
        <v>75.275513450000005</v>
      </c>
      <c r="H271" s="5">
        <v>69.060719280000001</v>
      </c>
      <c r="I271" s="5">
        <v>55.38578588</v>
      </c>
    </row>
    <row r="272" spans="1:9" ht="14.25" customHeight="1" x14ac:dyDescent="0.3">
      <c r="A272" t="s">
        <v>565</v>
      </c>
      <c r="B272" s="5">
        <v>87.73404884</v>
      </c>
      <c r="C272" s="5">
        <v>61.212600879999997</v>
      </c>
      <c r="D272" s="5">
        <v>87.754112469999995</v>
      </c>
      <c r="E272" s="5">
        <v>71.928416889999994</v>
      </c>
      <c r="F272" s="5">
        <v>99.9</v>
      </c>
      <c r="G272" s="5">
        <v>74.164457510000005</v>
      </c>
      <c r="H272" s="5">
        <v>66.326534710000004</v>
      </c>
      <c r="I272" s="5">
        <v>52.861772530000003</v>
      </c>
    </row>
    <row r="273" spans="1:9" ht="14.25" customHeight="1" x14ac:dyDescent="0.3">
      <c r="A273" t="s">
        <v>2270</v>
      </c>
      <c r="B273" s="5">
        <v>84.915205130000004</v>
      </c>
      <c r="C273" s="5">
        <v>67.162198680000003</v>
      </c>
      <c r="D273" s="5">
        <v>73.678706989999995</v>
      </c>
      <c r="E273" s="5">
        <v>57.939585540000003</v>
      </c>
      <c r="F273" s="5">
        <v>82.935167320000005</v>
      </c>
      <c r="G273" s="5">
        <v>74.997605460000003</v>
      </c>
      <c r="H273" s="5">
        <v>75.292239600000002</v>
      </c>
      <c r="I273" s="5">
        <v>50.873859330000002</v>
      </c>
    </row>
    <row r="274" spans="1:9" ht="14.25" customHeight="1" x14ac:dyDescent="0.3">
      <c r="A274" t="s">
        <v>2271</v>
      </c>
      <c r="B274" s="5">
        <v>84.327987710000002</v>
      </c>
      <c r="C274" s="5">
        <v>72.349585110000007</v>
      </c>
      <c r="D274" s="5">
        <v>76.443271030000005</v>
      </c>
      <c r="E274" s="5">
        <v>55</v>
      </c>
      <c r="F274" s="5">
        <v>99.301056880000004</v>
      </c>
      <c r="G274" s="5">
        <v>81.776062809999999</v>
      </c>
      <c r="H274" s="5">
        <v>70.081998089999999</v>
      </c>
      <c r="I274" s="5">
        <v>52.458410809999997</v>
      </c>
    </row>
    <row r="275" spans="1:9" ht="14.25" customHeight="1" x14ac:dyDescent="0.3">
      <c r="A275" t="s">
        <v>2272</v>
      </c>
      <c r="B275" s="5">
        <v>85.966330670000005</v>
      </c>
      <c r="C275" s="5">
        <v>67.805398719999999</v>
      </c>
      <c r="D275" s="5">
        <v>70</v>
      </c>
      <c r="E275" s="5">
        <v>63.596183439999997</v>
      </c>
      <c r="F275" s="5">
        <v>85.601506999999998</v>
      </c>
      <c r="G275" s="5">
        <v>75.795547839999998</v>
      </c>
      <c r="H275" s="5">
        <v>72.742102310000007</v>
      </c>
      <c r="I275" s="5">
        <v>55.216836039999997</v>
      </c>
    </row>
    <row r="276" spans="1:9" ht="14.25" customHeight="1" x14ac:dyDescent="0.3">
      <c r="A276" t="s">
        <v>2273</v>
      </c>
      <c r="B276" s="5">
        <v>87.890633919999999</v>
      </c>
      <c r="C276" s="5">
        <v>67.793072249999994</v>
      </c>
      <c r="D276" s="5">
        <v>87.737325929999997</v>
      </c>
      <c r="E276" s="5">
        <v>70.734904889999996</v>
      </c>
      <c r="F276" s="5">
        <v>98.525082209999994</v>
      </c>
      <c r="G276" s="5">
        <v>76.141582740000004</v>
      </c>
      <c r="H276" s="5">
        <v>71.075713789999995</v>
      </c>
      <c r="I276" s="5">
        <v>54.260694049999998</v>
      </c>
    </row>
    <row r="277" spans="1:9" ht="14.25" customHeight="1" x14ac:dyDescent="0.3">
      <c r="A277" t="s">
        <v>2274</v>
      </c>
      <c r="B277" s="5">
        <v>92.534958869999997</v>
      </c>
      <c r="C277" s="5">
        <v>75.318497609999994</v>
      </c>
      <c r="D277" s="5">
        <v>86.220466090000002</v>
      </c>
      <c r="E277" s="5">
        <v>70.733598299999997</v>
      </c>
      <c r="F277" s="5">
        <v>94.187725150000006</v>
      </c>
      <c r="G277" s="5">
        <v>82.649415779999998</v>
      </c>
      <c r="H277" s="5">
        <v>71.244173040000007</v>
      </c>
      <c r="I277" s="5">
        <v>56.996307010000002</v>
      </c>
    </row>
    <row r="278" spans="1:9" ht="14.25" customHeight="1" x14ac:dyDescent="0.3">
      <c r="A278" t="s">
        <v>2275</v>
      </c>
      <c r="B278" s="5">
        <v>83.818159949999995</v>
      </c>
      <c r="C278" s="5">
        <v>70.912866919999999</v>
      </c>
      <c r="D278" s="5">
        <v>75.588305039999995</v>
      </c>
      <c r="E278" s="5">
        <v>65.720728159999993</v>
      </c>
      <c r="F278" s="5">
        <v>93.367671950000002</v>
      </c>
      <c r="G278" s="5">
        <v>78.58963799</v>
      </c>
      <c r="H278" s="5">
        <v>66.405415349999998</v>
      </c>
      <c r="I278" s="5">
        <v>63.845409940000003</v>
      </c>
    </row>
    <row r="279" spans="1:9" ht="14.25" customHeight="1" x14ac:dyDescent="0.3">
      <c r="A279" t="s">
        <v>2276</v>
      </c>
      <c r="B279" s="5">
        <v>87.814733649999994</v>
      </c>
      <c r="C279" s="5">
        <v>65.601391320000005</v>
      </c>
      <c r="D279" s="5">
        <v>81.998370499999993</v>
      </c>
      <c r="E279" s="5">
        <v>61.261939929999997</v>
      </c>
      <c r="F279" s="5">
        <v>87.941890049999998</v>
      </c>
      <c r="G279" s="5">
        <v>85</v>
      </c>
      <c r="H279" s="5">
        <v>68.432578660000004</v>
      </c>
      <c r="I279" s="5">
        <v>62.250073950000001</v>
      </c>
    </row>
    <row r="280" spans="1:9" ht="14.25" customHeight="1" x14ac:dyDescent="0.3">
      <c r="A280" t="s">
        <v>581</v>
      </c>
      <c r="B280" s="5">
        <v>75</v>
      </c>
      <c r="C280" s="5">
        <v>62.394700360000002</v>
      </c>
      <c r="D280" s="5">
        <v>73.643673550000003</v>
      </c>
      <c r="E280" s="5">
        <v>64.837821730000002</v>
      </c>
      <c r="F280" s="5">
        <v>80.45988681</v>
      </c>
      <c r="G280" s="5">
        <v>69.89230551</v>
      </c>
      <c r="H280" s="5">
        <v>72.741396640000005</v>
      </c>
      <c r="I280" s="5">
        <v>55.97343721</v>
      </c>
    </row>
    <row r="281" spans="1:9" ht="14.25" customHeight="1" x14ac:dyDescent="0.3">
      <c r="A281" t="s">
        <v>2277</v>
      </c>
      <c r="B281" s="5">
        <v>78.671681399999997</v>
      </c>
      <c r="C281" s="5">
        <v>72.753417170000006</v>
      </c>
      <c r="D281" s="5">
        <v>85.974836080000003</v>
      </c>
      <c r="E281" s="5">
        <v>63.956963199999997</v>
      </c>
      <c r="F281" s="5">
        <v>99.9</v>
      </c>
      <c r="G281" s="5">
        <v>85</v>
      </c>
      <c r="H281" s="5">
        <v>72.542051189999995</v>
      </c>
      <c r="I281" s="5">
        <v>63.383653330000001</v>
      </c>
    </row>
    <row r="282" spans="1:9" ht="14.25" customHeight="1" x14ac:dyDescent="0.3">
      <c r="A282" t="s">
        <v>2278</v>
      </c>
      <c r="B282" s="5">
        <v>81.735729190000001</v>
      </c>
      <c r="C282" s="5">
        <v>72.945927569999995</v>
      </c>
      <c r="D282" s="5">
        <v>73.985982649999997</v>
      </c>
      <c r="E282" s="5">
        <v>60.209880230000003</v>
      </c>
      <c r="F282" s="5">
        <v>88.040478370000002</v>
      </c>
      <c r="G282" s="5">
        <v>85</v>
      </c>
      <c r="H282" s="5">
        <v>70.877610390000001</v>
      </c>
      <c r="I282" s="5">
        <v>56.194554539999999</v>
      </c>
    </row>
    <row r="283" spans="1:9" ht="14.25" customHeight="1" x14ac:dyDescent="0.3">
      <c r="A283" t="s">
        <v>2279</v>
      </c>
      <c r="B283" s="5">
        <v>80.985835190000003</v>
      </c>
      <c r="C283" s="5">
        <v>68.909693230000002</v>
      </c>
      <c r="D283" s="5">
        <v>77.562044369999995</v>
      </c>
      <c r="E283" s="5">
        <v>70.441568320000002</v>
      </c>
      <c r="F283" s="5">
        <v>83.855680559999996</v>
      </c>
      <c r="G283" s="5">
        <v>80.706186509999995</v>
      </c>
      <c r="H283" s="5">
        <v>65</v>
      </c>
      <c r="I283" s="5">
        <v>56.011898250000002</v>
      </c>
    </row>
    <row r="284" spans="1:9" ht="14.25" customHeight="1" x14ac:dyDescent="0.3">
      <c r="A284" t="s">
        <v>2280</v>
      </c>
      <c r="B284" s="5">
        <v>90.998848800000005</v>
      </c>
      <c r="C284" s="5">
        <v>60</v>
      </c>
      <c r="D284" s="5">
        <v>80.645300449999993</v>
      </c>
      <c r="E284" s="5">
        <v>63.861592729999998</v>
      </c>
      <c r="F284" s="5">
        <v>91.220724529999998</v>
      </c>
      <c r="G284" s="5">
        <v>74.236802879999999</v>
      </c>
      <c r="H284" s="5">
        <v>67.694186160000001</v>
      </c>
      <c r="I284" s="5">
        <v>57.372895530000001</v>
      </c>
    </row>
    <row r="285" spans="1:9" ht="14.25" customHeight="1" x14ac:dyDescent="0.3">
      <c r="A285" t="s">
        <v>2281</v>
      </c>
      <c r="B285" s="5">
        <v>82.46307564</v>
      </c>
      <c r="C285" s="5">
        <v>60</v>
      </c>
      <c r="D285" s="5">
        <v>76.190265249999996</v>
      </c>
      <c r="E285" s="5">
        <v>57.144251220000001</v>
      </c>
      <c r="F285" s="5">
        <v>95.246612310000003</v>
      </c>
      <c r="G285" s="5">
        <v>81.596143530000006</v>
      </c>
      <c r="H285" s="5">
        <v>68.051539289999994</v>
      </c>
      <c r="I285" s="5">
        <v>65.210943229999998</v>
      </c>
    </row>
    <row r="286" spans="1:9" ht="14.25" customHeight="1" x14ac:dyDescent="0.3">
      <c r="A286" t="s">
        <v>2282</v>
      </c>
      <c r="B286" s="5">
        <v>83.661273609999995</v>
      </c>
      <c r="C286" s="5">
        <v>66.325373350000007</v>
      </c>
      <c r="D286" s="5">
        <v>77.766414330000003</v>
      </c>
      <c r="E286" s="5">
        <v>66.954125869999999</v>
      </c>
      <c r="F286" s="5">
        <v>91.323996919999999</v>
      </c>
      <c r="G286" s="5">
        <v>84.117393199999995</v>
      </c>
      <c r="H286" s="5">
        <v>70.796094229999994</v>
      </c>
      <c r="I286" s="5">
        <v>53.181405849999997</v>
      </c>
    </row>
    <row r="287" spans="1:9" ht="14.25" customHeight="1" x14ac:dyDescent="0.3">
      <c r="A287" t="s">
        <v>2283</v>
      </c>
      <c r="B287" s="5">
        <v>99.436417370000001</v>
      </c>
      <c r="C287" s="5">
        <v>64.185350510000006</v>
      </c>
      <c r="D287" s="5">
        <v>78.370902970000003</v>
      </c>
      <c r="E287" s="5">
        <v>75</v>
      </c>
      <c r="F287" s="5">
        <v>97.122706449999995</v>
      </c>
      <c r="G287" s="5">
        <v>78.287313400000002</v>
      </c>
      <c r="H287" s="5">
        <v>65.327735320000002</v>
      </c>
      <c r="I287" s="5">
        <v>56.338491210000001</v>
      </c>
    </row>
    <row r="288" spans="1:9" ht="14.25" customHeight="1" x14ac:dyDescent="0.3">
      <c r="A288" t="s">
        <v>2284</v>
      </c>
      <c r="B288" s="5">
        <v>80.906038609999996</v>
      </c>
      <c r="C288" s="5">
        <v>73.629414049999994</v>
      </c>
      <c r="D288" s="5">
        <v>75.811998829999993</v>
      </c>
      <c r="E288" s="5">
        <v>63.650319719999999</v>
      </c>
      <c r="F288" s="5">
        <v>89.490811410000006</v>
      </c>
      <c r="G288" s="5">
        <v>71.044225969999999</v>
      </c>
      <c r="H288" s="5">
        <v>68.497093359999994</v>
      </c>
      <c r="I288" s="5">
        <v>65.496182970000007</v>
      </c>
    </row>
    <row r="289" spans="1:9" ht="14.25" customHeight="1" x14ac:dyDescent="0.3">
      <c r="A289" t="s">
        <v>599</v>
      </c>
      <c r="B289" s="5">
        <v>85.936429610000005</v>
      </c>
      <c r="C289" s="5">
        <v>62.8170894</v>
      </c>
      <c r="D289" s="5">
        <v>70</v>
      </c>
      <c r="E289" s="5">
        <v>72.3642234</v>
      </c>
      <c r="F289" s="5">
        <v>87.971269309999997</v>
      </c>
      <c r="G289" s="5">
        <v>74.01808303</v>
      </c>
      <c r="H289" s="5">
        <v>69.496288870000001</v>
      </c>
      <c r="I289" s="5">
        <v>50</v>
      </c>
    </row>
    <row r="290" spans="1:9" ht="14.25" customHeight="1" x14ac:dyDescent="0.3">
      <c r="A290" t="s">
        <v>2285</v>
      </c>
      <c r="B290" s="5">
        <v>80.391908090000001</v>
      </c>
      <c r="C290" s="5">
        <v>64.257814519999997</v>
      </c>
      <c r="D290" s="5">
        <v>77.855519520000001</v>
      </c>
      <c r="E290" s="5">
        <v>65.215388230000002</v>
      </c>
      <c r="F290" s="5">
        <v>99.896140549999998</v>
      </c>
      <c r="G290" s="5">
        <v>73.194746069999994</v>
      </c>
      <c r="H290" s="5">
        <v>72.115051859999994</v>
      </c>
      <c r="I290" s="5">
        <v>54.675725440000001</v>
      </c>
    </row>
    <row r="291" spans="1:9" ht="14.25" customHeight="1" x14ac:dyDescent="0.3">
      <c r="A291" t="s">
        <v>2286</v>
      </c>
      <c r="B291" s="5">
        <v>75</v>
      </c>
      <c r="C291" s="5">
        <v>63.59790168</v>
      </c>
      <c r="D291" s="5">
        <v>70</v>
      </c>
      <c r="E291" s="5">
        <v>63.576421320000001</v>
      </c>
      <c r="F291" s="5">
        <v>81.11611825</v>
      </c>
      <c r="G291" s="5">
        <v>80.700695039999999</v>
      </c>
      <c r="H291" s="5">
        <v>65.826209570000003</v>
      </c>
      <c r="I291" s="5">
        <v>50.61936189</v>
      </c>
    </row>
    <row r="292" spans="1:9" ht="14.25" customHeight="1" x14ac:dyDescent="0.3">
      <c r="A292" t="s">
        <v>605</v>
      </c>
      <c r="B292" s="5">
        <v>85.999252060000003</v>
      </c>
      <c r="C292" s="5">
        <v>63.54601195</v>
      </c>
      <c r="D292" s="5">
        <v>84.405493719999996</v>
      </c>
      <c r="E292" s="5">
        <v>68.354892410000005</v>
      </c>
      <c r="F292" s="5">
        <v>94.157107819999993</v>
      </c>
      <c r="G292" s="5">
        <v>74.739597079999996</v>
      </c>
      <c r="H292" s="5">
        <v>71.313083019999993</v>
      </c>
      <c r="I292" s="5">
        <v>68.205774349999999</v>
      </c>
    </row>
    <row r="293" spans="1:9" ht="14.25" customHeight="1" x14ac:dyDescent="0.3">
      <c r="A293" t="s">
        <v>2287</v>
      </c>
      <c r="B293" s="5">
        <v>91.610185830000006</v>
      </c>
      <c r="C293" s="5">
        <v>70.793519509999996</v>
      </c>
      <c r="D293" s="5">
        <v>88.113366670000005</v>
      </c>
      <c r="E293" s="5">
        <v>73.823104749999999</v>
      </c>
      <c r="F293" s="5">
        <v>80</v>
      </c>
      <c r="G293" s="5">
        <v>79.899067290000005</v>
      </c>
      <c r="H293" s="5">
        <v>72.440337839999998</v>
      </c>
      <c r="I293" s="5">
        <v>54.909584340000002</v>
      </c>
    </row>
    <row r="294" spans="1:9" ht="14.25" customHeight="1" x14ac:dyDescent="0.3">
      <c r="A294" t="s">
        <v>609</v>
      </c>
      <c r="B294" s="5">
        <v>89.252461139999994</v>
      </c>
      <c r="C294" s="5">
        <v>71.044004990000005</v>
      </c>
      <c r="D294" s="5">
        <v>71.207330409999997</v>
      </c>
      <c r="E294" s="5">
        <v>62.580562649999997</v>
      </c>
      <c r="F294" s="5">
        <v>93.732468490000002</v>
      </c>
      <c r="G294" s="5">
        <v>74.144634199999999</v>
      </c>
      <c r="H294" s="5">
        <v>67.810278109999999</v>
      </c>
      <c r="I294" s="5">
        <v>55.72750937</v>
      </c>
    </row>
    <row r="295" spans="1:9" ht="14.25" customHeight="1" x14ac:dyDescent="0.3">
      <c r="A295" t="s">
        <v>611</v>
      </c>
      <c r="B295" s="5">
        <v>79.758450629999999</v>
      </c>
      <c r="C295" s="5">
        <v>60</v>
      </c>
      <c r="D295" s="5">
        <v>79.452183520000006</v>
      </c>
      <c r="E295" s="5">
        <v>65.754956429999993</v>
      </c>
      <c r="F295" s="5">
        <v>83.520985289999999</v>
      </c>
      <c r="G295" s="5">
        <v>75.195645099999993</v>
      </c>
      <c r="H295" s="5">
        <v>77.208424530000002</v>
      </c>
      <c r="I295" s="5">
        <v>50</v>
      </c>
    </row>
    <row r="296" spans="1:9" ht="14.25" customHeight="1" x14ac:dyDescent="0.3">
      <c r="A296" t="s">
        <v>2288</v>
      </c>
      <c r="B296" s="5">
        <v>86.596363740000001</v>
      </c>
      <c r="C296" s="5">
        <v>72.442663820000007</v>
      </c>
      <c r="D296" s="5">
        <v>70</v>
      </c>
      <c r="E296" s="5">
        <v>61.163479870000003</v>
      </c>
      <c r="F296" s="5">
        <v>99.9</v>
      </c>
      <c r="G296" s="5">
        <v>76.449080809999998</v>
      </c>
      <c r="H296" s="5">
        <v>75.850645200000002</v>
      </c>
      <c r="I296" s="5">
        <v>60.439302759999997</v>
      </c>
    </row>
    <row r="297" spans="1:9" ht="14.25" customHeight="1" x14ac:dyDescent="0.3">
      <c r="A297" t="s">
        <v>2289</v>
      </c>
      <c r="B297" s="5">
        <v>80.62050739</v>
      </c>
      <c r="C297" s="5">
        <v>61.419961370000003</v>
      </c>
      <c r="D297" s="5">
        <v>83.936993310000005</v>
      </c>
      <c r="E297" s="5">
        <v>65.272858729999996</v>
      </c>
      <c r="F297" s="5">
        <v>91.655188260000003</v>
      </c>
      <c r="G297" s="5">
        <v>81.899003030000003</v>
      </c>
      <c r="H297" s="5">
        <v>70.77830238</v>
      </c>
      <c r="I297" s="5">
        <v>53.063219310000001</v>
      </c>
    </row>
    <row r="298" spans="1:9" ht="14.25" customHeight="1" x14ac:dyDescent="0.3">
      <c r="A298" t="s">
        <v>2290</v>
      </c>
      <c r="B298" s="5">
        <v>83.102191349999998</v>
      </c>
      <c r="C298" s="5">
        <v>66.17591693</v>
      </c>
      <c r="D298" s="5">
        <v>86.869518369999994</v>
      </c>
      <c r="E298" s="5">
        <v>69.606216309999994</v>
      </c>
      <c r="F298" s="5">
        <v>86.420672999999994</v>
      </c>
      <c r="G298" s="5">
        <v>76.497315259999993</v>
      </c>
      <c r="H298" s="5">
        <v>76.187241529999994</v>
      </c>
      <c r="I298" s="5">
        <v>59.008945959999998</v>
      </c>
    </row>
    <row r="299" spans="1:9" ht="14.25" customHeight="1" x14ac:dyDescent="0.3">
      <c r="A299" t="s">
        <v>619</v>
      </c>
      <c r="B299" s="5">
        <v>77.585692980000005</v>
      </c>
      <c r="C299" s="5">
        <v>66.165597739999995</v>
      </c>
      <c r="D299" s="5">
        <v>74.132248320000002</v>
      </c>
      <c r="E299" s="5">
        <v>66.45321414</v>
      </c>
      <c r="F299" s="5">
        <v>85.492179399999998</v>
      </c>
      <c r="G299" s="5">
        <v>72.484309359999997</v>
      </c>
      <c r="H299" s="5">
        <v>71.268492120000005</v>
      </c>
      <c r="I299" s="5">
        <v>66.653959779999994</v>
      </c>
    </row>
    <row r="300" spans="1:9" ht="14.25" customHeight="1" x14ac:dyDescent="0.3">
      <c r="A300" t="s">
        <v>2291</v>
      </c>
      <c r="B300" s="5">
        <v>89.006827169999994</v>
      </c>
      <c r="C300" s="5">
        <v>67.990339399999996</v>
      </c>
      <c r="D300" s="5">
        <v>74.717566489999996</v>
      </c>
      <c r="E300" s="5">
        <v>68.194282700000002</v>
      </c>
      <c r="F300" s="5">
        <v>95.624842760000007</v>
      </c>
      <c r="G300" s="5">
        <v>75.740866089999997</v>
      </c>
      <c r="H300" s="5">
        <v>69.961547589999995</v>
      </c>
      <c r="I300" s="5">
        <v>60.440381760000001</v>
      </c>
    </row>
    <row r="301" spans="1:9" ht="14.25" customHeight="1" x14ac:dyDescent="0.3">
      <c r="A301" t="s">
        <v>2292</v>
      </c>
      <c r="B301" s="5">
        <v>78.314785830000005</v>
      </c>
      <c r="C301" s="5">
        <v>65.663777440000004</v>
      </c>
      <c r="D301" s="5">
        <v>82.688641559999994</v>
      </c>
      <c r="E301" s="5">
        <v>67.103104040000005</v>
      </c>
      <c r="F301" s="5">
        <v>90.05080959</v>
      </c>
      <c r="G301" s="5">
        <v>85</v>
      </c>
      <c r="H301" s="5">
        <v>74.003339800000006</v>
      </c>
      <c r="I301" s="5">
        <v>50</v>
      </c>
    </row>
    <row r="302" spans="1:9" ht="14.25" customHeight="1" x14ac:dyDescent="0.3">
      <c r="A302" t="s">
        <v>2293</v>
      </c>
      <c r="B302" s="5">
        <v>84.384424249999995</v>
      </c>
      <c r="C302" s="5">
        <v>73.519419479999996</v>
      </c>
      <c r="D302" s="5">
        <v>74.345108109999998</v>
      </c>
      <c r="E302" s="5">
        <v>61.157867179999997</v>
      </c>
      <c r="F302" s="5">
        <v>86.376969990000006</v>
      </c>
      <c r="G302" s="5">
        <v>85</v>
      </c>
      <c r="H302" s="5">
        <v>65</v>
      </c>
      <c r="I302" s="5">
        <v>52.474933929999999</v>
      </c>
    </row>
    <row r="303" spans="1:9" ht="14.25" customHeight="1" x14ac:dyDescent="0.3">
      <c r="A303" t="s">
        <v>627</v>
      </c>
      <c r="B303" s="5">
        <v>91.353920380000005</v>
      </c>
      <c r="C303" s="5">
        <v>63.527103820000001</v>
      </c>
      <c r="D303" s="5">
        <v>70.923739760000004</v>
      </c>
      <c r="E303" s="5">
        <v>59.682873710000003</v>
      </c>
      <c r="F303" s="5">
        <v>88.486174849999998</v>
      </c>
      <c r="G303" s="5">
        <v>78.786241320000002</v>
      </c>
      <c r="H303" s="5">
        <v>71.604031109999994</v>
      </c>
      <c r="I303" s="5">
        <v>60.624474650000003</v>
      </c>
    </row>
    <row r="304" spans="1:9" ht="14.25" customHeight="1" x14ac:dyDescent="0.3">
      <c r="A304" t="s">
        <v>2294</v>
      </c>
      <c r="B304" s="5">
        <v>84.513673080000004</v>
      </c>
      <c r="C304" s="5">
        <v>63.548318500000001</v>
      </c>
      <c r="D304" s="5">
        <v>76.156946300000001</v>
      </c>
      <c r="E304" s="5">
        <v>65.695842170000006</v>
      </c>
      <c r="F304" s="5">
        <v>94.192873410000004</v>
      </c>
      <c r="G304" s="5">
        <v>82.353059630000004</v>
      </c>
      <c r="H304" s="5">
        <v>67.001753129999997</v>
      </c>
      <c r="I304" s="5">
        <v>60.340591230000001</v>
      </c>
    </row>
    <row r="305" spans="1:9" ht="14.25" customHeight="1" x14ac:dyDescent="0.3">
      <c r="A305" t="s">
        <v>2295</v>
      </c>
      <c r="B305" s="5">
        <v>88.602698050000001</v>
      </c>
      <c r="C305" s="5">
        <v>65.777457470000002</v>
      </c>
      <c r="D305" s="5">
        <v>82.985847359999994</v>
      </c>
      <c r="E305" s="5">
        <v>66.868773649999994</v>
      </c>
      <c r="F305" s="5">
        <v>93.276705789999994</v>
      </c>
      <c r="G305" s="5">
        <v>83.242036189999993</v>
      </c>
      <c r="H305" s="5">
        <v>65</v>
      </c>
      <c r="I305" s="5">
        <v>52.18821441</v>
      </c>
    </row>
    <row r="306" spans="1:9" ht="14.25" customHeight="1" x14ac:dyDescent="0.3">
      <c r="A306" t="s">
        <v>633</v>
      </c>
      <c r="B306" s="5">
        <v>84.980853740000001</v>
      </c>
      <c r="C306" s="5">
        <v>65.384954930000006</v>
      </c>
      <c r="D306" s="5">
        <v>75.713312250000001</v>
      </c>
      <c r="E306" s="5">
        <v>65.965296469999998</v>
      </c>
      <c r="F306" s="5">
        <v>89.364565499999998</v>
      </c>
      <c r="G306" s="5">
        <v>79.153489390000004</v>
      </c>
      <c r="H306" s="5">
        <v>77.726058280000004</v>
      </c>
      <c r="I306" s="5">
        <v>65.541570410000006</v>
      </c>
    </row>
    <row r="307" spans="1:9" ht="14.25" customHeight="1" x14ac:dyDescent="0.3">
      <c r="A307" t="s">
        <v>635</v>
      </c>
      <c r="B307" s="5">
        <v>84.485385030000003</v>
      </c>
      <c r="C307" s="5">
        <v>63.623299400000001</v>
      </c>
      <c r="D307" s="5">
        <v>71.490516279999994</v>
      </c>
      <c r="E307" s="5">
        <v>63.274076639999997</v>
      </c>
      <c r="F307" s="5">
        <v>99.173688290000001</v>
      </c>
      <c r="G307" s="5">
        <v>83.898718239999994</v>
      </c>
      <c r="H307" s="5">
        <v>70.602176610000001</v>
      </c>
      <c r="I307" s="5">
        <v>60.66081887</v>
      </c>
    </row>
    <row r="308" spans="1:9" ht="14.25" customHeight="1" x14ac:dyDescent="0.3">
      <c r="A308" t="s">
        <v>2296</v>
      </c>
      <c r="B308" s="5">
        <v>82.823692539999996</v>
      </c>
      <c r="C308" s="5">
        <v>75.466557449999996</v>
      </c>
      <c r="D308" s="5">
        <v>81.715901540000004</v>
      </c>
      <c r="E308" s="5">
        <v>63.904729539999998</v>
      </c>
      <c r="F308" s="5">
        <v>86.695839509999999</v>
      </c>
      <c r="G308" s="5">
        <v>77.964732650000002</v>
      </c>
      <c r="H308" s="5">
        <v>70.415731070000007</v>
      </c>
      <c r="I308" s="5">
        <v>69.319748599999997</v>
      </c>
    </row>
    <row r="309" spans="1:9" ht="14.25" customHeight="1" x14ac:dyDescent="0.3">
      <c r="A309" t="s">
        <v>2297</v>
      </c>
      <c r="B309" s="5">
        <v>86.882126540000002</v>
      </c>
      <c r="C309" s="5">
        <v>72.605183969999999</v>
      </c>
      <c r="D309" s="5">
        <v>81.106913090000006</v>
      </c>
      <c r="E309" s="5">
        <v>74.590246609999994</v>
      </c>
      <c r="F309" s="5">
        <v>93.694948819999993</v>
      </c>
      <c r="G309" s="5">
        <v>79.129900219999996</v>
      </c>
      <c r="H309" s="5">
        <v>72.187780059999994</v>
      </c>
      <c r="I309" s="5">
        <v>50</v>
      </c>
    </row>
    <row r="310" spans="1:9" ht="14.25" customHeight="1" x14ac:dyDescent="0.3">
      <c r="A310" t="s">
        <v>641</v>
      </c>
      <c r="B310" s="5">
        <v>82.501363380000001</v>
      </c>
      <c r="C310" s="5">
        <v>68.990362700000006</v>
      </c>
      <c r="D310" s="5">
        <v>81.98102059</v>
      </c>
      <c r="E310" s="5">
        <v>62.81057122</v>
      </c>
      <c r="F310" s="5">
        <v>90.020860720000002</v>
      </c>
      <c r="G310" s="5">
        <v>68.447710860000001</v>
      </c>
      <c r="H310" s="5">
        <v>68.912709340000006</v>
      </c>
      <c r="I310" s="5">
        <v>50</v>
      </c>
    </row>
    <row r="311" spans="1:9" ht="14.25" customHeight="1" x14ac:dyDescent="0.3">
      <c r="A311" t="s">
        <v>2298</v>
      </c>
      <c r="B311" s="5">
        <v>77.239641180000007</v>
      </c>
      <c r="C311" s="5">
        <v>60.375655870000003</v>
      </c>
      <c r="D311" s="5">
        <v>70</v>
      </c>
      <c r="E311" s="5">
        <v>67.784226369999999</v>
      </c>
      <c r="F311" s="5">
        <v>95.346290449999998</v>
      </c>
      <c r="G311" s="5">
        <v>77.002937750000001</v>
      </c>
      <c r="H311" s="5">
        <v>65</v>
      </c>
      <c r="I311" s="5">
        <v>50</v>
      </c>
    </row>
    <row r="312" spans="1:9" ht="14.25" customHeight="1" x14ac:dyDescent="0.3">
      <c r="A312" t="s">
        <v>645</v>
      </c>
      <c r="B312" s="5">
        <v>88.336491940000002</v>
      </c>
      <c r="C312" s="5">
        <v>70.694512649999993</v>
      </c>
      <c r="D312" s="5">
        <v>81.080625839999996</v>
      </c>
      <c r="E312" s="5">
        <v>68.055321070000005</v>
      </c>
      <c r="F312" s="5">
        <v>85.246726800000005</v>
      </c>
      <c r="G312" s="5">
        <v>75.507563500000003</v>
      </c>
      <c r="H312" s="5">
        <v>69.048332939999995</v>
      </c>
      <c r="I312" s="5">
        <v>63.626192860000003</v>
      </c>
    </row>
    <row r="313" spans="1:9" ht="14.25" customHeight="1" x14ac:dyDescent="0.3">
      <c r="A313" t="s">
        <v>2299</v>
      </c>
      <c r="B313" s="5">
        <v>82.640601160000003</v>
      </c>
      <c r="C313" s="5">
        <v>70.557586360000002</v>
      </c>
      <c r="D313" s="5">
        <v>84.374784680000005</v>
      </c>
      <c r="E313" s="5">
        <v>72.729124959999993</v>
      </c>
      <c r="F313" s="5">
        <v>80</v>
      </c>
      <c r="G313" s="5">
        <v>75.384170710000006</v>
      </c>
      <c r="H313" s="5">
        <v>70.613273710000001</v>
      </c>
      <c r="I313" s="5">
        <v>64.893408260000001</v>
      </c>
    </row>
    <row r="314" spans="1:9" ht="14.25" customHeight="1" x14ac:dyDescent="0.3">
      <c r="A314" t="s">
        <v>649</v>
      </c>
      <c r="B314" s="5">
        <v>85.784232810000006</v>
      </c>
      <c r="C314" s="5">
        <v>66.292456509999994</v>
      </c>
      <c r="D314" s="5">
        <v>70.604048930000005</v>
      </c>
      <c r="E314" s="5">
        <v>61.191103759999997</v>
      </c>
      <c r="F314" s="5">
        <v>94.819972930000006</v>
      </c>
      <c r="G314" s="5">
        <v>83.056340449999993</v>
      </c>
      <c r="H314" s="5">
        <v>67.44909638</v>
      </c>
      <c r="I314" s="5">
        <v>51.345081790000002</v>
      </c>
    </row>
    <row r="315" spans="1:9" ht="14.25" customHeight="1" x14ac:dyDescent="0.3">
      <c r="A315" t="s">
        <v>2300</v>
      </c>
      <c r="B315" s="5">
        <v>95.144114569999999</v>
      </c>
      <c r="C315" s="5">
        <v>71.230283729999996</v>
      </c>
      <c r="D315" s="5">
        <v>70</v>
      </c>
      <c r="E315" s="5">
        <v>58.407635030000002</v>
      </c>
      <c r="F315" s="5">
        <v>80</v>
      </c>
      <c r="G315" s="5">
        <v>85</v>
      </c>
      <c r="H315" s="5">
        <v>77.330727359999997</v>
      </c>
      <c r="I315" s="5">
        <v>62.695477330000003</v>
      </c>
    </row>
    <row r="316" spans="1:9" ht="14.25" customHeight="1" x14ac:dyDescent="0.3">
      <c r="A316" t="s">
        <v>653</v>
      </c>
      <c r="B316" s="5">
        <v>75</v>
      </c>
      <c r="C316" s="5">
        <v>77.080502929999994</v>
      </c>
      <c r="D316" s="5">
        <v>70</v>
      </c>
      <c r="E316" s="5">
        <v>62.092537389999997</v>
      </c>
      <c r="F316" s="5">
        <v>81.979822909999996</v>
      </c>
      <c r="G316" s="5">
        <v>82.041122450000003</v>
      </c>
      <c r="H316" s="5">
        <v>66.914056709999997</v>
      </c>
      <c r="I316" s="5">
        <v>54.082714670000001</v>
      </c>
    </row>
    <row r="317" spans="1:9" ht="14.25" customHeight="1" x14ac:dyDescent="0.3">
      <c r="A317" t="s">
        <v>2301</v>
      </c>
      <c r="B317" s="5">
        <v>95.645109809999994</v>
      </c>
      <c r="C317" s="5">
        <v>69.691463310000003</v>
      </c>
      <c r="D317" s="5">
        <v>89.864663770000007</v>
      </c>
      <c r="E317" s="5">
        <v>57.975851069999997</v>
      </c>
      <c r="F317" s="5">
        <v>80</v>
      </c>
      <c r="G317" s="5">
        <v>73.504733920000007</v>
      </c>
      <c r="H317" s="5">
        <v>75.221932879999997</v>
      </c>
      <c r="I317" s="5">
        <v>50</v>
      </c>
    </row>
    <row r="318" spans="1:9" ht="14.25" customHeight="1" x14ac:dyDescent="0.3">
      <c r="A318" t="s">
        <v>2302</v>
      </c>
      <c r="B318" s="5">
        <v>94.893442190000002</v>
      </c>
      <c r="C318" s="5">
        <v>65.327649679999993</v>
      </c>
      <c r="D318" s="5">
        <v>85.403030970000003</v>
      </c>
      <c r="E318" s="5">
        <v>62.825855709999999</v>
      </c>
      <c r="F318" s="5">
        <v>86.236034029999999</v>
      </c>
      <c r="G318" s="5">
        <v>84.733649679999999</v>
      </c>
      <c r="H318" s="5">
        <v>68.077118150000004</v>
      </c>
      <c r="I318" s="5">
        <v>55.980678019999999</v>
      </c>
    </row>
    <row r="319" spans="1:9" ht="14.25" customHeight="1" x14ac:dyDescent="0.3">
      <c r="A319" t="s">
        <v>659</v>
      </c>
      <c r="B319" s="5">
        <v>85.396941999999996</v>
      </c>
      <c r="C319" s="5">
        <v>69.495467289999993</v>
      </c>
      <c r="D319" s="5">
        <v>82.518109039999999</v>
      </c>
      <c r="E319" s="5">
        <v>61.219940270000002</v>
      </c>
      <c r="F319" s="5">
        <v>95.411490369999996</v>
      </c>
      <c r="G319" s="5">
        <v>79.664409419999998</v>
      </c>
      <c r="H319" s="5">
        <v>77.326403990000003</v>
      </c>
      <c r="I319" s="5">
        <v>53.71369791</v>
      </c>
    </row>
    <row r="320" spans="1:9" ht="14.25" customHeight="1" x14ac:dyDescent="0.3">
      <c r="A320" t="s">
        <v>2303</v>
      </c>
      <c r="B320" s="5">
        <v>94.440745849999999</v>
      </c>
      <c r="C320" s="5">
        <v>69.364460289999997</v>
      </c>
      <c r="D320" s="5">
        <v>76.26141346</v>
      </c>
      <c r="E320" s="5">
        <v>62.869059329999999</v>
      </c>
      <c r="F320" s="5">
        <v>85.238739769999995</v>
      </c>
      <c r="G320" s="5">
        <v>74.134059190000002</v>
      </c>
      <c r="H320" s="5">
        <v>72.702067029999995</v>
      </c>
      <c r="I320" s="5">
        <v>65.320858729999998</v>
      </c>
    </row>
    <row r="321" spans="1:9" ht="14.25" customHeight="1" x14ac:dyDescent="0.3">
      <c r="A321" t="s">
        <v>2304</v>
      </c>
      <c r="B321" s="5">
        <v>90.254717299999996</v>
      </c>
      <c r="C321" s="5">
        <v>70.976368089999994</v>
      </c>
      <c r="D321" s="5">
        <v>83.703648430000001</v>
      </c>
      <c r="E321" s="5">
        <v>57.313002760000003</v>
      </c>
      <c r="F321" s="5">
        <v>93.715392649999998</v>
      </c>
      <c r="G321" s="5">
        <v>73.125997929999997</v>
      </c>
      <c r="H321" s="5">
        <v>71.859802389999999</v>
      </c>
      <c r="I321" s="5">
        <v>50</v>
      </c>
    </row>
    <row r="322" spans="1:9" ht="14.25" customHeight="1" x14ac:dyDescent="0.3">
      <c r="A322" t="s">
        <v>2305</v>
      </c>
      <c r="B322" s="5">
        <v>80.333299069999995</v>
      </c>
      <c r="C322" s="5">
        <v>77.532827069999996</v>
      </c>
      <c r="D322" s="5">
        <v>77.039327</v>
      </c>
      <c r="E322" s="5">
        <v>69.851030480000006</v>
      </c>
      <c r="F322" s="5">
        <v>91.199989830000007</v>
      </c>
      <c r="G322" s="5">
        <v>83.515066050000001</v>
      </c>
      <c r="H322" s="5">
        <v>66.224663960000001</v>
      </c>
      <c r="I322" s="5">
        <v>50.309589449999997</v>
      </c>
    </row>
    <row r="323" spans="1:9" ht="14.25" customHeight="1" x14ac:dyDescent="0.3">
      <c r="A323" t="s">
        <v>2306</v>
      </c>
      <c r="B323" s="5">
        <v>81.605650170000004</v>
      </c>
      <c r="C323" s="5">
        <v>65.186204840000002</v>
      </c>
      <c r="D323" s="5">
        <v>70.192078260000002</v>
      </c>
      <c r="E323" s="5">
        <v>58.717705440000003</v>
      </c>
      <c r="F323" s="5">
        <v>89.987263650000003</v>
      </c>
      <c r="G323" s="5">
        <v>78.707777440000001</v>
      </c>
      <c r="H323" s="5">
        <v>65</v>
      </c>
      <c r="I323" s="5">
        <v>50</v>
      </c>
    </row>
    <row r="324" spans="1:9" ht="14.25" customHeight="1" x14ac:dyDescent="0.3">
      <c r="A324" t="s">
        <v>2307</v>
      </c>
      <c r="B324" s="5">
        <v>93.521354560000006</v>
      </c>
      <c r="C324" s="5">
        <v>77.315785520000006</v>
      </c>
      <c r="D324" s="5">
        <v>78.077806019999997</v>
      </c>
      <c r="E324" s="5">
        <v>63.313464430000003</v>
      </c>
      <c r="F324" s="5">
        <v>92.782481469999993</v>
      </c>
      <c r="G324" s="5">
        <v>73.680714230000007</v>
      </c>
      <c r="H324" s="5">
        <v>71.569837089999993</v>
      </c>
      <c r="I324" s="5">
        <v>50</v>
      </c>
    </row>
    <row r="325" spans="1:9" ht="14.25" customHeight="1" x14ac:dyDescent="0.3">
      <c r="A325" t="s">
        <v>671</v>
      </c>
      <c r="B325" s="5">
        <v>90.038907390000006</v>
      </c>
      <c r="C325" s="5">
        <v>68.917954159999994</v>
      </c>
      <c r="D325" s="5">
        <v>83.177639279999994</v>
      </c>
      <c r="E325" s="5">
        <v>60.281808269999999</v>
      </c>
      <c r="F325" s="5">
        <v>92.799679249999997</v>
      </c>
      <c r="G325" s="5">
        <v>79.962751260000005</v>
      </c>
      <c r="H325" s="5">
        <v>75.308825949999999</v>
      </c>
      <c r="I325" s="5">
        <v>64.672454979999998</v>
      </c>
    </row>
    <row r="326" spans="1:9" ht="14.25" customHeight="1" x14ac:dyDescent="0.3">
      <c r="A326" t="s">
        <v>2308</v>
      </c>
      <c r="B326" s="5">
        <v>82.266986250000002</v>
      </c>
      <c r="C326" s="5">
        <v>69.090188740000002</v>
      </c>
      <c r="D326" s="5">
        <v>71.540153759999995</v>
      </c>
      <c r="E326" s="5">
        <v>68.434879859999995</v>
      </c>
      <c r="F326" s="5">
        <v>80</v>
      </c>
      <c r="G326" s="5">
        <v>80.92513855</v>
      </c>
      <c r="H326" s="5">
        <v>70.20637954</v>
      </c>
      <c r="I326" s="5">
        <v>50.049317879999997</v>
      </c>
    </row>
    <row r="327" spans="1:9" ht="14.25" customHeight="1" x14ac:dyDescent="0.3">
      <c r="A327" t="s">
        <v>2309</v>
      </c>
      <c r="B327" s="5">
        <v>77.64787303</v>
      </c>
      <c r="C327" s="5">
        <v>63.103698039999998</v>
      </c>
      <c r="D327" s="5">
        <v>85.353317450000006</v>
      </c>
      <c r="E327" s="5">
        <v>66.414649690000005</v>
      </c>
      <c r="F327" s="5">
        <v>97.247862600000005</v>
      </c>
      <c r="G327" s="5">
        <v>78.727207849999999</v>
      </c>
      <c r="H327" s="5">
        <v>77.289288740000003</v>
      </c>
      <c r="I327" s="5">
        <v>54.803252440000001</v>
      </c>
    </row>
    <row r="328" spans="1:9" ht="14.25" customHeight="1" x14ac:dyDescent="0.3">
      <c r="A328" t="s">
        <v>2310</v>
      </c>
      <c r="B328" s="5">
        <v>93.198522299999993</v>
      </c>
      <c r="C328" s="5">
        <v>74.393271310000003</v>
      </c>
      <c r="D328" s="5">
        <v>72.386188739999994</v>
      </c>
      <c r="E328" s="5">
        <v>63.815242130000001</v>
      </c>
      <c r="F328" s="5">
        <v>93.227458760000005</v>
      </c>
      <c r="G328" s="5">
        <v>76.741547240000003</v>
      </c>
      <c r="H328" s="5">
        <v>70.426329980000006</v>
      </c>
      <c r="I328" s="5">
        <v>64.588370949999998</v>
      </c>
    </row>
    <row r="329" spans="1:9" ht="14.25" customHeight="1" x14ac:dyDescent="0.3">
      <c r="A329" t="s">
        <v>2311</v>
      </c>
      <c r="B329" s="5">
        <v>78.523711860000006</v>
      </c>
      <c r="C329" s="5">
        <v>62.49296734</v>
      </c>
      <c r="D329" s="5">
        <v>74.145977450000004</v>
      </c>
      <c r="E329" s="5">
        <v>73.417568500000002</v>
      </c>
      <c r="F329" s="5">
        <v>90.238756570000007</v>
      </c>
      <c r="G329" s="5">
        <v>79.544545819999996</v>
      </c>
      <c r="H329" s="5">
        <v>74.691284269999997</v>
      </c>
      <c r="I329" s="5">
        <v>66.106093540000003</v>
      </c>
    </row>
    <row r="330" spans="1:9" ht="14.25" customHeight="1" x14ac:dyDescent="0.3">
      <c r="A330" t="s">
        <v>2312</v>
      </c>
      <c r="B330" s="5">
        <v>79.979293029999994</v>
      </c>
      <c r="C330" s="5">
        <v>68.422185299999995</v>
      </c>
      <c r="D330" s="5">
        <v>83.835201549999994</v>
      </c>
      <c r="E330" s="5">
        <v>61.314793180000002</v>
      </c>
      <c r="F330" s="5">
        <v>85.198664249999993</v>
      </c>
      <c r="G330" s="5">
        <v>82.416149899999994</v>
      </c>
      <c r="H330" s="5">
        <v>73.283662219999997</v>
      </c>
      <c r="I330" s="5">
        <v>54.714925149999999</v>
      </c>
    </row>
    <row r="331" spans="1:9" ht="14.25" customHeight="1" x14ac:dyDescent="0.3">
      <c r="A331" t="s">
        <v>2313</v>
      </c>
      <c r="B331" s="5">
        <v>81.555146140000005</v>
      </c>
      <c r="C331" s="5">
        <v>64.712481729999993</v>
      </c>
      <c r="D331" s="5">
        <v>74.685562669999996</v>
      </c>
      <c r="E331" s="5">
        <v>59.17688845</v>
      </c>
      <c r="F331" s="5">
        <v>96.877918739999998</v>
      </c>
      <c r="G331" s="5">
        <v>83.345870529999999</v>
      </c>
      <c r="H331" s="5">
        <v>74.180375990000002</v>
      </c>
      <c r="I331" s="5">
        <v>61.069768510000003</v>
      </c>
    </row>
    <row r="332" spans="1:9" ht="14.25" customHeight="1" x14ac:dyDescent="0.3">
      <c r="A332" t="s">
        <v>2314</v>
      </c>
      <c r="B332" s="5">
        <v>90.227442310000001</v>
      </c>
      <c r="C332" s="5">
        <v>66.414161429999993</v>
      </c>
      <c r="D332" s="5">
        <v>76.003208970000003</v>
      </c>
      <c r="E332" s="5">
        <v>72.697826559999996</v>
      </c>
      <c r="F332" s="5">
        <v>82.621769209999997</v>
      </c>
      <c r="G332" s="5">
        <v>75.507743079999997</v>
      </c>
      <c r="H332" s="5">
        <v>77.315715780000005</v>
      </c>
      <c r="I332" s="5">
        <v>57.240333290000002</v>
      </c>
    </row>
    <row r="333" spans="1:9" ht="14.25" customHeight="1" x14ac:dyDescent="0.3">
      <c r="A333" t="s">
        <v>2315</v>
      </c>
      <c r="B333" s="5">
        <v>77.247486879999997</v>
      </c>
      <c r="C333" s="5">
        <v>71.036313050000004</v>
      </c>
      <c r="D333" s="5">
        <v>77.150268429999997</v>
      </c>
      <c r="E333" s="5">
        <v>63.459561800000003</v>
      </c>
      <c r="F333" s="5">
        <v>80</v>
      </c>
      <c r="G333" s="5">
        <v>82.829023039999996</v>
      </c>
      <c r="H333" s="5">
        <v>70.209316819999998</v>
      </c>
      <c r="I333" s="5">
        <v>59.422834950000002</v>
      </c>
    </row>
    <row r="334" spans="1:9" ht="14.25" customHeight="1" x14ac:dyDescent="0.3">
      <c r="A334" t="s">
        <v>2316</v>
      </c>
      <c r="B334" s="5">
        <v>84.374158089999995</v>
      </c>
      <c r="C334" s="5">
        <v>70.131574799999996</v>
      </c>
      <c r="D334" s="5">
        <v>74.247779469999998</v>
      </c>
      <c r="E334" s="5">
        <v>68.526296529999996</v>
      </c>
      <c r="F334" s="5">
        <v>84.497025410000006</v>
      </c>
      <c r="G334" s="5">
        <v>71.444704779999995</v>
      </c>
      <c r="H334" s="5">
        <v>71.530215459999994</v>
      </c>
      <c r="I334" s="5">
        <v>59.435408989999999</v>
      </c>
    </row>
    <row r="335" spans="1:9" ht="14.25" customHeight="1" x14ac:dyDescent="0.3">
      <c r="A335" t="s">
        <v>2317</v>
      </c>
      <c r="B335" s="5">
        <v>90.203874519999999</v>
      </c>
      <c r="C335" s="5">
        <v>67.586577559999995</v>
      </c>
      <c r="D335" s="5">
        <v>79.755481579999994</v>
      </c>
      <c r="E335" s="5">
        <v>75</v>
      </c>
      <c r="F335" s="5">
        <v>89.59856972</v>
      </c>
      <c r="G335" s="5">
        <v>78.022065260000005</v>
      </c>
      <c r="H335" s="5">
        <v>72.319473180000003</v>
      </c>
      <c r="I335" s="5">
        <v>52.599908069999998</v>
      </c>
    </row>
    <row r="336" spans="1:9" ht="14.25" customHeight="1" x14ac:dyDescent="0.3">
      <c r="A336" t="s">
        <v>2318</v>
      </c>
      <c r="B336" s="5">
        <v>86.331848699999995</v>
      </c>
      <c r="C336" s="5">
        <v>67.011729560000006</v>
      </c>
      <c r="D336" s="5">
        <v>82.842701570000003</v>
      </c>
      <c r="E336" s="5">
        <v>63.830962409999998</v>
      </c>
      <c r="F336" s="5">
        <v>83.547080230000006</v>
      </c>
      <c r="G336" s="5">
        <v>73.635220279999999</v>
      </c>
      <c r="H336" s="5">
        <v>71.053130039999999</v>
      </c>
      <c r="I336" s="5">
        <v>57.50196107</v>
      </c>
    </row>
    <row r="337" spans="1:9" ht="14.25" customHeight="1" x14ac:dyDescent="0.3">
      <c r="A337" t="s">
        <v>2319</v>
      </c>
      <c r="B337" s="5">
        <v>90.303378269999996</v>
      </c>
      <c r="C337" s="5">
        <v>72.740754089999996</v>
      </c>
      <c r="D337" s="5">
        <v>79.731845399999997</v>
      </c>
      <c r="E337" s="5">
        <v>58.93523381</v>
      </c>
      <c r="F337" s="5">
        <v>82.412734929999999</v>
      </c>
      <c r="G337" s="5">
        <v>85</v>
      </c>
      <c r="H337" s="5">
        <v>77.886793060000002</v>
      </c>
      <c r="I337" s="5">
        <v>58.127639299999998</v>
      </c>
    </row>
    <row r="338" spans="1:9" ht="14.25" customHeight="1" x14ac:dyDescent="0.3">
      <c r="A338" t="s">
        <v>2320</v>
      </c>
      <c r="B338" s="5">
        <v>96.727014069999996</v>
      </c>
      <c r="C338" s="5">
        <v>64.651527200000004</v>
      </c>
      <c r="D338" s="5">
        <v>79.485517959999996</v>
      </c>
      <c r="E338" s="5">
        <v>67.842895900000002</v>
      </c>
      <c r="F338" s="5">
        <v>92.973405959999994</v>
      </c>
      <c r="G338" s="5">
        <v>83.500331840000001</v>
      </c>
      <c r="H338" s="5">
        <v>71.873888089999994</v>
      </c>
      <c r="I338" s="5">
        <v>62.499791430000002</v>
      </c>
    </row>
    <row r="339" spans="1:9" ht="14.25" customHeight="1" x14ac:dyDescent="0.3">
      <c r="A339" t="s">
        <v>2321</v>
      </c>
      <c r="B339" s="5">
        <v>83.377128040000002</v>
      </c>
      <c r="C339" s="5">
        <v>71.051971570000006</v>
      </c>
      <c r="D339" s="5">
        <v>70</v>
      </c>
      <c r="E339" s="5">
        <v>62.100252279999999</v>
      </c>
      <c r="F339" s="5">
        <v>85.543622060000004</v>
      </c>
      <c r="G339" s="5">
        <v>76.854718390000002</v>
      </c>
      <c r="H339" s="5">
        <v>75.421220980000001</v>
      </c>
      <c r="I339" s="5">
        <v>50</v>
      </c>
    </row>
    <row r="340" spans="1:9" ht="14.25" customHeight="1" x14ac:dyDescent="0.3">
      <c r="A340" t="s">
        <v>2322</v>
      </c>
      <c r="B340" s="5">
        <v>83.435167160000006</v>
      </c>
      <c r="C340" s="5">
        <v>61.535117319999998</v>
      </c>
      <c r="D340" s="5">
        <v>70</v>
      </c>
      <c r="E340" s="5">
        <v>64.393033650000007</v>
      </c>
      <c r="F340" s="5">
        <v>92.422721809999999</v>
      </c>
      <c r="G340" s="5">
        <v>74.409981799999997</v>
      </c>
      <c r="H340" s="5">
        <v>69.418761259999997</v>
      </c>
      <c r="I340" s="5">
        <v>61.610678159999999</v>
      </c>
    </row>
    <row r="341" spans="1:9" ht="14.25" customHeight="1" x14ac:dyDescent="0.3">
      <c r="A341" t="s">
        <v>2323</v>
      </c>
      <c r="B341" s="5">
        <v>88.832916560000001</v>
      </c>
      <c r="C341" s="5">
        <v>75.408323039999999</v>
      </c>
      <c r="D341" s="5">
        <v>70</v>
      </c>
      <c r="E341" s="5">
        <v>68.336916340000002</v>
      </c>
      <c r="F341" s="5">
        <v>80</v>
      </c>
      <c r="G341" s="5">
        <v>76.892534440000006</v>
      </c>
      <c r="H341" s="5">
        <v>72.072460070000005</v>
      </c>
      <c r="I341" s="5">
        <v>52.052529030000002</v>
      </c>
    </row>
    <row r="342" spans="1:9" ht="14.25" customHeight="1" x14ac:dyDescent="0.3">
      <c r="A342" t="s">
        <v>2324</v>
      </c>
      <c r="B342" s="5">
        <v>94.000917479999998</v>
      </c>
      <c r="C342" s="5">
        <v>71.314830360000002</v>
      </c>
      <c r="D342" s="5">
        <v>70.411735859999993</v>
      </c>
      <c r="E342" s="5">
        <v>60.742602159999997</v>
      </c>
      <c r="F342" s="5">
        <v>98.209449059999997</v>
      </c>
      <c r="G342" s="5">
        <v>76.718524020000004</v>
      </c>
      <c r="H342" s="5">
        <v>65</v>
      </c>
      <c r="I342" s="5">
        <v>56.527842589999999</v>
      </c>
    </row>
    <row r="343" spans="1:9" ht="14.25" customHeight="1" x14ac:dyDescent="0.3">
      <c r="A343" t="s">
        <v>2325</v>
      </c>
      <c r="B343" s="5">
        <v>86.007332649999995</v>
      </c>
      <c r="C343" s="5">
        <v>67.389521270000003</v>
      </c>
      <c r="D343" s="5">
        <v>75.346390209999996</v>
      </c>
      <c r="E343" s="5">
        <v>68.649502240000004</v>
      </c>
      <c r="F343" s="5">
        <v>99.9</v>
      </c>
      <c r="G343" s="5">
        <v>76.805687070000005</v>
      </c>
      <c r="H343" s="5">
        <v>71.055143290000004</v>
      </c>
      <c r="I343" s="5">
        <v>52.824605290000001</v>
      </c>
    </row>
    <row r="344" spans="1:9" ht="14.25" customHeight="1" x14ac:dyDescent="0.3">
      <c r="A344" t="s">
        <v>2326</v>
      </c>
      <c r="B344" s="5">
        <v>77.36388737</v>
      </c>
      <c r="C344" s="5">
        <v>67.916894470000003</v>
      </c>
      <c r="D344" s="5">
        <v>79.193625580000003</v>
      </c>
      <c r="E344" s="5">
        <v>68.371941250000006</v>
      </c>
      <c r="F344" s="5">
        <v>80</v>
      </c>
      <c r="G344" s="5">
        <v>76.765458629999998</v>
      </c>
      <c r="H344" s="5">
        <v>72.077159609999995</v>
      </c>
      <c r="I344" s="5">
        <v>52.099282109999997</v>
      </c>
    </row>
    <row r="345" spans="1:9" ht="14.25" customHeight="1" x14ac:dyDescent="0.3">
      <c r="A345" t="s">
        <v>711</v>
      </c>
      <c r="B345" s="5">
        <v>99.9</v>
      </c>
      <c r="C345" s="5">
        <v>64.811585899999997</v>
      </c>
      <c r="D345" s="5">
        <v>75.450541990000005</v>
      </c>
      <c r="E345" s="5">
        <v>65.9960813</v>
      </c>
      <c r="F345" s="5">
        <v>89.769776680000007</v>
      </c>
      <c r="G345" s="5">
        <v>79.776331339999999</v>
      </c>
      <c r="H345" s="5">
        <v>66.557941839999998</v>
      </c>
      <c r="I345" s="5">
        <v>64.937325909999998</v>
      </c>
    </row>
    <row r="346" spans="1:9" ht="14.25" customHeight="1" x14ac:dyDescent="0.3">
      <c r="A346" t="s">
        <v>713</v>
      </c>
      <c r="B346" s="5">
        <v>84.980801</v>
      </c>
      <c r="C346" s="5">
        <v>68.43768197</v>
      </c>
      <c r="D346" s="5">
        <v>81.206730219999997</v>
      </c>
      <c r="E346" s="5">
        <v>62.04899211</v>
      </c>
      <c r="F346" s="5">
        <v>89.873255830000005</v>
      </c>
      <c r="G346" s="5">
        <v>74.969910510000005</v>
      </c>
      <c r="H346" s="5">
        <v>74.823388030000004</v>
      </c>
      <c r="I346" s="5">
        <v>63.642405549999999</v>
      </c>
    </row>
    <row r="347" spans="1:9" ht="14.25" customHeight="1" x14ac:dyDescent="0.3">
      <c r="A347" t="s">
        <v>715</v>
      </c>
      <c r="B347" s="5">
        <v>99.705481019999993</v>
      </c>
      <c r="C347" s="5">
        <v>71.424267479999997</v>
      </c>
      <c r="D347" s="5">
        <v>73.667679829999997</v>
      </c>
      <c r="E347" s="5">
        <v>72.432877849999997</v>
      </c>
      <c r="F347" s="5">
        <v>88.649390109999999</v>
      </c>
      <c r="G347" s="5">
        <v>79.459407409999997</v>
      </c>
      <c r="H347" s="5">
        <v>70.916351640000002</v>
      </c>
      <c r="I347" s="5">
        <v>61.345340319999998</v>
      </c>
    </row>
    <row r="348" spans="1:9" ht="14.25" customHeight="1" x14ac:dyDescent="0.3">
      <c r="A348" t="s">
        <v>2327</v>
      </c>
      <c r="B348" s="5">
        <v>83.429563659999999</v>
      </c>
      <c r="C348" s="5">
        <v>67.130783489999999</v>
      </c>
      <c r="D348" s="5">
        <v>70</v>
      </c>
      <c r="E348" s="5">
        <v>55.857954380000002</v>
      </c>
      <c r="F348" s="5">
        <v>85.99526487</v>
      </c>
      <c r="G348" s="5">
        <v>74.183628519999999</v>
      </c>
      <c r="H348" s="5">
        <v>71.354242450000001</v>
      </c>
      <c r="I348" s="5">
        <v>50.131428579999998</v>
      </c>
    </row>
    <row r="349" spans="1:9" ht="14.25" customHeight="1" x14ac:dyDescent="0.3">
      <c r="A349" t="s">
        <v>2328</v>
      </c>
      <c r="B349" s="5">
        <v>85.004704889999999</v>
      </c>
      <c r="C349" s="5">
        <v>71.829854780000005</v>
      </c>
      <c r="D349" s="5">
        <v>70</v>
      </c>
      <c r="E349" s="5">
        <v>75</v>
      </c>
      <c r="F349" s="5">
        <v>80</v>
      </c>
      <c r="G349" s="5">
        <v>75.715868200000003</v>
      </c>
      <c r="H349" s="5">
        <v>75.194365950000005</v>
      </c>
      <c r="I349" s="5">
        <v>59.044104590000003</v>
      </c>
    </row>
    <row r="350" spans="1:9" ht="14.25" customHeight="1" x14ac:dyDescent="0.3">
      <c r="A350" t="s">
        <v>2329</v>
      </c>
      <c r="B350" s="5">
        <v>87.833597350000005</v>
      </c>
      <c r="C350" s="5">
        <v>74.43256083</v>
      </c>
      <c r="D350" s="5">
        <v>75.487169710000003</v>
      </c>
      <c r="E350" s="5">
        <v>62.222122919999997</v>
      </c>
      <c r="F350" s="5">
        <v>80</v>
      </c>
      <c r="G350" s="5">
        <v>78.304563000000002</v>
      </c>
      <c r="H350" s="5">
        <v>78.920769829999998</v>
      </c>
      <c r="I350" s="5">
        <v>50</v>
      </c>
    </row>
    <row r="351" spans="1:9" ht="14.25" customHeight="1" x14ac:dyDescent="0.3">
      <c r="A351" t="s">
        <v>2330</v>
      </c>
      <c r="B351" s="5">
        <v>78.441817299999997</v>
      </c>
      <c r="C351" s="5">
        <v>76.317452549999999</v>
      </c>
      <c r="D351" s="5">
        <v>90</v>
      </c>
      <c r="E351" s="5">
        <v>66.456216359999999</v>
      </c>
      <c r="F351" s="5">
        <v>99.9</v>
      </c>
      <c r="G351" s="5">
        <v>74.256337400000007</v>
      </c>
      <c r="H351" s="5">
        <v>76.230477559999997</v>
      </c>
      <c r="I351" s="5">
        <v>64.47365035</v>
      </c>
    </row>
    <row r="352" spans="1:9" ht="14.25" customHeight="1" x14ac:dyDescent="0.3">
      <c r="A352" t="s">
        <v>2331</v>
      </c>
      <c r="B352" s="5">
        <v>89.256144449999994</v>
      </c>
      <c r="C352" s="5">
        <v>60</v>
      </c>
      <c r="D352" s="5">
        <v>70</v>
      </c>
      <c r="E352" s="5">
        <v>64.577038079999994</v>
      </c>
      <c r="F352" s="5">
        <v>91.401485059999999</v>
      </c>
      <c r="G352" s="5">
        <v>85</v>
      </c>
      <c r="H352" s="5">
        <v>75.285721890000005</v>
      </c>
      <c r="I352" s="5">
        <v>50</v>
      </c>
    </row>
    <row r="353" spans="1:9" ht="14.25" customHeight="1" x14ac:dyDescent="0.3">
      <c r="A353" t="s">
        <v>2332</v>
      </c>
      <c r="B353" s="5">
        <v>93.957778910000002</v>
      </c>
      <c r="C353" s="5">
        <v>70.747057440000006</v>
      </c>
      <c r="D353" s="5">
        <v>81.51386608</v>
      </c>
      <c r="E353" s="5">
        <v>62.212023950000003</v>
      </c>
      <c r="F353" s="5">
        <v>92.042873200000002</v>
      </c>
      <c r="G353" s="5">
        <v>77.246067170000003</v>
      </c>
      <c r="H353" s="5">
        <v>72.238566259999999</v>
      </c>
      <c r="I353" s="5">
        <v>59.033410310000001</v>
      </c>
    </row>
    <row r="354" spans="1:9" ht="14.25" customHeight="1" x14ac:dyDescent="0.3">
      <c r="A354" t="s">
        <v>2333</v>
      </c>
      <c r="B354" s="5">
        <v>92.121745379999993</v>
      </c>
      <c r="C354" s="5">
        <v>66.428637359999996</v>
      </c>
      <c r="D354" s="5">
        <v>78.045694780000005</v>
      </c>
      <c r="E354" s="5">
        <v>69.399908960000005</v>
      </c>
      <c r="F354" s="5">
        <v>99.9</v>
      </c>
      <c r="G354" s="5">
        <v>76.064747100000005</v>
      </c>
      <c r="H354" s="5">
        <v>73.844859850000006</v>
      </c>
      <c r="I354" s="5">
        <v>51.825453860000003</v>
      </c>
    </row>
    <row r="355" spans="1:9" ht="14.25" customHeight="1" x14ac:dyDescent="0.3">
      <c r="A355" t="s">
        <v>2334</v>
      </c>
      <c r="B355" s="5">
        <v>82.564242429999993</v>
      </c>
      <c r="C355" s="5">
        <v>66.789460079999998</v>
      </c>
      <c r="D355" s="5">
        <v>78.377577459999998</v>
      </c>
      <c r="E355" s="5">
        <v>65.294324090000003</v>
      </c>
      <c r="F355" s="5">
        <v>85.248631459999999</v>
      </c>
      <c r="G355" s="5">
        <v>85</v>
      </c>
      <c r="H355" s="5">
        <v>68.531433539999995</v>
      </c>
      <c r="I355" s="5">
        <v>58.091893409999997</v>
      </c>
    </row>
    <row r="356" spans="1:9" ht="14.25" customHeight="1" x14ac:dyDescent="0.3">
      <c r="A356" t="s">
        <v>733</v>
      </c>
      <c r="B356" s="5">
        <v>83.123466660000005</v>
      </c>
      <c r="C356" s="5">
        <v>63.01032214</v>
      </c>
      <c r="D356" s="5">
        <v>74.465532550000006</v>
      </c>
      <c r="E356" s="5">
        <v>61.850031219999998</v>
      </c>
      <c r="F356" s="5">
        <v>86.582600749999997</v>
      </c>
      <c r="G356" s="5">
        <v>83.247844979999996</v>
      </c>
      <c r="H356" s="5">
        <v>69.211899349999996</v>
      </c>
      <c r="I356" s="5">
        <v>68.999952820000004</v>
      </c>
    </row>
    <row r="357" spans="1:9" ht="14.25" customHeight="1" x14ac:dyDescent="0.3">
      <c r="A357" t="s">
        <v>735</v>
      </c>
      <c r="B357" s="5">
        <v>86.090038419999999</v>
      </c>
      <c r="C357" s="5">
        <v>61.926111970000001</v>
      </c>
      <c r="D357" s="5">
        <v>80.177304759999998</v>
      </c>
      <c r="E357" s="5">
        <v>59.490071550000003</v>
      </c>
      <c r="F357" s="5">
        <v>98.554243470000003</v>
      </c>
      <c r="G357" s="5">
        <v>75.805432749999994</v>
      </c>
      <c r="H357" s="5">
        <v>74.924207460000005</v>
      </c>
      <c r="I357" s="5">
        <v>51.975408629999997</v>
      </c>
    </row>
    <row r="358" spans="1:9" ht="14.25" customHeight="1" x14ac:dyDescent="0.3">
      <c r="A358" t="s">
        <v>2335</v>
      </c>
      <c r="B358" s="5">
        <v>82.504321070000003</v>
      </c>
      <c r="C358" s="5">
        <v>65.165823219999993</v>
      </c>
      <c r="D358" s="5">
        <v>70</v>
      </c>
      <c r="E358" s="5">
        <v>71.04469272</v>
      </c>
      <c r="F358" s="5">
        <v>92.148350840000006</v>
      </c>
      <c r="G358" s="5">
        <v>85</v>
      </c>
      <c r="H358" s="5">
        <v>72.006660999999994</v>
      </c>
      <c r="I358" s="5">
        <v>55.200658930000003</v>
      </c>
    </row>
    <row r="359" spans="1:9" ht="14.25" customHeight="1" x14ac:dyDescent="0.3">
      <c r="A359" t="s">
        <v>741</v>
      </c>
      <c r="B359" s="5">
        <v>86.196641330000006</v>
      </c>
      <c r="C359" s="5">
        <v>66.16723949</v>
      </c>
      <c r="D359" s="5">
        <v>79.940802289999993</v>
      </c>
      <c r="E359" s="5">
        <v>63.623066809999997</v>
      </c>
      <c r="F359" s="5">
        <v>85.445350919999996</v>
      </c>
      <c r="G359" s="5">
        <v>79.690344620000005</v>
      </c>
      <c r="H359" s="5">
        <v>66.428357129999995</v>
      </c>
      <c r="I359" s="5">
        <v>60.385902919999999</v>
      </c>
    </row>
    <row r="360" spans="1:9" ht="14.25" customHeight="1" x14ac:dyDescent="0.3">
      <c r="A360" t="s">
        <v>2336</v>
      </c>
      <c r="B360" s="5">
        <v>90.273697479999996</v>
      </c>
      <c r="C360" s="5">
        <v>76.087938620000003</v>
      </c>
      <c r="D360" s="5">
        <v>70</v>
      </c>
      <c r="E360" s="5">
        <v>73.180038280000005</v>
      </c>
      <c r="F360" s="5">
        <v>95.641008439999993</v>
      </c>
      <c r="G360" s="5">
        <v>77.78035457</v>
      </c>
      <c r="H360" s="5">
        <v>72.524501569999998</v>
      </c>
      <c r="I360" s="5">
        <v>50</v>
      </c>
    </row>
    <row r="361" spans="1:9" ht="14.25" customHeight="1" x14ac:dyDescent="0.3">
      <c r="A361" t="s">
        <v>745</v>
      </c>
      <c r="B361" s="5">
        <v>79.081704990000006</v>
      </c>
      <c r="C361" s="5">
        <v>74.260574559999995</v>
      </c>
      <c r="D361" s="5">
        <v>79.77168605</v>
      </c>
      <c r="E361" s="5">
        <v>67.472650619999996</v>
      </c>
      <c r="F361" s="5">
        <v>94.797563839999995</v>
      </c>
      <c r="G361" s="5">
        <v>85</v>
      </c>
      <c r="H361" s="5">
        <v>73.330741020000005</v>
      </c>
      <c r="I361" s="5">
        <v>69.443576129999997</v>
      </c>
    </row>
    <row r="362" spans="1:9" ht="14.25" customHeight="1" x14ac:dyDescent="0.3">
      <c r="A362" t="s">
        <v>747</v>
      </c>
      <c r="B362" s="5">
        <v>84.582987739999993</v>
      </c>
      <c r="C362" s="5">
        <v>80</v>
      </c>
      <c r="D362" s="5">
        <v>80.309255489999998</v>
      </c>
      <c r="E362" s="5">
        <v>69.038388159999997</v>
      </c>
      <c r="F362" s="5">
        <v>96.116979220000005</v>
      </c>
      <c r="G362" s="5">
        <v>76.447755340000001</v>
      </c>
      <c r="H362" s="5">
        <v>72.108986200000004</v>
      </c>
      <c r="I362" s="5">
        <v>54.779195080000001</v>
      </c>
    </row>
    <row r="363" spans="1:9" ht="14.25" customHeight="1" x14ac:dyDescent="0.3">
      <c r="A363" t="s">
        <v>2337</v>
      </c>
      <c r="B363" s="5">
        <v>75</v>
      </c>
      <c r="C363" s="5">
        <v>60.279451719999997</v>
      </c>
      <c r="D363" s="5">
        <v>77.496646870000006</v>
      </c>
      <c r="E363" s="5">
        <v>55.463112260000003</v>
      </c>
      <c r="F363" s="5">
        <v>94.985503969999996</v>
      </c>
      <c r="G363" s="5">
        <v>79.779273480000001</v>
      </c>
      <c r="H363" s="5">
        <v>71.218498159999996</v>
      </c>
      <c r="I363" s="5">
        <v>61.349469480000003</v>
      </c>
    </row>
    <row r="364" spans="1:9" ht="14.25" customHeight="1" x14ac:dyDescent="0.3">
      <c r="A364" t="s">
        <v>2338</v>
      </c>
      <c r="B364" s="5">
        <v>81.909123440000002</v>
      </c>
      <c r="C364" s="5">
        <v>65.628774680000006</v>
      </c>
      <c r="D364" s="5">
        <v>77.420450450000004</v>
      </c>
      <c r="E364" s="5">
        <v>55</v>
      </c>
      <c r="F364" s="5">
        <v>80</v>
      </c>
      <c r="G364" s="5">
        <v>76.132227</v>
      </c>
      <c r="H364" s="5">
        <v>75.399688519999998</v>
      </c>
      <c r="I364" s="5">
        <v>54.592104659999997</v>
      </c>
    </row>
    <row r="365" spans="1:9" ht="14.25" customHeight="1" x14ac:dyDescent="0.3">
      <c r="A365" t="s">
        <v>2339</v>
      </c>
      <c r="B365" s="5">
        <v>79.26211017</v>
      </c>
      <c r="C365" s="5">
        <v>70.456464620000006</v>
      </c>
      <c r="D365" s="5">
        <v>76.930034980000002</v>
      </c>
      <c r="E365" s="5">
        <v>70.738821490000007</v>
      </c>
      <c r="F365" s="5">
        <v>80</v>
      </c>
      <c r="G365" s="5">
        <v>82.748561140000007</v>
      </c>
      <c r="H365" s="5">
        <v>70.838083549999993</v>
      </c>
      <c r="I365" s="5">
        <v>55.542779860000003</v>
      </c>
    </row>
    <row r="366" spans="1:9" ht="14.25" customHeight="1" x14ac:dyDescent="0.3">
      <c r="A366" t="s">
        <v>755</v>
      </c>
      <c r="B366" s="5">
        <v>81.370713170000002</v>
      </c>
      <c r="C366" s="5">
        <v>69.508235029999994</v>
      </c>
      <c r="D366" s="5">
        <v>70.794900200000001</v>
      </c>
      <c r="E366" s="5">
        <v>64.325123270000006</v>
      </c>
      <c r="F366" s="5">
        <v>93.468810410000003</v>
      </c>
      <c r="G366" s="5">
        <v>84.304742430000005</v>
      </c>
      <c r="H366" s="5">
        <v>69.755798690000006</v>
      </c>
      <c r="I366" s="5">
        <v>61.17088004</v>
      </c>
    </row>
    <row r="367" spans="1:9" ht="14.25" customHeight="1" x14ac:dyDescent="0.3">
      <c r="A367" t="s">
        <v>2340</v>
      </c>
      <c r="B367" s="5">
        <v>80.85630055</v>
      </c>
      <c r="C367" s="5">
        <v>63.057179840000003</v>
      </c>
      <c r="D367" s="5">
        <v>83.485143190000002</v>
      </c>
      <c r="E367" s="5">
        <v>64.79457524</v>
      </c>
      <c r="F367" s="5">
        <v>99.9</v>
      </c>
      <c r="G367" s="5">
        <v>72.289864600000001</v>
      </c>
      <c r="H367" s="5">
        <v>69.637563069999999</v>
      </c>
      <c r="I367" s="5">
        <v>65.082522159999996</v>
      </c>
    </row>
    <row r="368" spans="1:9" ht="14.25" customHeight="1" x14ac:dyDescent="0.3">
      <c r="A368" t="s">
        <v>2341</v>
      </c>
      <c r="B368" s="5">
        <v>86.979532059999997</v>
      </c>
      <c r="C368" s="5">
        <v>72.871366499999993</v>
      </c>
      <c r="D368" s="5">
        <v>70.876500250000007</v>
      </c>
      <c r="E368" s="5">
        <v>71.875750640000007</v>
      </c>
      <c r="F368" s="5">
        <v>97.128715839999998</v>
      </c>
      <c r="G368" s="5">
        <v>81.082443319999996</v>
      </c>
      <c r="H368" s="5">
        <v>71.95556723</v>
      </c>
      <c r="I368" s="5">
        <v>56.44894309</v>
      </c>
    </row>
    <row r="369" spans="1:9" ht="14.25" customHeight="1" x14ac:dyDescent="0.3">
      <c r="A369" t="s">
        <v>2342</v>
      </c>
      <c r="B369" s="5">
        <v>89.794427670000005</v>
      </c>
      <c r="C369" s="5">
        <v>74.191147880000003</v>
      </c>
      <c r="D369" s="5">
        <v>76.837291800000003</v>
      </c>
      <c r="E369" s="5">
        <v>67.936367340000004</v>
      </c>
      <c r="F369" s="5">
        <v>80</v>
      </c>
      <c r="G369" s="5">
        <v>76.431240720000005</v>
      </c>
      <c r="H369" s="5">
        <v>77.197634730000004</v>
      </c>
      <c r="I369" s="5">
        <v>66.340444020000007</v>
      </c>
    </row>
    <row r="370" spans="1:9" ht="14.25" customHeight="1" x14ac:dyDescent="0.3">
      <c r="A370" t="s">
        <v>2343</v>
      </c>
      <c r="B370" s="5">
        <v>86.391368889999995</v>
      </c>
      <c r="C370" s="5">
        <v>66.813648779999994</v>
      </c>
      <c r="D370" s="5">
        <v>72.812526800000001</v>
      </c>
      <c r="E370" s="5">
        <v>66.665052279999998</v>
      </c>
      <c r="F370" s="5">
        <v>94.739192059999993</v>
      </c>
      <c r="G370" s="5">
        <v>79.827846600000001</v>
      </c>
      <c r="H370" s="5">
        <v>67.812210199999996</v>
      </c>
      <c r="I370" s="5">
        <v>56.968933110000002</v>
      </c>
    </row>
    <row r="371" spans="1:9" ht="14.25" customHeight="1" x14ac:dyDescent="0.3">
      <c r="A371" t="s">
        <v>765</v>
      </c>
      <c r="B371" s="5">
        <v>84.122651230000002</v>
      </c>
      <c r="C371" s="5">
        <v>62.417669969999999</v>
      </c>
      <c r="D371" s="5">
        <v>81.188542819999995</v>
      </c>
      <c r="E371" s="5">
        <v>59.872044449999997</v>
      </c>
      <c r="F371" s="5">
        <v>80.890220080000006</v>
      </c>
      <c r="G371" s="5">
        <v>81.338472850000002</v>
      </c>
      <c r="H371" s="5">
        <v>71.986308449999996</v>
      </c>
      <c r="I371" s="5">
        <v>57.008455529999999</v>
      </c>
    </row>
    <row r="372" spans="1:9" ht="14.25" customHeight="1" x14ac:dyDescent="0.3">
      <c r="A372" t="s">
        <v>2344</v>
      </c>
      <c r="B372" s="5">
        <v>75</v>
      </c>
      <c r="C372" s="5">
        <v>60.001509630000001</v>
      </c>
      <c r="D372" s="5">
        <v>78.272564459999998</v>
      </c>
      <c r="E372" s="5">
        <v>61.05405477</v>
      </c>
      <c r="F372" s="5">
        <v>92.628720830000006</v>
      </c>
      <c r="G372" s="5">
        <v>77.227366349999997</v>
      </c>
      <c r="H372" s="5">
        <v>75.619516430000004</v>
      </c>
      <c r="I372" s="5">
        <v>63.821382919999998</v>
      </c>
    </row>
    <row r="373" spans="1:9" ht="14.25" customHeight="1" x14ac:dyDescent="0.3">
      <c r="A373" t="s">
        <v>2345</v>
      </c>
      <c r="B373" s="5">
        <v>93.281959560000004</v>
      </c>
      <c r="C373" s="5">
        <v>73.997488590000003</v>
      </c>
      <c r="D373" s="5">
        <v>86.297361730000006</v>
      </c>
      <c r="E373" s="5">
        <v>59.84918596</v>
      </c>
      <c r="F373" s="5">
        <v>95.301395139999997</v>
      </c>
      <c r="G373" s="5">
        <v>70.117682169999995</v>
      </c>
      <c r="H373" s="5">
        <v>71.215726070000002</v>
      </c>
      <c r="I373" s="5">
        <v>56.106182230000002</v>
      </c>
    </row>
    <row r="374" spans="1:9" ht="14.25" customHeight="1" x14ac:dyDescent="0.3">
      <c r="A374" t="s">
        <v>2346</v>
      </c>
      <c r="B374" s="5">
        <v>84.167413300000007</v>
      </c>
      <c r="C374" s="5">
        <v>74.325790940000005</v>
      </c>
      <c r="D374" s="5">
        <v>87.968823330000006</v>
      </c>
      <c r="E374" s="5">
        <v>64.627440000000007</v>
      </c>
      <c r="F374" s="5">
        <v>90.373712330000004</v>
      </c>
      <c r="G374" s="5">
        <v>74.254229420000001</v>
      </c>
      <c r="H374" s="5">
        <v>75.2720664</v>
      </c>
      <c r="I374" s="5">
        <v>52.550003390000001</v>
      </c>
    </row>
    <row r="375" spans="1:9" ht="14.25" customHeight="1" x14ac:dyDescent="0.3">
      <c r="A375" t="s">
        <v>2347</v>
      </c>
      <c r="B375" s="5">
        <v>85.368802529999996</v>
      </c>
      <c r="C375" s="5">
        <v>76.842273469999995</v>
      </c>
      <c r="D375" s="5">
        <v>74.21052195</v>
      </c>
      <c r="E375" s="5">
        <v>66.710410170000003</v>
      </c>
      <c r="F375" s="5">
        <v>91.528830679999999</v>
      </c>
      <c r="G375" s="5">
        <v>85</v>
      </c>
      <c r="H375" s="5">
        <v>68.499246650000003</v>
      </c>
      <c r="I375" s="5">
        <v>60.192737690000001</v>
      </c>
    </row>
    <row r="376" spans="1:9" ht="14.25" customHeight="1" x14ac:dyDescent="0.3">
      <c r="A376" t="s">
        <v>2348</v>
      </c>
      <c r="B376" s="5">
        <v>85.030460199999993</v>
      </c>
      <c r="C376" s="5">
        <v>70.393970449999998</v>
      </c>
      <c r="D376" s="5">
        <v>77.520024460000002</v>
      </c>
      <c r="E376" s="5">
        <v>62.905413609999997</v>
      </c>
      <c r="F376" s="5">
        <v>99.9</v>
      </c>
      <c r="G376" s="5">
        <v>69.702764029999997</v>
      </c>
      <c r="H376" s="5">
        <v>67.300036739999996</v>
      </c>
      <c r="I376" s="5">
        <v>50</v>
      </c>
    </row>
    <row r="377" spans="1:9" ht="14.25" customHeight="1" x14ac:dyDescent="0.3">
      <c r="A377" t="s">
        <v>777</v>
      </c>
      <c r="B377" s="5">
        <v>86.544273950000004</v>
      </c>
      <c r="C377" s="5">
        <v>71.292252520000005</v>
      </c>
      <c r="D377" s="5">
        <v>70</v>
      </c>
      <c r="E377" s="5">
        <v>72.386061999999995</v>
      </c>
      <c r="F377" s="5">
        <v>91.421110819999996</v>
      </c>
      <c r="G377" s="5">
        <v>68.443270100000007</v>
      </c>
      <c r="H377" s="5">
        <v>72.044862960000003</v>
      </c>
      <c r="I377" s="5">
        <v>58.765412750000003</v>
      </c>
    </row>
    <row r="378" spans="1:9" ht="14.25" customHeight="1" x14ac:dyDescent="0.3">
      <c r="A378" t="s">
        <v>2349</v>
      </c>
      <c r="B378" s="5">
        <v>86.732846940000002</v>
      </c>
      <c r="C378" s="5">
        <v>66.596353179999994</v>
      </c>
      <c r="D378" s="5">
        <v>70.091743960000002</v>
      </c>
      <c r="E378" s="5">
        <v>63.271449390000001</v>
      </c>
      <c r="F378" s="5">
        <v>99.9</v>
      </c>
      <c r="G378" s="5">
        <v>78.271985240000006</v>
      </c>
      <c r="H378" s="5">
        <v>65.797106189999994</v>
      </c>
      <c r="I378" s="5">
        <v>66.357549680000005</v>
      </c>
    </row>
    <row r="379" spans="1:9" ht="14.25" customHeight="1" x14ac:dyDescent="0.3">
      <c r="A379" t="s">
        <v>781</v>
      </c>
      <c r="B379" s="5">
        <v>88.543550620000005</v>
      </c>
      <c r="C379" s="5">
        <v>73.377650189999997</v>
      </c>
      <c r="D379" s="5">
        <v>75.565321310000002</v>
      </c>
      <c r="E379" s="5">
        <v>70.906605859999999</v>
      </c>
      <c r="F379" s="5">
        <v>89.680378289999993</v>
      </c>
      <c r="G379" s="5">
        <v>83.747738490000003</v>
      </c>
      <c r="H379" s="5">
        <v>66.932350790000001</v>
      </c>
      <c r="I379" s="5">
        <v>59.5763113</v>
      </c>
    </row>
    <row r="380" spans="1:9" ht="14.25" customHeight="1" x14ac:dyDescent="0.3">
      <c r="A380" t="s">
        <v>783</v>
      </c>
      <c r="B380" s="5">
        <v>81.705677850000001</v>
      </c>
      <c r="C380" s="5">
        <v>63.635003220000002</v>
      </c>
      <c r="D380" s="5">
        <v>70</v>
      </c>
      <c r="E380" s="5">
        <v>68.416427569999996</v>
      </c>
      <c r="F380" s="5">
        <v>91.965297000000007</v>
      </c>
      <c r="G380" s="5">
        <v>78.578977989999998</v>
      </c>
      <c r="H380" s="5">
        <v>70.807955879999994</v>
      </c>
      <c r="I380" s="5">
        <v>60.248034990000001</v>
      </c>
    </row>
    <row r="381" spans="1:9" ht="14.25" customHeight="1" x14ac:dyDescent="0.3">
      <c r="A381" t="s">
        <v>785</v>
      </c>
      <c r="B381" s="5">
        <v>88.001547889999998</v>
      </c>
      <c r="C381" s="5">
        <v>75.073334149999994</v>
      </c>
      <c r="D381" s="5">
        <v>70</v>
      </c>
      <c r="E381" s="5">
        <v>69.067097369999999</v>
      </c>
      <c r="F381" s="5">
        <v>82.703709790000005</v>
      </c>
      <c r="G381" s="5">
        <v>85</v>
      </c>
      <c r="H381" s="5">
        <v>72.852870240000001</v>
      </c>
      <c r="I381" s="5">
        <v>63.804496780000001</v>
      </c>
    </row>
    <row r="382" spans="1:9" ht="14.25" customHeight="1" x14ac:dyDescent="0.3">
      <c r="A382" t="s">
        <v>2350</v>
      </c>
      <c r="B382" s="5">
        <v>79.334524349999995</v>
      </c>
      <c r="C382" s="5">
        <v>73.170136350000007</v>
      </c>
      <c r="D382" s="5">
        <v>75.331468659999999</v>
      </c>
      <c r="E382" s="5">
        <v>71.463669850000002</v>
      </c>
      <c r="F382" s="5">
        <v>87.573906429999994</v>
      </c>
      <c r="G382" s="5">
        <v>78.670292439999997</v>
      </c>
      <c r="H382" s="5">
        <v>69.402333110000001</v>
      </c>
      <c r="I382" s="5">
        <v>55.931671600000001</v>
      </c>
    </row>
    <row r="383" spans="1:9" ht="14.25" customHeight="1" x14ac:dyDescent="0.3">
      <c r="A383" t="s">
        <v>2351</v>
      </c>
      <c r="B383" s="5">
        <v>84.064157769999994</v>
      </c>
      <c r="C383" s="5">
        <v>71.490482310000004</v>
      </c>
      <c r="D383" s="5">
        <v>70</v>
      </c>
      <c r="E383" s="5">
        <v>58.072833289999998</v>
      </c>
      <c r="F383" s="5">
        <v>97.850067330000002</v>
      </c>
      <c r="G383" s="5">
        <v>74.540688579999994</v>
      </c>
      <c r="H383" s="5">
        <v>75.283029159999998</v>
      </c>
      <c r="I383" s="5">
        <v>57.077784870000002</v>
      </c>
    </row>
    <row r="384" spans="1:9" ht="14.25" customHeight="1" x14ac:dyDescent="0.3">
      <c r="A384" t="s">
        <v>2352</v>
      </c>
      <c r="B384" s="5">
        <v>80.058793089999995</v>
      </c>
      <c r="C384" s="5">
        <v>66.965704840000001</v>
      </c>
      <c r="D384" s="5">
        <v>78.206511169999999</v>
      </c>
      <c r="E384" s="5">
        <v>64.484274510000006</v>
      </c>
      <c r="F384" s="5">
        <v>80</v>
      </c>
      <c r="G384" s="5">
        <v>85</v>
      </c>
      <c r="H384" s="5">
        <v>65</v>
      </c>
      <c r="I384" s="5">
        <v>60.11313406</v>
      </c>
    </row>
    <row r="385" spans="1:9" ht="14.25" customHeight="1" x14ac:dyDescent="0.3">
      <c r="A385" t="s">
        <v>2353</v>
      </c>
      <c r="B385" s="5">
        <v>83.134443700000006</v>
      </c>
      <c r="C385" s="5">
        <v>60.134823779999998</v>
      </c>
      <c r="D385" s="5">
        <v>76.754082460000006</v>
      </c>
      <c r="E385" s="5">
        <v>58.659745119999997</v>
      </c>
      <c r="F385" s="5">
        <v>81.141235600000002</v>
      </c>
      <c r="G385" s="5">
        <v>73.022155170000005</v>
      </c>
      <c r="H385" s="5">
        <v>78.260349649999995</v>
      </c>
      <c r="I385" s="5">
        <v>64.776671710000002</v>
      </c>
    </row>
    <row r="386" spans="1:9" ht="14.25" customHeight="1" x14ac:dyDescent="0.3">
      <c r="A386" t="s">
        <v>2354</v>
      </c>
      <c r="B386" s="5">
        <v>92.808523690000001</v>
      </c>
      <c r="C386" s="5">
        <v>64.430334610000003</v>
      </c>
      <c r="D386" s="5">
        <v>70.394543880000001</v>
      </c>
      <c r="E386" s="5">
        <v>66.918872550000003</v>
      </c>
      <c r="F386" s="5">
        <v>87.140447460000004</v>
      </c>
      <c r="G386" s="5">
        <v>82.706769899999998</v>
      </c>
      <c r="H386" s="5">
        <v>71.913676300000006</v>
      </c>
      <c r="I386" s="5">
        <v>58.91609854</v>
      </c>
    </row>
    <row r="387" spans="1:9" ht="14.25" customHeight="1" x14ac:dyDescent="0.3">
      <c r="A387" t="s">
        <v>2355</v>
      </c>
      <c r="B387" s="5">
        <v>83.179043149999998</v>
      </c>
      <c r="C387" s="5">
        <v>62.91422858</v>
      </c>
      <c r="D387" s="5">
        <v>76.389216360000006</v>
      </c>
      <c r="E387" s="5">
        <v>66.251033509999999</v>
      </c>
      <c r="F387" s="5">
        <v>93.970297869999996</v>
      </c>
      <c r="G387" s="5">
        <v>74.61313389</v>
      </c>
      <c r="H387" s="5">
        <v>67.190307989999994</v>
      </c>
      <c r="I387" s="5">
        <v>55.126145450000003</v>
      </c>
    </row>
    <row r="388" spans="1:9" ht="14.25" customHeight="1" x14ac:dyDescent="0.3">
      <c r="A388" t="s">
        <v>2356</v>
      </c>
      <c r="B388" s="5">
        <v>81.821515570000003</v>
      </c>
      <c r="C388" s="5">
        <v>64.859682570000004</v>
      </c>
      <c r="D388" s="5">
        <v>85.825199609999999</v>
      </c>
      <c r="E388" s="5">
        <v>55</v>
      </c>
      <c r="F388" s="5">
        <v>96.446899200000004</v>
      </c>
      <c r="G388" s="5">
        <v>80.540699599999996</v>
      </c>
      <c r="H388" s="5">
        <v>75.375907850000004</v>
      </c>
      <c r="I388" s="5">
        <v>60.605818640000003</v>
      </c>
    </row>
    <row r="389" spans="1:9" ht="14.25" customHeight="1" x14ac:dyDescent="0.3">
      <c r="A389" t="s">
        <v>801</v>
      </c>
      <c r="B389" s="5">
        <v>75.852398339999993</v>
      </c>
      <c r="C389" s="5">
        <v>74.899351159999995</v>
      </c>
      <c r="D389" s="5">
        <v>71.380606220000004</v>
      </c>
      <c r="E389" s="5">
        <v>68.860194719999996</v>
      </c>
      <c r="F389" s="5">
        <v>84.451420929999998</v>
      </c>
      <c r="G389" s="5">
        <v>75.808609309999994</v>
      </c>
      <c r="H389" s="5">
        <v>70.431136199999997</v>
      </c>
      <c r="I389" s="5">
        <v>68.996100170000005</v>
      </c>
    </row>
    <row r="390" spans="1:9" ht="14.25" customHeight="1" x14ac:dyDescent="0.3">
      <c r="A390" t="s">
        <v>2357</v>
      </c>
      <c r="B390" s="5">
        <v>96.009844430000001</v>
      </c>
      <c r="C390" s="5">
        <v>68.500841750000006</v>
      </c>
      <c r="D390" s="5">
        <v>70</v>
      </c>
      <c r="E390" s="5">
        <v>71.139255059999996</v>
      </c>
      <c r="F390" s="5">
        <v>85.158875170000002</v>
      </c>
      <c r="G390" s="5">
        <v>77.937388249999998</v>
      </c>
      <c r="H390" s="5">
        <v>67.545106270000005</v>
      </c>
      <c r="I390" s="5">
        <v>50</v>
      </c>
    </row>
    <row r="391" spans="1:9" ht="14.25" customHeight="1" x14ac:dyDescent="0.3">
      <c r="A391" t="s">
        <v>2358</v>
      </c>
      <c r="B391" s="5">
        <v>90.366868679999996</v>
      </c>
      <c r="C391" s="5">
        <v>72.15187426</v>
      </c>
      <c r="D391" s="5">
        <v>70.352880720000002</v>
      </c>
      <c r="E391" s="5">
        <v>66.166052870000001</v>
      </c>
      <c r="F391" s="5">
        <v>92.889187039999996</v>
      </c>
      <c r="G391" s="5">
        <v>74.304690370000003</v>
      </c>
      <c r="H391" s="5">
        <v>65.451230249999995</v>
      </c>
      <c r="I391" s="5">
        <v>61.642961219999997</v>
      </c>
    </row>
    <row r="392" spans="1:9" ht="14.25" customHeight="1" x14ac:dyDescent="0.3">
      <c r="A392" t="s">
        <v>2359</v>
      </c>
      <c r="B392" s="5">
        <v>89.444041510000005</v>
      </c>
      <c r="C392" s="5">
        <v>73.005586579999999</v>
      </c>
      <c r="D392" s="5">
        <v>78.345789800000006</v>
      </c>
      <c r="E392" s="5">
        <v>55.269655540000002</v>
      </c>
      <c r="F392" s="5">
        <v>97.016515459999994</v>
      </c>
      <c r="G392" s="5">
        <v>75.632080340000002</v>
      </c>
      <c r="H392" s="5">
        <v>68.106394800000004</v>
      </c>
      <c r="I392" s="5">
        <v>68.772785909999996</v>
      </c>
    </row>
    <row r="393" spans="1:9" ht="14.25" customHeight="1" x14ac:dyDescent="0.3">
      <c r="A393" t="s">
        <v>2360</v>
      </c>
      <c r="B393" s="5">
        <v>86.353246859999999</v>
      </c>
      <c r="C393" s="5">
        <v>67.369115379999997</v>
      </c>
      <c r="D393" s="5">
        <v>80.133180600000003</v>
      </c>
      <c r="E393" s="5">
        <v>55</v>
      </c>
      <c r="F393" s="5">
        <v>81.114443469999998</v>
      </c>
      <c r="G393" s="5">
        <v>76.658586139999997</v>
      </c>
      <c r="H393" s="5">
        <v>74.625857370000006</v>
      </c>
      <c r="I393" s="5">
        <v>66.760957529999999</v>
      </c>
    </row>
    <row r="394" spans="1:9" ht="14.25" customHeight="1" x14ac:dyDescent="0.3">
      <c r="A394" t="s">
        <v>811</v>
      </c>
      <c r="B394" s="5">
        <v>93.477440020000003</v>
      </c>
      <c r="C394" s="5">
        <v>65.471060949999995</v>
      </c>
      <c r="D394" s="5">
        <v>70</v>
      </c>
      <c r="E394" s="5">
        <v>66.387337329999994</v>
      </c>
      <c r="F394" s="5">
        <v>80.049082209999995</v>
      </c>
      <c r="G394" s="5">
        <v>79.538254409999993</v>
      </c>
      <c r="H394" s="5">
        <v>70.710785680000001</v>
      </c>
      <c r="I394" s="5">
        <v>50</v>
      </c>
    </row>
    <row r="395" spans="1:9" ht="14.25" customHeight="1" x14ac:dyDescent="0.3">
      <c r="A395" t="s">
        <v>2361</v>
      </c>
      <c r="B395" s="5">
        <v>91.370351499999998</v>
      </c>
      <c r="C395" s="5">
        <v>74.757108919999993</v>
      </c>
      <c r="D395" s="5">
        <v>89.692979519999994</v>
      </c>
      <c r="E395" s="5">
        <v>72.030242279999996</v>
      </c>
      <c r="F395" s="5">
        <v>84.621327199999996</v>
      </c>
      <c r="G395" s="5">
        <v>83.190676850000003</v>
      </c>
      <c r="H395" s="5">
        <v>70.585506359999997</v>
      </c>
      <c r="I395" s="5">
        <v>65.329390169999996</v>
      </c>
    </row>
    <row r="396" spans="1:9" ht="14.25" customHeight="1" x14ac:dyDescent="0.3">
      <c r="A396" t="s">
        <v>2362</v>
      </c>
      <c r="B396" s="5">
        <v>78.944414629999997</v>
      </c>
      <c r="C396" s="5">
        <v>67.248003429999997</v>
      </c>
      <c r="D396" s="5">
        <v>74.973984580000007</v>
      </c>
      <c r="E396" s="5">
        <v>58.761500689999998</v>
      </c>
      <c r="F396" s="5">
        <v>86.567189240000005</v>
      </c>
      <c r="G396" s="5">
        <v>85</v>
      </c>
      <c r="H396" s="5">
        <v>71.760795900000005</v>
      </c>
      <c r="I396" s="5">
        <v>56.156236079999999</v>
      </c>
    </row>
    <row r="397" spans="1:9" ht="14.25" customHeight="1" x14ac:dyDescent="0.3">
      <c r="A397" t="s">
        <v>817</v>
      </c>
      <c r="B397" s="5">
        <v>88.599391589999996</v>
      </c>
      <c r="C397" s="5">
        <v>75.624302790000002</v>
      </c>
      <c r="D397" s="5">
        <v>70</v>
      </c>
      <c r="E397" s="5">
        <v>65.162293869999999</v>
      </c>
      <c r="F397" s="5">
        <v>88.719703490000001</v>
      </c>
      <c r="G397" s="5">
        <v>80.077963929999996</v>
      </c>
      <c r="H397" s="5">
        <v>65</v>
      </c>
      <c r="I397" s="5">
        <v>57.083330859999997</v>
      </c>
    </row>
    <row r="398" spans="1:9" ht="14.25" customHeight="1" x14ac:dyDescent="0.3">
      <c r="A398" t="s">
        <v>2363</v>
      </c>
      <c r="B398" s="5">
        <v>84.982365270000003</v>
      </c>
      <c r="C398" s="5">
        <v>68.980966629999998</v>
      </c>
      <c r="D398" s="5">
        <v>71.727675730000001</v>
      </c>
      <c r="E398" s="5">
        <v>71.236943710000006</v>
      </c>
      <c r="F398" s="5">
        <v>89.450868909999997</v>
      </c>
      <c r="G398" s="5">
        <v>83.373026670000002</v>
      </c>
      <c r="H398" s="5">
        <v>81.339926829999996</v>
      </c>
      <c r="I398" s="5">
        <v>54.774700379999999</v>
      </c>
    </row>
    <row r="399" spans="1:9" ht="14.25" customHeight="1" x14ac:dyDescent="0.3">
      <c r="A399" t="s">
        <v>821</v>
      </c>
      <c r="B399" s="5">
        <v>76.549250729999997</v>
      </c>
      <c r="C399" s="5">
        <v>72.568020259999997</v>
      </c>
      <c r="D399" s="5">
        <v>75.277659049999997</v>
      </c>
      <c r="E399" s="5">
        <v>69.794694340000007</v>
      </c>
      <c r="F399" s="5">
        <v>86.375828659999996</v>
      </c>
      <c r="G399" s="5">
        <v>81.024776259999996</v>
      </c>
      <c r="H399" s="5">
        <v>74.661387550000001</v>
      </c>
      <c r="I399" s="5">
        <v>50</v>
      </c>
    </row>
    <row r="400" spans="1:9" ht="14.25" customHeight="1" x14ac:dyDescent="0.3">
      <c r="A400" t="s">
        <v>823</v>
      </c>
      <c r="B400" s="5">
        <v>84.525179210000005</v>
      </c>
      <c r="C400" s="5">
        <v>71.144674359999996</v>
      </c>
      <c r="D400" s="5">
        <v>81.448381080000004</v>
      </c>
      <c r="E400" s="5">
        <v>72.431789109999997</v>
      </c>
      <c r="F400" s="5">
        <v>97.234236420000002</v>
      </c>
      <c r="G400" s="5">
        <v>76.466239060000007</v>
      </c>
      <c r="H400" s="5">
        <v>66.081812159999998</v>
      </c>
      <c r="I400" s="5">
        <v>55.667123199999999</v>
      </c>
    </row>
    <row r="401" spans="1:9" ht="14.25" customHeight="1" x14ac:dyDescent="0.3">
      <c r="A401" t="s">
        <v>2364</v>
      </c>
      <c r="B401" s="5">
        <v>86.27492187</v>
      </c>
      <c r="C401" s="5">
        <v>62.055951739999998</v>
      </c>
      <c r="D401" s="5">
        <v>72.046418209999999</v>
      </c>
      <c r="E401" s="5">
        <v>57.925510950000003</v>
      </c>
      <c r="F401" s="5">
        <v>87.081416730000001</v>
      </c>
      <c r="G401" s="5">
        <v>84.919774910000001</v>
      </c>
      <c r="H401" s="5">
        <v>74.035752029999998</v>
      </c>
      <c r="I401" s="5">
        <v>51.46214715</v>
      </c>
    </row>
    <row r="402" spans="1:9" ht="14.25" customHeight="1" x14ac:dyDescent="0.3">
      <c r="A402" t="s">
        <v>2365</v>
      </c>
      <c r="B402" s="5">
        <v>76.754310480000001</v>
      </c>
      <c r="C402" s="5">
        <v>69.446620010000004</v>
      </c>
      <c r="D402" s="5">
        <v>81.835656279999995</v>
      </c>
      <c r="E402" s="5">
        <v>66.50668503</v>
      </c>
      <c r="F402" s="5">
        <v>92.986697239999998</v>
      </c>
      <c r="G402" s="5">
        <v>74.855220500000001</v>
      </c>
      <c r="H402" s="5">
        <v>68.722135289999997</v>
      </c>
      <c r="I402" s="5">
        <v>65.869738490000003</v>
      </c>
    </row>
    <row r="403" spans="1:9" ht="14.25" customHeight="1" x14ac:dyDescent="0.3">
      <c r="A403" t="s">
        <v>2366</v>
      </c>
      <c r="B403" s="5">
        <v>86.974247719999994</v>
      </c>
      <c r="C403" s="5">
        <v>66.867085869999997</v>
      </c>
      <c r="D403" s="5">
        <v>76.360185889999997</v>
      </c>
      <c r="E403" s="5">
        <v>65.406008130000004</v>
      </c>
      <c r="F403" s="5">
        <v>84.714166640000002</v>
      </c>
      <c r="G403" s="5">
        <v>75.55979524</v>
      </c>
      <c r="H403" s="5">
        <v>72.483104769999997</v>
      </c>
      <c r="I403" s="5">
        <v>62.316971979999998</v>
      </c>
    </row>
    <row r="404" spans="1:9" ht="14.25" customHeight="1" x14ac:dyDescent="0.3">
      <c r="A404" t="s">
        <v>2367</v>
      </c>
      <c r="B404" s="5">
        <v>87.573075919999994</v>
      </c>
      <c r="C404" s="5">
        <v>71.739607340000006</v>
      </c>
      <c r="D404" s="5">
        <v>78.908734670000001</v>
      </c>
      <c r="E404" s="5">
        <v>64.023512760000003</v>
      </c>
      <c r="F404" s="5">
        <v>92.140303000000003</v>
      </c>
      <c r="G404" s="5">
        <v>82.108273710000006</v>
      </c>
      <c r="H404" s="5">
        <v>71.654539729999996</v>
      </c>
      <c r="I404" s="5">
        <v>57.073595349999998</v>
      </c>
    </row>
    <row r="405" spans="1:9" ht="14.25" customHeight="1" x14ac:dyDescent="0.3">
      <c r="A405" t="s">
        <v>833</v>
      </c>
      <c r="B405" s="5">
        <v>87.292525749999996</v>
      </c>
      <c r="C405" s="5">
        <v>72.166463390000004</v>
      </c>
      <c r="D405" s="5">
        <v>76.921366820000003</v>
      </c>
      <c r="E405" s="5">
        <v>67.692770679999995</v>
      </c>
      <c r="F405" s="5">
        <v>89.502661779999997</v>
      </c>
      <c r="G405" s="5">
        <v>80.984365819999994</v>
      </c>
      <c r="H405" s="5">
        <v>68.813806720000002</v>
      </c>
      <c r="I405" s="5">
        <v>68.761946269999996</v>
      </c>
    </row>
    <row r="406" spans="1:9" ht="14.25" customHeight="1" x14ac:dyDescent="0.3">
      <c r="A406" t="s">
        <v>835</v>
      </c>
      <c r="B406" s="5">
        <v>80.768962779999995</v>
      </c>
      <c r="C406" s="5">
        <v>73.218556989999996</v>
      </c>
      <c r="D406" s="5">
        <v>73.545804469999993</v>
      </c>
      <c r="E406" s="5">
        <v>64.234566839999999</v>
      </c>
      <c r="F406" s="5">
        <v>95.084535380000005</v>
      </c>
      <c r="G406" s="5">
        <v>69.505971669999994</v>
      </c>
      <c r="H406" s="5">
        <v>75.589449549999998</v>
      </c>
      <c r="I406" s="5">
        <v>50</v>
      </c>
    </row>
    <row r="407" spans="1:9" ht="14.25" customHeight="1" x14ac:dyDescent="0.3">
      <c r="A407" t="s">
        <v>2368</v>
      </c>
      <c r="B407" s="5">
        <v>93.321158260000004</v>
      </c>
      <c r="C407" s="5">
        <v>68.084870129999999</v>
      </c>
      <c r="D407" s="5">
        <v>75.515693470000002</v>
      </c>
      <c r="E407" s="5">
        <v>59.474019830000003</v>
      </c>
      <c r="F407" s="5">
        <v>83.288192219999999</v>
      </c>
      <c r="G407" s="5">
        <v>77.831388050000001</v>
      </c>
      <c r="H407" s="5">
        <v>73.671374599999993</v>
      </c>
      <c r="I407" s="5">
        <v>50</v>
      </c>
    </row>
    <row r="408" spans="1:9" ht="14.25" customHeight="1" x14ac:dyDescent="0.3">
      <c r="A408" t="s">
        <v>2369</v>
      </c>
      <c r="B408" s="5">
        <v>84.327861519999999</v>
      </c>
      <c r="C408" s="5">
        <v>62.644346759999998</v>
      </c>
      <c r="D408" s="5">
        <v>90</v>
      </c>
      <c r="E408" s="5">
        <v>61.320626689999997</v>
      </c>
      <c r="F408" s="5">
        <v>99.9</v>
      </c>
      <c r="G408" s="5">
        <v>77.151239759999996</v>
      </c>
      <c r="H408" s="5">
        <v>69.501271310000007</v>
      </c>
      <c r="I408" s="5">
        <v>61.549676099999999</v>
      </c>
    </row>
    <row r="409" spans="1:9" ht="14.25" customHeight="1" x14ac:dyDescent="0.3">
      <c r="A409" t="s">
        <v>2370</v>
      </c>
      <c r="B409" s="5">
        <v>87.397047650000005</v>
      </c>
      <c r="C409" s="5">
        <v>74.065290910000002</v>
      </c>
      <c r="D409" s="5">
        <v>81.114824459999994</v>
      </c>
      <c r="E409" s="5">
        <v>64.257538479999994</v>
      </c>
      <c r="F409" s="5">
        <v>98.358670040000007</v>
      </c>
      <c r="G409" s="5">
        <v>82.553447689999999</v>
      </c>
      <c r="H409" s="5">
        <v>72.735350940000004</v>
      </c>
      <c r="I409" s="5">
        <v>64.645762450000007</v>
      </c>
    </row>
    <row r="410" spans="1:9" ht="14.25" customHeight="1" x14ac:dyDescent="0.3">
      <c r="A410" t="s">
        <v>843</v>
      </c>
      <c r="B410" s="5">
        <v>81.285950220000004</v>
      </c>
      <c r="C410" s="5">
        <v>76.749404609999999</v>
      </c>
      <c r="D410" s="5">
        <v>73.806699989999998</v>
      </c>
      <c r="E410" s="5">
        <v>70.328744</v>
      </c>
      <c r="F410" s="5">
        <v>93.728862100000001</v>
      </c>
      <c r="G410" s="5">
        <v>75.159179879999996</v>
      </c>
      <c r="H410" s="5">
        <v>66.44963104</v>
      </c>
      <c r="I410" s="5">
        <v>66.898870590000001</v>
      </c>
    </row>
    <row r="411" spans="1:9" ht="14.25" customHeight="1" x14ac:dyDescent="0.3">
      <c r="A411" t="s">
        <v>845</v>
      </c>
      <c r="B411" s="5">
        <v>78.611850029999999</v>
      </c>
      <c r="C411" s="5">
        <v>80</v>
      </c>
      <c r="D411" s="5">
        <v>77.085297949999998</v>
      </c>
      <c r="E411" s="5">
        <v>62.81413938</v>
      </c>
      <c r="F411" s="5">
        <v>90.305822610000007</v>
      </c>
      <c r="G411" s="5">
        <v>84.999772590000006</v>
      </c>
      <c r="H411" s="5">
        <v>73.315144910000001</v>
      </c>
      <c r="I411" s="5">
        <v>63.251600920000001</v>
      </c>
    </row>
    <row r="412" spans="1:9" ht="14.25" customHeight="1" x14ac:dyDescent="0.3">
      <c r="A412" t="s">
        <v>2371</v>
      </c>
      <c r="B412" s="5">
        <v>87.326583009999993</v>
      </c>
      <c r="C412" s="5">
        <v>74.602193869999994</v>
      </c>
      <c r="D412" s="5">
        <v>74.747618759999995</v>
      </c>
      <c r="E412" s="5">
        <v>74.980963689999996</v>
      </c>
      <c r="F412" s="5">
        <v>99.9</v>
      </c>
      <c r="G412" s="5">
        <v>77.725370490000003</v>
      </c>
      <c r="H412" s="5">
        <v>73.437276990000001</v>
      </c>
      <c r="I412" s="5">
        <v>56.349755090000002</v>
      </c>
    </row>
    <row r="413" spans="1:9" ht="14.25" customHeight="1" x14ac:dyDescent="0.3">
      <c r="A413" t="s">
        <v>2372</v>
      </c>
      <c r="B413" s="5">
        <v>92.356006949999994</v>
      </c>
      <c r="C413" s="5">
        <v>61.05852222</v>
      </c>
      <c r="D413" s="5">
        <v>70.131746109999995</v>
      </c>
      <c r="E413" s="5">
        <v>69.703452999999996</v>
      </c>
      <c r="F413" s="5">
        <v>96.631699600000005</v>
      </c>
      <c r="G413" s="5">
        <v>71.440885600000001</v>
      </c>
      <c r="H413" s="5">
        <v>74.59865112</v>
      </c>
      <c r="I413" s="5">
        <v>63.476242599999999</v>
      </c>
    </row>
    <row r="414" spans="1:9" ht="14.25" customHeight="1" x14ac:dyDescent="0.3">
      <c r="A414" t="s">
        <v>2373</v>
      </c>
      <c r="B414" s="5">
        <v>87.368923440000003</v>
      </c>
      <c r="C414" s="5">
        <v>66.778660380000005</v>
      </c>
      <c r="D414" s="5">
        <v>72.637570460000006</v>
      </c>
      <c r="E414" s="5">
        <v>66.005057609999994</v>
      </c>
      <c r="F414" s="5">
        <v>96.458358529999998</v>
      </c>
      <c r="G414" s="5">
        <v>77.953047060000003</v>
      </c>
      <c r="H414" s="5">
        <v>79.084484200000006</v>
      </c>
      <c r="I414" s="5">
        <v>59.336159090000002</v>
      </c>
    </row>
    <row r="415" spans="1:9" ht="14.25" customHeight="1" x14ac:dyDescent="0.3">
      <c r="A415" t="s">
        <v>2374</v>
      </c>
      <c r="B415" s="5">
        <v>92.628325439999998</v>
      </c>
      <c r="C415" s="5">
        <v>64.061164210000001</v>
      </c>
      <c r="D415" s="5">
        <v>70</v>
      </c>
      <c r="E415" s="5">
        <v>57.914493460000003</v>
      </c>
      <c r="F415" s="5">
        <v>89.234749370000003</v>
      </c>
      <c r="G415" s="5">
        <v>77.319989149999998</v>
      </c>
      <c r="H415" s="5">
        <v>74.558198230000002</v>
      </c>
      <c r="I415" s="5">
        <v>58.799082380000002</v>
      </c>
    </row>
    <row r="416" spans="1:9" ht="14.25" customHeight="1" x14ac:dyDescent="0.3">
      <c r="A416" t="s">
        <v>855</v>
      </c>
      <c r="B416" s="5">
        <v>87.060357499999995</v>
      </c>
      <c r="C416" s="5">
        <v>79.652277470000001</v>
      </c>
      <c r="D416" s="5">
        <v>74.772765930000006</v>
      </c>
      <c r="E416" s="5">
        <v>68.729382520000001</v>
      </c>
      <c r="F416" s="5">
        <v>84.389506479999994</v>
      </c>
      <c r="G416" s="5">
        <v>85</v>
      </c>
      <c r="H416" s="5">
        <v>69.589653209999994</v>
      </c>
      <c r="I416" s="5">
        <v>62.181901430000003</v>
      </c>
    </row>
    <row r="417" spans="1:9" ht="14.25" customHeight="1" x14ac:dyDescent="0.3">
      <c r="A417" t="s">
        <v>2375</v>
      </c>
      <c r="B417" s="5">
        <v>83.452025079999999</v>
      </c>
      <c r="C417" s="5">
        <v>66.684230310000004</v>
      </c>
      <c r="D417" s="5">
        <v>90</v>
      </c>
      <c r="E417" s="5">
        <v>66.096101970000007</v>
      </c>
      <c r="F417" s="5">
        <v>83.227278049999995</v>
      </c>
      <c r="G417" s="5">
        <v>71.172642490000001</v>
      </c>
      <c r="H417" s="5">
        <v>65</v>
      </c>
      <c r="I417" s="5">
        <v>52.391013620000003</v>
      </c>
    </row>
    <row r="418" spans="1:9" ht="14.25" customHeight="1" x14ac:dyDescent="0.3">
      <c r="A418" t="s">
        <v>2376</v>
      </c>
      <c r="B418" s="5">
        <v>78.091840489999996</v>
      </c>
      <c r="C418" s="5">
        <v>74.607825879999993</v>
      </c>
      <c r="D418" s="5">
        <v>78.173771360000003</v>
      </c>
      <c r="E418" s="5">
        <v>62.728437460000002</v>
      </c>
      <c r="F418" s="5">
        <v>90.023653429999996</v>
      </c>
      <c r="G418" s="5">
        <v>73.281624440000002</v>
      </c>
      <c r="H418" s="5">
        <v>76.769156379999998</v>
      </c>
      <c r="I418" s="5">
        <v>52.269924109999998</v>
      </c>
    </row>
    <row r="419" spans="1:9" ht="14.25" customHeight="1" x14ac:dyDescent="0.3">
      <c r="A419" t="s">
        <v>2377</v>
      </c>
      <c r="B419" s="5">
        <v>85.279196749999997</v>
      </c>
      <c r="C419" s="5">
        <v>69.708119409999995</v>
      </c>
      <c r="D419" s="5">
        <v>70.84634475</v>
      </c>
      <c r="E419" s="5">
        <v>65.495796479999996</v>
      </c>
      <c r="F419" s="5">
        <v>94.942158079999999</v>
      </c>
      <c r="G419" s="5">
        <v>74.717838180000001</v>
      </c>
      <c r="H419" s="5">
        <v>68.304822099999996</v>
      </c>
      <c r="I419" s="5">
        <v>53.77772719</v>
      </c>
    </row>
    <row r="420" spans="1:9" ht="14.25" customHeight="1" x14ac:dyDescent="0.3">
      <c r="A420" t="s">
        <v>2378</v>
      </c>
      <c r="B420" s="5">
        <v>79.021945799999997</v>
      </c>
      <c r="C420" s="5">
        <v>73.30805282</v>
      </c>
      <c r="D420" s="5">
        <v>89.447784060000004</v>
      </c>
      <c r="E420" s="5">
        <v>64.659972960000005</v>
      </c>
      <c r="F420" s="5">
        <v>93.797546769999997</v>
      </c>
      <c r="G420" s="5">
        <v>79.522301839999997</v>
      </c>
      <c r="H420" s="5">
        <v>75.639060229999998</v>
      </c>
      <c r="I420" s="5">
        <v>55.0352435</v>
      </c>
    </row>
    <row r="421" spans="1:9" ht="14.25" customHeight="1" x14ac:dyDescent="0.3">
      <c r="A421" t="s">
        <v>865</v>
      </c>
      <c r="B421" s="5">
        <v>82.193493040000007</v>
      </c>
      <c r="C421" s="5">
        <v>68.365529800000004</v>
      </c>
      <c r="D421" s="5">
        <v>83.071594439999998</v>
      </c>
      <c r="E421" s="5">
        <v>61.434243799999997</v>
      </c>
      <c r="F421" s="5">
        <v>92.266472250000007</v>
      </c>
      <c r="G421" s="5">
        <v>80.794740759999996</v>
      </c>
      <c r="H421" s="5">
        <v>65</v>
      </c>
      <c r="I421" s="5">
        <v>58.856244150000002</v>
      </c>
    </row>
    <row r="422" spans="1:9" ht="14.25" customHeight="1" x14ac:dyDescent="0.3">
      <c r="A422" t="s">
        <v>867</v>
      </c>
      <c r="B422" s="5">
        <v>80.854682260000004</v>
      </c>
      <c r="C422" s="5">
        <v>69.496043420000007</v>
      </c>
      <c r="D422" s="5">
        <v>77.585566259999993</v>
      </c>
      <c r="E422" s="5">
        <v>72.207975959999999</v>
      </c>
      <c r="F422" s="5">
        <v>81.512359430000004</v>
      </c>
      <c r="G422" s="5">
        <v>85</v>
      </c>
      <c r="H422" s="5">
        <v>66.154352529999997</v>
      </c>
      <c r="I422" s="5">
        <v>54.74870267</v>
      </c>
    </row>
    <row r="423" spans="1:9" ht="14.25" customHeight="1" x14ac:dyDescent="0.3">
      <c r="A423" t="s">
        <v>2379</v>
      </c>
      <c r="B423" s="5">
        <v>77.7996251</v>
      </c>
      <c r="C423" s="5">
        <v>72.955133930000002</v>
      </c>
      <c r="D423" s="5">
        <v>77.433137310000006</v>
      </c>
      <c r="E423" s="5">
        <v>61.388482349999997</v>
      </c>
      <c r="F423" s="5">
        <v>89.834618160000005</v>
      </c>
      <c r="G423" s="5">
        <v>73.897018000000003</v>
      </c>
      <c r="H423" s="5">
        <v>74.615865420000006</v>
      </c>
      <c r="I423" s="5">
        <v>65.346459199999998</v>
      </c>
    </row>
    <row r="424" spans="1:9" ht="14.25" customHeight="1" x14ac:dyDescent="0.3">
      <c r="A424" t="s">
        <v>2380</v>
      </c>
      <c r="B424" s="5">
        <v>94.89686098</v>
      </c>
      <c r="C424" s="5">
        <v>66.522212890000006</v>
      </c>
      <c r="D424" s="5">
        <v>78.870997119999998</v>
      </c>
      <c r="E424" s="5">
        <v>64.550029949999995</v>
      </c>
      <c r="F424" s="5">
        <v>90.952061490000006</v>
      </c>
      <c r="G424" s="5">
        <v>84.197093870000003</v>
      </c>
      <c r="H424" s="5">
        <v>71.437948120000001</v>
      </c>
      <c r="I424" s="5">
        <v>60.864551800000001</v>
      </c>
    </row>
    <row r="425" spans="1:9" ht="14.25" customHeight="1" x14ac:dyDescent="0.3">
      <c r="A425" t="s">
        <v>2381</v>
      </c>
      <c r="B425" s="5">
        <v>88.051143210000006</v>
      </c>
      <c r="C425" s="5">
        <v>69.141099220000001</v>
      </c>
      <c r="D425" s="5">
        <v>74.313823479999996</v>
      </c>
      <c r="E425" s="5">
        <v>71.048885650000003</v>
      </c>
      <c r="F425" s="5">
        <v>93.918038530000004</v>
      </c>
      <c r="G425" s="5">
        <v>78.235575429999997</v>
      </c>
      <c r="H425" s="5">
        <v>67.293747409999995</v>
      </c>
      <c r="I425" s="5">
        <v>66.179591509999995</v>
      </c>
    </row>
    <row r="426" spans="1:9" ht="14.25" customHeight="1" x14ac:dyDescent="0.3">
      <c r="A426" t="s">
        <v>2382</v>
      </c>
      <c r="B426" s="5">
        <v>93.772724909999994</v>
      </c>
      <c r="C426" s="5">
        <v>66.299709559999997</v>
      </c>
      <c r="D426" s="5">
        <v>70.082872260000002</v>
      </c>
      <c r="E426" s="5">
        <v>68.147970999999998</v>
      </c>
      <c r="F426" s="5">
        <v>85.903300700000003</v>
      </c>
      <c r="G426" s="5">
        <v>73.377554419999996</v>
      </c>
      <c r="H426" s="5">
        <v>70.033175889999995</v>
      </c>
      <c r="I426" s="5">
        <v>52.529554840000003</v>
      </c>
    </row>
    <row r="427" spans="1:9" ht="14.25" customHeight="1" x14ac:dyDescent="0.3">
      <c r="A427" t="s">
        <v>2383</v>
      </c>
      <c r="B427" s="5">
        <v>89.352671880000003</v>
      </c>
      <c r="C427" s="5">
        <v>60.993626720000002</v>
      </c>
      <c r="D427" s="5">
        <v>74.29670745</v>
      </c>
      <c r="E427" s="5">
        <v>67.639150650000005</v>
      </c>
      <c r="F427" s="5">
        <v>85.855152970000006</v>
      </c>
      <c r="G427" s="5">
        <v>79.418438609999995</v>
      </c>
      <c r="H427" s="5">
        <v>72.517891039999995</v>
      </c>
      <c r="I427" s="5">
        <v>65.001885939999994</v>
      </c>
    </row>
    <row r="428" spans="1:9" ht="14.25" customHeight="1" x14ac:dyDescent="0.3">
      <c r="A428" t="s">
        <v>2384</v>
      </c>
      <c r="B428" s="5">
        <v>81.596624239999997</v>
      </c>
      <c r="C428" s="5">
        <v>67.402090200000004</v>
      </c>
      <c r="D428" s="5">
        <v>76.358822849999996</v>
      </c>
      <c r="E428" s="5">
        <v>67.586482169999996</v>
      </c>
      <c r="F428" s="5">
        <v>94.884270849999993</v>
      </c>
      <c r="G428" s="5">
        <v>76.449640509999995</v>
      </c>
      <c r="H428" s="5">
        <v>73.306686319999997</v>
      </c>
      <c r="I428" s="5">
        <v>62.046675110000002</v>
      </c>
    </row>
    <row r="429" spans="1:9" ht="14.25" customHeight="1" x14ac:dyDescent="0.3">
      <c r="A429" t="s">
        <v>2385</v>
      </c>
      <c r="B429" s="5">
        <v>85.828808390000006</v>
      </c>
      <c r="C429" s="5">
        <v>69.776385169999998</v>
      </c>
      <c r="D429" s="5">
        <v>70.571642409999995</v>
      </c>
      <c r="E429" s="5">
        <v>63.522853150000003</v>
      </c>
      <c r="F429" s="5">
        <v>86.325936729999995</v>
      </c>
      <c r="G429" s="5">
        <v>77.206413589999997</v>
      </c>
      <c r="H429" s="5">
        <v>68.125657820000001</v>
      </c>
      <c r="I429" s="5">
        <v>57.375292559999998</v>
      </c>
    </row>
    <row r="430" spans="1:9" ht="14.25" customHeight="1" x14ac:dyDescent="0.3">
      <c r="A430" t="s">
        <v>2386</v>
      </c>
      <c r="B430" s="5">
        <v>94.930115749999999</v>
      </c>
      <c r="C430" s="5">
        <v>74.953396240000004</v>
      </c>
      <c r="D430" s="5">
        <v>82.299974770000006</v>
      </c>
      <c r="E430" s="5">
        <v>62.585040909999996</v>
      </c>
      <c r="F430" s="5">
        <v>80.687666770000007</v>
      </c>
      <c r="G430" s="5">
        <v>82.4051939</v>
      </c>
      <c r="H430" s="5">
        <v>65</v>
      </c>
      <c r="I430" s="5">
        <v>67.622977169999999</v>
      </c>
    </row>
    <row r="431" spans="1:9" ht="14.25" customHeight="1" x14ac:dyDescent="0.3">
      <c r="A431" t="s">
        <v>2387</v>
      </c>
      <c r="B431" s="5">
        <v>83.649952670000005</v>
      </c>
      <c r="C431" s="5">
        <v>61.517431940000002</v>
      </c>
      <c r="D431" s="5">
        <v>74.11744143</v>
      </c>
      <c r="E431" s="5">
        <v>57.819807480000001</v>
      </c>
      <c r="F431" s="5">
        <v>92.472678360000003</v>
      </c>
      <c r="G431" s="5">
        <v>85</v>
      </c>
      <c r="H431" s="5">
        <v>67.305066830000001</v>
      </c>
      <c r="I431" s="5">
        <v>66.257738309999993</v>
      </c>
    </row>
    <row r="432" spans="1:9" ht="14.25" customHeight="1" x14ac:dyDescent="0.3">
      <c r="A432" t="s">
        <v>2388</v>
      </c>
      <c r="B432" s="5">
        <v>78.847393740000001</v>
      </c>
      <c r="C432" s="5">
        <v>68.923876969999995</v>
      </c>
      <c r="D432" s="5">
        <v>80.539975609999999</v>
      </c>
      <c r="E432" s="5">
        <v>69.42011033</v>
      </c>
      <c r="F432" s="5">
        <v>91.044625819999993</v>
      </c>
      <c r="G432" s="5">
        <v>74.541709800000007</v>
      </c>
      <c r="H432" s="5">
        <v>70.239392670000001</v>
      </c>
      <c r="I432" s="5">
        <v>63.929494380000001</v>
      </c>
    </row>
    <row r="433" spans="1:9" ht="14.25" customHeight="1" x14ac:dyDescent="0.3">
      <c r="A433" t="s">
        <v>2389</v>
      </c>
      <c r="B433" s="5">
        <v>86.231911670000002</v>
      </c>
      <c r="C433" s="5">
        <v>73.926228350000002</v>
      </c>
      <c r="D433" s="5">
        <v>77.430136200000007</v>
      </c>
      <c r="E433" s="5">
        <v>65.497202779999995</v>
      </c>
      <c r="F433" s="5">
        <v>87.300726429999997</v>
      </c>
      <c r="G433" s="5">
        <v>78.102044770000006</v>
      </c>
      <c r="H433" s="5">
        <v>73.438971429999995</v>
      </c>
      <c r="I433" s="5">
        <v>54.967266760000001</v>
      </c>
    </row>
    <row r="434" spans="1:9" ht="14.25" customHeight="1" x14ac:dyDescent="0.3">
      <c r="A434" t="s">
        <v>2390</v>
      </c>
      <c r="B434" s="5">
        <v>80.159854339999995</v>
      </c>
      <c r="C434" s="5">
        <v>63.963980970000001</v>
      </c>
      <c r="D434" s="5">
        <v>83.597386790000002</v>
      </c>
      <c r="E434" s="5">
        <v>71.023595950000001</v>
      </c>
      <c r="F434" s="5">
        <v>97.890989610000005</v>
      </c>
      <c r="G434" s="5">
        <v>68.677050530000002</v>
      </c>
      <c r="H434" s="5">
        <v>65.479850709999994</v>
      </c>
      <c r="I434" s="5">
        <v>50</v>
      </c>
    </row>
    <row r="435" spans="1:9" ht="14.25" customHeight="1" x14ac:dyDescent="0.3">
      <c r="A435" t="s">
        <v>2391</v>
      </c>
      <c r="B435" s="5">
        <v>83.122998699999997</v>
      </c>
      <c r="C435" s="5">
        <v>65.918180030000002</v>
      </c>
      <c r="D435" s="5">
        <v>80.876531650000004</v>
      </c>
      <c r="E435" s="5">
        <v>70.290764240000001</v>
      </c>
      <c r="F435" s="5">
        <v>81.755547050000004</v>
      </c>
      <c r="G435" s="5">
        <v>83.654992870000001</v>
      </c>
      <c r="H435" s="5">
        <v>70.096179019999994</v>
      </c>
      <c r="I435" s="5">
        <v>61.58618147</v>
      </c>
    </row>
    <row r="436" spans="1:9" ht="14.25" customHeight="1" x14ac:dyDescent="0.3">
      <c r="A436" t="s">
        <v>2392</v>
      </c>
      <c r="B436" s="5">
        <v>83.788707410000001</v>
      </c>
      <c r="C436" s="5">
        <v>63.674677819999999</v>
      </c>
      <c r="D436" s="5">
        <v>82.286306719999999</v>
      </c>
      <c r="E436" s="5">
        <v>64.507431760000003</v>
      </c>
      <c r="F436" s="5">
        <v>99.464912650000002</v>
      </c>
      <c r="G436" s="5">
        <v>73.243521490000006</v>
      </c>
      <c r="H436" s="5">
        <v>68.424822000000006</v>
      </c>
      <c r="I436" s="5">
        <v>68.250778819999994</v>
      </c>
    </row>
    <row r="437" spans="1:9" ht="14.25" customHeight="1" x14ac:dyDescent="0.3">
      <c r="A437" t="s">
        <v>2393</v>
      </c>
      <c r="B437" s="5">
        <v>83.345259080000005</v>
      </c>
      <c r="C437" s="5">
        <v>60.174881310000004</v>
      </c>
      <c r="D437" s="5">
        <v>79.446014570000003</v>
      </c>
      <c r="E437" s="5">
        <v>67.448948430000002</v>
      </c>
      <c r="F437" s="5">
        <v>90.244746149999997</v>
      </c>
      <c r="G437" s="5">
        <v>75.686424900000006</v>
      </c>
      <c r="H437" s="5">
        <v>72.938578300000003</v>
      </c>
      <c r="I437" s="5">
        <v>62.562783000000003</v>
      </c>
    </row>
    <row r="438" spans="1:9" ht="14.25" customHeight="1" x14ac:dyDescent="0.3">
      <c r="A438" t="s">
        <v>2394</v>
      </c>
      <c r="B438" s="5">
        <v>75</v>
      </c>
      <c r="C438" s="5">
        <v>72.215906000000004</v>
      </c>
      <c r="D438" s="5">
        <v>83.846816439999998</v>
      </c>
      <c r="E438" s="5">
        <v>63.335255670000002</v>
      </c>
      <c r="F438" s="5">
        <v>86.742277979999997</v>
      </c>
      <c r="G438" s="5">
        <v>77.312324630000006</v>
      </c>
      <c r="H438" s="5">
        <v>78.422721499999994</v>
      </c>
      <c r="I438" s="5">
        <v>50</v>
      </c>
    </row>
    <row r="439" spans="1:9" ht="14.25" customHeight="1" x14ac:dyDescent="0.3">
      <c r="A439" t="s">
        <v>2395</v>
      </c>
      <c r="B439" s="5">
        <v>79.153926900000002</v>
      </c>
      <c r="C439" s="5">
        <v>71.591817160000005</v>
      </c>
      <c r="D439" s="5">
        <v>70</v>
      </c>
      <c r="E439" s="5">
        <v>63.602240219999999</v>
      </c>
      <c r="F439" s="5">
        <v>88.98032327</v>
      </c>
      <c r="G439" s="5">
        <v>69.636184689999993</v>
      </c>
      <c r="H439" s="5">
        <v>72.653410429999994</v>
      </c>
      <c r="I439" s="5">
        <v>60.221753100000001</v>
      </c>
    </row>
    <row r="440" spans="1:9" ht="14.25" customHeight="1" x14ac:dyDescent="0.3">
      <c r="A440" t="s">
        <v>2396</v>
      </c>
      <c r="B440" s="5">
        <v>78.746204489999997</v>
      </c>
      <c r="C440" s="5">
        <v>65.506010970000005</v>
      </c>
      <c r="D440" s="5">
        <v>76.604969519999997</v>
      </c>
      <c r="E440" s="5">
        <v>71.668562440000002</v>
      </c>
      <c r="F440" s="5">
        <v>96.738841870000002</v>
      </c>
      <c r="G440" s="5">
        <v>79.098241520000002</v>
      </c>
      <c r="H440" s="5">
        <v>72.772440669999995</v>
      </c>
      <c r="I440" s="5">
        <v>59.915287669999998</v>
      </c>
    </row>
    <row r="441" spans="1:9" ht="14.25" customHeight="1" x14ac:dyDescent="0.3">
      <c r="A441" t="s">
        <v>2397</v>
      </c>
      <c r="B441" s="5">
        <v>84.523432349999993</v>
      </c>
      <c r="C441" s="5">
        <v>68.312801339999993</v>
      </c>
      <c r="D441" s="5">
        <v>78.264635839999997</v>
      </c>
      <c r="E441" s="5">
        <v>65.275266299999998</v>
      </c>
      <c r="F441" s="5">
        <v>96.147236449999994</v>
      </c>
      <c r="G441" s="5">
        <v>83.730749079999995</v>
      </c>
      <c r="H441" s="5">
        <v>69.580918249999996</v>
      </c>
      <c r="I441" s="5">
        <v>55.339303540000003</v>
      </c>
    </row>
    <row r="442" spans="1:9" ht="14.25" customHeight="1" x14ac:dyDescent="0.3">
      <c r="A442" t="s">
        <v>2398</v>
      </c>
      <c r="B442" s="5">
        <v>84.682142569999996</v>
      </c>
      <c r="C442" s="5">
        <v>68.124321940000002</v>
      </c>
      <c r="D442" s="5">
        <v>90</v>
      </c>
      <c r="E442" s="5">
        <v>68.497510599999998</v>
      </c>
      <c r="F442" s="5">
        <v>87.684895409999996</v>
      </c>
      <c r="G442" s="5">
        <v>74.898177720000007</v>
      </c>
      <c r="H442" s="5">
        <v>68.031437260000004</v>
      </c>
      <c r="I442" s="5">
        <v>58.171979839999999</v>
      </c>
    </row>
    <row r="443" spans="1:9" ht="14.25" customHeight="1" x14ac:dyDescent="0.3">
      <c r="A443" t="s">
        <v>2399</v>
      </c>
      <c r="B443" s="5">
        <v>96.401584240000005</v>
      </c>
      <c r="C443" s="5">
        <v>77.444230349999998</v>
      </c>
      <c r="D443" s="5">
        <v>81.504705349999995</v>
      </c>
      <c r="E443" s="5">
        <v>68.686461089999995</v>
      </c>
      <c r="F443" s="5">
        <v>92.519018160000002</v>
      </c>
      <c r="G443" s="5">
        <v>77.148777710000005</v>
      </c>
      <c r="H443" s="5">
        <v>69.374508059999997</v>
      </c>
      <c r="I443" s="5">
        <v>68.666704260000003</v>
      </c>
    </row>
    <row r="444" spans="1:9" ht="14.25" customHeight="1" x14ac:dyDescent="0.3">
      <c r="A444" t="s">
        <v>2400</v>
      </c>
      <c r="B444" s="5">
        <v>86.969823649999995</v>
      </c>
      <c r="C444" s="5">
        <v>76.015983449999993</v>
      </c>
      <c r="D444" s="5">
        <v>75.105908040000003</v>
      </c>
      <c r="E444" s="5">
        <v>74.577107839999996</v>
      </c>
      <c r="F444" s="5">
        <v>89.859299969999995</v>
      </c>
      <c r="G444" s="5">
        <v>85</v>
      </c>
      <c r="H444" s="5">
        <v>65</v>
      </c>
      <c r="I444" s="5">
        <v>63.186545879999997</v>
      </c>
    </row>
    <row r="445" spans="1:9" ht="14.25" customHeight="1" x14ac:dyDescent="0.3">
      <c r="A445" t="s">
        <v>2401</v>
      </c>
      <c r="B445" s="5">
        <v>82.9016637</v>
      </c>
      <c r="C445" s="5">
        <v>62.70037919</v>
      </c>
      <c r="D445" s="5">
        <v>70</v>
      </c>
      <c r="E445" s="5">
        <v>65.816553459999994</v>
      </c>
      <c r="F445" s="5">
        <v>95.609429860000006</v>
      </c>
      <c r="G445" s="5">
        <v>82.133512319999994</v>
      </c>
      <c r="H445" s="5">
        <v>73.36960388</v>
      </c>
      <c r="I445" s="5">
        <v>70</v>
      </c>
    </row>
    <row r="446" spans="1:9" ht="14.25" customHeight="1" x14ac:dyDescent="0.3">
      <c r="A446" t="s">
        <v>916</v>
      </c>
      <c r="B446" s="5">
        <v>79.814544799999993</v>
      </c>
      <c r="C446" s="5">
        <v>67.228512879999997</v>
      </c>
      <c r="D446" s="5">
        <v>73.279009790000003</v>
      </c>
      <c r="E446" s="5">
        <v>63.468384669999999</v>
      </c>
      <c r="F446" s="5">
        <v>88.824344479999993</v>
      </c>
      <c r="G446" s="5">
        <v>82.349929320000001</v>
      </c>
      <c r="H446" s="5">
        <v>68.417629210000001</v>
      </c>
      <c r="I446" s="5">
        <v>56.532986030000004</v>
      </c>
    </row>
    <row r="447" spans="1:9" ht="14.25" customHeight="1" x14ac:dyDescent="0.3">
      <c r="A447" t="s">
        <v>918</v>
      </c>
      <c r="B447" s="5">
        <v>85.080606759999995</v>
      </c>
      <c r="C447" s="5">
        <v>64.039595800000001</v>
      </c>
      <c r="D447" s="5">
        <v>85.566376099999999</v>
      </c>
      <c r="E447" s="5">
        <v>66.188898949999995</v>
      </c>
      <c r="F447" s="5">
        <v>94.483309879999993</v>
      </c>
      <c r="G447" s="5">
        <v>85</v>
      </c>
      <c r="H447" s="5">
        <v>72.476977140000002</v>
      </c>
      <c r="I447" s="5">
        <v>53.802897340000001</v>
      </c>
    </row>
    <row r="448" spans="1:9" ht="14.25" customHeight="1" x14ac:dyDescent="0.3">
      <c r="A448" t="s">
        <v>2402</v>
      </c>
      <c r="B448" s="5">
        <v>81.723816749999997</v>
      </c>
      <c r="C448" s="5">
        <v>60</v>
      </c>
      <c r="D448" s="5">
        <v>77.985877819999999</v>
      </c>
      <c r="E448" s="5">
        <v>75</v>
      </c>
      <c r="F448" s="5">
        <v>96.272909010000006</v>
      </c>
      <c r="G448" s="5">
        <v>85</v>
      </c>
      <c r="H448" s="5">
        <v>74.170438020000006</v>
      </c>
      <c r="I448" s="5">
        <v>62.072156100000001</v>
      </c>
    </row>
    <row r="449" spans="1:9" ht="14.25" customHeight="1" x14ac:dyDescent="0.3">
      <c r="A449" t="s">
        <v>2403</v>
      </c>
      <c r="B449" s="5">
        <v>81.549679920000003</v>
      </c>
      <c r="C449" s="5">
        <v>61.296944240000002</v>
      </c>
      <c r="D449" s="5">
        <v>70</v>
      </c>
      <c r="E449" s="5">
        <v>67.825118309999993</v>
      </c>
      <c r="F449" s="5">
        <v>92.179687950000002</v>
      </c>
      <c r="G449" s="5">
        <v>75.410328109999995</v>
      </c>
      <c r="H449" s="5">
        <v>82.742922879999995</v>
      </c>
      <c r="I449" s="5">
        <v>52.830269430000001</v>
      </c>
    </row>
    <row r="450" spans="1:9" ht="14.25" customHeight="1" x14ac:dyDescent="0.3">
      <c r="A450" t="s">
        <v>925</v>
      </c>
      <c r="B450" s="5">
        <v>75</v>
      </c>
      <c r="C450" s="5">
        <v>66.835195769999999</v>
      </c>
      <c r="D450" s="5">
        <v>74.603034620000003</v>
      </c>
      <c r="E450" s="5">
        <v>63.961255889999997</v>
      </c>
      <c r="F450" s="5">
        <v>94.934097080000001</v>
      </c>
      <c r="G450" s="5">
        <v>85</v>
      </c>
      <c r="H450" s="5">
        <v>71.479081039999997</v>
      </c>
      <c r="I450" s="5">
        <v>52.306408249999997</v>
      </c>
    </row>
    <row r="451" spans="1:9" ht="14.25" customHeight="1" x14ac:dyDescent="0.3">
      <c r="A451" t="s">
        <v>2404</v>
      </c>
      <c r="B451" s="5">
        <v>88.209534689999998</v>
      </c>
      <c r="C451" s="5">
        <v>69.509432129999993</v>
      </c>
      <c r="D451" s="5">
        <v>86.611252750000006</v>
      </c>
      <c r="E451" s="5">
        <v>58.531145189999997</v>
      </c>
      <c r="F451" s="5">
        <v>87.491375090000005</v>
      </c>
      <c r="G451" s="5">
        <v>82.414510969999995</v>
      </c>
      <c r="H451" s="5">
        <v>70.560587740000003</v>
      </c>
      <c r="I451" s="5">
        <v>62.825010949999999</v>
      </c>
    </row>
    <row r="452" spans="1:9" ht="14.25" customHeight="1" x14ac:dyDescent="0.3">
      <c r="A452" t="s">
        <v>2405</v>
      </c>
      <c r="B452" s="5">
        <v>83.401652999999996</v>
      </c>
      <c r="C452" s="5">
        <v>60.229820510000003</v>
      </c>
      <c r="D452" s="5">
        <v>73.546347019999999</v>
      </c>
      <c r="E452" s="5">
        <v>72.604036820000005</v>
      </c>
      <c r="F452" s="5">
        <v>92.803499130000006</v>
      </c>
      <c r="G452" s="5">
        <v>69.609774459999997</v>
      </c>
      <c r="H452" s="5">
        <v>65.436399429999994</v>
      </c>
      <c r="I452" s="5">
        <v>58.27879068</v>
      </c>
    </row>
    <row r="453" spans="1:9" ht="14.25" customHeight="1" x14ac:dyDescent="0.3">
      <c r="A453" t="s">
        <v>931</v>
      </c>
      <c r="B453" s="5">
        <v>91.645546769999996</v>
      </c>
      <c r="C453" s="5">
        <v>65.536229570000003</v>
      </c>
      <c r="D453" s="5">
        <v>80.034744779999997</v>
      </c>
      <c r="E453" s="5">
        <v>60.309726359999999</v>
      </c>
      <c r="F453" s="5">
        <v>89.338377249999994</v>
      </c>
      <c r="G453" s="5">
        <v>78.778295450000002</v>
      </c>
      <c r="H453" s="5">
        <v>73.177572389999995</v>
      </c>
      <c r="I453" s="5">
        <v>63.60628251</v>
      </c>
    </row>
    <row r="454" spans="1:9" ht="14.25" customHeight="1" x14ac:dyDescent="0.3">
      <c r="A454" t="s">
        <v>2406</v>
      </c>
      <c r="B454" s="5">
        <v>87.978216549999999</v>
      </c>
      <c r="C454" s="5">
        <v>65.831849030000001</v>
      </c>
      <c r="D454" s="5">
        <v>79.691201230000004</v>
      </c>
      <c r="E454" s="5">
        <v>63.21884558</v>
      </c>
      <c r="F454" s="5">
        <v>82.668429309999993</v>
      </c>
      <c r="G454" s="5">
        <v>75.99561602</v>
      </c>
      <c r="H454" s="5">
        <v>69.888875330000005</v>
      </c>
      <c r="I454" s="5">
        <v>56.75330177</v>
      </c>
    </row>
    <row r="455" spans="1:9" ht="14.25" customHeight="1" x14ac:dyDescent="0.3">
      <c r="A455" t="s">
        <v>2407</v>
      </c>
      <c r="B455" s="5">
        <v>82.76884364</v>
      </c>
      <c r="C455" s="5">
        <v>68.182761290000002</v>
      </c>
      <c r="D455" s="5">
        <v>70</v>
      </c>
      <c r="E455" s="5">
        <v>66.124849170000005</v>
      </c>
      <c r="F455" s="5">
        <v>85.661420809999996</v>
      </c>
      <c r="G455" s="5">
        <v>75.850691119999993</v>
      </c>
      <c r="H455" s="5">
        <v>77.903072789999996</v>
      </c>
      <c r="I455" s="5">
        <v>68.471722729999996</v>
      </c>
    </row>
    <row r="456" spans="1:9" ht="14.25" customHeight="1" x14ac:dyDescent="0.3">
      <c r="A456" t="s">
        <v>937</v>
      </c>
      <c r="B456" s="5">
        <v>83.183455159999994</v>
      </c>
      <c r="C456" s="5">
        <v>75.070083629999999</v>
      </c>
      <c r="D456" s="5">
        <v>80.714314639999998</v>
      </c>
      <c r="E456" s="5">
        <v>67.610528900000006</v>
      </c>
      <c r="F456" s="5">
        <v>88.186044019999997</v>
      </c>
      <c r="G456" s="5">
        <v>80.942371960000003</v>
      </c>
      <c r="H456" s="5">
        <v>71.263414569999995</v>
      </c>
      <c r="I456" s="5">
        <v>64.402593019999998</v>
      </c>
    </row>
    <row r="457" spans="1:9" ht="14.25" customHeight="1" x14ac:dyDescent="0.3">
      <c r="A457" t="s">
        <v>939</v>
      </c>
      <c r="B457" s="5">
        <v>84.682699569999997</v>
      </c>
      <c r="C457" s="5">
        <v>78.192623609999998</v>
      </c>
      <c r="D457" s="5">
        <v>72.390604170000003</v>
      </c>
      <c r="E457" s="5">
        <v>57.575397649999999</v>
      </c>
      <c r="F457" s="5">
        <v>80</v>
      </c>
      <c r="G457" s="5">
        <v>74.739158919999994</v>
      </c>
      <c r="H457" s="5">
        <v>71.842633259999999</v>
      </c>
      <c r="I457" s="5">
        <v>68.039399299999999</v>
      </c>
    </row>
    <row r="458" spans="1:9" ht="14.25" customHeight="1" x14ac:dyDescent="0.3">
      <c r="A458" t="s">
        <v>2408</v>
      </c>
      <c r="B458" s="5">
        <v>87.248635039999996</v>
      </c>
      <c r="C458" s="5">
        <v>70.606031220000006</v>
      </c>
      <c r="D458" s="5">
        <v>80.38102447</v>
      </c>
      <c r="E458" s="5">
        <v>61.926359849999997</v>
      </c>
      <c r="F458" s="5">
        <v>86.206269489999997</v>
      </c>
      <c r="G458" s="5">
        <v>81.968042780000005</v>
      </c>
      <c r="H458" s="5">
        <v>65</v>
      </c>
      <c r="I458" s="5">
        <v>55.574065140000002</v>
      </c>
    </row>
    <row r="459" spans="1:9" ht="14.25" customHeight="1" x14ac:dyDescent="0.3">
      <c r="A459" t="s">
        <v>943</v>
      </c>
      <c r="B459" s="5">
        <v>83.582952120000002</v>
      </c>
      <c r="C459" s="5">
        <v>70.737708139999995</v>
      </c>
      <c r="D459" s="5">
        <v>75.446837020000004</v>
      </c>
      <c r="E459" s="5">
        <v>68.563575470000004</v>
      </c>
      <c r="F459" s="5">
        <v>85.738837020000005</v>
      </c>
      <c r="G459" s="5">
        <v>75.078239710000005</v>
      </c>
      <c r="H459" s="5">
        <v>71.354042109999995</v>
      </c>
      <c r="I459" s="5">
        <v>70</v>
      </c>
    </row>
    <row r="460" spans="1:9" ht="14.25" customHeight="1" x14ac:dyDescent="0.3">
      <c r="A460" t="s">
        <v>945</v>
      </c>
      <c r="B460" s="5">
        <v>88.849508589999999</v>
      </c>
      <c r="C460" s="5">
        <v>60.230072159999999</v>
      </c>
      <c r="D460" s="5">
        <v>81.812981219999998</v>
      </c>
      <c r="E460" s="5">
        <v>68.006150239999997</v>
      </c>
      <c r="F460" s="5">
        <v>85.842084529999994</v>
      </c>
      <c r="G460" s="5">
        <v>76.488676810000001</v>
      </c>
      <c r="H460" s="5">
        <v>73.319465019999996</v>
      </c>
      <c r="I460" s="5">
        <v>53.2378255</v>
      </c>
    </row>
    <row r="461" spans="1:9" ht="14.25" customHeight="1" x14ac:dyDescent="0.3">
      <c r="A461" t="s">
        <v>2409</v>
      </c>
      <c r="B461" s="5">
        <v>83.172929019999998</v>
      </c>
      <c r="C461" s="5">
        <v>70.291932520000003</v>
      </c>
      <c r="D461" s="5">
        <v>76.529901749999993</v>
      </c>
      <c r="E461" s="5">
        <v>66.740555610000001</v>
      </c>
      <c r="F461" s="5">
        <v>94.720897070000007</v>
      </c>
      <c r="G461" s="5">
        <v>78.237231800000004</v>
      </c>
      <c r="H461" s="5">
        <v>68.637399029999997</v>
      </c>
      <c r="I461" s="5">
        <v>50</v>
      </c>
    </row>
    <row r="462" spans="1:9" ht="14.25" customHeight="1" x14ac:dyDescent="0.3">
      <c r="A462" t="s">
        <v>2410</v>
      </c>
      <c r="B462" s="5">
        <v>80.705145770000001</v>
      </c>
      <c r="C462" s="5">
        <v>64.390057380000002</v>
      </c>
      <c r="D462" s="5">
        <v>88.053687710000005</v>
      </c>
      <c r="E462" s="5">
        <v>55</v>
      </c>
      <c r="F462" s="5">
        <v>95.48023766</v>
      </c>
      <c r="G462" s="5">
        <v>80.032935539999997</v>
      </c>
      <c r="H462" s="5">
        <v>72.762538489999997</v>
      </c>
      <c r="I462" s="5">
        <v>50</v>
      </c>
    </row>
    <row r="463" spans="1:9" ht="14.25" customHeight="1" x14ac:dyDescent="0.3">
      <c r="A463" t="s">
        <v>2411</v>
      </c>
      <c r="B463" s="5">
        <v>86.451103759999995</v>
      </c>
      <c r="C463" s="5">
        <v>67.602303239999998</v>
      </c>
      <c r="D463" s="5">
        <v>74.642343890000006</v>
      </c>
      <c r="E463" s="5">
        <v>63.324137569999998</v>
      </c>
      <c r="F463" s="5">
        <v>93.371569440000002</v>
      </c>
      <c r="G463" s="5">
        <v>85</v>
      </c>
      <c r="H463" s="5">
        <v>76.439488260000005</v>
      </c>
      <c r="I463" s="5">
        <v>58.105088189999996</v>
      </c>
    </row>
    <row r="464" spans="1:9" ht="14.25" customHeight="1" x14ac:dyDescent="0.3">
      <c r="A464" t="s">
        <v>2412</v>
      </c>
      <c r="B464" s="5">
        <v>85.440633860000005</v>
      </c>
      <c r="C464" s="5">
        <v>61.953612550000003</v>
      </c>
      <c r="D464" s="5">
        <v>75.180946000000006</v>
      </c>
      <c r="E464" s="5">
        <v>58.969347200000001</v>
      </c>
      <c r="F464" s="5">
        <v>85.385588339999998</v>
      </c>
      <c r="G464" s="5">
        <v>77.764302900000004</v>
      </c>
      <c r="H464" s="5">
        <v>74.509673179999993</v>
      </c>
      <c r="I464" s="5">
        <v>61.686793799999997</v>
      </c>
    </row>
    <row r="465" spans="1:9" ht="14.25" customHeight="1" x14ac:dyDescent="0.3">
      <c r="A465" t="s">
        <v>2413</v>
      </c>
      <c r="B465" s="5">
        <v>97.873381820000006</v>
      </c>
      <c r="C465" s="5">
        <v>68.251842879999998</v>
      </c>
      <c r="D465" s="5">
        <v>84.098082099999999</v>
      </c>
      <c r="E465" s="5">
        <v>60.642458650000002</v>
      </c>
      <c r="F465" s="5">
        <v>92.170490180000002</v>
      </c>
      <c r="G465" s="5">
        <v>77.283086229999995</v>
      </c>
      <c r="H465" s="5">
        <v>70.890430739999999</v>
      </c>
      <c r="I465" s="5">
        <v>57.385143210000003</v>
      </c>
    </row>
    <row r="466" spans="1:9" ht="14.25" customHeight="1" x14ac:dyDescent="0.3">
      <c r="A466" t="s">
        <v>957</v>
      </c>
      <c r="B466" s="5">
        <v>87.182956910000001</v>
      </c>
      <c r="C466" s="5">
        <v>72.102137949999999</v>
      </c>
      <c r="D466" s="5">
        <v>70</v>
      </c>
      <c r="E466" s="5">
        <v>65.45181608</v>
      </c>
      <c r="F466" s="5">
        <v>94.238299179999999</v>
      </c>
      <c r="G466" s="5">
        <v>85</v>
      </c>
      <c r="H466" s="5">
        <v>77.38839222</v>
      </c>
      <c r="I466" s="5">
        <v>69.409925880000003</v>
      </c>
    </row>
    <row r="467" spans="1:9" ht="14.25" customHeight="1" x14ac:dyDescent="0.3">
      <c r="A467" t="s">
        <v>2414</v>
      </c>
      <c r="B467" s="5">
        <v>89.412048929999997</v>
      </c>
      <c r="C467" s="5">
        <v>73.980899489999999</v>
      </c>
      <c r="D467" s="5">
        <v>70</v>
      </c>
      <c r="E467" s="5">
        <v>57.857818479999999</v>
      </c>
      <c r="F467" s="5">
        <v>84.280770129999993</v>
      </c>
      <c r="G467" s="5">
        <v>70.469235729999994</v>
      </c>
      <c r="H467" s="5">
        <v>67.699282190000005</v>
      </c>
      <c r="I467" s="5">
        <v>67.091786810000002</v>
      </c>
    </row>
    <row r="468" spans="1:9" ht="14.25" customHeight="1" x14ac:dyDescent="0.3">
      <c r="A468" t="s">
        <v>961</v>
      </c>
      <c r="B468" s="5">
        <v>92.444619680000002</v>
      </c>
      <c r="C468" s="5">
        <v>67.336014289999994</v>
      </c>
      <c r="D468" s="5">
        <v>75.670404259999998</v>
      </c>
      <c r="E468" s="5">
        <v>66.608761639999997</v>
      </c>
      <c r="F468" s="5">
        <v>90.905035650000002</v>
      </c>
      <c r="G468" s="5">
        <v>79.903370129999999</v>
      </c>
      <c r="H468" s="5">
        <v>76.50005238</v>
      </c>
      <c r="I468" s="5">
        <v>60.976128840000001</v>
      </c>
    </row>
    <row r="469" spans="1:9" ht="14.25" customHeight="1" x14ac:dyDescent="0.3">
      <c r="A469" t="s">
        <v>2415</v>
      </c>
      <c r="B469" s="5">
        <v>91.6652019</v>
      </c>
      <c r="C469" s="5">
        <v>79.204836889999996</v>
      </c>
      <c r="D469" s="5">
        <v>70</v>
      </c>
      <c r="E469" s="5">
        <v>67.955785210000002</v>
      </c>
      <c r="F469" s="5">
        <v>84.050235020000002</v>
      </c>
      <c r="G469" s="5">
        <v>76.949055880000003</v>
      </c>
      <c r="H469" s="5">
        <v>70.276354119999993</v>
      </c>
      <c r="I469" s="5">
        <v>66.746258620000006</v>
      </c>
    </row>
    <row r="470" spans="1:9" ht="14.25" customHeight="1" x14ac:dyDescent="0.3">
      <c r="A470" t="s">
        <v>2416</v>
      </c>
      <c r="B470" s="5">
        <v>85.397150920000001</v>
      </c>
      <c r="C470" s="5">
        <v>69.480691429999993</v>
      </c>
      <c r="D470" s="5">
        <v>72.024062540000003</v>
      </c>
      <c r="E470" s="5">
        <v>63.52446166</v>
      </c>
      <c r="F470" s="5">
        <v>97.383883879999999</v>
      </c>
      <c r="G470" s="5">
        <v>84.007242640000001</v>
      </c>
      <c r="H470" s="5">
        <v>67.678988279999999</v>
      </c>
      <c r="I470" s="5">
        <v>64.225289790000005</v>
      </c>
    </row>
    <row r="471" spans="1:9" ht="14.25" customHeight="1" x14ac:dyDescent="0.3">
      <c r="A471" t="s">
        <v>2417</v>
      </c>
      <c r="B471" s="5">
        <v>82.706685320000005</v>
      </c>
      <c r="C471" s="5">
        <v>75.156635539999996</v>
      </c>
      <c r="D471" s="5">
        <v>76.239919420000007</v>
      </c>
      <c r="E471" s="5">
        <v>64.981203059999999</v>
      </c>
      <c r="F471" s="5">
        <v>91.557382939999997</v>
      </c>
      <c r="G471" s="5">
        <v>75.074142660000007</v>
      </c>
      <c r="H471" s="5">
        <v>73.315935839999995</v>
      </c>
      <c r="I471" s="5">
        <v>70</v>
      </c>
    </row>
    <row r="472" spans="1:9" ht="14.25" customHeight="1" x14ac:dyDescent="0.3">
      <c r="A472" t="s">
        <v>2418</v>
      </c>
      <c r="B472" s="5">
        <v>80.686638639999998</v>
      </c>
      <c r="C472" s="5">
        <v>63.580602390000003</v>
      </c>
      <c r="D472" s="5">
        <v>81.371741749999998</v>
      </c>
      <c r="E472" s="5">
        <v>56.997713050000002</v>
      </c>
      <c r="F472" s="5">
        <v>91.096460190000002</v>
      </c>
      <c r="G472" s="5">
        <v>85</v>
      </c>
      <c r="H472" s="5">
        <v>66.801618050000002</v>
      </c>
      <c r="I472" s="5">
        <v>57.72023686</v>
      </c>
    </row>
    <row r="473" spans="1:9" ht="14.25" customHeight="1" x14ac:dyDescent="0.3">
      <c r="A473" t="s">
        <v>2419</v>
      </c>
      <c r="B473" s="5">
        <v>85.423733830000003</v>
      </c>
      <c r="C473" s="5">
        <v>63.00218452</v>
      </c>
      <c r="D473" s="5">
        <v>76.250978509999996</v>
      </c>
      <c r="E473" s="5">
        <v>61.218025140000002</v>
      </c>
      <c r="F473" s="5">
        <v>95.752037610000002</v>
      </c>
      <c r="G473" s="5">
        <v>67.442764229999995</v>
      </c>
      <c r="H473" s="5">
        <v>71.497140999999999</v>
      </c>
      <c r="I473" s="5">
        <v>61.646173769999997</v>
      </c>
    </row>
    <row r="474" spans="1:9" ht="14.25" customHeight="1" x14ac:dyDescent="0.3">
      <c r="A474" t="s">
        <v>973</v>
      </c>
      <c r="B474" s="5">
        <v>84.852166920000002</v>
      </c>
      <c r="C474" s="5">
        <v>78.625064800000004</v>
      </c>
      <c r="D474" s="5">
        <v>75.641451810000007</v>
      </c>
      <c r="E474" s="5">
        <v>67.623765230000004</v>
      </c>
      <c r="F474" s="5">
        <v>95.668548720000004</v>
      </c>
      <c r="G474" s="5">
        <v>85</v>
      </c>
      <c r="H474" s="5">
        <v>65</v>
      </c>
      <c r="I474" s="5">
        <v>57.155098279999997</v>
      </c>
    </row>
    <row r="475" spans="1:9" ht="14.25" customHeight="1" x14ac:dyDescent="0.3">
      <c r="A475" t="s">
        <v>975</v>
      </c>
      <c r="B475" s="5">
        <v>78.117766919999994</v>
      </c>
      <c r="C475" s="5">
        <v>74.575415890000002</v>
      </c>
      <c r="D475" s="5">
        <v>82.562259220000001</v>
      </c>
      <c r="E475" s="5">
        <v>56.980746099999998</v>
      </c>
      <c r="F475" s="5">
        <v>82.955236110000001</v>
      </c>
      <c r="G475" s="5">
        <v>85</v>
      </c>
      <c r="H475" s="5">
        <v>71.571790660000005</v>
      </c>
      <c r="I475" s="5">
        <v>61.549828310000002</v>
      </c>
    </row>
    <row r="476" spans="1:9" ht="14.25" customHeight="1" x14ac:dyDescent="0.3">
      <c r="A476" t="s">
        <v>2420</v>
      </c>
      <c r="B476" s="5">
        <v>80.801566050000005</v>
      </c>
      <c r="C476" s="5">
        <v>61.3221141</v>
      </c>
      <c r="D476" s="5">
        <v>73.183035810000007</v>
      </c>
      <c r="E476" s="5">
        <v>72.162501710000001</v>
      </c>
      <c r="F476" s="5">
        <v>89.044873240000001</v>
      </c>
      <c r="G476" s="5">
        <v>74.731723380000005</v>
      </c>
      <c r="H476" s="5">
        <v>67.269082460000007</v>
      </c>
      <c r="I476" s="5">
        <v>63.309009570000001</v>
      </c>
    </row>
    <row r="477" spans="1:9" ht="14.25" customHeight="1" x14ac:dyDescent="0.3">
      <c r="A477" t="s">
        <v>2421</v>
      </c>
      <c r="B477" s="5">
        <v>77.973129170000007</v>
      </c>
      <c r="C477" s="5">
        <v>65.070647179999995</v>
      </c>
      <c r="D477" s="5">
        <v>70</v>
      </c>
      <c r="E477" s="5">
        <v>57.493927829999997</v>
      </c>
      <c r="F477" s="5">
        <v>99.826936320000002</v>
      </c>
      <c r="G477" s="5">
        <v>71.538928920000004</v>
      </c>
      <c r="H477" s="5">
        <v>75.68287479</v>
      </c>
      <c r="I477" s="5">
        <v>68.209000070000002</v>
      </c>
    </row>
    <row r="478" spans="1:9" ht="14.25" customHeight="1" x14ac:dyDescent="0.3">
      <c r="A478" t="s">
        <v>2422</v>
      </c>
      <c r="B478" s="5">
        <v>80.819695490000001</v>
      </c>
      <c r="C478" s="5">
        <v>67.148272950000006</v>
      </c>
      <c r="D478" s="5">
        <v>70</v>
      </c>
      <c r="E478" s="5">
        <v>63.489498670000003</v>
      </c>
      <c r="F478" s="5">
        <v>84.297571989999994</v>
      </c>
      <c r="G478" s="5">
        <v>80.602564330000007</v>
      </c>
      <c r="H478" s="5">
        <v>69.931052460000004</v>
      </c>
      <c r="I478" s="5">
        <v>69.671677720000005</v>
      </c>
    </row>
    <row r="479" spans="1:9" ht="14.25" customHeight="1" x14ac:dyDescent="0.3">
      <c r="A479" t="s">
        <v>983</v>
      </c>
      <c r="B479" s="5">
        <v>91.004819940000004</v>
      </c>
      <c r="C479" s="5">
        <v>68.211723329999998</v>
      </c>
      <c r="D479" s="5">
        <v>70</v>
      </c>
      <c r="E479" s="5">
        <v>63.018302370000001</v>
      </c>
      <c r="F479" s="5">
        <v>92.461462539999999</v>
      </c>
      <c r="G479" s="5">
        <v>78.870399289999995</v>
      </c>
      <c r="H479" s="5">
        <v>73.94889972</v>
      </c>
      <c r="I479" s="5">
        <v>50.683602100000002</v>
      </c>
    </row>
    <row r="480" spans="1:9" ht="14.25" customHeight="1" x14ac:dyDescent="0.3">
      <c r="A480" t="s">
        <v>2423</v>
      </c>
      <c r="B480" s="5">
        <v>85.19785297</v>
      </c>
      <c r="C480" s="5">
        <v>71.942265579999997</v>
      </c>
      <c r="D480" s="5">
        <v>83.727842710000004</v>
      </c>
      <c r="E480" s="5">
        <v>59.38454918</v>
      </c>
      <c r="F480" s="5">
        <v>92.204247870000003</v>
      </c>
      <c r="G480" s="5">
        <v>75.405888770000004</v>
      </c>
      <c r="H480" s="5">
        <v>68.497949120000001</v>
      </c>
      <c r="I480" s="5">
        <v>54.337363969999998</v>
      </c>
    </row>
    <row r="481" spans="1:9" ht="14.25" customHeight="1" x14ac:dyDescent="0.3">
      <c r="A481" t="s">
        <v>987</v>
      </c>
      <c r="B481" s="5">
        <v>95.440127570000001</v>
      </c>
      <c r="C481" s="5">
        <v>75.22065259</v>
      </c>
      <c r="D481" s="5">
        <v>70</v>
      </c>
      <c r="E481" s="5">
        <v>68.773743809999999</v>
      </c>
      <c r="F481" s="5">
        <v>89.068259060000003</v>
      </c>
      <c r="G481" s="5">
        <v>75.091214140000005</v>
      </c>
      <c r="H481" s="5">
        <v>75.74057766</v>
      </c>
      <c r="I481" s="5">
        <v>58.179218689999999</v>
      </c>
    </row>
    <row r="482" spans="1:9" ht="14.25" customHeight="1" x14ac:dyDescent="0.3">
      <c r="A482" t="s">
        <v>2424</v>
      </c>
      <c r="B482" s="5">
        <v>81.634324179999993</v>
      </c>
      <c r="C482" s="5">
        <v>69.126634949999996</v>
      </c>
      <c r="D482" s="5">
        <v>81.390383709999995</v>
      </c>
      <c r="E482" s="5">
        <v>64.177556989999999</v>
      </c>
      <c r="F482" s="5">
        <v>95.192691809999999</v>
      </c>
      <c r="G482" s="5">
        <v>80.953196030000001</v>
      </c>
      <c r="H482" s="5">
        <v>68.914731630000006</v>
      </c>
      <c r="I482" s="5">
        <v>52.335092330000002</v>
      </c>
    </row>
    <row r="483" spans="1:9" ht="14.25" customHeight="1" x14ac:dyDescent="0.3">
      <c r="A483" t="s">
        <v>2425</v>
      </c>
      <c r="B483" s="5">
        <v>88.140317280000005</v>
      </c>
      <c r="C483" s="5">
        <v>72.956179969999994</v>
      </c>
      <c r="D483" s="5">
        <v>70</v>
      </c>
      <c r="E483" s="5">
        <v>71.688603220000005</v>
      </c>
      <c r="F483" s="5">
        <v>99.9</v>
      </c>
      <c r="G483" s="5">
        <v>76.318103050000005</v>
      </c>
      <c r="H483" s="5">
        <v>66.908904010000001</v>
      </c>
      <c r="I483" s="5">
        <v>53.019609750000001</v>
      </c>
    </row>
    <row r="484" spans="1:9" ht="14.25" customHeight="1" x14ac:dyDescent="0.3">
      <c r="A484" t="s">
        <v>2426</v>
      </c>
      <c r="B484" s="5">
        <v>78.364061620000001</v>
      </c>
      <c r="C484" s="5">
        <v>70.53655363</v>
      </c>
      <c r="D484" s="5">
        <v>70</v>
      </c>
      <c r="E484" s="5">
        <v>74.643456150000006</v>
      </c>
      <c r="F484" s="5">
        <v>96.096761529999995</v>
      </c>
      <c r="G484" s="5">
        <v>76.95574526</v>
      </c>
      <c r="H484" s="5">
        <v>69.499774759999994</v>
      </c>
      <c r="I484" s="5">
        <v>52.082132340000001</v>
      </c>
    </row>
    <row r="485" spans="1:9" ht="14.25" customHeight="1" x14ac:dyDescent="0.3">
      <c r="A485" t="s">
        <v>995</v>
      </c>
      <c r="B485" s="5">
        <v>75.921651600000004</v>
      </c>
      <c r="C485" s="5">
        <v>60.311531559999999</v>
      </c>
      <c r="D485" s="5">
        <v>83.132368400000004</v>
      </c>
      <c r="E485" s="5">
        <v>69.066295839999995</v>
      </c>
      <c r="F485" s="5">
        <v>80</v>
      </c>
      <c r="G485" s="5">
        <v>85</v>
      </c>
      <c r="H485" s="5">
        <v>70.197273940000002</v>
      </c>
      <c r="I485" s="5">
        <v>62.710840650000002</v>
      </c>
    </row>
    <row r="486" spans="1:9" ht="14.25" customHeight="1" x14ac:dyDescent="0.3">
      <c r="A486" t="s">
        <v>997</v>
      </c>
      <c r="B486" s="5">
        <v>99.164091720000002</v>
      </c>
      <c r="C486" s="5">
        <v>74.054359109999993</v>
      </c>
      <c r="D486" s="5">
        <v>75.285565500000004</v>
      </c>
      <c r="E486" s="5">
        <v>64.58824448</v>
      </c>
      <c r="F486" s="5">
        <v>95.699164179999997</v>
      </c>
      <c r="G486" s="5">
        <v>82.545408600000002</v>
      </c>
      <c r="H486" s="5">
        <v>75.762523680000001</v>
      </c>
      <c r="I486" s="5">
        <v>59.80062393</v>
      </c>
    </row>
    <row r="487" spans="1:9" ht="14.25" customHeight="1" x14ac:dyDescent="0.3">
      <c r="A487" t="s">
        <v>999</v>
      </c>
      <c r="B487" s="5">
        <v>84.544374779999998</v>
      </c>
      <c r="C487" s="5">
        <v>70.486528070000006</v>
      </c>
      <c r="D487" s="5">
        <v>81.106780520000001</v>
      </c>
      <c r="E487" s="5">
        <v>72.698127080000006</v>
      </c>
      <c r="F487" s="5">
        <v>87.068695950000006</v>
      </c>
      <c r="G487" s="5">
        <v>75.783730379999994</v>
      </c>
      <c r="H487" s="5">
        <v>69.817455080000002</v>
      </c>
      <c r="I487" s="5">
        <v>68.236866289999995</v>
      </c>
    </row>
    <row r="488" spans="1:9" ht="14.25" customHeight="1" x14ac:dyDescent="0.3">
      <c r="A488" t="s">
        <v>2427</v>
      </c>
      <c r="B488" s="5">
        <v>87.392564730000004</v>
      </c>
      <c r="C488" s="5">
        <v>62.16918459</v>
      </c>
      <c r="D488" s="5">
        <v>70</v>
      </c>
      <c r="E488" s="5">
        <v>72.021093680000007</v>
      </c>
      <c r="F488" s="5">
        <v>91.233106890000002</v>
      </c>
      <c r="G488" s="5">
        <v>81.405024659999995</v>
      </c>
      <c r="H488" s="5">
        <v>69.698572639999995</v>
      </c>
      <c r="I488" s="5">
        <v>55.322373779999999</v>
      </c>
    </row>
    <row r="489" spans="1:9" ht="14.25" customHeight="1" x14ac:dyDescent="0.3">
      <c r="A489" t="s">
        <v>1003</v>
      </c>
      <c r="B489" s="5">
        <v>87.889109070000003</v>
      </c>
      <c r="C489" s="5">
        <v>64.279077549999997</v>
      </c>
      <c r="D489" s="5">
        <v>87.713347189999993</v>
      </c>
      <c r="E489" s="5">
        <v>60.492125280000003</v>
      </c>
      <c r="F489" s="5">
        <v>91.82506377</v>
      </c>
      <c r="G489" s="5">
        <v>76.821446359999996</v>
      </c>
      <c r="H489" s="5">
        <v>67.83089004</v>
      </c>
      <c r="I489" s="5">
        <v>53.999026129999997</v>
      </c>
    </row>
    <row r="490" spans="1:9" ht="14.25" customHeight="1" x14ac:dyDescent="0.3">
      <c r="A490" t="s">
        <v>2428</v>
      </c>
      <c r="B490" s="5">
        <v>88.46835111</v>
      </c>
      <c r="C490" s="5">
        <v>64.058372309999996</v>
      </c>
      <c r="D490" s="5">
        <v>86.354779300000004</v>
      </c>
      <c r="E490" s="5">
        <v>59.954448859999999</v>
      </c>
      <c r="F490" s="5">
        <v>90.272349230000003</v>
      </c>
      <c r="G490" s="5">
        <v>80.215813830000002</v>
      </c>
      <c r="H490" s="5">
        <v>67.629719179999995</v>
      </c>
      <c r="I490" s="5">
        <v>52.794754310000002</v>
      </c>
    </row>
    <row r="491" spans="1:9" ht="14.25" customHeight="1" x14ac:dyDescent="0.3">
      <c r="A491" t="s">
        <v>2429</v>
      </c>
      <c r="B491" s="5">
        <v>82.307312030000006</v>
      </c>
      <c r="C491" s="5">
        <v>71.873558040000006</v>
      </c>
      <c r="D491" s="5">
        <v>82.252554239999995</v>
      </c>
      <c r="E491" s="5">
        <v>66.624854209999995</v>
      </c>
      <c r="F491" s="5">
        <v>85.591236730000006</v>
      </c>
      <c r="G491" s="5">
        <v>85</v>
      </c>
      <c r="H491" s="5">
        <v>68.865423590000006</v>
      </c>
      <c r="I491" s="5">
        <v>54.460010349999997</v>
      </c>
    </row>
    <row r="492" spans="1:9" ht="14.25" customHeight="1" x14ac:dyDescent="0.3">
      <c r="A492" t="s">
        <v>2430</v>
      </c>
      <c r="B492" s="5">
        <v>86.425353259999994</v>
      </c>
      <c r="C492" s="5">
        <v>72.333414050000002</v>
      </c>
      <c r="D492" s="5">
        <v>74.926176299999995</v>
      </c>
      <c r="E492" s="5">
        <v>64.688962200000006</v>
      </c>
      <c r="F492" s="5">
        <v>91.901357790000006</v>
      </c>
      <c r="G492" s="5">
        <v>71.652396460000006</v>
      </c>
      <c r="H492" s="5">
        <v>71.131217019999994</v>
      </c>
      <c r="I492" s="5">
        <v>50</v>
      </c>
    </row>
    <row r="493" spans="1:9" ht="14.25" customHeight="1" x14ac:dyDescent="0.3">
      <c r="A493" t="s">
        <v>2431</v>
      </c>
      <c r="B493" s="5">
        <v>80.876550390000006</v>
      </c>
      <c r="C493" s="5">
        <v>68.430226660000002</v>
      </c>
      <c r="D493" s="5">
        <v>70.771788740000005</v>
      </c>
      <c r="E493" s="5">
        <v>72.300802930000003</v>
      </c>
      <c r="F493" s="5">
        <v>80.503773989999999</v>
      </c>
      <c r="G493" s="5">
        <v>74.778221819999999</v>
      </c>
      <c r="H493" s="5">
        <v>69.253379519999996</v>
      </c>
      <c r="I493" s="5">
        <v>64.758269389999995</v>
      </c>
    </row>
    <row r="494" spans="1:9" ht="14.25" customHeight="1" x14ac:dyDescent="0.3">
      <c r="A494" t="s">
        <v>2432</v>
      </c>
      <c r="B494" s="5">
        <v>79.722671939999998</v>
      </c>
      <c r="C494" s="5">
        <v>63.74440671</v>
      </c>
      <c r="D494" s="5">
        <v>80.265235610000005</v>
      </c>
      <c r="E494" s="5">
        <v>60.322028099999997</v>
      </c>
      <c r="F494" s="5">
        <v>94.528903830000004</v>
      </c>
      <c r="G494" s="5">
        <v>81.609042459999998</v>
      </c>
      <c r="H494" s="5">
        <v>67.359085930000006</v>
      </c>
      <c r="I494" s="5">
        <v>50</v>
      </c>
    </row>
    <row r="495" spans="1:9" ht="14.25" customHeight="1" x14ac:dyDescent="0.3">
      <c r="A495" t="s">
        <v>2433</v>
      </c>
      <c r="B495" s="5">
        <v>76.825441479999995</v>
      </c>
      <c r="C495" s="5">
        <v>60</v>
      </c>
      <c r="D495" s="5">
        <v>75.888459729999994</v>
      </c>
      <c r="E495" s="5">
        <v>58.129318470000001</v>
      </c>
      <c r="F495" s="5">
        <v>80</v>
      </c>
      <c r="G495" s="5">
        <v>76.169831520000002</v>
      </c>
      <c r="H495" s="5">
        <v>72.326047939999995</v>
      </c>
      <c r="I495" s="5">
        <v>62.461413229999998</v>
      </c>
    </row>
    <row r="496" spans="1:9" ht="14.25" customHeight="1" x14ac:dyDescent="0.3">
      <c r="A496" t="s">
        <v>2434</v>
      </c>
      <c r="B496" s="5">
        <v>84.234681539999997</v>
      </c>
      <c r="C496" s="5">
        <v>67.451332070000007</v>
      </c>
      <c r="D496" s="5">
        <v>70.521594019999995</v>
      </c>
      <c r="E496" s="5">
        <v>62.660249659999998</v>
      </c>
      <c r="F496" s="5">
        <v>90.169473550000006</v>
      </c>
      <c r="G496" s="5">
        <v>74.756524799999994</v>
      </c>
      <c r="H496" s="5">
        <v>65.197467979999999</v>
      </c>
      <c r="I496" s="5">
        <v>50</v>
      </c>
    </row>
    <row r="497" spans="1:9" ht="14.25" customHeight="1" x14ac:dyDescent="0.3">
      <c r="A497" t="s">
        <v>2435</v>
      </c>
      <c r="B497" s="5">
        <v>75</v>
      </c>
      <c r="C497" s="5">
        <v>61.87794547</v>
      </c>
      <c r="D497" s="5">
        <v>87.621030640000001</v>
      </c>
      <c r="E497" s="5">
        <v>66.469867410000006</v>
      </c>
      <c r="F497" s="5">
        <v>86.933744610000005</v>
      </c>
      <c r="G497" s="5">
        <v>76.898918030000004</v>
      </c>
      <c r="H497" s="5">
        <v>78.916596249999998</v>
      </c>
      <c r="I497" s="5">
        <v>67.685902749999997</v>
      </c>
    </row>
    <row r="498" spans="1:9" ht="14.25" customHeight="1" x14ac:dyDescent="0.3">
      <c r="A498" t="s">
        <v>1022</v>
      </c>
      <c r="B498" s="5">
        <v>82.863594579999997</v>
      </c>
      <c r="C498" s="5">
        <v>62.026070779999998</v>
      </c>
      <c r="D498" s="5">
        <v>82.826951370000003</v>
      </c>
      <c r="E498" s="5">
        <v>62.763547369999998</v>
      </c>
      <c r="F498" s="5">
        <v>99.9</v>
      </c>
      <c r="G498" s="5">
        <v>78.183920110000003</v>
      </c>
      <c r="H498" s="5">
        <v>78.732094000000004</v>
      </c>
      <c r="I498" s="5">
        <v>57.72101473</v>
      </c>
    </row>
    <row r="499" spans="1:9" ht="14.25" customHeight="1" x14ac:dyDescent="0.3">
      <c r="A499" t="s">
        <v>2436</v>
      </c>
      <c r="B499" s="5">
        <v>87.904557490000002</v>
      </c>
      <c r="C499" s="5">
        <v>62.507035379999998</v>
      </c>
      <c r="D499" s="5">
        <v>77.525177350000007</v>
      </c>
      <c r="E499" s="5">
        <v>63.609309090000004</v>
      </c>
      <c r="F499" s="5">
        <v>92.629783520000004</v>
      </c>
      <c r="G499" s="5">
        <v>71.316522199999994</v>
      </c>
      <c r="H499" s="5">
        <v>74.760195190000005</v>
      </c>
      <c r="I499" s="5">
        <v>54.074321820000002</v>
      </c>
    </row>
    <row r="500" spans="1:9" ht="14.25" customHeight="1" x14ac:dyDescent="0.3">
      <c r="A500" t="s">
        <v>1026</v>
      </c>
      <c r="B500" s="5">
        <v>79.997815750000001</v>
      </c>
      <c r="C500" s="5">
        <v>70.208503300000004</v>
      </c>
      <c r="D500" s="5">
        <v>79.235583059999996</v>
      </c>
      <c r="E500" s="5">
        <v>65.137314180000004</v>
      </c>
      <c r="F500" s="5">
        <v>85.356439649999999</v>
      </c>
      <c r="G500" s="5">
        <v>77.373140309999997</v>
      </c>
      <c r="H500" s="5">
        <v>74.780805599999994</v>
      </c>
      <c r="I500" s="5">
        <v>58.899424070000002</v>
      </c>
    </row>
    <row r="501" spans="1:9" ht="14.25" customHeight="1" x14ac:dyDescent="0.3">
      <c r="A501" t="s">
        <v>2437</v>
      </c>
      <c r="B501" s="5">
        <v>85.207418079999997</v>
      </c>
      <c r="C501" s="5">
        <v>65.290220489999996</v>
      </c>
      <c r="D501" s="5">
        <v>70</v>
      </c>
      <c r="E501" s="5">
        <v>63.86787399</v>
      </c>
      <c r="F501" s="5">
        <v>92.063862380000003</v>
      </c>
      <c r="G501" s="5">
        <v>82.407954450000005</v>
      </c>
      <c r="H501" s="5">
        <v>67.199836750000003</v>
      </c>
      <c r="I501" s="5">
        <v>50.125461710000003</v>
      </c>
    </row>
    <row r="502" spans="1:9" ht="14.25" customHeight="1" x14ac:dyDescent="0.3">
      <c r="A502" t="s">
        <v>1030</v>
      </c>
      <c r="B502" s="5">
        <v>87.333330050000001</v>
      </c>
      <c r="C502" s="5">
        <v>60.35345676</v>
      </c>
      <c r="D502" s="5">
        <v>77.40750267</v>
      </c>
      <c r="E502" s="5">
        <v>63.012780909999996</v>
      </c>
      <c r="F502" s="5">
        <v>85.237252359999999</v>
      </c>
      <c r="G502" s="5">
        <v>78.082218319999996</v>
      </c>
      <c r="H502" s="5">
        <v>72.004612730000005</v>
      </c>
      <c r="I502" s="5">
        <v>62.372100719999999</v>
      </c>
    </row>
    <row r="503" spans="1:9" ht="14.25" customHeight="1" x14ac:dyDescent="0.3">
      <c r="A503" t="s">
        <v>1032</v>
      </c>
      <c r="B503" s="5">
        <v>91.825780420000001</v>
      </c>
      <c r="C503" s="5">
        <v>72.774258309999993</v>
      </c>
      <c r="D503" s="5">
        <v>83.907172119999998</v>
      </c>
      <c r="E503" s="5">
        <v>59.591461049999999</v>
      </c>
      <c r="F503" s="5">
        <v>82.857222429999993</v>
      </c>
      <c r="G503" s="5">
        <v>82.401745399999996</v>
      </c>
      <c r="H503" s="5">
        <v>68.275269780000002</v>
      </c>
      <c r="I503" s="5">
        <v>66.617801170000007</v>
      </c>
    </row>
    <row r="504" spans="1:9" ht="14.25" customHeight="1" x14ac:dyDescent="0.3">
      <c r="A504" t="s">
        <v>1034</v>
      </c>
      <c r="B504" s="5">
        <v>93.300738530000004</v>
      </c>
      <c r="C504" s="5">
        <v>71.745580829999994</v>
      </c>
      <c r="D504" s="5">
        <v>79.27607313</v>
      </c>
      <c r="E504" s="5">
        <v>67.685016709999999</v>
      </c>
      <c r="F504" s="5">
        <v>98.817682849999997</v>
      </c>
      <c r="G504" s="5">
        <v>85</v>
      </c>
      <c r="H504" s="5">
        <v>78.975462949999994</v>
      </c>
      <c r="I504" s="5">
        <v>50</v>
      </c>
    </row>
    <row r="505" spans="1:9" ht="14.25" customHeight="1" x14ac:dyDescent="0.3">
      <c r="A505" t="s">
        <v>1036</v>
      </c>
      <c r="B505" s="5">
        <v>81.028614809999993</v>
      </c>
      <c r="C505" s="5">
        <v>67.623293090000004</v>
      </c>
      <c r="D505" s="5">
        <v>70</v>
      </c>
      <c r="E505" s="5">
        <v>62.120050390000003</v>
      </c>
      <c r="F505" s="5">
        <v>80</v>
      </c>
      <c r="G505" s="5">
        <v>78.983532100000005</v>
      </c>
      <c r="H505" s="5">
        <v>74.879752719999999</v>
      </c>
      <c r="I505" s="5">
        <v>52.411522310000002</v>
      </c>
    </row>
    <row r="506" spans="1:9" ht="14.25" customHeight="1" x14ac:dyDescent="0.3">
      <c r="A506" t="s">
        <v>2438</v>
      </c>
      <c r="B506" s="5">
        <v>91.737786150000005</v>
      </c>
      <c r="C506" s="5">
        <v>64.259813019999996</v>
      </c>
      <c r="D506" s="5">
        <v>79.362712880000004</v>
      </c>
      <c r="E506" s="5">
        <v>74.862735689999994</v>
      </c>
      <c r="F506" s="5">
        <v>80.806382720000002</v>
      </c>
      <c r="G506" s="5">
        <v>82.964364009999997</v>
      </c>
      <c r="H506" s="5">
        <v>72.540972330000002</v>
      </c>
      <c r="I506" s="5">
        <v>60.873824990000003</v>
      </c>
    </row>
    <row r="507" spans="1:9" ht="14.25" customHeight="1" x14ac:dyDescent="0.3">
      <c r="A507" t="s">
        <v>2439</v>
      </c>
      <c r="B507" s="5">
        <v>88.334982909999994</v>
      </c>
      <c r="C507" s="5">
        <v>65.536881910000005</v>
      </c>
      <c r="D507" s="5">
        <v>72.254882629999997</v>
      </c>
      <c r="E507" s="5">
        <v>55.419810429999998</v>
      </c>
      <c r="F507" s="5">
        <v>80</v>
      </c>
      <c r="G507" s="5">
        <v>71.706185829999995</v>
      </c>
      <c r="H507" s="5">
        <v>68.026570699999994</v>
      </c>
      <c r="I507" s="5">
        <v>50</v>
      </c>
    </row>
    <row r="508" spans="1:9" ht="14.25" customHeight="1" x14ac:dyDescent="0.3">
      <c r="A508" t="s">
        <v>1042</v>
      </c>
      <c r="B508" s="5">
        <v>91.174632869999996</v>
      </c>
      <c r="C508" s="5">
        <v>69.124944920000004</v>
      </c>
      <c r="D508" s="5">
        <v>76.807372119999997</v>
      </c>
      <c r="E508" s="5">
        <v>75</v>
      </c>
      <c r="F508" s="5">
        <v>83.542368530000005</v>
      </c>
      <c r="G508" s="5">
        <v>77.560622100000003</v>
      </c>
      <c r="H508" s="5">
        <v>73.969147300000003</v>
      </c>
      <c r="I508" s="5">
        <v>61.540356529999997</v>
      </c>
    </row>
    <row r="509" spans="1:9" ht="14.25" customHeight="1" x14ac:dyDescent="0.3">
      <c r="A509" t="s">
        <v>1044</v>
      </c>
      <c r="B509" s="5">
        <v>84.606573350000005</v>
      </c>
      <c r="C509" s="5">
        <v>79.300624830000004</v>
      </c>
      <c r="D509" s="5">
        <v>85.672410490000004</v>
      </c>
      <c r="E509" s="5">
        <v>60.313999680000002</v>
      </c>
      <c r="F509" s="5">
        <v>85.261440010000001</v>
      </c>
      <c r="G509" s="5">
        <v>84.65097471</v>
      </c>
      <c r="H509" s="5">
        <v>72.124296270000002</v>
      </c>
      <c r="I509" s="5">
        <v>52.41583696</v>
      </c>
    </row>
    <row r="510" spans="1:9" ht="14.25" customHeight="1" x14ac:dyDescent="0.3">
      <c r="A510" t="s">
        <v>1046</v>
      </c>
      <c r="B510" s="5">
        <v>81.190524879999998</v>
      </c>
      <c r="C510" s="5">
        <v>68.299598369999998</v>
      </c>
      <c r="D510" s="5">
        <v>78.003612529999998</v>
      </c>
      <c r="E510" s="5">
        <v>66.31186855</v>
      </c>
      <c r="F510" s="5">
        <v>80</v>
      </c>
      <c r="G510" s="5">
        <v>80.571477220000006</v>
      </c>
      <c r="H510" s="5">
        <v>68.241845720000001</v>
      </c>
      <c r="I510" s="5">
        <v>63.129130930000002</v>
      </c>
    </row>
    <row r="511" spans="1:9" ht="14.25" customHeight="1" x14ac:dyDescent="0.3">
      <c r="A511" t="s">
        <v>1048</v>
      </c>
      <c r="B511" s="5">
        <v>86.131521239999998</v>
      </c>
      <c r="C511" s="5">
        <v>75.787087819999996</v>
      </c>
      <c r="D511" s="5">
        <v>70</v>
      </c>
      <c r="E511" s="5">
        <v>69.242695429999998</v>
      </c>
      <c r="F511" s="5">
        <v>93.903708469999998</v>
      </c>
      <c r="G511" s="5">
        <v>79.882725010000001</v>
      </c>
      <c r="H511" s="5">
        <v>70.338631230000004</v>
      </c>
      <c r="I511" s="5">
        <v>58.685789829999997</v>
      </c>
    </row>
    <row r="512" spans="1:9" ht="14.25" customHeight="1" x14ac:dyDescent="0.3">
      <c r="A512" t="s">
        <v>1050</v>
      </c>
      <c r="B512" s="5">
        <v>89.080315319999997</v>
      </c>
      <c r="C512" s="5">
        <v>73.871763049999998</v>
      </c>
      <c r="D512" s="5">
        <v>77.723777589999997</v>
      </c>
      <c r="E512" s="5">
        <v>60.288340769999998</v>
      </c>
      <c r="F512" s="5">
        <v>89.129364600000002</v>
      </c>
      <c r="G512" s="5">
        <v>75.890653470000004</v>
      </c>
      <c r="H512" s="5">
        <v>68.420967970000007</v>
      </c>
      <c r="I512" s="5">
        <v>64.680185769999994</v>
      </c>
    </row>
    <row r="513" spans="1:9" ht="14.25" customHeight="1" x14ac:dyDescent="0.3">
      <c r="A513" t="s">
        <v>2440</v>
      </c>
      <c r="B513" s="5">
        <v>88.227887989999999</v>
      </c>
      <c r="C513" s="5">
        <v>71.840343379999993</v>
      </c>
      <c r="D513" s="5">
        <v>79.689430999999999</v>
      </c>
      <c r="E513" s="5">
        <v>66.250641880000003</v>
      </c>
      <c r="F513" s="5">
        <v>90.551883059999994</v>
      </c>
      <c r="G513" s="5">
        <v>69.233099019999997</v>
      </c>
      <c r="H513" s="5">
        <v>70.600051339999993</v>
      </c>
      <c r="I513" s="5">
        <v>59.619424010000003</v>
      </c>
    </row>
    <row r="514" spans="1:9" ht="14.25" customHeight="1" x14ac:dyDescent="0.3">
      <c r="A514" t="s">
        <v>1055</v>
      </c>
      <c r="B514" s="5">
        <v>85.59678203</v>
      </c>
      <c r="C514" s="5">
        <v>64.410207200000002</v>
      </c>
      <c r="D514" s="5">
        <v>81.571901929999996</v>
      </c>
      <c r="E514" s="5">
        <v>66.932722929999997</v>
      </c>
      <c r="F514" s="5">
        <v>80</v>
      </c>
      <c r="G514" s="5">
        <v>80.053589250000002</v>
      </c>
      <c r="H514" s="5">
        <v>72.893735960000001</v>
      </c>
      <c r="I514" s="5">
        <v>61.547042959999999</v>
      </c>
    </row>
    <row r="515" spans="1:9" ht="14.25" customHeight="1" x14ac:dyDescent="0.3">
      <c r="A515" t="s">
        <v>1057</v>
      </c>
      <c r="B515" s="5">
        <v>84.261352700000003</v>
      </c>
      <c r="C515" s="5">
        <v>74.018037359999994</v>
      </c>
      <c r="D515" s="5">
        <v>81.398202560000001</v>
      </c>
      <c r="E515" s="5">
        <v>74.638701359999999</v>
      </c>
      <c r="F515" s="5">
        <v>89.514417370000004</v>
      </c>
      <c r="G515" s="5">
        <v>75.275358049999994</v>
      </c>
      <c r="H515" s="5">
        <v>75.995557390000002</v>
      </c>
      <c r="I515" s="5">
        <v>50.871572710000002</v>
      </c>
    </row>
    <row r="516" spans="1:9" ht="14.25" customHeight="1" x14ac:dyDescent="0.3">
      <c r="A516" t="s">
        <v>2441</v>
      </c>
      <c r="B516" s="5">
        <v>81.055702150000002</v>
      </c>
      <c r="C516" s="5">
        <v>60</v>
      </c>
      <c r="D516" s="5">
        <v>88.730145989999997</v>
      </c>
      <c r="E516" s="5">
        <v>64.984058989999994</v>
      </c>
      <c r="F516" s="5">
        <v>90.274330370000001</v>
      </c>
      <c r="G516" s="5">
        <v>84.477703750000003</v>
      </c>
      <c r="H516" s="5">
        <v>70.488007980000006</v>
      </c>
      <c r="I516" s="5">
        <v>62.50594255</v>
      </c>
    </row>
    <row r="517" spans="1:9" ht="14.25" customHeight="1" x14ac:dyDescent="0.3">
      <c r="A517" t="s">
        <v>2442</v>
      </c>
      <c r="B517" s="5">
        <v>79.62447272</v>
      </c>
      <c r="C517" s="5">
        <v>60</v>
      </c>
      <c r="D517" s="5">
        <v>72.943723899999995</v>
      </c>
      <c r="E517" s="5">
        <v>64.780777549999996</v>
      </c>
      <c r="F517" s="5">
        <v>84.350165180000005</v>
      </c>
      <c r="G517" s="5">
        <v>85</v>
      </c>
      <c r="H517" s="5">
        <v>74.43281915</v>
      </c>
      <c r="I517" s="5">
        <v>61.448620750000003</v>
      </c>
    </row>
    <row r="518" spans="1:9" ht="14.25" customHeight="1" x14ac:dyDescent="0.3">
      <c r="A518" t="s">
        <v>2443</v>
      </c>
      <c r="B518" s="5">
        <v>90.224829150000005</v>
      </c>
      <c r="C518" s="5">
        <v>67.120403839999994</v>
      </c>
      <c r="D518" s="5">
        <v>75.639665309999998</v>
      </c>
      <c r="E518" s="5">
        <v>65.845951119999995</v>
      </c>
      <c r="F518" s="5">
        <v>99.9</v>
      </c>
      <c r="G518" s="5">
        <v>68.630915200000004</v>
      </c>
      <c r="H518" s="5">
        <v>71.716807020000005</v>
      </c>
      <c r="I518" s="5">
        <v>50</v>
      </c>
    </row>
    <row r="519" spans="1:9" ht="14.25" customHeight="1" x14ac:dyDescent="0.3">
      <c r="A519" t="s">
        <v>2444</v>
      </c>
      <c r="B519" s="5">
        <v>90.148214260000003</v>
      </c>
      <c r="C519" s="5">
        <v>66.475229769999999</v>
      </c>
      <c r="D519" s="5">
        <v>71.097776229999994</v>
      </c>
      <c r="E519" s="5">
        <v>70.286213309999994</v>
      </c>
      <c r="F519" s="5">
        <v>99.9</v>
      </c>
      <c r="G519" s="5">
        <v>85</v>
      </c>
      <c r="H519" s="5">
        <v>72.647753870000003</v>
      </c>
      <c r="I519" s="5">
        <v>50</v>
      </c>
    </row>
    <row r="520" spans="1:9" ht="14.25" customHeight="1" x14ac:dyDescent="0.3">
      <c r="A520" t="s">
        <v>1067</v>
      </c>
      <c r="B520" s="5">
        <v>86.137601250000003</v>
      </c>
      <c r="C520" s="5">
        <v>71.870560190000006</v>
      </c>
      <c r="D520" s="5">
        <v>89.788081090000006</v>
      </c>
      <c r="E520" s="5">
        <v>62.284942600000001</v>
      </c>
      <c r="F520" s="5">
        <v>99.9</v>
      </c>
      <c r="G520" s="5">
        <v>82.515724289999994</v>
      </c>
      <c r="H520" s="5">
        <v>70.204775549999994</v>
      </c>
      <c r="I520" s="5">
        <v>65.832628619999994</v>
      </c>
    </row>
    <row r="521" spans="1:9" ht="14.25" customHeight="1" x14ac:dyDescent="0.3">
      <c r="A521" t="s">
        <v>2445</v>
      </c>
      <c r="B521" s="5">
        <v>85.842468490000002</v>
      </c>
      <c r="C521" s="5">
        <v>65.682673440000002</v>
      </c>
      <c r="D521" s="5">
        <v>72.811387909999993</v>
      </c>
      <c r="E521" s="5">
        <v>68.073244979999998</v>
      </c>
      <c r="F521" s="5">
        <v>87.477180500000003</v>
      </c>
      <c r="G521" s="5">
        <v>81.740040050000005</v>
      </c>
      <c r="H521" s="5">
        <v>70.033489799999998</v>
      </c>
      <c r="I521" s="5">
        <v>59.935957879999997</v>
      </c>
    </row>
    <row r="522" spans="1:9" ht="14.25" customHeight="1" x14ac:dyDescent="0.3">
      <c r="A522" t="s">
        <v>1071</v>
      </c>
      <c r="B522" s="5">
        <v>91.324910279999997</v>
      </c>
      <c r="C522" s="5">
        <v>74.830648289999999</v>
      </c>
      <c r="D522" s="5">
        <v>76.183554869999995</v>
      </c>
      <c r="E522" s="5">
        <v>55</v>
      </c>
      <c r="F522" s="5">
        <v>89.6304564</v>
      </c>
      <c r="G522" s="5">
        <v>77.799625789999993</v>
      </c>
      <c r="H522" s="5">
        <v>70.253543640000004</v>
      </c>
      <c r="I522" s="5">
        <v>69.671975739999993</v>
      </c>
    </row>
    <row r="523" spans="1:9" ht="14.25" customHeight="1" x14ac:dyDescent="0.3">
      <c r="A523" t="s">
        <v>2446</v>
      </c>
      <c r="B523" s="5">
        <v>82.894821730000004</v>
      </c>
      <c r="C523" s="5">
        <v>65.063915870000002</v>
      </c>
      <c r="D523" s="5">
        <v>70.136388449999998</v>
      </c>
      <c r="E523" s="5">
        <v>67.710118600000001</v>
      </c>
      <c r="F523" s="5">
        <v>84.345183700000007</v>
      </c>
      <c r="G523" s="5">
        <v>85</v>
      </c>
      <c r="H523" s="5">
        <v>73.314011800000003</v>
      </c>
      <c r="I523" s="5">
        <v>63.03103677</v>
      </c>
    </row>
    <row r="524" spans="1:9" ht="14.25" customHeight="1" x14ac:dyDescent="0.3">
      <c r="A524" t="s">
        <v>2447</v>
      </c>
      <c r="B524" s="5">
        <v>87.455768989999996</v>
      </c>
      <c r="C524" s="5">
        <v>64.362992090000006</v>
      </c>
      <c r="D524" s="5">
        <v>74.678435030000003</v>
      </c>
      <c r="E524" s="5">
        <v>55.166918719999998</v>
      </c>
      <c r="F524" s="5">
        <v>98.009363280000002</v>
      </c>
      <c r="G524" s="5">
        <v>77.243374680000002</v>
      </c>
      <c r="H524" s="5">
        <v>80.999329119999999</v>
      </c>
      <c r="I524" s="5">
        <v>59.653764700000004</v>
      </c>
    </row>
    <row r="525" spans="1:9" ht="14.25" customHeight="1" x14ac:dyDescent="0.3">
      <c r="A525" t="s">
        <v>2448</v>
      </c>
      <c r="B525" s="5">
        <v>84.637063909999995</v>
      </c>
      <c r="C525" s="5">
        <v>73.447931850000003</v>
      </c>
      <c r="D525" s="5">
        <v>80.138729819999995</v>
      </c>
      <c r="E525" s="5">
        <v>67.727500160000005</v>
      </c>
      <c r="F525" s="5">
        <v>84.402637810000002</v>
      </c>
      <c r="G525" s="5">
        <v>75.281173219999999</v>
      </c>
      <c r="H525" s="5">
        <v>68.040144929999997</v>
      </c>
      <c r="I525" s="5">
        <v>58.78944044</v>
      </c>
    </row>
    <row r="526" spans="1:9" ht="14.25" customHeight="1" x14ac:dyDescent="0.3">
      <c r="A526" t="s">
        <v>2449</v>
      </c>
      <c r="B526" s="5">
        <v>83.458486399999998</v>
      </c>
      <c r="C526" s="5">
        <v>74.619552630000001</v>
      </c>
      <c r="D526" s="5">
        <v>79.951005379999998</v>
      </c>
      <c r="E526" s="5">
        <v>73.882493729999993</v>
      </c>
      <c r="F526" s="5">
        <v>90.67009204</v>
      </c>
      <c r="G526" s="5">
        <v>85</v>
      </c>
      <c r="H526" s="5">
        <v>74.72006322</v>
      </c>
      <c r="I526" s="5">
        <v>62.673036349999997</v>
      </c>
    </row>
    <row r="527" spans="1:9" ht="14.25" customHeight="1" x14ac:dyDescent="0.3">
      <c r="A527" t="s">
        <v>2450</v>
      </c>
      <c r="B527" s="5">
        <v>90.214240200000006</v>
      </c>
      <c r="C527" s="5">
        <v>68.783462270000001</v>
      </c>
      <c r="D527" s="5">
        <v>85.464789789999998</v>
      </c>
      <c r="E527" s="5">
        <v>68.180217749999997</v>
      </c>
      <c r="F527" s="5">
        <v>93.820376210000006</v>
      </c>
      <c r="G527" s="5">
        <v>83.794465840000001</v>
      </c>
      <c r="H527" s="5">
        <v>71.401576800000001</v>
      </c>
      <c r="I527" s="5">
        <v>69.612841399999994</v>
      </c>
    </row>
    <row r="528" spans="1:9" ht="14.25" customHeight="1" x14ac:dyDescent="0.3">
      <c r="A528" t="s">
        <v>2451</v>
      </c>
      <c r="B528" s="5">
        <v>93.703376079999998</v>
      </c>
      <c r="C528" s="5">
        <v>70.525339450000004</v>
      </c>
      <c r="D528" s="5">
        <v>81.847604360000005</v>
      </c>
      <c r="E528" s="5">
        <v>65.242197709999999</v>
      </c>
      <c r="F528" s="5">
        <v>84.536223730000003</v>
      </c>
      <c r="G528" s="5">
        <v>82.319654439999994</v>
      </c>
      <c r="H528" s="5">
        <v>76.398311489999998</v>
      </c>
      <c r="I528" s="5">
        <v>50</v>
      </c>
    </row>
    <row r="529" spans="1:9" ht="14.25" customHeight="1" x14ac:dyDescent="0.3">
      <c r="A529" t="s">
        <v>1085</v>
      </c>
      <c r="B529" s="5">
        <v>91.100821289999999</v>
      </c>
      <c r="C529" s="5">
        <v>73.53646646</v>
      </c>
      <c r="D529" s="5">
        <v>73.95429695</v>
      </c>
      <c r="E529" s="5">
        <v>69.890656300000003</v>
      </c>
      <c r="F529" s="5">
        <v>86.936061249999995</v>
      </c>
      <c r="G529" s="5">
        <v>80.352591050000001</v>
      </c>
      <c r="H529" s="5">
        <v>65</v>
      </c>
      <c r="I529" s="5">
        <v>58.090889490000002</v>
      </c>
    </row>
    <row r="530" spans="1:9" ht="14.25" customHeight="1" x14ac:dyDescent="0.3">
      <c r="A530" t="s">
        <v>1087</v>
      </c>
      <c r="B530" s="5">
        <v>76.167235579999996</v>
      </c>
      <c r="C530" s="5">
        <v>66.805528170000002</v>
      </c>
      <c r="D530" s="5">
        <v>73.275746310000002</v>
      </c>
      <c r="E530" s="5">
        <v>73.015702399999995</v>
      </c>
      <c r="F530" s="5">
        <v>96.317152350000001</v>
      </c>
      <c r="G530" s="5">
        <v>73.849940860000004</v>
      </c>
      <c r="H530" s="5">
        <v>75.865693660000005</v>
      </c>
      <c r="I530" s="5">
        <v>59.076875219999998</v>
      </c>
    </row>
    <row r="531" spans="1:9" ht="14.25" customHeight="1" x14ac:dyDescent="0.3">
      <c r="A531" t="s">
        <v>2452</v>
      </c>
      <c r="B531" s="5">
        <v>83.028459139999995</v>
      </c>
      <c r="C531" s="5">
        <v>66.246957839999993</v>
      </c>
      <c r="D531" s="5">
        <v>89.540079349999999</v>
      </c>
      <c r="E531" s="5">
        <v>70.644163500000005</v>
      </c>
      <c r="F531" s="5">
        <v>99.9</v>
      </c>
      <c r="G531" s="5">
        <v>85</v>
      </c>
      <c r="H531" s="5">
        <v>69.751070510000005</v>
      </c>
      <c r="I531" s="5">
        <v>57.904862170000001</v>
      </c>
    </row>
    <row r="532" spans="1:9" ht="14.25" customHeight="1" x14ac:dyDescent="0.3">
      <c r="A532" t="s">
        <v>2453</v>
      </c>
      <c r="B532" s="5">
        <v>82.139794289999998</v>
      </c>
      <c r="C532" s="5">
        <v>72.865443089999999</v>
      </c>
      <c r="D532" s="5">
        <v>78.397431159999996</v>
      </c>
      <c r="E532" s="5">
        <v>66.4843908</v>
      </c>
      <c r="F532" s="5">
        <v>90.978897430000004</v>
      </c>
      <c r="G532" s="5">
        <v>79.734445010000002</v>
      </c>
      <c r="H532" s="5">
        <v>74.269953950000001</v>
      </c>
      <c r="I532" s="5">
        <v>56.347274970000001</v>
      </c>
    </row>
    <row r="533" spans="1:9" ht="14.25" customHeight="1" x14ac:dyDescent="0.3">
      <c r="A533" t="s">
        <v>1093</v>
      </c>
      <c r="B533" s="5">
        <v>75</v>
      </c>
      <c r="C533" s="5">
        <v>67.435028939999995</v>
      </c>
      <c r="D533" s="5">
        <v>76.118051350000002</v>
      </c>
      <c r="E533" s="5">
        <v>64.468156109999995</v>
      </c>
      <c r="F533" s="5">
        <v>96.492537580000004</v>
      </c>
      <c r="G533" s="5">
        <v>79.156500379999997</v>
      </c>
      <c r="H533" s="5">
        <v>72.163790210000002</v>
      </c>
      <c r="I533" s="5">
        <v>68.247129220000005</v>
      </c>
    </row>
    <row r="534" spans="1:9" ht="14.25" customHeight="1" x14ac:dyDescent="0.3">
      <c r="A534" t="s">
        <v>1095</v>
      </c>
      <c r="B534" s="5">
        <v>85.577781180000002</v>
      </c>
      <c r="C534" s="5">
        <v>63.393118659999999</v>
      </c>
      <c r="D534" s="5">
        <v>70</v>
      </c>
      <c r="E534" s="5">
        <v>59.557915770000001</v>
      </c>
      <c r="F534" s="5">
        <v>82.752152539999997</v>
      </c>
      <c r="G534" s="5">
        <v>82.028564020000005</v>
      </c>
      <c r="H534" s="5">
        <v>69.653348789999995</v>
      </c>
      <c r="I534" s="5">
        <v>54.057439930000001</v>
      </c>
    </row>
    <row r="535" spans="1:9" ht="14.25" customHeight="1" x14ac:dyDescent="0.3">
      <c r="A535" t="s">
        <v>2454</v>
      </c>
      <c r="B535" s="5">
        <v>88.456483460000001</v>
      </c>
      <c r="C535" s="5">
        <v>64.771607970000005</v>
      </c>
      <c r="D535" s="5">
        <v>81.149542499999995</v>
      </c>
      <c r="E535" s="5">
        <v>71.096910410000007</v>
      </c>
      <c r="F535" s="5">
        <v>93.678188660000004</v>
      </c>
      <c r="G535" s="5">
        <v>77.566280469999995</v>
      </c>
      <c r="H535" s="5">
        <v>75.611191849999997</v>
      </c>
      <c r="I535" s="5">
        <v>55.933326440000002</v>
      </c>
    </row>
    <row r="536" spans="1:9" ht="14.25" customHeight="1" x14ac:dyDescent="0.3">
      <c r="A536" t="s">
        <v>1099</v>
      </c>
      <c r="B536" s="5">
        <v>85.551667690000002</v>
      </c>
      <c r="C536" s="5">
        <v>65.180996899999997</v>
      </c>
      <c r="D536" s="5">
        <v>70</v>
      </c>
      <c r="E536" s="5">
        <v>62.046956119999997</v>
      </c>
      <c r="F536" s="5">
        <v>87.457383039999996</v>
      </c>
      <c r="G536" s="5">
        <v>79.248370460000004</v>
      </c>
      <c r="H536" s="5">
        <v>69.779686150000003</v>
      </c>
      <c r="I536" s="5">
        <v>67.318784359999995</v>
      </c>
    </row>
    <row r="537" spans="1:9" ht="14.25" customHeight="1" x14ac:dyDescent="0.3">
      <c r="A537" t="s">
        <v>2455</v>
      </c>
      <c r="B537" s="5">
        <v>92.572843239999997</v>
      </c>
      <c r="C537" s="5">
        <v>65.477648500000001</v>
      </c>
      <c r="D537" s="5">
        <v>79.778708280000004</v>
      </c>
      <c r="E537" s="5">
        <v>65.366104590000006</v>
      </c>
      <c r="F537" s="5">
        <v>84.368364990000003</v>
      </c>
      <c r="G537" s="5">
        <v>82.938345389999995</v>
      </c>
      <c r="H537" s="5">
        <v>73.645350989999997</v>
      </c>
      <c r="I537" s="5">
        <v>51.048165019999999</v>
      </c>
    </row>
    <row r="538" spans="1:9" ht="14.25" customHeight="1" x14ac:dyDescent="0.3">
      <c r="A538" t="s">
        <v>2456</v>
      </c>
      <c r="B538" s="5">
        <v>86.782063460000003</v>
      </c>
      <c r="C538" s="5">
        <v>75.574199899999996</v>
      </c>
      <c r="D538" s="5">
        <v>80.557557009999996</v>
      </c>
      <c r="E538" s="5">
        <v>66.033556169999997</v>
      </c>
      <c r="F538" s="5">
        <v>94.753472380000005</v>
      </c>
      <c r="G538" s="5">
        <v>72.897872660000004</v>
      </c>
      <c r="H538" s="5">
        <v>69.162579699999995</v>
      </c>
      <c r="I538" s="5">
        <v>61.15849059</v>
      </c>
    </row>
    <row r="539" spans="1:9" ht="14.25" customHeight="1" x14ac:dyDescent="0.3">
      <c r="A539" t="s">
        <v>2457</v>
      </c>
      <c r="B539" s="5">
        <v>96.481057620000001</v>
      </c>
      <c r="C539" s="5">
        <v>72.229299280000006</v>
      </c>
      <c r="D539" s="5">
        <v>83.509374359999995</v>
      </c>
      <c r="E539" s="5">
        <v>68.820404699999997</v>
      </c>
      <c r="F539" s="5">
        <v>90.329737609999995</v>
      </c>
      <c r="G539" s="5">
        <v>85</v>
      </c>
      <c r="H539" s="5">
        <v>73.675025579999996</v>
      </c>
      <c r="I539" s="5">
        <v>63.199377519999999</v>
      </c>
    </row>
    <row r="540" spans="1:9" ht="14.25" customHeight="1" x14ac:dyDescent="0.3">
      <c r="A540" t="s">
        <v>2458</v>
      </c>
      <c r="B540" s="5">
        <v>75.483530139999999</v>
      </c>
      <c r="C540" s="5">
        <v>76.846482829999999</v>
      </c>
      <c r="D540" s="5">
        <v>71.925094000000001</v>
      </c>
      <c r="E540" s="5">
        <v>72.87328316</v>
      </c>
      <c r="F540" s="5">
        <v>80</v>
      </c>
      <c r="G540" s="5">
        <v>76.245537510000005</v>
      </c>
      <c r="H540" s="5">
        <v>67.014187000000007</v>
      </c>
      <c r="I540" s="5">
        <v>61.972584859999998</v>
      </c>
    </row>
    <row r="541" spans="1:9" ht="14.25" customHeight="1" x14ac:dyDescent="0.3">
      <c r="A541" t="s">
        <v>2459</v>
      </c>
      <c r="B541" s="5">
        <v>90.547551920000004</v>
      </c>
      <c r="C541" s="5">
        <v>67.083830809999995</v>
      </c>
      <c r="D541" s="5">
        <v>77.206031179999997</v>
      </c>
      <c r="E541" s="5">
        <v>58.005924219999997</v>
      </c>
      <c r="F541" s="5">
        <v>99.044630810000001</v>
      </c>
      <c r="G541" s="5">
        <v>74.456819879999998</v>
      </c>
      <c r="H541" s="5">
        <v>75.186835299999998</v>
      </c>
      <c r="I541" s="5">
        <v>52.851694379999998</v>
      </c>
    </row>
    <row r="542" spans="1:9" ht="14.25" customHeight="1" x14ac:dyDescent="0.3">
      <c r="A542" t="s">
        <v>2460</v>
      </c>
      <c r="B542" s="5">
        <v>83.220042829999997</v>
      </c>
      <c r="C542" s="5">
        <v>77.260278279999994</v>
      </c>
      <c r="D542" s="5">
        <v>87.664020140000005</v>
      </c>
      <c r="E542" s="5">
        <v>69.201823070000003</v>
      </c>
      <c r="F542" s="5">
        <v>94.941491119999995</v>
      </c>
      <c r="G542" s="5">
        <v>74.073839289999995</v>
      </c>
      <c r="H542" s="5">
        <v>73.713228099999995</v>
      </c>
      <c r="I542" s="5">
        <v>70</v>
      </c>
    </row>
    <row r="543" spans="1:9" ht="14.25" customHeight="1" x14ac:dyDescent="0.3">
      <c r="A543" t="s">
        <v>2461</v>
      </c>
      <c r="B543" s="5">
        <v>83.606777890000004</v>
      </c>
      <c r="C543" s="5">
        <v>66.882201670000001</v>
      </c>
      <c r="D543" s="5">
        <v>70</v>
      </c>
      <c r="E543" s="5">
        <v>70.091638340000003</v>
      </c>
      <c r="F543" s="5">
        <v>91.846214930000002</v>
      </c>
      <c r="G543" s="5">
        <v>67.905339990000002</v>
      </c>
      <c r="H543" s="5">
        <v>69.065833339999998</v>
      </c>
      <c r="I543" s="5">
        <v>64.538094090000001</v>
      </c>
    </row>
    <row r="544" spans="1:9" ht="14.25" customHeight="1" x14ac:dyDescent="0.3">
      <c r="A544" t="s">
        <v>2462</v>
      </c>
      <c r="B544" s="5">
        <v>86.749635249999997</v>
      </c>
      <c r="C544" s="5">
        <v>64.205583489999995</v>
      </c>
      <c r="D544" s="5">
        <v>75.923067169999996</v>
      </c>
      <c r="E544" s="5">
        <v>68.331318929999995</v>
      </c>
      <c r="F544" s="5">
        <v>89.291966860000002</v>
      </c>
      <c r="G544" s="5">
        <v>78.059526039999994</v>
      </c>
      <c r="H544" s="5">
        <v>65.732819550000002</v>
      </c>
      <c r="I544" s="5">
        <v>62.468846370000001</v>
      </c>
    </row>
    <row r="545" spans="1:9" ht="14.25" customHeight="1" x14ac:dyDescent="0.3">
      <c r="A545" t="s">
        <v>2463</v>
      </c>
      <c r="B545" s="5">
        <v>89.857274309999994</v>
      </c>
      <c r="C545" s="5">
        <v>65.674374830000005</v>
      </c>
      <c r="D545" s="5">
        <v>70</v>
      </c>
      <c r="E545" s="5">
        <v>69.946247709999994</v>
      </c>
      <c r="F545" s="5">
        <v>86.064974879999994</v>
      </c>
      <c r="G545" s="5">
        <v>82.761498000000003</v>
      </c>
      <c r="H545" s="5">
        <v>80.538755289999997</v>
      </c>
      <c r="I545" s="5">
        <v>66.7595101</v>
      </c>
    </row>
    <row r="546" spans="1:9" ht="14.25" customHeight="1" x14ac:dyDescent="0.3">
      <c r="A546" t="s">
        <v>2464</v>
      </c>
      <c r="B546" s="5">
        <v>75</v>
      </c>
      <c r="C546" s="5">
        <v>68.390246450000006</v>
      </c>
      <c r="D546" s="5">
        <v>70.585535579999998</v>
      </c>
      <c r="E546" s="5">
        <v>61.791217799999998</v>
      </c>
      <c r="F546" s="5">
        <v>89.823337690000002</v>
      </c>
      <c r="G546" s="5">
        <v>77.227719669999999</v>
      </c>
      <c r="H546" s="5">
        <v>75.175487689999997</v>
      </c>
      <c r="I546" s="5">
        <v>50</v>
      </c>
    </row>
    <row r="547" spans="1:9" ht="14.25" customHeight="1" x14ac:dyDescent="0.3">
      <c r="A547" t="s">
        <v>2465</v>
      </c>
      <c r="B547" s="5">
        <v>86.804773030000007</v>
      </c>
      <c r="C547" s="5">
        <v>78.275351869999994</v>
      </c>
      <c r="D547" s="5">
        <v>74.893161640000002</v>
      </c>
      <c r="E547" s="5">
        <v>73.250586249999998</v>
      </c>
      <c r="F547" s="5">
        <v>80.72604192</v>
      </c>
      <c r="G547" s="5">
        <v>81.187824120000002</v>
      </c>
      <c r="H547" s="5">
        <v>69.915415749999994</v>
      </c>
      <c r="I547" s="5">
        <v>57.939865439999998</v>
      </c>
    </row>
    <row r="548" spans="1:9" ht="14.25" customHeight="1" x14ac:dyDescent="0.3">
      <c r="A548" t="s">
        <v>2466</v>
      </c>
      <c r="B548" s="5">
        <v>86.810686050000001</v>
      </c>
      <c r="C548" s="5">
        <v>74.663329189999999</v>
      </c>
      <c r="D548" s="5">
        <v>70</v>
      </c>
      <c r="E548" s="5">
        <v>65.800469370000002</v>
      </c>
      <c r="F548" s="5">
        <v>86.981861910000006</v>
      </c>
      <c r="G548" s="5">
        <v>80.170031050000006</v>
      </c>
      <c r="H548" s="5">
        <v>71.842154440000002</v>
      </c>
      <c r="I548" s="5">
        <v>57.675242160000003</v>
      </c>
    </row>
    <row r="549" spans="1:9" ht="14.25" customHeight="1" x14ac:dyDescent="0.3">
      <c r="A549" t="s">
        <v>2467</v>
      </c>
      <c r="B549" s="5">
        <v>80.495785810000001</v>
      </c>
      <c r="C549" s="5">
        <v>77.069768339999996</v>
      </c>
      <c r="D549" s="5">
        <v>72.119516829999995</v>
      </c>
      <c r="E549" s="5">
        <v>72.529420770000002</v>
      </c>
      <c r="F549" s="5">
        <v>97.063480749999997</v>
      </c>
      <c r="G549" s="5">
        <v>85</v>
      </c>
      <c r="H549" s="5">
        <v>69.558178990000002</v>
      </c>
      <c r="I549" s="5">
        <v>55.874971619999997</v>
      </c>
    </row>
    <row r="550" spans="1:9" ht="14.25" customHeight="1" x14ac:dyDescent="0.3">
      <c r="A550" t="s">
        <v>1128</v>
      </c>
      <c r="B550" s="5">
        <v>94.135536270000003</v>
      </c>
      <c r="C550" s="5">
        <v>71.995602390000002</v>
      </c>
      <c r="D550" s="5">
        <v>84.850147590000006</v>
      </c>
      <c r="E550" s="5">
        <v>59.45787318</v>
      </c>
      <c r="F550" s="5">
        <v>87.935132100000004</v>
      </c>
      <c r="G550" s="5">
        <v>84.03144494</v>
      </c>
      <c r="H550" s="5">
        <v>69.118515869999996</v>
      </c>
      <c r="I550" s="5">
        <v>53.775537589999999</v>
      </c>
    </row>
    <row r="551" spans="1:9" ht="14.25" customHeight="1" x14ac:dyDescent="0.3">
      <c r="A551" t="s">
        <v>2468</v>
      </c>
      <c r="B551" s="5">
        <v>91.423313340000007</v>
      </c>
      <c r="C551" s="5">
        <v>60</v>
      </c>
      <c r="D551" s="5">
        <v>80.073829950000004</v>
      </c>
      <c r="E551" s="5">
        <v>65.083395179999997</v>
      </c>
      <c r="F551" s="5">
        <v>96.430554420000007</v>
      </c>
      <c r="G551" s="5">
        <v>76.037997200000007</v>
      </c>
      <c r="H551" s="5">
        <v>65</v>
      </c>
      <c r="I551" s="5">
        <v>57.350916439999999</v>
      </c>
    </row>
    <row r="552" spans="1:9" ht="14.25" customHeight="1" x14ac:dyDescent="0.3">
      <c r="A552" t="s">
        <v>2469</v>
      </c>
      <c r="B552" s="5">
        <v>84.511782210000007</v>
      </c>
      <c r="C552" s="5">
        <v>75.841626899999994</v>
      </c>
      <c r="D552" s="5">
        <v>83.389557359999998</v>
      </c>
      <c r="E552" s="5">
        <v>62.760001600000002</v>
      </c>
      <c r="F552" s="5">
        <v>87.612485230000004</v>
      </c>
      <c r="G552" s="5">
        <v>78.724794939999995</v>
      </c>
      <c r="H552" s="5">
        <v>70.789887829999998</v>
      </c>
      <c r="I552" s="5">
        <v>62.648883789999999</v>
      </c>
    </row>
    <row r="553" spans="1:9" ht="14.25" customHeight="1" x14ac:dyDescent="0.3">
      <c r="A553" t="s">
        <v>2470</v>
      </c>
      <c r="B553" s="5">
        <v>84.896416880000004</v>
      </c>
      <c r="C553" s="5">
        <v>68.433588540000002</v>
      </c>
      <c r="D553" s="5">
        <v>79.689579379999998</v>
      </c>
      <c r="E553" s="5">
        <v>64.987353560000003</v>
      </c>
      <c r="F553" s="5">
        <v>86.612008459999998</v>
      </c>
      <c r="G553" s="5">
        <v>74.616314110000005</v>
      </c>
      <c r="H553" s="5">
        <v>75.517510529999996</v>
      </c>
      <c r="I553" s="5">
        <v>56.829464940000001</v>
      </c>
    </row>
    <row r="554" spans="1:9" ht="14.25" customHeight="1" x14ac:dyDescent="0.3">
      <c r="A554" t="s">
        <v>2471</v>
      </c>
      <c r="B554" s="5">
        <v>82.859565610000004</v>
      </c>
      <c r="C554" s="5">
        <v>63.48829817</v>
      </c>
      <c r="D554" s="5">
        <v>70.258226590000007</v>
      </c>
      <c r="E554" s="5">
        <v>65.702429760000001</v>
      </c>
      <c r="F554" s="5">
        <v>93.366539309999993</v>
      </c>
      <c r="G554" s="5">
        <v>72.710213100000004</v>
      </c>
      <c r="H554" s="5">
        <v>71.171041849999995</v>
      </c>
      <c r="I554" s="5">
        <v>61.735270409999998</v>
      </c>
    </row>
    <row r="555" spans="1:9" ht="14.25" customHeight="1" x14ac:dyDescent="0.3">
      <c r="A555" t="s">
        <v>1139</v>
      </c>
      <c r="B555" s="5">
        <v>85.157518249999995</v>
      </c>
      <c r="C555" s="5">
        <v>68.35852122</v>
      </c>
      <c r="D555" s="5">
        <v>70</v>
      </c>
      <c r="E555" s="5">
        <v>61.210284010000002</v>
      </c>
      <c r="F555" s="5">
        <v>97.598853669999997</v>
      </c>
      <c r="G555" s="5">
        <v>75.236086270000001</v>
      </c>
      <c r="H555" s="5">
        <v>69.874779000000004</v>
      </c>
      <c r="I555" s="5">
        <v>66.868385230000001</v>
      </c>
    </row>
    <row r="556" spans="1:9" ht="14.25" customHeight="1" x14ac:dyDescent="0.3">
      <c r="A556" t="s">
        <v>2472</v>
      </c>
      <c r="B556" s="5">
        <v>83.411059210000005</v>
      </c>
      <c r="C556" s="5">
        <v>75.853899839999997</v>
      </c>
      <c r="D556" s="5">
        <v>88.284554499999999</v>
      </c>
      <c r="E556" s="5">
        <v>69.826734759999994</v>
      </c>
      <c r="F556" s="5">
        <v>82.015898890000003</v>
      </c>
      <c r="G556" s="5">
        <v>75.542179540000006</v>
      </c>
      <c r="H556" s="5">
        <v>66.358551230000003</v>
      </c>
      <c r="I556" s="5">
        <v>59.512893609999999</v>
      </c>
    </row>
    <row r="557" spans="1:9" ht="14.25" customHeight="1" x14ac:dyDescent="0.3">
      <c r="A557" t="s">
        <v>2473</v>
      </c>
      <c r="B557" s="5">
        <v>78.526476669999994</v>
      </c>
      <c r="C557" s="5">
        <v>63.817782360000002</v>
      </c>
      <c r="D557" s="5">
        <v>87.88336323</v>
      </c>
      <c r="E557" s="5">
        <v>67.043344730000001</v>
      </c>
      <c r="F557" s="5">
        <v>86.701459610000001</v>
      </c>
      <c r="G557" s="5">
        <v>71.493047709999999</v>
      </c>
      <c r="H557" s="5">
        <v>72.320599709999996</v>
      </c>
      <c r="I557" s="5">
        <v>57.057927810000002</v>
      </c>
    </row>
    <row r="558" spans="1:9" ht="14.25" customHeight="1" x14ac:dyDescent="0.3">
      <c r="A558" t="s">
        <v>2474</v>
      </c>
      <c r="B558" s="5">
        <v>81.119862060000003</v>
      </c>
      <c r="C558" s="5">
        <v>60</v>
      </c>
      <c r="D558" s="5">
        <v>73.213434019999994</v>
      </c>
      <c r="E558" s="5">
        <v>67.845231940000005</v>
      </c>
      <c r="F558" s="5">
        <v>97.094916049999995</v>
      </c>
      <c r="G558" s="5">
        <v>85</v>
      </c>
      <c r="H558" s="5">
        <v>76.304555190000002</v>
      </c>
      <c r="I558" s="5">
        <v>65.660774959999998</v>
      </c>
    </row>
    <row r="559" spans="1:9" ht="14.25" customHeight="1" x14ac:dyDescent="0.3">
      <c r="A559" t="s">
        <v>2475</v>
      </c>
      <c r="B559" s="5">
        <v>93.491381329999996</v>
      </c>
      <c r="C559" s="5">
        <v>60</v>
      </c>
      <c r="D559" s="5">
        <v>78.345786009999998</v>
      </c>
      <c r="E559" s="5">
        <v>58.073023999999997</v>
      </c>
      <c r="F559" s="5">
        <v>91.610654289999999</v>
      </c>
      <c r="G559" s="5">
        <v>83.201869590000001</v>
      </c>
      <c r="H559" s="5">
        <v>70.361492089999999</v>
      </c>
      <c r="I559" s="5">
        <v>55.753717790000003</v>
      </c>
    </row>
    <row r="560" spans="1:9" ht="14.25" customHeight="1" x14ac:dyDescent="0.3">
      <c r="A560" t="s">
        <v>2476</v>
      </c>
      <c r="B560" s="5">
        <v>88.494446530000005</v>
      </c>
      <c r="C560" s="5">
        <v>62.655564779999999</v>
      </c>
      <c r="D560" s="5">
        <v>80.826921830000003</v>
      </c>
      <c r="E560" s="5">
        <v>70.743018680000006</v>
      </c>
      <c r="F560" s="5">
        <v>89.875291520000005</v>
      </c>
      <c r="G560" s="5">
        <v>67.215405759999996</v>
      </c>
      <c r="H560" s="5">
        <v>70.961710569999994</v>
      </c>
      <c r="I560" s="5">
        <v>61.151781059999998</v>
      </c>
    </row>
    <row r="561" spans="1:9" ht="14.25" customHeight="1" x14ac:dyDescent="0.3">
      <c r="A561" t="s">
        <v>2477</v>
      </c>
      <c r="B561" s="5">
        <v>94.526643309999997</v>
      </c>
      <c r="C561" s="5">
        <v>60.49836328</v>
      </c>
      <c r="D561" s="5">
        <v>75.802686109999996</v>
      </c>
      <c r="E561" s="5">
        <v>58.649569720000002</v>
      </c>
      <c r="F561" s="5">
        <v>92.780363010000002</v>
      </c>
      <c r="G561" s="5">
        <v>79.645070700000005</v>
      </c>
      <c r="H561" s="5">
        <v>71.538825810000006</v>
      </c>
      <c r="I561" s="5">
        <v>59.26841718</v>
      </c>
    </row>
    <row r="562" spans="1:9" ht="14.25" customHeight="1" x14ac:dyDescent="0.3">
      <c r="A562" t="s">
        <v>2478</v>
      </c>
      <c r="B562" s="5">
        <v>83.925884719999999</v>
      </c>
      <c r="C562" s="5">
        <v>71.124043839999999</v>
      </c>
      <c r="D562" s="5">
        <v>80.302806290000007</v>
      </c>
      <c r="E562" s="5">
        <v>68.242565049999996</v>
      </c>
      <c r="F562" s="5">
        <v>99.9</v>
      </c>
      <c r="G562" s="5">
        <v>77.691929540000004</v>
      </c>
      <c r="H562" s="5">
        <v>68.397875659999997</v>
      </c>
      <c r="I562" s="5">
        <v>56.757742880000002</v>
      </c>
    </row>
    <row r="563" spans="1:9" ht="14.25" customHeight="1" x14ac:dyDescent="0.3">
      <c r="A563" t="s">
        <v>2479</v>
      </c>
      <c r="B563" s="5">
        <v>89.031904130000001</v>
      </c>
      <c r="C563" s="5">
        <v>61.594490909999998</v>
      </c>
      <c r="D563" s="5">
        <v>70</v>
      </c>
      <c r="E563" s="5">
        <v>56.866455909999999</v>
      </c>
      <c r="F563" s="5">
        <v>88.322317659999996</v>
      </c>
      <c r="G563" s="5">
        <v>81.042572100000001</v>
      </c>
      <c r="H563" s="5">
        <v>71.661277909999995</v>
      </c>
      <c r="I563" s="5">
        <v>67.554316380000003</v>
      </c>
    </row>
    <row r="564" spans="1:9" ht="14.25" customHeight="1" x14ac:dyDescent="0.3">
      <c r="A564" t="s">
        <v>2480</v>
      </c>
      <c r="B564" s="5">
        <v>77.038875759999996</v>
      </c>
      <c r="C564" s="5">
        <v>73.482140869999995</v>
      </c>
      <c r="D564" s="5">
        <v>74.874097590000005</v>
      </c>
      <c r="E564" s="5">
        <v>71.390297970000006</v>
      </c>
      <c r="F564" s="5">
        <v>80</v>
      </c>
      <c r="G564" s="5">
        <v>85</v>
      </c>
      <c r="H564" s="5">
        <v>70.462687840000001</v>
      </c>
      <c r="I564" s="5">
        <v>50</v>
      </c>
    </row>
    <row r="565" spans="1:9" ht="14.25" customHeight="1" x14ac:dyDescent="0.3">
      <c r="A565" t="s">
        <v>2481</v>
      </c>
      <c r="B565" s="5">
        <v>84.180611040000002</v>
      </c>
      <c r="C565" s="5">
        <v>66.155559620000005</v>
      </c>
      <c r="D565" s="5">
        <v>77.576439250000007</v>
      </c>
      <c r="E565" s="5">
        <v>66.069446049999996</v>
      </c>
      <c r="F565" s="5">
        <v>94.331510269999995</v>
      </c>
      <c r="G565" s="5">
        <v>85</v>
      </c>
      <c r="H565" s="5">
        <v>67.435910440000001</v>
      </c>
      <c r="I565" s="5">
        <v>61.61236486</v>
      </c>
    </row>
    <row r="566" spans="1:9" ht="14.25" customHeight="1" x14ac:dyDescent="0.3">
      <c r="A566" t="s">
        <v>2482</v>
      </c>
      <c r="B566" s="5">
        <v>86.168106510000001</v>
      </c>
      <c r="C566" s="5">
        <v>64.695823759999996</v>
      </c>
      <c r="D566" s="5">
        <v>70</v>
      </c>
      <c r="E566" s="5">
        <v>72.182372450000003</v>
      </c>
      <c r="F566" s="5">
        <v>80</v>
      </c>
      <c r="G566" s="5">
        <v>85</v>
      </c>
      <c r="H566" s="5">
        <v>72.831369600000002</v>
      </c>
      <c r="I566" s="5">
        <v>51.729242169999999</v>
      </c>
    </row>
    <row r="567" spans="1:9" ht="14.25" customHeight="1" x14ac:dyDescent="0.3">
      <c r="A567" t="s">
        <v>2483</v>
      </c>
      <c r="B567" s="5">
        <v>86.471269460000002</v>
      </c>
      <c r="C567" s="5">
        <v>74.363024530000004</v>
      </c>
      <c r="D567" s="5">
        <v>70</v>
      </c>
      <c r="E567" s="5">
        <v>66.233258219999996</v>
      </c>
      <c r="F567" s="5">
        <v>87.890386919999997</v>
      </c>
      <c r="G567" s="5">
        <v>71.664146049999999</v>
      </c>
      <c r="H567" s="5">
        <v>74.607645950000006</v>
      </c>
      <c r="I567" s="5">
        <v>63.397757300000002</v>
      </c>
    </row>
    <row r="568" spans="1:9" ht="14.25" customHeight="1" x14ac:dyDescent="0.3">
      <c r="A568" t="s">
        <v>2484</v>
      </c>
      <c r="B568" s="5">
        <v>85.510150359999997</v>
      </c>
      <c r="C568" s="5">
        <v>69.791423719999997</v>
      </c>
      <c r="D568" s="5">
        <v>73.018459789999994</v>
      </c>
      <c r="E568" s="5">
        <v>64.289691079999997</v>
      </c>
      <c r="F568" s="5">
        <v>99.9</v>
      </c>
      <c r="G568" s="5">
        <v>84.479402460000003</v>
      </c>
      <c r="H568" s="5">
        <v>66.832426040000001</v>
      </c>
      <c r="I568" s="5">
        <v>60.815586080000003</v>
      </c>
    </row>
    <row r="569" spans="1:9" ht="14.25" customHeight="1" x14ac:dyDescent="0.3">
      <c r="A569" t="s">
        <v>1167</v>
      </c>
      <c r="B569" s="5">
        <v>85.314783449999993</v>
      </c>
      <c r="C569" s="5">
        <v>77.206941630000003</v>
      </c>
      <c r="D569" s="5">
        <v>80.265474819999994</v>
      </c>
      <c r="E569" s="5">
        <v>69.485486519999995</v>
      </c>
      <c r="F569" s="5">
        <v>85.255201679999999</v>
      </c>
      <c r="G569" s="5">
        <v>76.674626309999994</v>
      </c>
      <c r="H569" s="5">
        <v>66.304211039999998</v>
      </c>
      <c r="I569" s="5">
        <v>59.155505439999999</v>
      </c>
    </row>
    <row r="570" spans="1:9" ht="14.25" customHeight="1" x14ac:dyDescent="0.3">
      <c r="A570" t="s">
        <v>1169</v>
      </c>
      <c r="B570" s="5">
        <v>90.121198410000005</v>
      </c>
      <c r="C570" s="5">
        <v>69.008961459999995</v>
      </c>
      <c r="D570" s="5">
        <v>78.381183579999998</v>
      </c>
      <c r="E570" s="5">
        <v>73.927406059999996</v>
      </c>
      <c r="F570" s="5">
        <v>87.012345229999994</v>
      </c>
      <c r="G570" s="5">
        <v>77.537925360000003</v>
      </c>
      <c r="H570" s="5">
        <v>66.359660320000003</v>
      </c>
      <c r="I570" s="5">
        <v>62.28200811</v>
      </c>
    </row>
    <row r="571" spans="1:9" ht="14.25" customHeight="1" x14ac:dyDescent="0.3">
      <c r="A571" t="s">
        <v>1171</v>
      </c>
      <c r="B571" s="5">
        <v>89.758671449999994</v>
      </c>
      <c r="C571" s="5">
        <v>70.957156690000005</v>
      </c>
      <c r="D571" s="5">
        <v>79.63694495</v>
      </c>
      <c r="E571" s="5">
        <v>65.492614810000006</v>
      </c>
      <c r="F571" s="5">
        <v>90.219425509999994</v>
      </c>
      <c r="G571" s="5">
        <v>75.838475419999995</v>
      </c>
      <c r="H571" s="5">
        <v>71.843980290000005</v>
      </c>
      <c r="I571" s="5">
        <v>69.782999860000004</v>
      </c>
    </row>
    <row r="572" spans="1:9" ht="14.25" customHeight="1" x14ac:dyDescent="0.3">
      <c r="A572" t="s">
        <v>1173</v>
      </c>
      <c r="B572" s="5">
        <v>89.993669359999998</v>
      </c>
      <c r="C572" s="5">
        <v>70.790866059999999</v>
      </c>
      <c r="D572" s="5">
        <v>73.31089781</v>
      </c>
      <c r="E572" s="5">
        <v>66.761751959999998</v>
      </c>
      <c r="F572" s="5">
        <v>97.769119349999997</v>
      </c>
      <c r="G572" s="5">
        <v>79.741105529999999</v>
      </c>
      <c r="H572" s="5">
        <v>74.219788030000004</v>
      </c>
      <c r="I572" s="5">
        <v>59.150497809999997</v>
      </c>
    </row>
    <row r="573" spans="1:9" ht="14.25" customHeight="1" x14ac:dyDescent="0.3">
      <c r="A573" t="s">
        <v>1175</v>
      </c>
      <c r="B573" s="5">
        <v>87.332103880000005</v>
      </c>
      <c r="C573" s="5">
        <v>73.928977369999998</v>
      </c>
      <c r="D573" s="5">
        <v>85.842384519999996</v>
      </c>
      <c r="E573" s="5">
        <v>75</v>
      </c>
      <c r="F573" s="5">
        <v>80.408042760000001</v>
      </c>
      <c r="G573" s="5">
        <v>85</v>
      </c>
      <c r="H573" s="5">
        <v>80.229850029999994</v>
      </c>
      <c r="I573" s="5">
        <v>59.268763380000003</v>
      </c>
    </row>
    <row r="574" spans="1:9" ht="14.25" customHeight="1" x14ac:dyDescent="0.3">
      <c r="A574" t="s">
        <v>1177</v>
      </c>
      <c r="B574" s="5">
        <v>90.518223469999995</v>
      </c>
      <c r="C574" s="5">
        <v>71.115847869999996</v>
      </c>
      <c r="D574" s="5">
        <v>75.788834870000002</v>
      </c>
      <c r="E574" s="5">
        <v>63.086770229999999</v>
      </c>
      <c r="F574" s="5">
        <v>89.636423199999996</v>
      </c>
      <c r="G574" s="5">
        <v>77.70828487</v>
      </c>
      <c r="H574" s="5">
        <v>74.374679369999996</v>
      </c>
      <c r="I574" s="5">
        <v>68.978408959999996</v>
      </c>
    </row>
    <row r="575" spans="1:9" ht="14.25" customHeight="1" x14ac:dyDescent="0.3">
      <c r="A575" t="s">
        <v>2485</v>
      </c>
      <c r="B575" s="5">
        <v>82.832323619999997</v>
      </c>
      <c r="C575" s="5">
        <v>71.301178059999998</v>
      </c>
      <c r="D575" s="5">
        <v>90</v>
      </c>
      <c r="E575" s="5">
        <v>68.558110540000001</v>
      </c>
      <c r="F575" s="5">
        <v>93.076998939999996</v>
      </c>
      <c r="G575" s="5">
        <v>78.997120429999995</v>
      </c>
      <c r="H575" s="5">
        <v>71.200384690000007</v>
      </c>
      <c r="I575" s="5">
        <v>53.91280484</v>
      </c>
    </row>
    <row r="576" spans="1:9" ht="14.25" customHeight="1" x14ac:dyDescent="0.3">
      <c r="A576" t="s">
        <v>1181</v>
      </c>
      <c r="B576" s="5">
        <v>86.589023670000003</v>
      </c>
      <c r="C576" s="5">
        <v>69.05489292</v>
      </c>
      <c r="D576" s="5">
        <v>70.225835880000005</v>
      </c>
      <c r="E576" s="5">
        <v>68.161335710000003</v>
      </c>
      <c r="F576" s="5">
        <v>99.9</v>
      </c>
      <c r="G576" s="5">
        <v>75.222585440000003</v>
      </c>
      <c r="H576" s="5">
        <v>74.264975399999997</v>
      </c>
      <c r="I576" s="5">
        <v>55.241875690000001</v>
      </c>
    </row>
    <row r="577" spans="1:9" ht="14.25" customHeight="1" x14ac:dyDescent="0.3">
      <c r="A577" t="s">
        <v>1183</v>
      </c>
      <c r="B577" s="5">
        <v>81.361386699999997</v>
      </c>
      <c r="C577" s="5">
        <v>65.003545619999997</v>
      </c>
      <c r="D577" s="5">
        <v>85.23359284</v>
      </c>
      <c r="E577" s="5">
        <v>60.187321830000002</v>
      </c>
      <c r="F577" s="5">
        <v>93.963260419999997</v>
      </c>
      <c r="G577" s="5">
        <v>78.686155889999995</v>
      </c>
      <c r="H577" s="5">
        <v>72.414246790000007</v>
      </c>
      <c r="I577" s="5">
        <v>60.219568600000002</v>
      </c>
    </row>
    <row r="578" spans="1:9" ht="14.25" customHeight="1" x14ac:dyDescent="0.3">
      <c r="A578" t="s">
        <v>1185</v>
      </c>
      <c r="B578" s="5">
        <v>84.864291600000001</v>
      </c>
      <c r="C578" s="5">
        <v>60</v>
      </c>
      <c r="D578" s="5">
        <v>76.864386249999995</v>
      </c>
      <c r="E578" s="5">
        <v>61.499338539999997</v>
      </c>
      <c r="F578" s="5">
        <v>97.550631969999998</v>
      </c>
      <c r="G578" s="5">
        <v>75.897352470000001</v>
      </c>
      <c r="H578" s="5">
        <v>68.759290399999998</v>
      </c>
      <c r="I578" s="5">
        <v>59.388194990000002</v>
      </c>
    </row>
    <row r="579" spans="1:9" ht="14.25" customHeight="1" x14ac:dyDescent="0.3">
      <c r="A579" t="s">
        <v>2486</v>
      </c>
      <c r="B579" s="5">
        <v>88.102559580000005</v>
      </c>
      <c r="C579" s="5">
        <v>69.448064909999999</v>
      </c>
      <c r="D579" s="5">
        <v>70</v>
      </c>
      <c r="E579" s="5">
        <v>68.091638529999997</v>
      </c>
      <c r="F579" s="5">
        <v>80</v>
      </c>
      <c r="G579" s="5">
        <v>84.145757070000002</v>
      </c>
      <c r="H579" s="5">
        <v>77.512908800000005</v>
      </c>
      <c r="I579" s="5">
        <v>59.444667940000002</v>
      </c>
    </row>
    <row r="580" spans="1:9" ht="14.25" customHeight="1" x14ac:dyDescent="0.3">
      <c r="A580" t="s">
        <v>2487</v>
      </c>
      <c r="B580" s="5">
        <v>95.385353100000003</v>
      </c>
      <c r="C580" s="5">
        <v>60</v>
      </c>
      <c r="D580" s="5">
        <v>70</v>
      </c>
      <c r="E580" s="5">
        <v>69.594264260000003</v>
      </c>
      <c r="F580" s="5">
        <v>87.432773269999998</v>
      </c>
      <c r="G580" s="5">
        <v>72.517104369999998</v>
      </c>
      <c r="H580" s="5">
        <v>71.327319320000001</v>
      </c>
      <c r="I580" s="5">
        <v>57.318864099999999</v>
      </c>
    </row>
    <row r="581" spans="1:9" ht="14.25" customHeight="1" x14ac:dyDescent="0.3">
      <c r="A581" t="s">
        <v>2488</v>
      </c>
      <c r="B581" s="5">
        <v>90.619884170000006</v>
      </c>
      <c r="C581" s="5">
        <v>61.959934830000002</v>
      </c>
      <c r="D581" s="5">
        <v>79.119813179999994</v>
      </c>
      <c r="E581" s="5">
        <v>61.392885759999999</v>
      </c>
      <c r="F581" s="5">
        <v>87.771203650000004</v>
      </c>
      <c r="G581" s="5">
        <v>75.336814959999998</v>
      </c>
      <c r="H581" s="5">
        <v>70.34819401</v>
      </c>
      <c r="I581" s="5">
        <v>50</v>
      </c>
    </row>
    <row r="582" spans="1:9" ht="14.25" customHeight="1" x14ac:dyDescent="0.3">
      <c r="A582" t="s">
        <v>2489</v>
      </c>
      <c r="B582" s="5">
        <v>82.800622050000001</v>
      </c>
      <c r="C582" s="5">
        <v>66.247109809999998</v>
      </c>
      <c r="D582" s="5">
        <v>81.261534190000006</v>
      </c>
      <c r="E582" s="5">
        <v>67.772317869999995</v>
      </c>
      <c r="F582" s="5">
        <v>92.284317790000003</v>
      </c>
      <c r="G582" s="5">
        <v>79.725623130000002</v>
      </c>
      <c r="H582" s="5">
        <v>70.300176469999997</v>
      </c>
      <c r="I582" s="5">
        <v>56.517515779999997</v>
      </c>
    </row>
    <row r="583" spans="1:9" ht="14.25" customHeight="1" x14ac:dyDescent="0.3">
      <c r="A583" t="s">
        <v>2490</v>
      </c>
      <c r="B583" s="5">
        <v>82.678891770000007</v>
      </c>
      <c r="C583" s="5">
        <v>67.050978409999999</v>
      </c>
      <c r="D583" s="5">
        <v>85.302387670000002</v>
      </c>
      <c r="E583" s="5">
        <v>66.151520950000005</v>
      </c>
      <c r="F583" s="5">
        <v>93.339247169999993</v>
      </c>
      <c r="G583" s="5">
        <v>71.440041989999997</v>
      </c>
      <c r="H583" s="5">
        <v>68.767715569999993</v>
      </c>
      <c r="I583" s="5">
        <v>62.098756170000001</v>
      </c>
    </row>
    <row r="584" spans="1:9" ht="14.25" customHeight="1" x14ac:dyDescent="0.3">
      <c r="A584" t="s">
        <v>2491</v>
      </c>
      <c r="B584" s="5">
        <v>82.056578180000002</v>
      </c>
      <c r="C584" s="5">
        <v>60</v>
      </c>
      <c r="D584" s="5">
        <v>77.138269820000005</v>
      </c>
      <c r="E584" s="5">
        <v>67.431116650000007</v>
      </c>
      <c r="F584" s="5">
        <v>80.893392689999999</v>
      </c>
      <c r="G584" s="5">
        <v>83.884732679999999</v>
      </c>
      <c r="H584" s="5">
        <v>67.001962390000003</v>
      </c>
      <c r="I584" s="5">
        <v>57.435367110000001</v>
      </c>
    </row>
    <row r="585" spans="1:9" ht="14.25" customHeight="1" x14ac:dyDescent="0.3">
      <c r="A585" t="s">
        <v>2492</v>
      </c>
      <c r="B585" s="5">
        <v>84.016517230000005</v>
      </c>
      <c r="C585" s="5">
        <v>69.628771959999995</v>
      </c>
      <c r="D585" s="5">
        <v>73.12569139</v>
      </c>
      <c r="E585" s="5">
        <v>69.278262889999993</v>
      </c>
      <c r="F585" s="5">
        <v>91.431101979999994</v>
      </c>
      <c r="G585" s="5">
        <v>85</v>
      </c>
      <c r="H585" s="5">
        <v>74.94639488</v>
      </c>
      <c r="I585" s="5">
        <v>59.208924549999999</v>
      </c>
    </row>
    <row r="586" spans="1:9" ht="14.25" customHeight="1" x14ac:dyDescent="0.3">
      <c r="A586" t="s">
        <v>2493</v>
      </c>
      <c r="B586" s="5">
        <v>86.986428059999994</v>
      </c>
      <c r="C586" s="5">
        <v>69.690771040000001</v>
      </c>
      <c r="D586" s="5">
        <v>76.113369219999996</v>
      </c>
      <c r="E586" s="5">
        <v>67.942811289999995</v>
      </c>
      <c r="F586" s="5">
        <v>86.935738560000004</v>
      </c>
      <c r="G586" s="5">
        <v>74.992102770000002</v>
      </c>
      <c r="H586" s="5">
        <v>70.610910939999997</v>
      </c>
      <c r="I586" s="5">
        <v>55.268082</v>
      </c>
    </row>
    <row r="587" spans="1:9" ht="14.25" customHeight="1" x14ac:dyDescent="0.3">
      <c r="A587" t="s">
        <v>1203</v>
      </c>
      <c r="B587" s="5">
        <v>90.992760529999998</v>
      </c>
      <c r="C587" s="5">
        <v>60.961046580000001</v>
      </c>
      <c r="D587" s="5">
        <v>79.331656010000003</v>
      </c>
      <c r="E587" s="5">
        <v>57.217056679999999</v>
      </c>
      <c r="F587" s="5">
        <v>94.908529669999993</v>
      </c>
      <c r="G587" s="5">
        <v>73.836602690000007</v>
      </c>
      <c r="H587" s="5">
        <v>69.594888859999998</v>
      </c>
      <c r="I587" s="5">
        <v>59.099715060000001</v>
      </c>
    </row>
    <row r="588" spans="1:9" ht="14.25" customHeight="1" x14ac:dyDescent="0.3">
      <c r="A588" t="s">
        <v>2494</v>
      </c>
      <c r="B588" s="5">
        <v>80.570733799999999</v>
      </c>
      <c r="C588" s="5">
        <v>75.148923890000006</v>
      </c>
      <c r="D588" s="5">
        <v>85.591719010000006</v>
      </c>
      <c r="E588" s="5">
        <v>56.495318439999998</v>
      </c>
      <c r="F588" s="5">
        <v>93.593187909999997</v>
      </c>
      <c r="G588" s="5">
        <v>69.614704900000007</v>
      </c>
      <c r="H588" s="5">
        <v>77.188893759999999</v>
      </c>
      <c r="I588" s="5">
        <v>50</v>
      </c>
    </row>
    <row r="589" spans="1:9" ht="14.25" customHeight="1" x14ac:dyDescent="0.3">
      <c r="A589" t="s">
        <v>2495</v>
      </c>
      <c r="B589" s="5">
        <v>82.738527619999999</v>
      </c>
      <c r="C589" s="5">
        <v>65.451935180000007</v>
      </c>
      <c r="D589" s="5">
        <v>70</v>
      </c>
      <c r="E589" s="5">
        <v>74.393444180000003</v>
      </c>
      <c r="F589" s="5">
        <v>80</v>
      </c>
      <c r="G589" s="5">
        <v>82.550023060000001</v>
      </c>
      <c r="H589" s="5">
        <v>66.652168360000005</v>
      </c>
      <c r="I589" s="5">
        <v>50</v>
      </c>
    </row>
    <row r="590" spans="1:9" ht="14.25" customHeight="1" x14ac:dyDescent="0.3">
      <c r="A590" t="s">
        <v>1209</v>
      </c>
      <c r="B590" s="5">
        <v>80.566292820000001</v>
      </c>
      <c r="C590" s="5">
        <v>67.267009060000007</v>
      </c>
      <c r="D590" s="5">
        <v>78.198616920000006</v>
      </c>
      <c r="E590" s="5">
        <v>63.680312200000003</v>
      </c>
      <c r="F590" s="5">
        <v>82.346492220000002</v>
      </c>
      <c r="G590" s="5">
        <v>84.066721279999996</v>
      </c>
      <c r="H590" s="5">
        <v>65.841065869999994</v>
      </c>
      <c r="I590" s="5">
        <v>58.28599672</v>
      </c>
    </row>
    <row r="591" spans="1:9" ht="14.25" customHeight="1" x14ac:dyDescent="0.3">
      <c r="A591" t="s">
        <v>2496</v>
      </c>
      <c r="B591" s="5">
        <v>89.826577540000002</v>
      </c>
      <c r="C591" s="5">
        <v>70.272994789999998</v>
      </c>
      <c r="D591" s="5">
        <v>80.313426579999998</v>
      </c>
      <c r="E591" s="5">
        <v>66.189662549999994</v>
      </c>
      <c r="F591" s="5">
        <v>80</v>
      </c>
      <c r="G591" s="5">
        <v>81.798608819999998</v>
      </c>
      <c r="H591" s="5">
        <v>72.101341770000005</v>
      </c>
      <c r="I591" s="5">
        <v>50</v>
      </c>
    </row>
    <row r="592" spans="1:9" ht="14.25" customHeight="1" x14ac:dyDescent="0.3">
      <c r="A592" t="s">
        <v>2497</v>
      </c>
      <c r="B592" s="5">
        <v>99.9</v>
      </c>
      <c r="C592" s="5">
        <v>72.395225920000001</v>
      </c>
      <c r="D592" s="5">
        <v>77.585769010000007</v>
      </c>
      <c r="E592" s="5">
        <v>63.955755629999999</v>
      </c>
      <c r="F592" s="5">
        <v>80</v>
      </c>
      <c r="G592" s="5">
        <v>82.127671960000001</v>
      </c>
      <c r="H592" s="5">
        <v>66.865788420000001</v>
      </c>
      <c r="I592" s="5">
        <v>58.269610020000002</v>
      </c>
    </row>
    <row r="593" spans="1:9" ht="14.25" customHeight="1" x14ac:dyDescent="0.3">
      <c r="A593" t="s">
        <v>1215</v>
      </c>
      <c r="B593" s="5">
        <v>81.661933989999994</v>
      </c>
      <c r="C593" s="5">
        <v>62.456975370000002</v>
      </c>
      <c r="D593" s="5">
        <v>79.387603380000002</v>
      </c>
      <c r="E593" s="5">
        <v>66.231890759999999</v>
      </c>
      <c r="F593" s="5">
        <v>94.923927190000001</v>
      </c>
      <c r="G593" s="5">
        <v>71.001072449999995</v>
      </c>
      <c r="H593" s="5">
        <v>70.388879410000001</v>
      </c>
      <c r="I593" s="5">
        <v>58.302831519999998</v>
      </c>
    </row>
    <row r="594" spans="1:9" ht="14.25" customHeight="1" x14ac:dyDescent="0.3">
      <c r="A594" t="s">
        <v>2498</v>
      </c>
      <c r="B594" s="5">
        <v>79.817987270000003</v>
      </c>
      <c r="C594" s="5">
        <v>70.161339299999995</v>
      </c>
      <c r="D594" s="5">
        <v>89.289406110000002</v>
      </c>
      <c r="E594" s="5">
        <v>62.381207719999999</v>
      </c>
      <c r="F594" s="5">
        <v>97.689431560000003</v>
      </c>
      <c r="G594" s="5">
        <v>85</v>
      </c>
      <c r="H594" s="5">
        <v>72.180300399999993</v>
      </c>
      <c r="I594" s="5">
        <v>68.08882448</v>
      </c>
    </row>
    <row r="595" spans="1:9" ht="14.25" customHeight="1" x14ac:dyDescent="0.3">
      <c r="A595" t="s">
        <v>2499</v>
      </c>
      <c r="B595" s="5">
        <v>76.176176690000005</v>
      </c>
      <c r="C595" s="5">
        <v>60.818097190000003</v>
      </c>
      <c r="D595" s="5">
        <v>75.362819439999996</v>
      </c>
      <c r="E595" s="5">
        <v>66.687002860000007</v>
      </c>
      <c r="F595" s="5">
        <v>84.683327890000001</v>
      </c>
      <c r="G595" s="5">
        <v>77.975440039999995</v>
      </c>
      <c r="H595" s="5">
        <v>65</v>
      </c>
      <c r="I595" s="5">
        <v>60.233531720000002</v>
      </c>
    </row>
    <row r="596" spans="1:9" ht="14.25" customHeight="1" x14ac:dyDescent="0.3">
      <c r="A596" t="s">
        <v>2500</v>
      </c>
      <c r="B596" s="5">
        <v>80.748899219999998</v>
      </c>
      <c r="C596" s="5">
        <v>71.035643300000004</v>
      </c>
      <c r="D596" s="5">
        <v>80.016785979999995</v>
      </c>
      <c r="E596" s="5">
        <v>60.6735063</v>
      </c>
      <c r="F596" s="5">
        <v>92.980723069999996</v>
      </c>
      <c r="G596" s="5">
        <v>74.972645369999995</v>
      </c>
      <c r="H596" s="5">
        <v>68.537731750000006</v>
      </c>
      <c r="I596" s="5">
        <v>61.866349190000001</v>
      </c>
    </row>
    <row r="597" spans="1:9" ht="14.25" customHeight="1" x14ac:dyDescent="0.3">
      <c r="A597" t="s">
        <v>2501</v>
      </c>
      <c r="B597" s="5">
        <v>79.318871040000005</v>
      </c>
      <c r="C597" s="5">
        <v>60</v>
      </c>
      <c r="D597" s="5">
        <v>90</v>
      </c>
      <c r="E597" s="5">
        <v>61.084401190000001</v>
      </c>
      <c r="F597" s="5">
        <v>96.25352006</v>
      </c>
      <c r="G597" s="5">
        <v>75.941749139999999</v>
      </c>
      <c r="H597" s="5">
        <v>73.201967080000003</v>
      </c>
      <c r="I597" s="5">
        <v>70</v>
      </c>
    </row>
    <row r="598" spans="1:9" ht="14.25" customHeight="1" x14ac:dyDescent="0.3">
      <c r="A598" t="s">
        <v>1226</v>
      </c>
      <c r="B598" s="5">
        <v>77.648862550000004</v>
      </c>
      <c r="C598" s="5">
        <v>72.463916510000004</v>
      </c>
      <c r="D598" s="5">
        <v>70</v>
      </c>
      <c r="E598" s="5">
        <v>56.58577107</v>
      </c>
      <c r="F598" s="5">
        <v>83.874404760000004</v>
      </c>
      <c r="G598" s="5">
        <v>81.767779540000006</v>
      </c>
      <c r="H598" s="5">
        <v>73.093586799999997</v>
      </c>
      <c r="I598" s="5">
        <v>68.24984791</v>
      </c>
    </row>
    <row r="599" spans="1:9" ht="14.25" customHeight="1" x14ac:dyDescent="0.3">
      <c r="A599" t="s">
        <v>2502</v>
      </c>
      <c r="B599" s="5">
        <v>86.519742789999995</v>
      </c>
      <c r="C599" s="5">
        <v>70.384178820000002</v>
      </c>
      <c r="D599" s="5">
        <v>70</v>
      </c>
      <c r="E599" s="5">
        <v>74.850271739999997</v>
      </c>
      <c r="F599" s="5">
        <v>90.593910140000006</v>
      </c>
      <c r="G599" s="5">
        <v>75.311415830000001</v>
      </c>
      <c r="H599" s="5">
        <v>72.226955349999997</v>
      </c>
      <c r="I599" s="5">
        <v>57.757728909999997</v>
      </c>
    </row>
    <row r="600" spans="1:9" ht="14.25" customHeight="1" x14ac:dyDescent="0.3">
      <c r="A600" t="s">
        <v>1230</v>
      </c>
      <c r="B600" s="5">
        <v>80.665195209999993</v>
      </c>
      <c r="C600" s="5">
        <v>63.242241909999997</v>
      </c>
      <c r="D600" s="5">
        <v>74.748246960000003</v>
      </c>
      <c r="E600" s="5">
        <v>57.424708940000002</v>
      </c>
      <c r="F600" s="5">
        <v>92.940899860000002</v>
      </c>
      <c r="G600" s="5">
        <v>82.449386360000005</v>
      </c>
      <c r="H600" s="5">
        <v>74.879069090000002</v>
      </c>
      <c r="I600" s="5">
        <v>51.200967689999999</v>
      </c>
    </row>
    <row r="601" spans="1:9" ht="14.25" customHeight="1" x14ac:dyDescent="0.3">
      <c r="A601" t="s">
        <v>2503</v>
      </c>
      <c r="B601" s="5">
        <v>80.068250660000004</v>
      </c>
      <c r="C601" s="5">
        <v>71.887084729999998</v>
      </c>
      <c r="D601" s="5">
        <v>81.130717149999995</v>
      </c>
      <c r="E601" s="5">
        <v>58.50478493</v>
      </c>
      <c r="F601" s="5">
        <v>94.382838079999999</v>
      </c>
      <c r="G601" s="5">
        <v>71.096318139999994</v>
      </c>
      <c r="H601" s="5">
        <v>73.096926999999994</v>
      </c>
      <c r="I601" s="5">
        <v>59.556323720000002</v>
      </c>
    </row>
    <row r="602" spans="1:9" ht="14.25" customHeight="1" x14ac:dyDescent="0.3">
      <c r="A602" t="s">
        <v>2504</v>
      </c>
      <c r="B602" s="5">
        <v>90.274363089999994</v>
      </c>
      <c r="C602" s="5">
        <v>61.503619239999999</v>
      </c>
      <c r="D602" s="5">
        <v>82.440516830000007</v>
      </c>
      <c r="E602" s="5">
        <v>66.254414920000002</v>
      </c>
      <c r="F602" s="5">
        <v>99.9</v>
      </c>
      <c r="G602" s="5">
        <v>85</v>
      </c>
      <c r="H602" s="5">
        <v>71.424807189999996</v>
      </c>
      <c r="I602" s="5">
        <v>58.14892639</v>
      </c>
    </row>
    <row r="603" spans="1:9" ht="14.25" customHeight="1" x14ac:dyDescent="0.3">
      <c r="A603" t="s">
        <v>2505</v>
      </c>
      <c r="B603" s="5">
        <v>89.784629269999996</v>
      </c>
      <c r="C603" s="5">
        <v>67.494555039999995</v>
      </c>
      <c r="D603" s="5">
        <v>77.869172230000004</v>
      </c>
      <c r="E603" s="5">
        <v>62.69548219</v>
      </c>
      <c r="F603" s="5">
        <v>80</v>
      </c>
      <c r="G603" s="5">
        <v>80.737652440000005</v>
      </c>
      <c r="H603" s="5">
        <v>69.914825140000005</v>
      </c>
      <c r="I603" s="5">
        <v>61.340275490000003</v>
      </c>
    </row>
    <row r="604" spans="1:9" ht="14.25" customHeight="1" x14ac:dyDescent="0.3">
      <c r="A604" t="s">
        <v>2506</v>
      </c>
      <c r="B604" s="5">
        <v>79.601846280000004</v>
      </c>
      <c r="C604" s="5">
        <v>68.95847612</v>
      </c>
      <c r="D604" s="5">
        <v>84.819068549999997</v>
      </c>
      <c r="E604" s="5">
        <v>65.301335960000003</v>
      </c>
      <c r="F604" s="5">
        <v>82.100820970000001</v>
      </c>
      <c r="G604" s="5">
        <v>81.159432280000004</v>
      </c>
      <c r="H604" s="5">
        <v>71.260860410000006</v>
      </c>
      <c r="I604" s="5">
        <v>52.92358969</v>
      </c>
    </row>
    <row r="605" spans="1:9" ht="14.25" customHeight="1" x14ac:dyDescent="0.3">
      <c r="A605" t="s">
        <v>2507</v>
      </c>
      <c r="B605" s="5">
        <v>89.011808239999993</v>
      </c>
      <c r="C605" s="5">
        <v>79.791636550000007</v>
      </c>
      <c r="D605" s="5">
        <v>75.001778189999996</v>
      </c>
      <c r="E605" s="5">
        <v>62.140997130000002</v>
      </c>
      <c r="F605" s="5">
        <v>90.664605280000004</v>
      </c>
      <c r="G605" s="5">
        <v>74.734549490000006</v>
      </c>
      <c r="H605" s="5">
        <v>67.613085350000006</v>
      </c>
      <c r="I605" s="5">
        <v>58.47252889</v>
      </c>
    </row>
    <row r="606" spans="1:9" ht="14.25" customHeight="1" x14ac:dyDescent="0.3">
      <c r="A606" t="s">
        <v>2508</v>
      </c>
      <c r="B606" s="5">
        <v>91.706107689999996</v>
      </c>
      <c r="C606" s="5">
        <v>69.347316860000006</v>
      </c>
      <c r="D606" s="5">
        <v>80.252383960000003</v>
      </c>
      <c r="E606" s="5">
        <v>64.896472130000006</v>
      </c>
      <c r="F606" s="5">
        <v>93.33428868</v>
      </c>
      <c r="G606" s="5">
        <v>75.61528783</v>
      </c>
      <c r="H606" s="5">
        <v>68.418703300000004</v>
      </c>
      <c r="I606" s="5">
        <v>55.383196130000002</v>
      </c>
    </row>
    <row r="607" spans="1:9" ht="14.25" customHeight="1" x14ac:dyDescent="0.3">
      <c r="A607" t="s">
        <v>1244</v>
      </c>
      <c r="B607" s="5">
        <v>99.335466819999994</v>
      </c>
      <c r="C607" s="5">
        <v>67.080187929999994</v>
      </c>
      <c r="D607" s="5">
        <v>89.913190209999996</v>
      </c>
      <c r="E607" s="5">
        <v>61.888786840000002</v>
      </c>
      <c r="F607" s="5">
        <v>93.358540849999997</v>
      </c>
      <c r="G607" s="5">
        <v>75.466448749999998</v>
      </c>
      <c r="H607" s="5">
        <v>65</v>
      </c>
      <c r="I607" s="5">
        <v>70</v>
      </c>
    </row>
    <row r="608" spans="1:9" ht="14.25" customHeight="1" x14ac:dyDescent="0.3">
      <c r="A608" t="s">
        <v>2509</v>
      </c>
      <c r="B608" s="5">
        <v>76.478022910000007</v>
      </c>
      <c r="C608" s="5">
        <v>69.004313109999998</v>
      </c>
      <c r="D608" s="5">
        <v>81.202738429999997</v>
      </c>
      <c r="E608" s="5">
        <v>63.673269089999998</v>
      </c>
      <c r="F608" s="5">
        <v>86.045893219999996</v>
      </c>
      <c r="G608" s="5">
        <v>76.110170350000004</v>
      </c>
      <c r="H608" s="5">
        <v>68.727009210000006</v>
      </c>
      <c r="I608" s="5">
        <v>58.770664910000001</v>
      </c>
    </row>
    <row r="609" spans="1:9" ht="14.25" customHeight="1" x14ac:dyDescent="0.3">
      <c r="A609" t="s">
        <v>1249</v>
      </c>
      <c r="B609" s="5">
        <v>89.290701709999993</v>
      </c>
      <c r="C609" s="5">
        <v>79.36391922</v>
      </c>
      <c r="D609" s="5">
        <v>76.453302280000003</v>
      </c>
      <c r="E609" s="5">
        <v>65.785495929999996</v>
      </c>
      <c r="F609" s="5">
        <v>89.917054649999997</v>
      </c>
      <c r="G609" s="5">
        <v>85</v>
      </c>
      <c r="H609" s="5">
        <v>68.002650220000007</v>
      </c>
      <c r="I609" s="5">
        <v>59.719026460000002</v>
      </c>
    </row>
    <row r="610" spans="1:9" ht="14.25" customHeight="1" x14ac:dyDescent="0.3">
      <c r="A610" t="s">
        <v>2510</v>
      </c>
      <c r="B610" s="5">
        <v>82.254094929999994</v>
      </c>
      <c r="C610" s="5">
        <v>64.705906159999998</v>
      </c>
      <c r="D610" s="5">
        <v>79.498361209999999</v>
      </c>
      <c r="E610" s="5">
        <v>68.660389199999997</v>
      </c>
      <c r="F610" s="5">
        <v>80</v>
      </c>
      <c r="G610" s="5">
        <v>81.566141259999995</v>
      </c>
      <c r="H610" s="5">
        <v>65</v>
      </c>
      <c r="I610" s="5">
        <v>50</v>
      </c>
    </row>
    <row r="611" spans="1:9" ht="14.25" customHeight="1" x14ac:dyDescent="0.3">
      <c r="A611" t="s">
        <v>2511</v>
      </c>
      <c r="B611" s="5">
        <v>94.256781329999995</v>
      </c>
      <c r="C611" s="5">
        <v>66.628974479999997</v>
      </c>
      <c r="D611" s="5">
        <v>77.744428990000003</v>
      </c>
      <c r="E611" s="5">
        <v>62.616282579999996</v>
      </c>
      <c r="F611" s="5">
        <v>93.161923380000005</v>
      </c>
      <c r="G611" s="5">
        <v>75.194031260000003</v>
      </c>
      <c r="H611" s="5">
        <v>76.21364595</v>
      </c>
      <c r="I611" s="5">
        <v>50</v>
      </c>
    </row>
    <row r="612" spans="1:9" ht="14.25" customHeight="1" x14ac:dyDescent="0.3">
      <c r="A612" t="s">
        <v>2512</v>
      </c>
      <c r="B612" s="5">
        <v>77.924409130000001</v>
      </c>
      <c r="C612" s="5">
        <v>60.317731010000003</v>
      </c>
      <c r="D612" s="5">
        <v>77.159173300000006</v>
      </c>
      <c r="E612" s="5">
        <v>65.921703699999995</v>
      </c>
      <c r="F612" s="5">
        <v>88.793326269999994</v>
      </c>
      <c r="G612" s="5">
        <v>77.70810041</v>
      </c>
      <c r="H612" s="5">
        <v>66.136937700000004</v>
      </c>
      <c r="I612" s="5">
        <v>56.832852750000001</v>
      </c>
    </row>
    <row r="613" spans="1:9" ht="14.25" customHeight="1" x14ac:dyDescent="0.3">
      <c r="A613" t="s">
        <v>2513</v>
      </c>
      <c r="B613" s="5">
        <v>75</v>
      </c>
      <c r="C613" s="5">
        <v>67.004567249999994</v>
      </c>
      <c r="D613" s="5">
        <v>90</v>
      </c>
      <c r="E613" s="5">
        <v>71.510594870000006</v>
      </c>
      <c r="F613" s="5">
        <v>81.734066159999998</v>
      </c>
      <c r="G613" s="5">
        <v>80.724251269999996</v>
      </c>
      <c r="H613" s="5">
        <v>65.999117369999993</v>
      </c>
      <c r="I613" s="5">
        <v>58.819425840000001</v>
      </c>
    </row>
    <row r="614" spans="1:9" ht="14.25" customHeight="1" x14ac:dyDescent="0.3">
      <c r="A614" t="s">
        <v>2514</v>
      </c>
      <c r="B614" s="5">
        <v>93.89240006</v>
      </c>
      <c r="C614" s="5">
        <v>68.007750740000006</v>
      </c>
      <c r="D614" s="5">
        <v>81.603392380000003</v>
      </c>
      <c r="E614" s="5">
        <v>59.181275200000002</v>
      </c>
      <c r="F614" s="5">
        <v>84.766961660000007</v>
      </c>
      <c r="G614" s="5">
        <v>76.278688829999993</v>
      </c>
      <c r="H614" s="5">
        <v>70.218462049999999</v>
      </c>
      <c r="I614" s="5">
        <v>57.540703399999998</v>
      </c>
    </row>
    <row r="615" spans="1:9" ht="14.25" customHeight="1" x14ac:dyDescent="0.3">
      <c r="A615" t="s">
        <v>2515</v>
      </c>
      <c r="B615" s="5">
        <v>92.385015210000006</v>
      </c>
      <c r="C615" s="5">
        <v>71.279780959999997</v>
      </c>
      <c r="D615" s="5">
        <v>74.206953530000007</v>
      </c>
      <c r="E615" s="5">
        <v>63.98690972</v>
      </c>
      <c r="F615" s="5">
        <v>81.346347629999997</v>
      </c>
      <c r="G615" s="5">
        <v>80.575139660000005</v>
      </c>
      <c r="H615" s="5">
        <v>68.976289750000007</v>
      </c>
      <c r="I615" s="5">
        <v>54.062306700000001</v>
      </c>
    </row>
    <row r="616" spans="1:9" ht="14.25" customHeight="1" x14ac:dyDescent="0.3">
      <c r="A616" t="s">
        <v>2516</v>
      </c>
      <c r="B616" s="5">
        <v>91.150250229999997</v>
      </c>
      <c r="C616" s="5">
        <v>70.733805450000006</v>
      </c>
      <c r="D616" s="5">
        <v>70.715718929999994</v>
      </c>
      <c r="E616" s="5">
        <v>63.110335040000002</v>
      </c>
      <c r="F616" s="5">
        <v>85.593639929999995</v>
      </c>
      <c r="G616" s="5">
        <v>72.956560530000004</v>
      </c>
      <c r="H616" s="5">
        <v>66.763017970000007</v>
      </c>
      <c r="I616" s="5">
        <v>50</v>
      </c>
    </row>
    <row r="617" spans="1:9" ht="14.25" customHeight="1" x14ac:dyDescent="0.3">
      <c r="A617" t="s">
        <v>2517</v>
      </c>
      <c r="B617" s="5">
        <v>75</v>
      </c>
      <c r="C617" s="5">
        <v>63.743477640000002</v>
      </c>
      <c r="D617" s="5">
        <v>75.00544592</v>
      </c>
      <c r="E617" s="5">
        <v>69.130580089999995</v>
      </c>
      <c r="F617" s="5">
        <v>82.552360370000002</v>
      </c>
      <c r="G617" s="5">
        <v>80.78147294</v>
      </c>
      <c r="H617" s="5">
        <v>69.623979419999998</v>
      </c>
      <c r="I617" s="5">
        <v>65.778773150000006</v>
      </c>
    </row>
    <row r="618" spans="1:9" ht="14.25" customHeight="1" x14ac:dyDescent="0.3">
      <c r="A618" t="s">
        <v>1267</v>
      </c>
      <c r="B618" s="5">
        <v>82.919446019999995</v>
      </c>
      <c r="C618" s="5">
        <v>80</v>
      </c>
      <c r="D618" s="5">
        <v>72.470706289999995</v>
      </c>
      <c r="E618" s="5">
        <v>75</v>
      </c>
      <c r="F618" s="5">
        <v>82.184743089999998</v>
      </c>
      <c r="G618" s="5">
        <v>80.324608830000003</v>
      </c>
      <c r="H618" s="5">
        <v>72.906938569999994</v>
      </c>
      <c r="I618" s="5">
        <v>55.980632010000001</v>
      </c>
    </row>
    <row r="619" spans="1:9" ht="14.25" customHeight="1" x14ac:dyDescent="0.3">
      <c r="A619" t="s">
        <v>2518</v>
      </c>
      <c r="B619" s="5">
        <v>83.601716260000003</v>
      </c>
      <c r="C619" s="5">
        <v>69.106952710000002</v>
      </c>
      <c r="D619" s="5">
        <v>74.790942000000001</v>
      </c>
      <c r="E619" s="5">
        <v>62.218161209999998</v>
      </c>
      <c r="F619" s="5">
        <v>88.70094392</v>
      </c>
      <c r="G619" s="5">
        <v>81.039823560000002</v>
      </c>
      <c r="H619" s="5">
        <v>71.122346429999993</v>
      </c>
      <c r="I619" s="5">
        <v>50</v>
      </c>
    </row>
    <row r="620" spans="1:9" ht="14.25" customHeight="1" x14ac:dyDescent="0.3">
      <c r="A620" t="s">
        <v>2519</v>
      </c>
      <c r="B620" s="5">
        <v>85.970166759999998</v>
      </c>
      <c r="C620" s="5">
        <v>68.829536399999995</v>
      </c>
      <c r="D620" s="5">
        <v>70</v>
      </c>
      <c r="E620" s="5">
        <v>61.589568550000003</v>
      </c>
      <c r="F620" s="5">
        <v>80</v>
      </c>
      <c r="G620" s="5">
        <v>77.500588469999997</v>
      </c>
      <c r="H620" s="5">
        <v>71.297451390000006</v>
      </c>
      <c r="I620" s="5">
        <v>69.7494145</v>
      </c>
    </row>
    <row r="621" spans="1:9" ht="14.25" customHeight="1" x14ac:dyDescent="0.3">
      <c r="A621" t="s">
        <v>2520</v>
      </c>
      <c r="B621" s="5">
        <v>84.626024909999998</v>
      </c>
      <c r="C621" s="5">
        <v>62.343121529999998</v>
      </c>
      <c r="D621" s="5">
        <v>79.652993570000007</v>
      </c>
      <c r="E621" s="5">
        <v>66.253176330000002</v>
      </c>
      <c r="F621" s="5">
        <v>94.572596779999998</v>
      </c>
      <c r="G621" s="5">
        <v>76.639271429999994</v>
      </c>
      <c r="H621" s="5">
        <v>70.173894439999998</v>
      </c>
      <c r="I621" s="5">
        <v>63.818719270000003</v>
      </c>
    </row>
    <row r="622" spans="1:9" ht="14.25" customHeight="1" x14ac:dyDescent="0.3">
      <c r="A622" t="s">
        <v>2521</v>
      </c>
      <c r="B622" s="5">
        <v>77.953466750000004</v>
      </c>
      <c r="C622" s="5">
        <v>72.241316330000004</v>
      </c>
      <c r="D622" s="5">
        <v>83.374518629999997</v>
      </c>
      <c r="E622" s="5">
        <v>66.933579309999999</v>
      </c>
      <c r="F622" s="5">
        <v>80</v>
      </c>
      <c r="G622" s="5">
        <v>75.018694499999995</v>
      </c>
      <c r="H622" s="5">
        <v>73.251192529999997</v>
      </c>
      <c r="I622" s="5">
        <v>69.784887459999993</v>
      </c>
    </row>
    <row r="623" spans="1:9" ht="14.25" customHeight="1" x14ac:dyDescent="0.3">
      <c r="A623" t="s">
        <v>1277</v>
      </c>
      <c r="B623" s="5">
        <v>88.853364020000001</v>
      </c>
      <c r="C623" s="5">
        <v>73.460424669999995</v>
      </c>
      <c r="D623" s="5">
        <v>80.044186519999997</v>
      </c>
      <c r="E623" s="5">
        <v>58.608440700000003</v>
      </c>
      <c r="F623" s="5">
        <v>89.034726300000003</v>
      </c>
      <c r="G623" s="5">
        <v>73.553034210000007</v>
      </c>
      <c r="H623" s="5">
        <v>72.828366829999993</v>
      </c>
      <c r="I623" s="5">
        <v>57.75324071</v>
      </c>
    </row>
    <row r="624" spans="1:9" ht="14.25" customHeight="1" x14ac:dyDescent="0.3">
      <c r="A624" t="s">
        <v>2522</v>
      </c>
      <c r="B624" s="5">
        <v>87.430822750000004</v>
      </c>
      <c r="C624" s="5">
        <v>61.954235240000003</v>
      </c>
      <c r="D624" s="5">
        <v>79.692398179999998</v>
      </c>
      <c r="E624" s="5">
        <v>65.021694319999995</v>
      </c>
      <c r="F624" s="5">
        <v>81.112726910000006</v>
      </c>
      <c r="G624" s="5">
        <v>72.870826620000003</v>
      </c>
      <c r="H624" s="5">
        <v>69.372384800000006</v>
      </c>
      <c r="I624" s="5">
        <v>58.070183069999999</v>
      </c>
    </row>
    <row r="625" spans="1:9" ht="14.25" customHeight="1" x14ac:dyDescent="0.3">
      <c r="A625" t="s">
        <v>2523</v>
      </c>
      <c r="B625" s="5">
        <v>87.061986070000003</v>
      </c>
      <c r="C625" s="5">
        <v>65.231164010000001</v>
      </c>
      <c r="D625" s="5">
        <v>74.929546189999996</v>
      </c>
      <c r="E625" s="5">
        <v>56.811763300000003</v>
      </c>
      <c r="F625" s="5">
        <v>93.201448170000006</v>
      </c>
      <c r="G625" s="5">
        <v>76.033900669999994</v>
      </c>
      <c r="H625" s="5">
        <v>65</v>
      </c>
      <c r="I625" s="5">
        <v>57.303746420000003</v>
      </c>
    </row>
    <row r="626" spans="1:9" ht="14.25" customHeight="1" x14ac:dyDescent="0.3">
      <c r="A626" t="s">
        <v>2524</v>
      </c>
      <c r="B626" s="5">
        <v>76.597172790000002</v>
      </c>
      <c r="C626" s="5">
        <v>60</v>
      </c>
      <c r="D626" s="5">
        <v>73.857756989999999</v>
      </c>
      <c r="E626" s="5">
        <v>59.833630110000001</v>
      </c>
      <c r="F626" s="5">
        <v>80</v>
      </c>
      <c r="G626" s="5">
        <v>79.426389929999999</v>
      </c>
      <c r="H626" s="5">
        <v>76.391969450000005</v>
      </c>
      <c r="I626" s="5">
        <v>70</v>
      </c>
    </row>
    <row r="627" spans="1:9" ht="14.25" customHeight="1" x14ac:dyDescent="0.3">
      <c r="A627" t="s">
        <v>2525</v>
      </c>
      <c r="B627" s="5">
        <v>92.234465700000001</v>
      </c>
      <c r="C627" s="5">
        <v>73.238530209999993</v>
      </c>
      <c r="D627" s="5">
        <v>70.599627130000002</v>
      </c>
      <c r="E627" s="5">
        <v>66.201689259999995</v>
      </c>
      <c r="F627" s="5">
        <v>82.662383109999993</v>
      </c>
      <c r="G627" s="5">
        <v>77.114322639999997</v>
      </c>
      <c r="H627" s="5">
        <v>71.548075100000005</v>
      </c>
      <c r="I627" s="5">
        <v>60.830015150000001</v>
      </c>
    </row>
    <row r="628" spans="1:9" ht="14.25" customHeight="1" x14ac:dyDescent="0.3">
      <c r="A628" t="s">
        <v>2526</v>
      </c>
      <c r="B628" s="5">
        <v>87.073630879999996</v>
      </c>
      <c r="C628" s="5">
        <v>62.475011449999997</v>
      </c>
      <c r="D628" s="5">
        <v>81.852977879999997</v>
      </c>
      <c r="E628" s="5">
        <v>65.913929780000004</v>
      </c>
      <c r="F628" s="5">
        <v>90.820006789999994</v>
      </c>
      <c r="G628" s="5">
        <v>78.449546900000001</v>
      </c>
      <c r="H628" s="5">
        <v>77.808792909999994</v>
      </c>
      <c r="I628" s="5">
        <v>59.119043419999997</v>
      </c>
    </row>
    <row r="629" spans="1:9" ht="14.25" customHeight="1" x14ac:dyDescent="0.3">
      <c r="A629" t="s">
        <v>1289</v>
      </c>
      <c r="B629" s="5">
        <v>84.30194453</v>
      </c>
      <c r="C629" s="5">
        <v>71.728955420000005</v>
      </c>
      <c r="D629" s="5">
        <v>76.291064570000003</v>
      </c>
      <c r="E629" s="5">
        <v>63.271172370000002</v>
      </c>
      <c r="F629" s="5">
        <v>91.27808623</v>
      </c>
      <c r="G629" s="5">
        <v>76.575272040000002</v>
      </c>
      <c r="H629" s="5">
        <v>67.344039260000002</v>
      </c>
      <c r="I629" s="5">
        <v>60.741604809999998</v>
      </c>
    </row>
    <row r="630" spans="1:9" ht="14.25" customHeight="1" x14ac:dyDescent="0.3">
      <c r="A630" t="s">
        <v>1291</v>
      </c>
      <c r="B630" s="5">
        <v>77.468405590000003</v>
      </c>
      <c r="C630" s="5">
        <v>68.704825389999996</v>
      </c>
      <c r="D630" s="5">
        <v>87.874317329999997</v>
      </c>
      <c r="E630" s="5">
        <v>66.143977669999998</v>
      </c>
      <c r="F630" s="5">
        <v>80</v>
      </c>
      <c r="G630" s="5">
        <v>75.284441470000004</v>
      </c>
      <c r="H630" s="5">
        <v>72.015486190000004</v>
      </c>
      <c r="I630" s="5">
        <v>67.415446700000004</v>
      </c>
    </row>
    <row r="631" spans="1:9" ht="14.25" customHeight="1" x14ac:dyDescent="0.3">
      <c r="A631" t="s">
        <v>2527</v>
      </c>
      <c r="B631" s="5">
        <v>79.915021530000004</v>
      </c>
      <c r="C631" s="5">
        <v>71.737025349999996</v>
      </c>
      <c r="D631" s="5">
        <v>73.73692011</v>
      </c>
      <c r="E631" s="5">
        <v>73.973593649999998</v>
      </c>
      <c r="F631" s="5">
        <v>94.859585510000002</v>
      </c>
      <c r="G631" s="5">
        <v>71.269659369999999</v>
      </c>
      <c r="H631" s="5">
        <v>74.05352852</v>
      </c>
      <c r="I631" s="5">
        <v>62.594718829999998</v>
      </c>
    </row>
    <row r="632" spans="1:9" ht="14.25" customHeight="1" x14ac:dyDescent="0.3">
      <c r="A632" t="s">
        <v>2528</v>
      </c>
      <c r="B632" s="5">
        <v>86.019689139999997</v>
      </c>
      <c r="C632" s="5">
        <v>73.538488959999995</v>
      </c>
      <c r="D632" s="5">
        <v>76.635557680000005</v>
      </c>
      <c r="E632" s="5">
        <v>70.144845410000002</v>
      </c>
      <c r="F632" s="5">
        <v>93.238653110000001</v>
      </c>
      <c r="G632" s="5">
        <v>67.446196760000007</v>
      </c>
      <c r="H632" s="5">
        <v>71.032558699999996</v>
      </c>
      <c r="I632" s="5">
        <v>68.968133780000002</v>
      </c>
    </row>
    <row r="633" spans="1:9" ht="14.25" customHeight="1" x14ac:dyDescent="0.3">
      <c r="A633" t="s">
        <v>2529</v>
      </c>
      <c r="B633" s="5">
        <v>87.861835139999997</v>
      </c>
      <c r="C633" s="5">
        <v>73.280535880000002</v>
      </c>
      <c r="D633" s="5">
        <v>73.648488510000007</v>
      </c>
      <c r="E633" s="5">
        <v>68.27217838</v>
      </c>
      <c r="F633" s="5">
        <v>95.983431069999995</v>
      </c>
      <c r="G633" s="5">
        <v>69.508048389999999</v>
      </c>
      <c r="H633" s="5">
        <v>70.378894509999995</v>
      </c>
      <c r="I633" s="5">
        <v>67.862504079999994</v>
      </c>
    </row>
    <row r="634" spans="1:9" ht="14.25" customHeight="1" x14ac:dyDescent="0.3">
      <c r="A634" t="s">
        <v>1299</v>
      </c>
      <c r="B634" s="5">
        <v>78.019577769999998</v>
      </c>
      <c r="C634" s="5">
        <v>64.931705519999994</v>
      </c>
      <c r="D634" s="5">
        <v>81.455311199999997</v>
      </c>
      <c r="E634" s="5">
        <v>65.174252179999996</v>
      </c>
      <c r="F634" s="5">
        <v>92.590385429999998</v>
      </c>
      <c r="G634" s="5">
        <v>82.368572470000004</v>
      </c>
      <c r="H634" s="5">
        <v>72.354206520000005</v>
      </c>
      <c r="I634" s="5">
        <v>61.263810040000003</v>
      </c>
    </row>
    <row r="635" spans="1:9" ht="14.25" customHeight="1" x14ac:dyDescent="0.3">
      <c r="A635" t="s">
        <v>2530</v>
      </c>
      <c r="B635" s="5">
        <v>81.802595310000001</v>
      </c>
      <c r="C635" s="5">
        <v>64.767395070000006</v>
      </c>
      <c r="D635" s="5">
        <v>79.116064769999994</v>
      </c>
      <c r="E635" s="5">
        <v>62.920285120000003</v>
      </c>
      <c r="F635" s="5">
        <v>96.223894779999995</v>
      </c>
      <c r="G635" s="5">
        <v>70.568256329999997</v>
      </c>
      <c r="H635" s="5">
        <v>69.798919209999994</v>
      </c>
      <c r="I635" s="5">
        <v>64.033915890000003</v>
      </c>
    </row>
    <row r="636" spans="1:9" ht="14.25" customHeight="1" x14ac:dyDescent="0.3">
      <c r="A636" t="s">
        <v>2531</v>
      </c>
      <c r="B636" s="5">
        <v>82.132402709999994</v>
      </c>
      <c r="C636" s="5">
        <v>67.825413299999994</v>
      </c>
      <c r="D636" s="5">
        <v>78.228813650000006</v>
      </c>
      <c r="E636" s="5">
        <v>72.385442870000006</v>
      </c>
      <c r="F636" s="5">
        <v>91.023536730000004</v>
      </c>
      <c r="G636" s="5">
        <v>85</v>
      </c>
      <c r="H636" s="5">
        <v>70.032741250000001</v>
      </c>
      <c r="I636" s="5">
        <v>52.916378379999998</v>
      </c>
    </row>
    <row r="637" spans="1:9" ht="14.25" customHeight="1" x14ac:dyDescent="0.3">
      <c r="A637" t="s">
        <v>1305</v>
      </c>
      <c r="B637" s="5">
        <v>86.256755290000001</v>
      </c>
      <c r="C637" s="5">
        <v>71.393537760000001</v>
      </c>
      <c r="D637" s="5">
        <v>70</v>
      </c>
      <c r="E637" s="5">
        <v>69.879108470000006</v>
      </c>
      <c r="F637" s="5">
        <v>95.112549799999996</v>
      </c>
      <c r="G637" s="5">
        <v>69.842303439999995</v>
      </c>
      <c r="H637" s="5">
        <v>73.998781579999999</v>
      </c>
      <c r="I637" s="5">
        <v>60.015262659999998</v>
      </c>
    </row>
    <row r="638" spans="1:9" ht="14.25" customHeight="1" x14ac:dyDescent="0.3">
      <c r="A638" t="s">
        <v>2532</v>
      </c>
      <c r="B638" s="5">
        <v>88.913858279999999</v>
      </c>
      <c r="C638" s="5">
        <v>60.72214125</v>
      </c>
      <c r="D638" s="5">
        <v>80.273468089999994</v>
      </c>
      <c r="E638" s="5">
        <v>65.436704219999996</v>
      </c>
      <c r="F638" s="5">
        <v>88.111916500000007</v>
      </c>
      <c r="G638" s="5">
        <v>74.719531989999993</v>
      </c>
      <c r="H638" s="5">
        <v>70.764738919999999</v>
      </c>
      <c r="I638" s="5">
        <v>52.962680730000002</v>
      </c>
    </row>
    <row r="639" spans="1:9" ht="14.25" customHeight="1" x14ac:dyDescent="0.3">
      <c r="A639" t="s">
        <v>2533</v>
      </c>
      <c r="B639" s="5">
        <v>85.413658850000004</v>
      </c>
      <c r="C639" s="5">
        <v>72.853828280000002</v>
      </c>
      <c r="D639" s="5">
        <v>70</v>
      </c>
      <c r="E639" s="5">
        <v>71.655484299999998</v>
      </c>
      <c r="F639" s="5">
        <v>92.023073569999994</v>
      </c>
      <c r="G639" s="5">
        <v>79.405867889999996</v>
      </c>
      <c r="H639" s="5">
        <v>72.553135749999996</v>
      </c>
      <c r="I639" s="5">
        <v>53.977341539999998</v>
      </c>
    </row>
    <row r="640" spans="1:9" ht="14.25" customHeight="1" x14ac:dyDescent="0.3">
      <c r="A640" t="s">
        <v>1311</v>
      </c>
      <c r="B640" s="5">
        <v>81.147598790000004</v>
      </c>
      <c r="C640" s="5">
        <v>61.459870709999997</v>
      </c>
      <c r="D640" s="5">
        <v>77.719716590000004</v>
      </c>
      <c r="E640" s="5">
        <v>61.229680500000001</v>
      </c>
      <c r="F640" s="5">
        <v>93.521320939999995</v>
      </c>
      <c r="G640" s="5">
        <v>75.559155989999994</v>
      </c>
      <c r="H640" s="5">
        <v>68.96573325</v>
      </c>
      <c r="I640" s="5">
        <v>55.505861920000001</v>
      </c>
    </row>
    <row r="641" spans="1:9" ht="14.25" customHeight="1" x14ac:dyDescent="0.3">
      <c r="A641" t="s">
        <v>2534</v>
      </c>
      <c r="B641" s="5">
        <v>79.709013659999997</v>
      </c>
      <c r="C641" s="5">
        <v>66.482245050000003</v>
      </c>
      <c r="D641" s="5">
        <v>79.941047420000004</v>
      </c>
      <c r="E641" s="5">
        <v>69.160056890000007</v>
      </c>
      <c r="F641" s="5">
        <v>94.628020969999994</v>
      </c>
      <c r="G641" s="5">
        <v>80.811869540000004</v>
      </c>
      <c r="H641" s="5">
        <v>73.537861160000006</v>
      </c>
      <c r="I641" s="5">
        <v>50</v>
      </c>
    </row>
    <row r="642" spans="1:9" ht="14.25" customHeight="1" x14ac:dyDescent="0.3">
      <c r="A642" t="s">
        <v>2535</v>
      </c>
      <c r="B642" s="5">
        <v>92.538658299999994</v>
      </c>
      <c r="C642" s="5">
        <v>70.823849580000001</v>
      </c>
      <c r="D642" s="5">
        <v>70</v>
      </c>
      <c r="E642" s="5">
        <v>69.482328120000005</v>
      </c>
      <c r="F642" s="5">
        <v>99.9</v>
      </c>
      <c r="G642" s="5">
        <v>79.922481860000005</v>
      </c>
      <c r="H642" s="5">
        <v>67.258462260000002</v>
      </c>
      <c r="I642" s="5">
        <v>65.315231049999994</v>
      </c>
    </row>
    <row r="643" spans="1:9" ht="14.25" customHeight="1" x14ac:dyDescent="0.3">
      <c r="A643" t="s">
        <v>2536</v>
      </c>
      <c r="B643" s="5">
        <v>91.292175119999996</v>
      </c>
      <c r="C643" s="5">
        <v>74.705576969999996</v>
      </c>
      <c r="D643" s="5">
        <v>73.832146820000006</v>
      </c>
      <c r="E643" s="5">
        <v>67.516968969999994</v>
      </c>
      <c r="F643" s="5">
        <v>94.123837690000002</v>
      </c>
      <c r="G643" s="5">
        <v>68.659192430000004</v>
      </c>
      <c r="H643" s="5">
        <v>74.860032309999994</v>
      </c>
      <c r="I643" s="5">
        <v>59.526867770000003</v>
      </c>
    </row>
    <row r="644" spans="1:9" ht="14.25" customHeight="1" x14ac:dyDescent="0.3">
      <c r="A644" t="s">
        <v>2537</v>
      </c>
      <c r="B644" s="5">
        <v>82.803912879999999</v>
      </c>
      <c r="C644" s="5">
        <v>74.459085209999998</v>
      </c>
      <c r="D644" s="5">
        <v>81.09026102</v>
      </c>
      <c r="E644" s="5">
        <v>62.30150665</v>
      </c>
      <c r="F644" s="5">
        <v>99.9</v>
      </c>
      <c r="G644" s="5">
        <v>85</v>
      </c>
      <c r="H644" s="5">
        <v>69.859615059999996</v>
      </c>
      <c r="I644" s="5">
        <v>54.268599109999997</v>
      </c>
    </row>
    <row r="645" spans="1:9" ht="14.25" customHeight="1" x14ac:dyDescent="0.3">
      <c r="A645" t="s">
        <v>1321</v>
      </c>
      <c r="B645" s="5">
        <v>91.75798073</v>
      </c>
      <c r="C645" s="5">
        <v>67.938707690000001</v>
      </c>
      <c r="D645" s="5">
        <v>79.795640629999994</v>
      </c>
      <c r="E645" s="5">
        <v>64.217868710000005</v>
      </c>
      <c r="F645" s="5">
        <v>89.24958479</v>
      </c>
      <c r="G645" s="5">
        <v>78.792839529999995</v>
      </c>
      <c r="H645" s="5">
        <v>67.267481840000002</v>
      </c>
      <c r="I645" s="5">
        <v>66.552939539999997</v>
      </c>
    </row>
    <row r="646" spans="1:9" ht="14.25" customHeight="1" x14ac:dyDescent="0.3">
      <c r="A646" t="s">
        <v>2538</v>
      </c>
      <c r="B646" s="5">
        <v>84.286676709999995</v>
      </c>
      <c r="C646" s="5">
        <v>70.489679129999999</v>
      </c>
      <c r="D646" s="5">
        <v>79.542738310000004</v>
      </c>
      <c r="E646" s="5">
        <v>68.298867900000005</v>
      </c>
      <c r="F646" s="5">
        <v>89.870713089999995</v>
      </c>
      <c r="G646" s="5">
        <v>78.032578349999994</v>
      </c>
      <c r="H646" s="5">
        <v>72.509249870000005</v>
      </c>
      <c r="I646" s="5">
        <v>53.246486060000002</v>
      </c>
    </row>
    <row r="647" spans="1:9" ht="14.25" customHeight="1" x14ac:dyDescent="0.3">
      <c r="A647" t="s">
        <v>2539</v>
      </c>
      <c r="B647" s="5">
        <v>88.506699650000002</v>
      </c>
      <c r="C647" s="5">
        <v>67.223628739999995</v>
      </c>
      <c r="D647" s="5">
        <v>73.470938390000001</v>
      </c>
      <c r="E647" s="5">
        <v>64.082807590000002</v>
      </c>
      <c r="F647" s="5">
        <v>89.464518190000007</v>
      </c>
      <c r="G647" s="5">
        <v>71.192328880000005</v>
      </c>
      <c r="H647" s="5">
        <v>74.226077799999999</v>
      </c>
      <c r="I647" s="5">
        <v>63.767387909999997</v>
      </c>
    </row>
    <row r="648" spans="1:9" ht="14.25" customHeight="1" x14ac:dyDescent="0.3">
      <c r="A648" t="s">
        <v>2540</v>
      </c>
      <c r="B648" s="5">
        <v>87.037507020000007</v>
      </c>
      <c r="C648" s="5">
        <v>66.767772620000002</v>
      </c>
      <c r="D648" s="5">
        <v>70</v>
      </c>
      <c r="E648" s="5">
        <v>74.328636020000005</v>
      </c>
      <c r="F648" s="5">
        <v>92.688010410000004</v>
      </c>
      <c r="G648" s="5">
        <v>77.125364090000005</v>
      </c>
      <c r="H648" s="5">
        <v>70.976564510000003</v>
      </c>
      <c r="I648" s="5">
        <v>50</v>
      </c>
    </row>
    <row r="649" spans="1:9" ht="14.25" customHeight="1" x14ac:dyDescent="0.3">
      <c r="A649" t="s">
        <v>2541</v>
      </c>
      <c r="B649" s="5">
        <v>79.168451669999996</v>
      </c>
      <c r="C649" s="5">
        <v>73.955507979999993</v>
      </c>
      <c r="D649" s="5">
        <v>74.732368899999997</v>
      </c>
      <c r="E649" s="5">
        <v>70.223516029999999</v>
      </c>
      <c r="F649" s="5">
        <v>80</v>
      </c>
      <c r="G649" s="5">
        <v>71.105822259999997</v>
      </c>
      <c r="H649" s="5">
        <v>66.129682149999994</v>
      </c>
      <c r="I649" s="5">
        <v>61.591164999999997</v>
      </c>
    </row>
    <row r="650" spans="1:9" ht="14.25" customHeight="1" x14ac:dyDescent="0.3">
      <c r="A650" t="s">
        <v>2542</v>
      </c>
      <c r="B650" s="5">
        <v>91.686014290000003</v>
      </c>
      <c r="C650" s="5">
        <v>74.154567709999995</v>
      </c>
      <c r="D650" s="5">
        <v>76.681880939999999</v>
      </c>
      <c r="E650" s="5">
        <v>65.840864389999993</v>
      </c>
      <c r="F650" s="5">
        <v>91.215810930000004</v>
      </c>
      <c r="G650" s="5">
        <v>83.505246389999996</v>
      </c>
      <c r="H650" s="5">
        <v>67.685515120000005</v>
      </c>
      <c r="I650" s="5">
        <v>65.959827369999999</v>
      </c>
    </row>
    <row r="651" spans="1:9" ht="14.25" customHeight="1" x14ac:dyDescent="0.3">
      <c r="A651" t="s">
        <v>2543</v>
      </c>
      <c r="B651" s="5">
        <v>82.094892689999995</v>
      </c>
      <c r="C651" s="5">
        <v>74.340259140000001</v>
      </c>
      <c r="D651" s="5">
        <v>76.029666969999994</v>
      </c>
      <c r="E651" s="5">
        <v>60.80623421</v>
      </c>
      <c r="F651" s="5">
        <v>91.005437860000001</v>
      </c>
      <c r="G651" s="5">
        <v>84.617869560000003</v>
      </c>
      <c r="H651" s="5">
        <v>72.358893899999998</v>
      </c>
      <c r="I651" s="5">
        <v>50</v>
      </c>
    </row>
    <row r="652" spans="1:9" ht="14.25" customHeight="1" x14ac:dyDescent="0.3">
      <c r="A652" t="s">
        <v>2544</v>
      </c>
      <c r="B652" s="5">
        <v>85.491195360000006</v>
      </c>
      <c r="C652" s="5">
        <v>80</v>
      </c>
      <c r="D652" s="5">
        <v>78.586330329999996</v>
      </c>
      <c r="E652" s="5">
        <v>72.04632805</v>
      </c>
      <c r="F652" s="5">
        <v>81.831708950000007</v>
      </c>
      <c r="G652" s="5">
        <v>79.809795510000001</v>
      </c>
      <c r="H652" s="5">
        <v>69.287920880000001</v>
      </c>
      <c r="I652" s="5">
        <v>56.069142020000001</v>
      </c>
    </row>
    <row r="653" spans="1:9" ht="14.25" customHeight="1" x14ac:dyDescent="0.3">
      <c r="A653" t="s">
        <v>2545</v>
      </c>
      <c r="B653" s="5">
        <v>79.034305450000005</v>
      </c>
      <c r="C653" s="5">
        <v>60</v>
      </c>
      <c r="D653" s="5">
        <v>85.712250920000002</v>
      </c>
      <c r="E653" s="5">
        <v>55</v>
      </c>
      <c r="F653" s="5">
        <v>93.269340729999996</v>
      </c>
      <c r="G653" s="5">
        <v>85</v>
      </c>
      <c r="H653" s="5">
        <v>65.215216560000002</v>
      </c>
      <c r="I653" s="5">
        <v>50</v>
      </c>
    </row>
    <row r="654" spans="1:9" ht="14.25" customHeight="1" x14ac:dyDescent="0.3">
      <c r="A654" t="s">
        <v>2546</v>
      </c>
      <c r="B654" s="5">
        <v>76.650722250000001</v>
      </c>
      <c r="C654" s="5">
        <v>69.013877539999996</v>
      </c>
      <c r="D654" s="5">
        <v>84.836886879999994</v>
      </c>
      <c r="E654" s="5">
        <v>64.284266430000002</v>
      </c>
      <c r="F654" s="5">
        <v>82.019974880000007</v>
      </c>
      <c r="G654" s="5">
        <v>83.631838070000001</v>
      </c>
      <c r="H654" s="5">
        <v>73.141465960000005</v>
      </c>
      <c r="I654" s="5">
        <v>55.356575239999998</v>
      </c>
    </row>
    <row r="655" spans="1:9" ht="14.25" customHeight="1" x14ac:dyDescent="0.3">
      <c r="A655" t="s">
        <v>2547</v>
      </c>
      <c r="B655" s="5">
        <v>87.476671999999994</v>
      </c>
      <c r="C655" s="5">
        <v>70.640073790000002</v>
      </c>
      <c r="D655" s="5">
        <v>81.337497839999997</v>
      </c>
      <c r="E655" s="5">
        <v>68.383302450000002</v>
      </c>
      <c r="F655" s="5">
        <v>97.109103599999997</v>
      </c>
      <c r="G655" s="5">
        <v>76.176735570000005</v>
      </c>
      <c r="H655" s="5">
        <v>69.376191180000006</v>
      </c>
      <c r="I655" s="5">
        <v>54.005447439999998</v>
      </c>
    </row>
    <row r="656" spans="1:9" ht="14.25" customHeight="1" x14ac:dyDescent="0.3">
      <c r="A656" t="s">
        <v>1344</v>
      </c>
      <c r="B656" s="5">
        <v>80.313754739999993</v>
      </c>
      <c r="C656" s="5">
        <v>63.119557839999999</v>
      </c>
      <c r="D656" s="5">
        <v>74.081163910000001</v>
      </c>
      <c r="E656" s="5">
        <v>65.039450689999995</v>
      </c>
      <c r="F656" s="5">
        <v>89.141419350000007</v>
      </c>
      <c r="G656" s="5">
        <v>69.855349189999998</v>
      </c>
      <c r="H656" s="5">
        <v>72.934384899999998</v>
      </c>
      <c r="I656" s="5">
        <v>60.36676859</v>
      </c>
    </row>
    <row r="657" spans="1:9" ht="14.25" customHeight="1" x14ac:dyDescent="0.3">
      <c r="A657" t="s">
        <v>2548</v>
      </c>
      <c r="B657" s="5">
        <v>81.121776010000005</v>
      </c>
      <c r="C657" s="5">
        <v>75.621566079999994</v>
      </c>
      <c r="D657" s="5">
        <v>70</v>
      </c>
      <c r="E657" s="5">
        <v>68.429263329999998</v>
      </c>
      <c r="F657" s="5">
        <v>85.394962230000004</v>
      </c>
      <c r="G657" s="5">
        <v>76.332996739999999</v>
      </c>
      <c r="H657" s="5">
        <v>67.715410820000002</v>
      </c>
      <c r="I657" s="5">
        <v>55.205380839999997</v>
      </c>
    </row>
    <row r="658" spans="1:9" ht="14.25" customHeight="1" x14ac:dyDescent="0.3">
      <c r="A658" t="s">
        <v>1348</v>
      </c>
      <c r="B658" s="5">
        <v>80.1817779</v>
      </c>
      <c r="C658" s="5">
        <v>73.633511929999997</v>
      </c>
      <c r="D658" s="5">
        <v>70</v>
      </c>
      <c r="E658" s="5">
        <v>71.604697290000004</v>
      </c>
      <c r="F658" s="5">
        <v>91.037751490000005</v>
      </c>
      <c r="G658" s="5">
        <v>81.016091270000004</v>
      </c>
      <c r="H658" s="5">
        <v>73.301561570000004</v>
      </c>
      <c r="I658" s="5">
        <v>56.87257082</v>
      </c>
    </row>
    <row r="659" spans="1:9" ht="14.25" customHeight="1" x14ac:dyDescent="0.3">
      <c r="A659" t="s">
        <v>2549</v>
      </c>
      <c r="B659" s="5">
        <v>84.051303669999996</v>
      </c>
      <c r="C659" s="5">
        <v>65.760675050000003</v>
      </c>
      <c r="D659" s="5">
        <v>80.866246230000002</v>
      </c>
      <c r="E659" s="5">
        <v>69.348141799999993</v>
      </c>
      <c r="F659" s="5">
        <v>81.625732220000003</v>
      </c>
      <c r="G659" s="5">
        <v>85</v>
      </c>
      <c r="H659" s="5">
        <v>69.484788710000004</v>
      </c>
      <c r="I659" s="5">
        <v>57.656219200000002</v>
      </c>
    </row>
    <row r="660" spans="1:9" ht="14.25" customHeight="1" x14ac:dyDescent="0.3">
      <c r="A660" t="s">
        <v>1352</v>
      </c>
      <c r="B660" s="5">
        <v>85.3527287</v>
      </c>
      <c r="C660" s="5">
        <v>61.48711419</v>
      </c>
      <c r="D660" s="5">
        <v>78.893205050000006</v>
      </c>
      <c r="E660" s="5">
        <v>73.197750819999996</v>
      </c>
      <c r="F660" s="5">
        <v>85.725135609999995</v>
      </c>
      <c r="G660" s="5">
        <v>77.229090940000006</v>
      </c>
      <c r="H660" s="5">
        <v>65</v>
      </c>
      <c r="I660" s="5">
        <v>65.904868719999996</v>
      </c>
    </row>
    <row r="661" spans="1:9" ht="14.25" customHeight="1" x14ac:dyDescent="0.3">
      <c r="A661" t="s">
        <v>2550</v>
      </c>
      <c r="B661" s="5">
        <v>81.060712609999996</v>
      </c>
      <c r="C661" s="5">
        <v>72.04623196</v>
      </c>
      <c r="D661" s="5">
        <v>79.824754900000002</v>
      </c>
      <c r="E661" s="5">
        <v>60.308434849999998</v>
      </c>
      <c r="F661" s="5">
        <v>88.395866609999999</v>
      </c>
      <c r="G661" s="5">
        <v>81.22401868</v>
      </c>
      <c r="H661" s="5">
        <v>73.841962730000006</v>
      </c>
      <c r="I661" s="5">
        <v>50</v>
      </c>
    </row>
    <row r="662" spans="1:9" ht="14.25" customHeight="1" x14ac:dyDescent="0.3">
      <c r="A662" t="s">
        <v>1356</v>
      </c>
      <c r="B662" s="5">
        <v>86.437413669999998</v>
      </c>
      <c r="C662" s="5">
        <v>63.123064630000002</v>
      </c>
      <c r="D662" s="5">
        <v>84.899992260000005</v>
      </c>
      <c r="E662" s="5">
        <v>58.885046780000003</v>
      </c>
      <c r="F662" s="5">
        <v>94.796302710000006</v>
      </c>
      <c r="G662" s="5">
        <v>77.841839789999995</v>
      </c>
      <c r="H662" s="5">
        <v>65.525450800000002</v>
      </c>
      <c r="I662" s="5">
        <v>50</v>
      </c>
    </row>
    <row r="663" spans="1:9" ht="14.25" customHeight="1" x14ac:dyDescent="0.3">
      <c r="A663" t="s">
        <v>2551</v>
      </c>
      <c r="B663" s="5">
        <v>94.958696070000002</v>
      </c>
      <c r="C663" s="5">
        <v>66.327358390000001</v>
      </c>
      <c r="D663" s="5">
        <v>90</v>
      </c>
      <c r="E663" s="5">
        <v>73.754959119999995</v>
      </c>
      <c r="F663" s="5">
        <v>81.078334269999999</v>
      </c>
      <c r="G663" s="5">
        <v>73.164259979999997</v>
      </c>
      <c r="H663" s="5">
        <v>71.079486149999994</v>
      </c>
      <c r="I663" s="5">
        <v>50.893671470000001</v>
      </c>
    </row>
    <row r="664" spans="1:9" ht="14.25" customHeight="1" x14ac:dyDescent="0.3">
      <c r="A664" t="s">
        <v>1360</v>
      </c>
      <c r="B664" s="5">
        <v>89.006833929999999</v>
      </c>
      <c r="C664" s="5">
        <v>70.141475639999996</v>
      </c>
      <c r="D664" s="5">
        <v>88.770983169999994</v>
      </c>
      <c r="E664" s="5">
        <v>64.572670740000007</v>
      </c>
      <c r="F664" s="5">
        <v>84.010248730000001</v>
      </c>
      <c r="G664" s="5">
        <v>85</v>
      </c>
      <c r="H664" s="5">
        <v>71.778397209999994</v>
      </c>
      <c r="I664" s="5">
        <v>57.433377329999999</v>
      </c>
    </row>
    <row r="665" spans="1:9" ht="14.25" customHeight="1" x14ac:dyDescent="0.3">
      <c r="A665" t="s">
        <v>1362</v>
      </c>
      <c r="B665" s="5">
        <v>85.641579730000004</v>
      </c>
      <c r="C665" s="5">
        <v>76.769946739999995</v>
      </c>
      <c r="D665" s="5">
        <v>81.815542910000005</v>
      </c>
      <c r="E665" s="5">
        <v>67.806565180000007</v>
      </c>
      <c r="F665" s="5">
        <v>92.830695509999998</v>
      </c>
      <c r="G665" s="5">
        <v>85</v>
      </c>
      <c r="H665" s="5">
        <v>74.602111190000002</v>
      </c>
      <c r="I665" s="5">
        <v>59.499133010000001</v>
      </c>
    </row>
    <row r="666" spans="1:9" ht="14.25" customHeight="1" x14ac:dyDescent="0.3">
      <c r="A666" t="s">
        <v>2552</v>
      </c>
      <c r="B666" s="5">
        <v>89.891474299999999</v>
      </c>
      <c r="C666" s="5">
        <v>60</v>
      </c>
      <c r="D666" s="5">
        <v>70</v>
      </c>
      <c r="E666" s="5">
        <v>70.133284360000005</v>
      </c>
      <c r="F666" s="5">
        <v>87.915279859999998</v>
      </c>
      <c r="G666" s="5">
        <v>85</v>
      </c>
      <c r="H666" s="5">
        <v>71.765024519999997</v>
      </c>
      <c r="I666" s="5">
        <v>59.91454615</v>
      </c>
    </row>
    <row r="667" spans="1:9" ht="14.25" customHeight="1" x14ac:dyDescent="0.3">
      <c r="A667" t="s">
        <v>2553</v>
      </c>
      <c r="B667" s="5">
        <v>87.089013620000003</v>
      </c>
      <c r="C667" s="5">
        <v>69.205745919999998</v>
      </c>
      <c r="D667" s="5">
        <v>75.763482490000001</v>
      </c>
      <c r="E667" s="5">
        <v>71.866613020000003</v>
      </c>
      <c r="F667" s="5">
        <v>81.398680659999997</v>
      </c>
      <c r="G667" s="5">
        <v>74.686793730000005</v>
      </c>
      <c r="H667" s="5">
        <v>65</v>
      </c>
      <c r="I667" s="5">
        <v>61.741791399999997</v>
      </c>
    </row>
    <row r="668" spans="1:9" ht="14.25" customHeight="1" x14ac:dyDescent="0.3">
      <c r="A668" t="s">
        <v>1368</v>
      </c>
      <c r="B668" s="5">
        <v>82.405503190000005</v>
      </c>
      <c r="C668" s="5">
        <v>74.487340939999996</v>
      </c>
      <c r="D668" s="5">
        <v>88.324464610000007</v>
      </c>
      <c r="E668" s="5">
        <v>62.705044020000003</v>
      </c>
      <c r="F668" s="5">
        <v>80</v>
      </c>
      <c r="G668" s="5">
        <v>73.526652350000006</v>
      </c>
      <c r="H668" s="5">
        <v>68.775561890000006</v>
      </c>
      <c r="I668" s="5">
        <v>66.770853310000007</v>
      </c>
    </row>
    <row r="669" spans="1:9" ht="14.25" customHeight="1" x14ac:dyDescent="0.3">
      <c r="A669" t="s">
        <v>1370</v>
      </c>
      <c r="B669" s="5">
        <v>86.994980769999998</v>
      </c>
      <c r="C669" s="5">
        <v>65.113509339999993</v>
      </c>
      <c r="D669" s="5">
        <v>76.93498271</v>
      </c>
      <c r="E669" s="5">
        <v>71.062347889999998</v>
      </c>
      <c r="F669" s="5">
        <v>91.620990359999993</v>
      </c>
      <c r="G669" s="5">
        <v>82.887413260000002</v>
      </c>
      <c r="H669" s="5">
        <v>72.200988280000004</v>
      </c>
      <c r="I669" s="5">
        <v>56.544992749999999</v>
      </c>
    </row>
    <row r="670" spans="1:9" ht="14.25" customHeight="1" x14ac:dyDescent="0.3">
      <c r="A670" t="s">
        <v>1372</v>
      </c>
      <c r="B670" s="5">
        <v>85.72385731</v>
      </c>
      <c r="C670" s="5">
        <v>70.714110090000005</v>
      </c>
      <c r="D670" s="5">
        <v>80.461183700000007</v>
      </c>
      <c r="E670" s="5">
        <v>67.703815910000003</v>
      </c>
      <c r="F670" s="5">
        <v>96.080071570000001</v>
      </c>
      <c r="G670" s="5">
        <v>74.669647400000002</v>
      </c>
      <c r="H670" s="5">
        <v>67.545199120000007</v>
      </c>
      <c r="I670" s="5">
        <v>56.631620409999996</v>
      </c>
    </row>
    <row r="671" spans="1:9" ht="14.25" customHeight="1" x14ac:dyDescent="0.3">
      <c r="A671" t="s">
        <v>2554</v>
      </c>
      <c r="B671" s="5">
        <v>87.128772280000007</v>
      </c>
      <c r="C671" s="5">
        <v>72.380481000000003</v>
      </c>
      <c r="D671" s="5">
        <v>73.044661669999996</v>
      </c>
      <c r="E671" s="5">
        <v>66.227241910000004</v>
      </c>
      <c r="F671" s="5">
        <v>80</v>
      </c>
      <c r="G671" s="5">
        <v>78.686721820000002</v>
      </c>
      <c r="H671" s="5">
        <v>72.608715489999994</v>
      </c>
      <c r="I671" s="5">
        <v>51.658909600000001</v>
      </c>
    </row>
    <row r="672" spans="1:9" ht="14.25" customHeight="1" x14ac:dyDescent="0.3">
      <c r="A672" t="s">
        <v>2555</v>
      </c>
      <c r="B672" s="5">
        <v>96.422593829999997</v>
      </c>
      <c r="C672" s="5">
        <v>73.434438069999999</v>
      </c>
      <c r="D672" s="5">
        <v>70</v>
      </c>
      <c r="E672" s="5">
        <v>59.089963640000001</v>
      </c>
      <c r="F672" s="5">
        <v>90.454792889999993</v>
      </c>
      <c r="G672" s="5">
        <v>83.930291139999994</v>
      </c>
      <c r="H672" s="5">
        <v>69.49336065</v>
      </c>
      <c r="I672" s="5">
        <v>60.533366600000001</v>
      </c>
    </row>
    <row r="673" spans="1:9" ht="14.25" customHeight="1" x14ac:dyDescent="0.3">
      <c r="A673" t="s">
        <v>2556</v>
      </c>
      <c r="B673" s="5">
        <v>90.162418180000003</v>
      </c>
      <c r="C673" s="5">
        <v>60.467711270000002</v>
      </c>
      <c r="D673" s="5">
        <v>73.129089129999997</v>
      </c>
      <c r="E673" s="5">
        <v>72.60445833</v>
      </c>
      <c r="F673" s="5">
        <v>94.545979979999998</v>
      </c>
      <c r="G673" s="5">
        <v>78.613231429999999</v>
      </c>
      <c r="H673" s="5">
        <v>77.512050369999997</v>
      </c>
      <c r="I673" s="5">
        <v>65.481716759999998</v>
      </c>
    </row>
    <row r="674" spans="1:9" ht="14.25" customHeight="1" x14ac:dyDescent="0.3">
      <c r="A674" t="s">
        <v>1380</v>
      </c>
      <c r="B674" s="5">
        <v>82.847326499999994</v>
      </c>
      <c r="C674" s="5">
        <v>75.571679349999997</v>
      </c>
      <c r="D674" s="5">
        <v>80.364614040000006</v>
      </c>
      <c r="E674" s="5">
        <v>55</v>
      </c>
      <c r="F674" s="5">
        <v>96.906262760000004</v>
      </c>
      <c r="G674" s="5">
        <v>80.108350669999993</v>
      </c>
      <c r="H674" s="5">
        <v>68.320577249999999</v>
      </c>
      <c r="I674" s="5">
        <v>67.711326119999995</v>
      </c>
    </row>
    <row r="675" spans="1:9" ht="14.25" customHeight="1" x14ac:dyDescent="0.3">
      <c r="A675" t="s">
        <v>1382</v>
      </c>
      <c r="B675" s="5">
        <v>90.648524699999996</v>
      </c>
      <c r="C675" s="5">
        <v>64.450324710000004</v>
      </c>
      <c r="D675" s="5">
        <v>82.037558390000001</v>
      </c>
      <c r="E675" s="5">
        <v>62.922875959999999</v>
      </c>
      <c r="F675" s="5">
        <v>85.011987309999995</v>
      </c>
      <c r="G675" s="5">
        <v>85</v>
      </c>
      <c r="H675" s="5">
        <v>72.176479479999998</v>
      </c>
      <c r="I675" s="5">
        <v>53.219173929999997</v>
      </c>
    </row>
    <row r="676" spans="1:9" ht="14.25" customHeight="1" x14ac:dyDescent="0.3">
      <c r="A676" t="s">
        <v>2557</v>
      </c>
      <c r="B676" s="5">
        <v>81.095736819999999</v>
      </c>
      <c r="C676" s="5">
        <v>60.56868669</v>
      </c>
      <c r="D676" s="5">
        <v>70.647597410000003</v>
      </c>
      <c r="E676" s="5">
        <v>65.579737089999995</v>
      </c>
      <c r="F676" s="5">
        <v>99.9</v>
      </c>
      <c r="G676" s="5">
        <v>71.960417410000005</v>
      </c>
      <c r="H676" s="5">
        <v>67.767742530000007</v>
      </c>
      <c r="I676" s="5">
        <v>59.934229690000002</v>
      </c>
    </row>
    <row r="677" spans="1:9" ht="14.25" customHeight="1" x14ac:dyDescent="0.3">
      <c r="A677" t="s">
        <v>2558</v>
      </c>
      <c r="B677" s="5">
        <v>79.872470820000004</v>
      </c>
      <c r="C677" s="5">
        <v>65.211516750000001</v>
      </c>
      <c r="D677" s="5">
        <v>84.059897789999994</v>
      </c>
      <c r="E677" s="5">
        <v>74.811041759999995</v>
      </c>
      <c r="F677" s="5">
        <v>99.9</v>
      </c>
      <c r="G677" s="5">
        <v>74.112411449999996</v>
      </c>
      <c r="H677" s="5">
        <v>69.536817220000003</v>
      </c>
      <c r="I677" s="5">
        <v>52.350845540000002</v>
      </c>
    </row>
    <row r="678" spans="1:9" ht="14.25" customHeight="1" x14ac:dyDescent="0.3">
      <c r="A678" t="s">
        <v>2559</v>
      </c>
      <c r="B678" s="5">
        <v>79.308760329999998</v>
      </c>
      <c r="C678" s="5">
        <v>69.509796769999994</v>
      </c>
      <c r="D678" s="5">
        <v>70</v>
      </c>
      <c r="E678" s="5">
        <v>65.051523919999994</v>
      </c>
      <c r="F678" s="5">
        <v>86.546790119999997</v>
      </c>
      <c r="G678" s="5">
        <v>79.84157802</v>
      </c>
      <c r="H678" s="5">
        <v>77.425398040000005</v>
      </c>
      <c r="I678" s="5">
        <v>58.817639620000001</v>
      </c>
    </row>
    <row r="679" spans="1:9" ht="14.25" customHeight="1" x14ac:dyDescent="0.3">
      <c r="A679" t="s">
        <v>2560</v>
      </c>
      <c r="B679" s="5">
        <v>90.180655700000003</v>
      </c>
      <c r="C679" s="5">
        <v>69.926989430000006</v>
      </c>
      <c r="D679" s="5">
        <v>75.310320219999994</v>
      </c>
      <c r="E679" s="5">
        <v>61.41346325</v>
      </c>
      <c r="F679" s="5">
        <v>99.9</v>
      </c>
      <c r="G679" s="5">
        <v>79.046325280000005</v>
      </c>
      <c r="H679" s="5">
        <v>69.631400009999993</v>
      </c>
      <c r="I679" s="5">
        <v>64.149108679999998</v>
      </c>
    </row>
    <row r="680" spans="1:9" ht="14.25" customHeight="1" x14ac:dyDescent="0.3">
      <c r="A680" t="s">
        <v>2561</v>
      </c>
      <c r="B680" s="5">
        <v>82.368671070000005</v>
      </c>
      <c r="C680" s="5">
        <v>62.927398310000001</v>
      </c>
      <c r="D680" s="5">
        <v>78.498423000000003</v>
      </c>
      <c r="E680" s="5">
        <v>65.941517849999997</v>
      </c>
      <c r="F680" s="5">
        <v>92.829876409999997</v>
      </c>
      <c r="G680" s="5">
        <v>76.944199580000003</v>
      </c>
      <c r="H680" s="5">
        <v>75.673083129999995</v>
      </c>
      <c r="I680" s="5">
        <v>50</v>
      </c>
    </row>
    <row r="681" spans="1:9" ht="14.25" customHeight="1" x14ac:dyDescent="0.3">
      <c r="A681" t="s">
        <v>2562</v>
      </c>
      <c r="B681" s="5">
        <v>81.386293820000006</v>
      </c>
      <c r="C681" s="5">
        <v>73.964605800000001</v>
      </c>
      <c r="D681" s="5">
        <v>77.232400819999995</v>
      </c>
      <c r="E681" s="5">
        <v>58.604169929999998</v>
      </c>
      <c r="F681" s="5">
        <v>86.681409610000003</v>
      </c>
      <c r="G681" s="5">
        <v>71.301043309999997</v>
      </c>
      <c r="H681" s="5">
        <v>76.990430079999996</v>
      </c>
      <c r="I681" s="5">
        <v>50</v>
      </c>
    </row>
    <row r="682" spans="1:9" ht="14.25" customHeight="1" x14ac:dyDescent="0.3">
      <c r="A682" t="s">
        <v>2563</v>
      </c>
      <c r="B682" s="5">
        <v>81.432562520000005</v>
      </c>
      <c r="C682" s="5">
        <v>72.700281340000004</v>
      </c>
      <c r="D682" s="5">
        <v>74.105631220000006</v>
      </c>
      <c r="E682" s="5">
        <v>68.474509530000006</v>
      </c>
      <c r="F682" s="5">
        <v>91.409447389999997</v>
      </c>
      <c r="G682" s="5">
        <v>78.880290360000004</v>
      </c>
      <c r="H682" s="5">
        <v>70.984394080000001</v>
      </c>
      <c r="I682" s="5">
        <v>62.555330900000001</v>
      </c>
    </row>
    <row r="683" spans="1:9" ht="14.25" customHeight="1" x14ac:dyDescent="0.3">
      <c r="A683" t="s">
        <v>2564</v>
      </c>
      <c r="B683" s="5">
        <v>91.826291280000007</v>
      </c>
      <c r="C683" s="5">
        <v>65.177429700000005</v>
      </c>
      <c r="D683" s="5">
        <v>72.405403750000005</v>
      </c>
      <c r="E683" s="5">
        <v>65.690759389999997</v>
      </c>
      <c r="F683" s="5">
        <v>99.9</v>
      </c>
      <c r="G683" s="5">
        <v>85</v>
      </c>
      <c r="H683" s="5">
        <v>72.262284620000003</v>
      </c>
      <c r="I683" s="5">
        <v>55.15208294</v>
      </c>
    </row>
    <row r="684" spans="1:9" ht="14.25" customHeight="1" x14ac:dyDescent="0.3">
      <c r="A684" t="s">
        <v>2565</v>
      </c>
      <c r="B684" s="5">
        <v>79.796840939999996</v>
      </c>
      <c r="C684" s="5">
        <v>69.756050200000004</v>
      </c>
      <c r="D684" s="5">
        <v>76.350543619999996</v>
      </c>
      <c r="E684" s="5">
        <v>64.779788289999999</v>
      </c>
      <c r="F684" s="5">
        <v>83.699034819999994</v>
      </c>
      <c r="G684" s="5">
        <v>80.205328129999998</v>
      </c>
      <c r="H684" s="5">
        <v>66.512474870000005</v>
      </c>
      <c r="I684" s="5">
        <v>52.4249492</v>
      </c>
    </row>
    <row r="685" spans="1:9" ht="14.25" customHeight="1" x14ac:dyDescent="0.3">
      <c r="A685" t="s">
        <v>2566</v>
      </c>
      <c r="B685" s="5">
        <v>91.390832570000001</v>
      </c>
      <c r="C685" s="5">
        <v>69.886884589999994</v>
      </c>
      <c r="D685" s="5">
        <v>72.569946909999999</v>
      </c>
      <c r="E685" s="5">
        <v>66.950741840000006</v>
      </c>
      <c r="F685" s="5">
        <v>87.836595669999994</v>
      </c>
      <c r="G685" s="5">
        <v>83.729316080000004</v>
      </c>
      <c r="H685" s="5">
        <v>66.534423970000006</v>
      </c>
      <c r="I685" s="5">
        <v>58.301090309999999</v>
      </c>
    </row>
    <row r="686" spans="1:9" ht="14.25" customHeight="1" x14ac:dyDescent="0.3">
      <c r="A686" t="s">
        <v>2567</v>
      </c>
      <c r="B686" s="5">
        <v>84.295555890000003</v>
      </c>
      <c r="C686" s="5">
        <v>67.191998600000005</v>
      </c>
      <c r="D686" s="5">
        <v>89.618427920000002</v>
      </c>
      <c r="E686" s="5">
        <v>67.415233069999999</v>
      </c>
      <c r="F686" s="5">
        <v>90.895778849999999</v>
      </c>
      <c r="G686" s="5">
        <v>80.906007689999996</v>
      </c>
      <c r="H686" s="5">
        <v>65.815454250000002</v>
      </c>
      <c r="I686" s="5">
        <v>66.043216400000006</v>
      </c>
    </row>
    <row r="687" spans="1:9" ht="14.25" customHeight="1" x14ac:dyDescent="0.3">
      <c r="A687" t="s">
        <v>1406</v>
      </c>
      <c r="B687" s="5">
        <v>85.889002090000005</v>
      </c>
      <c r="C687" s="5">
        <v>73.692578350000005</v>
      </c>
      <c r="D687" s="5">
        <v>85.668131900000006</v>
      </c>
      <c r="E687" s="5">
        <v>61.611958729999998</v>
      </c>
      <c r="F687" s="5">
        <v>97.858052689999994</v>
      </c>
      <c r="G687" s="5">
        <v>75.711735059999995</v>
      </c>
      <c r="H687" s="5">
        <v>68.528873849999997</v>
      </c>
      <c r="I687" s="5">
        <v>57.500207809999999</v>
      </c>
    </row>
    <row r="688" spans="1:9" ht="14.25" customHeight="1" x14ac:dyDescent="0.3">
      <c r="A688" t="s">
        <v>2568</v>
      </c>
      <c r="B688" s="5">
        <v>81.863245480000003</v>
      </c>
      <c r="C688" s="5">
        <v>70.455679430000004</v>
      </c>
      <c r="D688" s="5">
        <v>70</v>
      </c>
      <c r="E688" s="5">
        <v>71.015150009999999</v>
      </c>
      <c r="F688" s="5">
        <v>91.092268450000006</v>
      </c>
      <c r="G688" s="5">
        <v>85</v>
      </c>
      <c r="H688" s="5">
        <v>69.672802849999997</v>
      </c>
      <c r="I688" s="5">
        <v>57.341062360000002</v>
      </c>
    </row>
    <row r="689" spans="1:9" ht="14.25" customHeight="1" x14ac:dyDescent="0.3">
      <c r="A689" t="s">
        <v>2569</v>
      </c>
      <c r="B689" s="5">
        <v>96.200902049999996</v>
      </c>
      <c r="C689" s="5">
        <v>73.12558473</v>
      </c>
      <c r="D689" s="5">
        <v>79.056839350000004</v>
      </c>
      <c r="E689" s="5">
        <v>63.831704629999997</v>
      </c>
      <c r="F689" s="5">
        <v>80</v>
      </c>
      <c r="G689" s="5">
        <v>85</v>
      </c>
      <c r="H689" s="5">
        <v>69.643005810000005</v>
      </c>
      <c r="I689" s="5">
        <v>53.624839459999997</v>
      </c>
    </row>
    <row r="690" spans="1:9" ht="14.25" customHeight="1" x14ac:dyDescent="0.3">
      <c r="A690" t="s">
        <v>2570</v>
      </c>
      <c r="B690" s="5">
        <v>78.769344810000007</v>
      </c>
      <c r="C690" s="5">
        <v>69.534085630000007</v>
      </c>
      <c r="D690" s="5">
        <v>73.628412890000007</v>
      </c>
      <c r="E690" s="5">
        <v>59.120904150000001</v>
      </c>
      <c r="F690" s="5">
        <v>80</v>
      </c>
      <c r="G690" s="5">
        <v>85</v>
      </c>
      <c r="H690" s="5">
        <v>77.955579880000002</v>
      </c>
      <c r="I690" s="5">
        <v>57.066139700000001</v>
      </c>
    </row>
    <row r="691" spans="1:9" ht="14.25" customHeight="1" x14ac:dyDescent="0.3">
      <c r="A691" t="s">
        <v>2571</v>
      </c>
      <c r="B691" s="5">
        <v>82.333622730000002</v>
      </c>
      <c r="C691" s="5">
        <v>75.289355700000002</v>
      </c>
      <c r="D691" s="5">
        <v>73.024459550000003</v>
      </c>
      <c r="E691" s="5">
        <v>62.67173588</v>
      </c>
      <c r="F691" s="5">
        <v>82.040356220000007</v>
      </c>
      <c r="G691" s="5">
        <v>79.566062520000003</v>
      </c>
      <c r="H691" s="5">
        <v>74.237128299999995</v>
      </c>
      <c r="I691" s="5">
        <v>51.962967130000003</v>
      </c>
    </row>
    <row r="692" spans="1:9" ht="14.25" customHeight="1" x14ac:dyDescent="0.3">
      <c r="A692" t="s">
        <v>2572</v>
      </c>
      <c r="B692" s="5">
        <v>84.568732549999993</v>
      </c>
      <c r="C692" s="5">
        <v>68.522239279999994</v>
      </c>
      <c r="D692" s="5">
        <v>72.650261670000006</v>
      </c>
      <c r="E692" s="5">
        <v>66.405501990000005</v>
      </c>
      <c r="F692" s="5">
        <v>99.9</v>
      </c>
      <c r="G692" s="5">
        <v>68.233738399999993</v>
      </c>
      <c r="H692" s="5">
        <v>71.238264979999997</v>
      </c>
      <c r="I692" s="5">
        <v>52.777738200000002</v>
      </c>
    </row>
    <row r="693" spans="1:9" ht="14.25" customHeight="1" x14ac:dyDescent="0.3">
      <c r="A693" t="s">
        <v>2573</v>
      </c>
      <c r="B693" s="5">
        <v>94.235928450000003</v>
      </c>
      <c r="C693" s="5">
        <v>79.046884640000002</v>
      </c>
      <c r="D693" s="5">
        <v>70</v>
      </c>
      <c r="E693" s="5">
        <v>66.180751920000006</v>
      </c>
      <c r="F693" s="5">
        <v>80</v>
      </c>
      <c r="G693" s="5">
        <v>83.264090809999999</v>
      </c>
      <c r="H693" s="5">
        <v>71.041894679999999</v>
      </c>
      <c r="I693" s="5">
        <v>62.388367379999998</v>
      </c>
    </row>
    <row r="694" spans="1:9" ht="14.25" customHeight="1" x14ac:dyDescent="0.3">
      <c r="A694" t="s">
        <v>2574</v>
      </c>
      <c r="B694" s="5">
        <v>78.539589629999995</v>
      </c>
      <c r="C694" s="5">
        <v>70.28492353</v>
      </c>
      <c r="D694" s="5">
        <v>80.965457290000003</v>
      </c>
      <c r="E694" s="5">
        <v>64.789710299999996</v>
      </c>
      <c r="F694" s="5">
        <v>80</v>
      </c>
      <c r="G694" s="5">
        <v>79.446636479999995</v>
      </c>
      <c r="H694" s="5">
        <v>71.088476920000005</v>
      </c>
      <c r="I694" s="5">
        <v>56.432183029999997</v>
      </c>
    </row>
    <row r="695" spans="1:9" ht="14.25" customHeight="1" x14ac:dyDescent="0.3">
      <c r="A695" t="s">
        <v>2575</v>
      </c>
      <c r="B695" s="5">
        <v>84.235160500000006</v>
      </c>
      <c r="C695" s="5">
        <v>65.320995730000007</v>
      </c>
      <c r="D695" s="5">
        <v>70</v>
      </c>
      <c r="E695" s="5">
        <v>75</v>
      </c>
      <c r="F695" s="5">
        <v>80.321849229999998</v>
      </c>
      <c r="G695" s="5">
        <v>72.715509749999995</v>
      </c>
      <c r="H695" s="5">
        <v>72.712297070000005</v>
      </c>
      <c r="I695" s="5">
        <v>59.53007324</v>
      </c>
    </row>
    <row r="696" spans="1:9" ht="14.25" customHeight="1" x14ac:dyDescent="0.3">
      <c r="A696" t="s">
        <v>2576</v>
      </c>
      <c r="B696" s="5">
        <v>96.013061449999995</v>
      </c>
      <c r="C696" s="5">
        <v>60</v>
      </c>
      <c r="D696" s="5">
        <v>77.105001869999995</v>
      </c>
      <c r="E696" s="5">
        <v>64.009522329999996</v>
      </c>
      <c r="F696" s="5">
        <v>87.105160220000002</v>
      </c>
      <c r="G696" s="5">
        <v>76.544462240000001</v>
      </c>
      <c r="H696" s="5">
        <v>65</v>
      </c>
      <c r="I696" s="5">
        <v>55.661783110000002</v>
      </c>
    </row>
    <row r="697" spans="1:9" ht="14.25" customHeight="1" x14ac:dyDescent="0.3">
      <c r="A697" t="s">
        <v>2577</v>
      </c>
      <c r="B697" s="5">
        <v>86.555299320000003</v>
      </c>
      <c r="C697" s="5">
        <v>74.839215550000006</v>
      </c>
      <c r="D697" s="5">
        <v>72.691983930000006</v>
      </c>
      <c r="E697" s="5">
        <v>60.168168299999998</v>
      </c>
      <c r="F697" s="5">
        <v>87.298954300000005</v>
      </c>
      <c r="G697" s="5">
        <v>84.260775190000004</v>
      </c>
      <c r="H697" s="5">
        <v>72.146378909999996</v>
      </c>
      <c r="I697" s="5">
        <v>52.753586640000002</v>
      </c>
    </row>
    <row r="698" spans="1:9" ht="14.25" customHeight="1" x14ac:dyDescent="0.3">
      <c r="A698" t="s">
        <v>2578</v>
      </c>
      <c r="B698" s="5">
        <v>90.216621540000006</v>
      </c>
      <c r="C698" s="5">
        <v>68.609310230000006</v>
      </c>
      <c r="D698" s="5">
        <v>70</v>
      </c>
      <c r="E698" s="5">
        <v>65.656722770000002</v>
      </c>
      <c r="F698" s="5">
        <v>99.9</v>
      </c>
      <c r="G698" s="5">
        <v>85</v>
      </c>
      <c r="H698" s="5">
        <v>67.871040059999999</v>
      </c>
      <c r="I698" s="5">
        <v>50.072989749999998</v>
      </c>
    </row>
    <row r="699" spans="1:9" ht="14.25" customHeight="1" x14ac:dyDescent="0.3">
      <c r="A699" t="s">
        <v>1430</v>
      </c>
      <c r="B699" s="5">
        <v>91.534426659999994</v>
      </c>
      <c r="C699" s="5">
        <v>80</v>
      </c>
      <c r="D699" s="5">
        <v>87.588391209999997</v>
      </c>
      <c r="E699" s="5">
        <v>68.826205659999999</v>
      </c>
      <c r="F699" s="5">
        <v>88.057529709999997</v>
      </c>
      <c r="G699" s="5">
        <v>78.650158779999998</v>
      </c>
      <c r="H699" s="5">
        <v>69.769339479999999</v>
      </c>
      <c r="I699" s="5">
        <v>50</v>
      </c>
    </row>
    <row r="700" spans="1:9" ht="14.25" customHeight="1" x14ac:dyDescent="0.3">
      <c r="A700" t="s">
        <v>1432</v>
      </c>
      <c r="B700" s="5">
        <v>85.468231230000001</v>
      </c>
      <c r="C700" s="5">
        <v>66.833485719999999</v>
      </c>
      <c r="D700" s="5">
        <v>70.674371239999999</v>
      </c>
      <c r="E700" s="5">
        <v>60.173491169999998</v>
      </c>
      <c r="F700" s="5">
        <v>82.567489820000006</v>
      </c>
      <c r="G700" s="5">
        <v>83.342456569999996</v>
      </c>
      <c r="H700" s="5">
        <v>77.49521781</v>
      </c>
      <c r="I700" s="5">
        <v>56.666739010000001</v>
      </c>
    </row>
    <row r="701" spans="1:9" ht="14.25" customHeight="1" x14ac:dyDescent="0.3">
      <c r="A701" t="s">
        <v>2579</v>
      </c>
      <c r="B701" s="5">
        <v>86.010592009999996</v>
      </c>
      <c r="C701" s="5">
        <v>65.98661645</v>
      </c>
      <c r="D701" s="5">
        <v>77.395164539999996</v>
      </c>
      <c r="E701" s="5">
        <v>75</v>
      </c>
      <c r="F701" s="5">
        <v>91.661747800000001</v>
      </c>
      <c r="G701" s="5">
        <v>66.829283079999996</v>
      </c>
      <c r="H701" s="5">
        <v>73.01389811</v>
      </c>
      <c r="I701" s="5">
        <v>50</v>
      </c>
    </row>
    <row r="702" spans="1:9" ht="14.25" customHeight="1" x14ac:dyDescent="0.3">
      <c r="A702" t="s">
        <v>2580</v>
      </c>
      <c r="B702" s="5">
        <v>90.941255060000003</v>
      </c>
      <c r="C702" s="5">
        <v>69.022005410000006</v>
      </c>
      <c r="D702" s="5">
        <v>81.964775520000003</v>
      </c>
      <c r="E702" s="5">
        <v>69.191150030000003</v>
      </c>
      <c r="F702" s="5">
        <v>85.447251850000001</v>
      </c>
      <c r="G702" s="5">
        <v>82.533528899999993</v>
      </c>
      <c r="H702" s="5">
        <v>72.536058650000001</v>
      </c>
      <c r="I702" s="5">
        <v>60.172427980000002</v>
      </c>
    </row>
    <row r="703" spans="1:9" ht="14.25" customHeight="1" x14ac:dyDescent="0.3">
      <c r="A703" t="s">
        <v>1438</v>
      </c>
      <c r="B703" s="5">
        <v>99.9</v>
      </c>
      <c r="C703" s="5">
        <v>75.890485200000001</v>
      </c>
      <c r="D703" s="5">
        <v>70</v>
      </c>
      <c r="E703" s="5">
        <v>60.583428419999997</v>
      </c>
      <c r="F703" s="5">
        <v>99.9</v>
      </c>
      <c r="G703" s="5">
        <v>81.108619540000007</v>
      </c>
      <c r="H703" s="5">
        <v>69.619653409999998</v>
      </c>
      <c r="I703" s="5">
        <v>50</v>
      </c>
    </row>
    <row r="704" spans="1:9" ht="14.25" customHeight="1" x14ac:dyDescent="0.3">
      <c r="A704" t="s">
        <v>1440</v>
      </c>
      <c r="B704" s="5">
        <v>80.374886939999996</v>
      </c>
      <c r="C704" s="5">
        <v>65.499281890000006</v>
      </c>
      <c r="D704" s="5">
        <v>80.184425649999994</v>
      </c>
      <c r="E704" s="5">
        <v>71.775309530000001</v>
      </c>
      <c r="F704" s="5">
        <v>88.83120246</v>
      </c>
      <c r="G704" s="5">
        <v>76.511438429999998</v>
      </c>
      <c r="H704" s="5">
        <v>65</v>
      </c>
      <c r="I704" s="5">
        <v>53.695334150000001</v>
      </c>
    </row>
    <row r="705" spans="1:9" ht="14.25" customHeight="1" x14ac:dyDescent="0.3">
      <c r="A705" t="s">
        <v>2581</v>
      </c>
      <c r="B705" s="5">
        <v>87.004916190000003</v>
      </c>
      <c r="C705" s="5">
        <v>69.935082820000005</v>
      </c>
      <c r="D705" s="5">
        <v>73.754001520000003</v>
      </c>
      <c r="E705" s="5">
        <v>61.604604530000003</v>
      </c>
      <c r="F705" s="5">
        <v>92.464745100000002</v>
      </c>
      <c r="G705" s="5">
        <v>79.790780359999999</v>
      </c>
      <c r="H705" s="5">
        <v>66.500858699999995</v>
      </c>
      <c r="I705" s="5">
        <v>70</v>
      </c>
    </row>
    <row r="706" spans="1:9" ht="14.25" customHeight="1" x14ac:dyDescent="0.3">
      <c r="A706" t="s">
        <v>2582</v>
      </c>
      <c r="B706" s="5">
        <v>83.639846019999993</v>
      </c>
      <c r="C706" s="5">
        <v>60</v>
      </c>
      <c r="D706" s="5">
        <v>83.206938890000004</v>
      </c>
      <c r="E706" s="5">
        <v>60.256822470000003</v>
      </c>
      <c r="F706" s="5">
        <v>94.005282410000007</v>
      </c>
      <c r="G706" s="5">
        <v>76.09413198</v>
      </c>
      <c r="H706" s="5">
        <v>74.295667829999999</v>
      </c>
      <c r="I706" s="5">
        <v>59.00917948</v>
      </c>
    </row>
    <row r="707" spans="1:9" ht="14.25" customHeight="1" x14ac:dyDescent="0.3">
      <c r="A707" t="s">
        <v>2583</v>
      </c>
      <c r="B707" s="5">
        <v>79.415374479999997</v>
      </c>
      <c r="C707" s="5">
        <v>70.013040110000006</v>
      </c>
      <c r="D707" s="5">
        <v>78.63575041</v>
      </c>
      <c r="E707" s="5">
        <v>61.84301541</v>
      </c>
      <c r="F707" s="5">
        <v>91.019476089999998</v>
      </c>
      <c r="G707" s="5">
        <v>82.680669699999996</v>
      </c>
      <c r="H707" s="5">
        <v>76.032004560000004</v>
      </c>
      <c r="I707" s="5">
        <v>58.938131919999996</v>
      </c>
    </row>
    <row r="708" spans="1:9" ht="14.25" customHeight="1" x14ac:dyDescent="0.3">
      <c r="A708" t="s">
        <v>2584</v>
      </c>
      <c r="B708" s="5">
        <v>81.151127349999996</v>
      </c>
      <c r="C708" s="5">
        <v>65.863956490000007</v>
      </c>
      <c r="D708" s="5">
        <v>85.20779512</v>
      </c>
      <c r="E708" s="5">
        <v>68.767429949999993</v>
      </c>
      <c r="F708" s="5">
        <v>88.623936659999998</v>
      </c>
      <c r="G708" s="5">
        <v>81.963006419999999</v>
      </c>
      <c r="H708" s="5">
        <v>70.190182429999993</v>
      </c>
      <c r="I708" s="5">
        <v>53.567755429999998</v>
      </c>
    </row>
    <row r="709" spans="1:9" ht="14.25" customHeight="1" x14ac:dyDescent="0.3">
      <c r="A709" t="s">
        <v>2585</v>
      </c>
      <c r="B709" s="5">
        <v>79.933596620000003</v>
      </c>
      <c r="C709" s="5">
        <v>62.47511677</v>
      </c>
      <c r="D709" s="5">
        <v>87.855173039999997</v>
      </c>
      <c r="E709" s="5">
        <v>60.320941640000001</v>
      </c>
      <c r="F709" s="5">
        <v>85.924828849999997</v>
      </c>
      <c r="G709" s="5">
        <v>76.787832300000005</v>
      </c>
      <c r="H709" s="5">
        <v>71.862785990000006</v>
      </c>
      <c r="I709" s="5">
        <v>69.161090790000003</v>
      </c>
    </row>
    <row r="710" spans="1:9" ht="14.25" customHeight="1" x14ac:dyDescent="0.3">
      <c r="A710" t="s">
        <v>2586</v>
      </c>
      <c r="B710" s="5">
        <v>89.460843269999998</v>
      </c>
      <c r="C710" s="5">
        <v>76.876453130000002</v>
      </c>
      <c r="D710" s="5">
        <v>81.834865449999995</v>
      </c>
      <c r="E710" s="5">
        <v>60.187857559999998</v>
      </c>
      <c r="F710" s="5">
        <v>98.356406070000006</v>
      </c>
      <c r="G710" s="5">
        <v>74.954425110000003</v>
      </c>
      <c r="H710" s="5">
        <v>72.774205809999998</v>
      </c>
      <c r="I710" s="5">
        <v>60.560105559999997</v>
      </c>
    </row>
    <row r="711" spans="1:9" ht="14.25" customHeight="1" x14ac:dyDescent="0.3">
      <c r="A711" t="s">
        <v>2587</v>
      </c>
      <c r="B711" s="5">
        <v>84.180012750000003</v>
      </c>
      <c r="C711" s="5">
        <v>64.098391890000002</v>
      </c>
      <c r="D711" s="5">
        <v>84.698595549999993</v>
      </c>
      <c r="E711" s="5">
        <v>66.060742649999995</v>
      </c>
      <c r="F711" s="5">
        <v>94.528356369999997</v>
      </c>
      <c r="G711" s="5">
        <v>85</v>
      </c>
      <c r="H711" s="5">
        <v>72.705470730000002</v>
      </c>
      <c r="I711" s="5">
        <v>66.935650440000003</v>
      </c>
    </row>
    <row r="712" spans="1:9" ht="14.25" customHeight="1" x14ac:dyDescent="0.3">
      <c r="A712" t="s">
        <v>2588</v>
      </c>
      <c r="B712" s="5">
        <v>79.857198049999994</v>
      </c>
      <c r="C712" s="5">
        <v>71.740309170000003</v>
      </c>
      <c r="D712" s="5">
        <v>71.307143569999994</v>
      </c>
      <c r="E712" s="5">
        <v>69.371668029999995</v>
      </c>
      <c r="F712" s="5">
        <v>91.959343200000006</v>
      </c>
      <c r="G712" s="5">
        <v>71.853517289999999</v>
      </c>
      <c r="H712" s="5">
        <v>72.232532300000003</v>
      </c>
      <c r="I712" s="5">
        <v>58.181081040000002</v>
      </c>
    </row>
    <row r="713" spans="1:9" ht="14.25" customHeight="1" x14ac:dyDescent="0.3">
      <c r="A713" t="s">
        <v>1458</v>
      </c>
      <c r="B713" s="5">
        <v>94.470111779999996</v>
      </c>
      <c r="C713" s="5">
        <v>72.368322610000007</v>
      </c>
      <c r="D713" s="5">
        <v>75.155147990000003</v>
      </c>
      <c r="E713" s="5">
        <v>63.508589489999999</v>
      </c>
      <c r="F713" s="5">
        <v>95.966923609999995</v>
      </c>
      <c r="G713" s="5">
        <v>85</v>
      </c>
      <c r="H713" s="5">
        <v>69.184738359999997</v>
      </c>
      <c r="I713" s="5">
        <v>53.506871969999999</v>
      </c>
    </row>
    <row r="714" spans="1:9" ht="14.25" customHeight="1" x14ac:dyDescent="0.3">
      <c r="A714" t="s">
        <v>2589</v>
      </c>
      <c r="B714" s="5">
        <v>89.138773040000004</v>
      </c>
      <c r="C714" s="5">
        <v>71.677510229999996</v>
      </c>
      <c r="D714" s="5">
        <v>88.31995569</v>
      </c>
      <c r="E714" s="5">
        <v>65.674629719999999</v>
      </c>
      <c r="F714" s="5">
        <v>88.093165490000004</v>
      </c>
      <c r="G714" s="5">
        <v>71.62944195</v>
      </c>
      <c r="H714" s="5">
        <v>68.966099080000006</v>
      </c>
      <c r="I714" s="5">
        <v>53.05169909</v>
      </c>
    </row>
    <row r="715" spans="1:9" ht="14.25" customHeight="1" x14ac:dyDescent="0.3">
      <c r="A715" t="s">
        <v>2590</v>
      </c>
      <c r="B715" s="5">
        <v>75</v>
      </c>
      <c r="C715" s="5">
        <v>65.832896210000001</v>
      </c>
      <c r="D715" s="5">
        <v>70</v>
      </c>
      <c r="E715" s="5">
        <v>59.048145460000001</v>
      </c>
      <c r="F715" s="5">
        <v>94.897386580000003</v>
      </c>
      <c r="G715" s="5">
        <v>84.264093959999997</v>
      </c>
      <c r="H715" s="5">
        <v>70.375132100000002</v>
      </c>
      <c r="I715" s="5">
        <v>56.97275071</v>
      </c>
    </row>
    <row r="716" spans="1:9" ht="14.25" customHeight="1" x14ac:dyDescent="0.3">
      <c r="A716" t="s">
        <v>2591</v>
      </c>
      <c r="B716" s="5">
        <v>93.961148379999997</v>
      </c>
      <c r="C716" s="5">
        <v>63.055433520000001</v>
      </c>
      <c r="D716" s="5">
        <v>80.110857539999998</v>
      </c>
      <c r="E716" s="5">
        <v>66.526600999999999</v>
      </c>
      <c r="F716" s="5">
        <v>80</v>
      </c>
      <c r="G716" s="5">
        <v>79.206205870000005</v>
      </c>
      <c r="H716" s="5">
        <v>66.580947039999998</v>
      </c>
      <c r="I716" s="5">
        <v>50</v>
      </c>
    </row>
    <row r="717" spans="1:9" ht="14.25" customHeight="1" x14ac:dyDescent="0.3">
      <c r="A717" t="s">
        <v>1466</v>
      </c>
      <c r="B717" s="5">
        <v>77.727151719999995</v>
      </c>
      <c r="C717" s="5">
        <v>66.887723739999998</v>
      </c>
      <c r="D717" s="5">
        <v>70</v>
      </c>
      <c r="E717" s="5">
        <v>70.537658969999995</v>
      </c>
      <c r="F717" s="5">
        <v>85.51341506</v>
      </c>
      <c r="G717" s="5">
        <v>80.313692669999995</v>
      </c>
      <c r="H717" s="5">
        <v>72.01967338</v>
      </c>
      <c r="I717" s="5">
        <v>50.396287469999997</v>
      </c>
    </row>
    <row r="718" spans="1:9" ht="14.25" customHeight="1" x14ac:dyDescent="0.3">
      <c r="A718" t="s">
        <v>2592</v>
      </c>
      <c r="B718" s="5">
        <v>89.901892630000006</v>
      </c>
      <c r="C718" s="5">
        <v>60.153965599999999</v>
      </c>
      <c r="D718" s="5">
        <v>70</v>
      </c>
      <c r="E718" s="5">
        <v>57.687112419999998</v>
      </c>
      <c r="F718" s="5">
        <v>82.577806440000003</v>
      </c>
      <c r="G718" s="5">
        <v>84.236001400000006</v>
      </c>
      <c r="H718" s="5">
        <v>71.267634569999998</v>
      </c>
      <c r="I718" s="5">
        <v>50</v>
      </c>
    </row>
    <row r="719" spans="1:9" ht="14.25" customHeight="1" x14ac:dyDescent="0.3">
      <c r="A719" t="s">
        <v>2593</v>
      </c>
      <c r="B719" s="5">
        <v>84.882018860000002</v>
      </c>
      <c r="C719" s="5">
        <v>64.509725290000006</v>
      </c>
      <c r="D719" s="5">
        <v>73.53606533</v>
      </c>
      <c r="E719" s="5">
        <v>68.425304760000003</v>
      </c>
      <c r="F719" s="5">
        <v>95.493416980000006</v>
      </c>
      <c r="G719" s="5">
        <v>81.259162140000001</v>
      </c>
      <c r="H719" s="5">
        <v>68.451369499999998</v>
      </c>
      <c r="I719" s="5">
        <v>55.547766709999998</v>
      </c>
    </row>
    <row r="720" spans="1:9" ht="14.25" customHeight="1" x14ac:dyDescent="0.3">
      <c r="A720" t="s">
        <v>2594</v>
      </c>
      <c r="B720" s="5">
        <v>84.539353309999996</v>
      </c>
      <c r="C720" s="5">
        <v>70.744104050000004</v>
      </c>
      <c r="D720" s="5">
        <v>85.910295450000007</v>
      </c>
      <c r="E720" s="5">
        <v>67.130231690000002</v>
      </c>
      <c r="F720" s="5">
        <v>93.565000600000005</v>
      </c>
      <c r="G720" s="5">
        <v>78.522736980000005</v>
      </c>
      <c r="H720" s="5">
        <v>72.010777709999999</v>
      </c>
      <c r="I720" s="5">
        <v>50</v>
      </c>
    </row>
    <row r="721" spans="1:9" ht="14.25" customHeight="1" x14ac:dyDescent="0.3">
      <c r="A721" t="s">
        <v>2595</v>
      </c>
      <c r="B721" s="5">
        <v>83.622851420000003</v>
      </c>
      <c r="C721" s="5">
        <v>73.790133330000003</v>
      </c>
      <c r="D721" s="5">
        <v>79.280950939999997</v>
      </c>
      <c r="E721" s="5">
        <v>75</v>
      </c>
      <c r="F721" s="5">
        <v>82.801534450000005</v>
      </c>
      <c r="G721" s="5">
        <v>74.104020599999998</v>
      </c>
      <c r="H721" s="5">
        <v>74.726212090000004</v>
      </c>
      <c r="I721" s="5">
        <v>55.43724272</v>
      </c>
    </row>
    <row r="722" spans="1:9" ht="14.25" customHeight="1" x14ac:dyDescent="0.3">
      <c r="A722" t="s">
        <v>1476</v>
      </c>
      <c r="B722" s="5">
        <v>83.658014600000001</v>
      </c>
      <c r="C722" s="5">
        <v>78.671337129999998</v>
      </c>
      <c r="D722" s="5">
        <v>71.984066310000003</v>
      </c>
      <c r="E722" s="5">
        <v>56.702398510000002</v>
      </c>
      <c r="F722" s="5">
        <v>98.382593830000005</v>
      </c>
      <c r="G722" s="5">
        <v>69.711644199999995</v>
      </c>
      <c r="H722" s="5">
        <v>70.726646869999996</v>
      </c>
      <c r="I722" s="5">
        <v>63.340629560000004</v>
      </c>
    </row>
    <row r="723" spans="1:9" ht="14.25" customHeight="1" x14ac:dyDescent="0.3">
      <c r="A723" t="s">
        <v>1478</v>
      </c>
      <c r="B723" s="5">
        <v>75</v>
      </c>
      <c r="C723" s="5">
        <v>72.969206749999998</v>
      </c>
      <c r="D723" s="5">
        <v>85.455816400000003</v>
      </c>
      <c r="E723" s="5">
        <v>70.842140099999995</v>
      </c>
      <c r="F723" s="5">
        <v>92.092888509999995</v>
      </c>
      <c r="G723" s="5">
        <v>85</v>
      </c>
      <c r="H723" s="5">
        <v>76.424360280000002</v>
      </c>
      <c r="I723" s="5">
        <v>52.334772639999997</v>
      </c>
    </row>
    <row r="724" spans="1:9" ht="14.25" customHeight="1" x14ac:dyDescent="0.3">
      <c r="A724" t="s">
        <v>1480</v>
      </c>
      <c r="B724" s="5">
        <v>89.466572220000003</v>
      </c>
      <c r="C724" s="5">
        <v>71.858715059999994</v>
      </c>
      <c r="D724" s="5">
        <v>90</v>
      </c>
      <c r="E724" s="5">
        <v>75</v>
      </c>
      <c r="F724" s="5">
        <v>96.788954770000004</v>
      </c>
      <c r="G724" s="5">
        <v>80.958577559999995</v>
      </c>
      <c r="H724" s="5">
        <v>70.542742840000003</v>
      </c>
      <c r="I724" s="5">
        <v>55.28916684</v>
      </c>
    </row>
    <row r="725" spans="1:9" ht="14.25" customHeight="1" x14ac:dyDescent="0.3">
      <c r="A725" t="s">
        <v>2596</v>
      </c>
      <c r="B725" s="5">
        <v>85.777527770000006</v>
      </c>
      <c r="C725" s="5">
        <v>60</v>
      </c>
      <c r="D725" s="5">
        <v>73.242793730000002</v>
      </c>
      <c r="E725" s="5">
        <v>60.923067039999999</v>
      </c>
      <c r="F725" s="5">
        <v>90.624888549999994</v>
      </c>
      <c r="G725" s="5">
        <v>85</v>
      </c>
      <c r="H725" s="5">
        <v>69.767610959999999</v>
      </c>
      <c r="I725" s="5">
        <v>70</v>
      </c>
    </row>
    <row r="726" spans="1:9" ht="14.25" customHeight="1" x14ac:dyDescent="0.3">
      <c r="A726" t="s">
        <v>2597</v>
      </c>
      <c r="B726" s="5">
        <v>79.737414119999997</v>
      </c>
      <c r="C726" s="5">
        <v>75.780519440000006</v>
      </c>
      <c r="D726" s="5">
        <v>73.778122870000004</v>
      </c>
      <c r="E726" s="5">
        <v>65.553788569999995</v>
      </c>
      <c r="F726" s="5">
        <v>96.156781390000006</v>
      </c>
      <c r="G726" s="5">
        <v>84.488826309999993</v>
      </c>
      <c r="H726" s="5">
        <v>75.015896740000002</v>
      </c>
      <c r="I726" s="5">
        <v>67.180769789999999</v>
      </c>
    </row>
    <row r="727" spans="1:9" ht="14.25" customHeight="1" x14ac:dyDescent="0.3">
      <c r="A727" t="s">
        <v>2598</v>
      </c>
      <c r="B727" s="5">
        <v>81.750834859999998</v>
      </c>
      <c r="C727" s="5">
        <v>67.513367479999999</v>
      </c>
      <c r="D727" s="5">
        <v>70</v>
      </c>
      <c r="E727" s="5">
        <v>62.922261020000001</v>
      </c>
      <c r="F727" s="5">
        <v>99.9</v>
      </c>
      <c r="G727" s="5">
        <v>76.066254790000002</v>
      </c>
      <c r="H727" s="5">
        <v>75.144578100000004</v>
      </c>
      <c r="I727" s="5">
        <v>57.211768120000002</v>
      </c>
    </row>
    <row r="728" spans="1:9" ht="14.25" customHeight="1" x14ac:dyDescent="0.3">
      <c r="A728" t="s">
        <v>2599</v>
      </c>
      <c r="B728" s="5">
        <v>86.153654149999994</v>
      </c>
      <c r="C728" s="5">
        <v>70.076407660000001</v>
      </c>
      <c r="D728" s="5">
        <v>70</v>
      </c>
      <c r="E728" s="5">
        <v>66.40452793</v>
      </c>
      <c r="F728" s="5">
        <v>80</v>
      </c>
      <c r="G728" s="5">
        <v>71.924569829999996</v>
      </c>
      <c r="H728" s="5">
        <v>71.246414720000004</v>
      </c>
      <c r="I728" s="5">
        <v>50</v>
      </c>
    </row>
    <row r="729" spans="1:9" ht="14.25" customHeight="1" x14ac:dyDescent="0.3">
      <c r="A729" t="s">
        <v>2600</v>
      </c>
      <c r="B729" s="5">
        <v>88.125957139999997</v>
      </c>
      <c r="C729" s="5">
        <v>64.346106149999997</v>
      </c>
      <c r="D729" s="5">
        <v>81.561542059999994</v>
      </c>
      <c r="E729" s="5">
        <v>73.290568230000005</v>
      </c>
      <c r="F729" s="5">
        <v>94.700636029999998</v>
      </c>
      <c r="G729" s="5">
        <v>71.063015489999998</v>
      </c>
      <c r="H729" s="5">
        <v>71.441810660000002</v>
      </c>
      <c r="I729" s="5">
        <v>64.905158189999995</v>
      </c>
    </row>
    <row r="730" spans="1:9" ht="14.25" customHeight="1" x14ac:dyDescent="0.3">
      <c r="A730" t="s">
        <v>2601</v>
      </c>
      <c r="B730" s="5">
        <v>89.749627140000001</v>
      </c>
      <c r="C730" s="5">
        <v>78.872470030000002</v>
      </c>
      <c r="D730" s="5">
        <v>70</v>
      </c>
      <c r="E730" s="5">
        <v>70.111198639999998</v>
      </c>
      <c r="F730" s="5">
        <v>94.085428010000001</v>
      </c>
      <c r="G730" s="5">
        <v>77.578983480000005</v>
      </c>
      <c r="H730" s="5">
        <v>73.689781460000006</v>
      </c>
      <c r="I730" s="5">
        <v>57.902016789999998</v>
      </c>
    </row>
    <row r="731" spans="1:9" ht="14.25" customHeight="1" x14ac:dyDescent="0.3">
      <c r="A731" t="s">
        <v>2602</v>
      </c>
      <c r="B731" s="5">
        <v>96.839974330000004</v>
      </c>
      <c r="C731" s="5">
        <v>65.457735319999998</v>
      </c>
      <c r="D731" s="5">
        <v>76.645139459999996</v>
      </c>
      <c r="E731" s="5">
        <v>66.382630410000004</v>
      </c>
      <c r="F731" s="5">
        <v>97.610597389999995</v>
      </c>
      <c r="G731" s="5">
        <v>85</v>
      </c>
      <c r="H731" s="5">
        <v>77.349786379999998</v>
      </c>
      <c r="I731" s="5">
        <v>53.350713399999997</v>
      </c>
    </row>
    <row r="732" spans="1:9" ht="14.25" customHeight="1" x14ac:dyDescent="0.3">
      <c r="A732" t="s">
        <v>2603</v>
      </c>
      <c r="B732" s="5">
        <v>88.267054610000002</v>
      </c>
      <c r="C732" s="5">
        <v>68.476573889999997</v>
      </c>
      <c r="D732" s="5">
        <v>70</v>
      </c>
      <c r="E732" s="5">
        <v>62.467403269999998</v>
      </c>
      <c r="F732" s="5">
        <v>80</v>
      </c>
      <c r="G732" s="5">
        <v>78.716704109999995</v>
      </c>
      <c r="H732" s="5">
        <v>71.746552280000003</v>
      </c>
      <c r="I732" s="5">
        <v>65.041931050000002</v>
      </c>
    </row>
    <row r="733" spans="1:9" ht="14.25" customHeight="1" x14ac:dyDescent="0.3">
      <c r="A733" t="s">
        <v>2604</v>
      </c>
      <c r="B733" s="5">
        <v>90.823463390000001</v>
      </c>
      <c r="C733" s="5">
        <v>66.486732309999994</v>
      </c>
      <c r="D733" s="5">
        <v>70</v>
      </c>
      <c r="E733" s="5">
        <v>55</v>
      </c>
      <c r="F733" s="5">
        <v>91.530085679999999</v>
      </c>
      <c r="G733" s="5">
        <v>77.714697090000001</v>
      </c>
      <c r="H733" s="5">
        <v>70.222314740000002</v>
      </c>
      <c r="I733" s="5">
        <v>59.516107150000003</v>
      </c>
    </row>
    <row r="734" spans="1:9" ht="14.25" customHeight="1" x14ac:dyDescent="0.3">
      <c r="A734" t="s">
        <v>2605</v>
      </c>
      <c r="B734" s="5">
        <v>88.830054529999998</v>
      </c>
      <c r="C734" s="5">
        <v>71.243949529999995</v>
      </c>
      <c r="D734" s="5">
        <v>75.387280000000004</v>
      </c>
      <c r="E734" s="5">
        <v>65.670511619999999</v>
      </c>
      <c r="F734" s="5">
        <v>93.360699990000001</v>
      </c>
      <c r="G734" s="5">
        <v>84.590024220000004</v>
      </c>
      <c r="H734" s="5">
        <v>69.739692169999998</v>
      </c>
      <c r="I734" s="5">
        <v>63.911849940000003</v>
      </c>
    </row>
    <row r="735" spans="1:9" ht="14.25" customHeight="1" x14ac:dyDescent="0.3">
      <c r="A735" t="s">
        <v>2606</v>
      </c>
      <c r="B735" s="5">
        <v>96.343989480000005</v>
      </c>
      <c r="C735" s="5">
        <v>65.160832069999998</v>
      </c>
      <c r="D735" s="5">
        <v>87.66940185</v>
      </c>
      <c r="E735" s="5">
        <v>66.755432490000004</v>
      </c>
      <c r="F735" s="5">
        <v>89.716603829999997</v>
      </c>
      <c r="G735" s="5">
        <v>82.049865359999998</v>
      </c>
      <c r="H735" s="5">
        <v>68.770609550000003</v>
      </c>
      <c r="I735" s="5">
        <v>57.416070449999999</v>
      </c>
    </row>
    <row r="736" spans="1:9" ht="14.25" customHeight="1" x14ac:dyDescent="0.3">
      <c r="A736" t="s">
        <v>2607</v>
      </c>
      <c r="B736" s="5">
        <v>84.56782982</v>
      </c>
      <c r="C736" s="5">
        <v>68.548651059999997</v>
      </c>
      <c r="D736" s="5">
        <v>86.055876350000005</v>
      </c>
      <c r="E736" s="5">
        <v>66.71368674</v>
      </c>
      <c r="F736" s="5">
        <v>93.714439540000001</v>
      </c>
      <c r="G736" s="5">
        <v>78.560624700000005</v>
      </c>
      <c r="H736" s="5">
        <v>66.601263099999997</v>
      </c>
      <c r="I736" s="5">
        <v>54.929389860000001</v>
      </c>
    </row>
    <row r="737" spans="1:9" ht="14.25" customHeight="1" x14ac:dyDescent="0.3">
      <c r="A737" t="s">
        <v>2608</v>
      </c>
      <c r="B737" s="5">
        <v>83.534029410000002</v>
      </c>
      <c r="C737" s="5">
        <v>66.75813771</v>
      </c>
      <c r="D737" s="5">
        <v>70</v>
      </c>
      <c r="E737" s="5">
        <v>74.094942990000007</v>
      </c>
      <c r="F737" s="5">
        <v>92.792441030000006</v>
      </c>
      <c r="G737" s="5">
        <v>85</v>
      </c>
      <c r="H737" s="5">
        <v>72.436442130000003</v>
      </c>
      <c r="I737" s="5">
        <v>52.609640579999997</v>
      </c>
    </row>
    <row r="738" spans="1:9" ht="14.25" customHeight="1" x14ac:dyDescent="0.3">
      <c r="A738" t="s">
        <v>1510</v>
      </c>
      <c r="B738" s="5">
        <v>92.798418589999997</v>
      </c>
      <c r="C738" s="5">
        <v>72.304133129999997</v>
      </c>
      <c r="D738" s="5">
        <v>76.614538999999994</v>
      </c>
      <c r="E738" s="5">
        <v>67.177624109999996</v>
      </c>
      <c r="F738" s="5">
        <v>84.875173480000001</v>
      </c>
      <c r="G738" s="5">
        <v>79.670659180000001</v>
      </c>
      <c r="H738" s="5">
        <v>69.002499130000004</v>
      </c>
      <c r="I738" s="5">
        <v>52.204250870000003</v>
      </c>
    </row>
    <row r="739" spans="1:9" ht="14.25" customHeight="1" x14ac:dyDescent="0.3">
      <c r="A739" t="s">
        <v>2609</v>
      </c>
      <c r="B739" s="5">
        <v>84.853459009999995</v>
      </c>
      <c r="C739" s="5">
        <v>65.776168080000005</v>
      </c>
      <c r="D739" s="5">
        <v>77.674458880000003</v>
      </c>
      <c r="E739" s="5">
        <v>65.308859749999996</v>
      </c>
      <c r="F739" s="5">
        <v>99.9</v>
      </c>
      <c r="G739" s="5">
        <v>81.486421250000006</v>
      </c>
      <c r="H739" s="5">
        <v>69.830001429999996</v>
      </c>
      <c r="I739" s="5">
        <v>65.525858299999996</v>
      </c>
    </row>
    <row r="740" spans="1:9" ht="14.25" customHeight="1" x14ac:dyDescent="0.3">
      <c r="A740" t="s">
        <v>2610</v>
      </c>
      <c r="B740" s="5">
        <v>79.593290449999998</v>
      </c>
      <c r="C740" s="5">
        <v>69.947194800000005</v>
      </c>
      <c r="D740" s="5">
        <v>83.343395979999997</v>
      </c>
      <c r="E740" s="5">
        <v>73.399980909999996</v>
      </c>
      <c r="F740" s="5">
        <v>99.9</v>
      </c>
      <c r="G740" s="5">
        <v>71.880644910000001</v>
      </c>
      <c r="H740" s="5">
        <v>68.328769930000007</v>
      </c>
      <c r="I740" s="5">
        <v>61.210159419999997</v>
      </c>
    </row>
    <row r="741" spans="1:9" ht="14.25" customHeight="1" x14ac:dyDescent="0.3">
      <c r="A741" t="s">
        <v>2611</v>
      </c>
      <c r="B741" s="5">
        <v>96.541965289999993</v>
      </c>
      <c r="C741" s="5">
        <v>64.86147253</v>
      </c>
      <c r="D741" s="5">
        <v>81.603792909999996</v>
      </c>
      <c r="E741" s="5">
        <v>67.472441489999994</v>
      </c>
      <c r="F741" s="5">
        <v>80</v>
      </c>
      <c r="G741" s="5">
        <v>78.367115380000001</v>
      </c>
      <c r="H741" s="5">
        <v>74.957413720000005</v>
      </c>
      <c r="I741" s="5">
        <v>53.284962419999999</v>
      </c>
    </row>
    <row r="742" spans="1:9" ht="14.25" customHeight="1" x14ac:dyDescent="0.3">
      <c r="A742" t="s">
        <v>1518</v>
      </c>
      <c r="B742" s="5">
        <v>80.867601820000004</v>
      </c>
      <c r="C742" s="5">
        <v>68.456628539999997</v>
      </c>
      <c r="D742" s="5">
        <v>70.174983440000005</v>
      </c>
      <c r="E742" s="5">
        <v>67.946434249999996</v>
      </c>
      <c r="F742" s="5">
        <v>87.835475400000007</v>
      </c>
      <c r="G742" s="5">
        <v>72.320572639999995</v>
      </c>
      <c r="H742" s="5">
        <v>68.501405500000004</v>
      </c>
      <c r="I742" s="5">
        <v>53.533968010000002</v>
      </c>
    </row>
    <row r="743" spans="1:9" ht="14.25" customHeight="1" x14ac:dyDescent="0.3">
      <c r="A743" t="s">
        <v>2612</v>
      </c>
      <c r="B743" s="5">
        <v>95.900101860000007</v>
      </c>
      <c r="C743" s="5">
        <v>77.962224239999998</v>
      </c>
      <c r="D743" s="5">
        <v>74.671005269999995</v>
      </c>
      <c r="E743" s="5">
        <v>69.021578969999993</v>
      </c>
      <c r="F743" s="5">
        <v>80.678468229999993</v>
      </c>
      <c r="G743" s="5">
        <v>83.83476795</v>
      </c>
      <c r="H743" s="5">
        <v>66.492757139999995</v>
      </c>
      <c r="I743" s="5">
        <v>67.503757980000003</v>
      </c>
    </row>
    <row r="744" spans="1:9" ht="14.25" customHeight="1" x14ac:dyDescent="0.3">
      <c r="A744" t="s">
        <v>2613</v>
      </c>
      <c r="B744" s="5">
        <v>87.029775670000006</v>
      </c>
      <c r="C744" s="5">
        <v>70.095678860000007</v>
      </c>
      <c r="D744" s="5">
        <v>78.765565640000005</v>
      </c>
      <c r="E744" s="5">
        <v>60.812269120000003</v>
      </c>
      <c r="F744" s="5">
        <v>80</v>
      </c>
      <c r="G744" s="5">
        <v>85</v>
      </c>
      <c r="H744" s="5">
        <v>73.053436970000007</v>
      </c>
      <c r="I744" s="5">
        <v>70</v>
      </c>
    </row>
    <row r="745" spans="1:9" ht="14.25" customHeight="1" x14ac:dyDescent="0.3">
      <c r="A745" t="s">
        <v>2614</v>
      </c>
      <c r="B745" s="5">
        <v>92.361713420000001</v>
      </c>
      <c r="C745" s="5">
        <v>78.16922984</v>
      </c>
      <c r="D745" s="5">
        <v>79.67466057</v>
      </c>
      <c r="E745" s="5">
        <v>65.848241889999997</v>
      </c>
      <c r="F745" s="5">
        <v>83.555690819999995</v>
      </c>
      <c r="G745" s="5">
        <v>73.961830750000004</v>
      </c>
      <c r="H745" s="5">
        <v>65</v>
      </c>
      <c r="I745" s="5">
        <v>70</v>
      </c>
    </row>
    <row r="746" spans="1:9" ht="14.25" customHeight="1" x14ac:dyDescent="0.3">
      <c r="A746" t="s">
        <v>1526</v>
      </c>
      <c r="B746" s="5">
        <v>95.884332799999996</v>
      </c>
      <c r="C746" s="5">
        <v>60</v>
      </c>
      <c r="D746" s="5">
        <v>86.641998819999998</v>
      </c>
      <c r="E746" s="5">
        <v>66.404607470000002</v>
      </c>
      <c r="F746" s="5">
        <v>88.217969729999993</v>
      </c>
      <c r="G746" s="5">
        <v>74.187673340000003</v>
      </c>
      <c r="H746" s="5">
        <v>66.622132350000001</v>
      </c>
      <c r="I746" s="5">
        <v>60.657131749999998</v>
      </c>
    </row>
    <row r="747" spans="1:9" ht="14.25" customHeight="1" x14ac:dyDescent="0.3">
      <c r="A747" t="s">
        <v>2615</v>
      </c>
      <c r="B747" s="5">
        <v>88.712161030000004</v>
      </c>
      <c r="C747" s="5">
        <v>60</v>
      </c>
      <c r="D747" s="5">
        <v>77.090925920000004</v>
      </c>
      <c r="E747" s="5">
        <v>71.485135319999998</v>
      </c>
      <c r="F747" s="5">
        <v>97.382282079999996</v>
      </c>
      <c r="G747" s="5">
        <v>78.14563407</v>
      </c>
      <c r="H747" s="5">
        <v>65</v>
      </c>
      <c r="I747" s="5">
        <v>63.040669080000001</v>
      </c>
    </row>
    <row r="748" spans="1:9" ht="14.25" customHeight="1" x14ac:dyDescent="0.3">
      <c r="A748" t="s">
        <v>2616</v>
      </c>
      <c r="B748" s="5">
        <v>97.581153560000004</v>
      </c>
      <c r="C748" s="5">
        <v>66.508161630000004</v>
      </c>
      <c r="D748" s="5">
        <v>73.311640639999993</v>
      </c>
      <c r="E748" s="5">
        <v>75</v>
      </c>
      <c r="F748" s="5">
        <v>96.989217049999993</v>
      </c>
      <c r="G748" s="5">
        <v>81.758809150000005</v>
      </c>
      <c r="H748" s="5">
        <v>65</v>
      </c>
      <c r="I748" s="5">
        <v>58.128233829999999</v>
      </c>
    </row>
    <row r="749" spans="1:9" ht="14.25" customHeight="1" x14ac:dyDescent="0.3">
      <c r="A749" t="s">
        <v>2617</v>
      </c>
      <c r="B749" s="5">
        <v>87.834311700000001</v>
      </c>
      <c r="C749" s="5">
        <v>60.060103320000003</v>
      </c>
      <c r="D749" s="5">
        <v>74.644189519999998</v>
      </c>
      <c r="E749" s="5">
        <v>70.419044889999995</v>
      </c>
      <c r="F749" s="5">
        <v>83.549707690000005</v>
      </c>
      <c r="G749" s="5">
        <v>76.455276889999993</v>
      </c>
      <c r="H749" s="5">
        <v>74.115929010000002</v>
      </c>
      <c r="I749" s="5">
        <v>55.464882170000003</v>
      </c>
    </row>
    <row r="750" spans="1:9" ht="14.25" customHeight="1" x14ac:dyDescent="0.3">
      <c r="A750" t="s">
        <v>2618</v>
      </c>
      <c r="B750" s="5">
        <v>91.034851290000006</v>
      </c>
      <c r="C750" s="5">
        <v>71.344594079999993</v>
      </c>
      <c r="D750" s="5">
        <v>74.55856747</v>
      </c>
      <c r="E750" s="5">
        <v>64.366813089999994</v>
      </c>
      <c r="F750" s="5">
        <v>85.854876300000001</v>
      </c>
      <c r="G750" s="5">
        <v>85</v>
      </c>
      <c r="H750" s="5">
        <v>70.973784409999993</v>
      </c>
      <c r="I750" s="5">
        <v>70</v>
      </c>
    </row>
    <row r="751" spans="1:9" ht="14.25" customHeight="1" x14ac:dyDescent="0.3">
      <c r="A751" t="s">
        <v>2619</v>
      </c>
      <c r="B751" s="5">
        <v>87.257511739999998</v>
      </c>
      <c r="C751" s="5">
        <v>74.879782129999995</v>
      </c>
      <c r="D751" s="5">
        <v>70</v>
      </c>
      <c r="E751" s="5">
        <v>67.054618669999996</v>
      </c>
      <c r="F751" s="5">
        <v>87.987788420000001</v>
      </c>
      <c r="G751" s="5">
        <v>76.877322530000001</v>
      </c>
      <c r="H751" s="5">
        <v>67.229006990000002</v>
      </c>
      <c r="I751" s="5">
        <v>60.690227870000001</v>
      </c>
    </row>
    <row r="752" spans="1:9" ht="14.25" customHeight="1" x14ac:dyDescent="0.3">
      <c r="A752" t="s">
        <v>1538</v>
      </c>
      <c r="B752" s="5">
        <v>87.842573360000003</v>
      </c>
      <c r="C752" s="5">
        <v>64.173575139999997</v>
      </c>
      <c r="D752" s="5">
        <v>74.089373420000001</v>
      </c>
      <c r="E752" s="5">
        <v>70.886631109999996</v>
      </c>
      <c r="F752" s="5">
        <v>88.153112969999995</v>
      </c>
      <c r="G752" s="5">
        <v>81.435486539999999</v>
      </c>
      <c r="H752" s="5">
        <v>70.116969049999994</v>
      </c>
      <c r="I752" s="5">
        <v>68.851899149999994</v>
      </c>
    </row>
    <row r="753" spans="1:9" ht="14.25" customHeight="1" x14ac:dyDescent="0.3">
      <c r="A753" t="s">
        <v>2620</v>
      </c>
      <c r="B753" s="5">
        <v>98.988128639999999</v>
      </c>
      <c r="C753" s="5">
        <v>68.157734930000004</v>
      </c>
      <c r="D753" s="5">
        <v>70</v>
      </c>
      <c r="E753" s="5">
        <v>70.018329629999997</v>
      </c>
      <c r="F753" s="5">
        <v>95.635598439999995</v>
      </c>
      <c r="G753" s="5">
        <v>85</v>
      </c>
      <c r="H753" s="5">
        <v>67.511837240000006</v>
      </c>
      <c r="I753" s="5">
        <v>59.270702960000001</v>
      </c>
    </row>
    <row r="754" spans="1:9" ht="14.25" customHeight="1" x14ac:dyDescent="0.3">
      <c r="A754" t="s">
        <v>1542</v>
      </c>
      <c r="B754" s="5">
        <v>81.182182429999997</v>
      </c>
      <c r="C754" s="5">
        <v>65.723417319999996</v>
      </c>
      <c r="D754" s="5">
        <v>71.875426439999998</v>
      </c>
      <c r="E754" s="5">
        <v>69.008592739999997</v>
      </c>
      <c r="F754" s="5">
        <v>99.9</v>
      </c>
      <c r="G754" s="5">
        <v>72.973157920000006</v>
      </c>
      <c r="H754" s="5">
        <v>73.96978301</v>
      </c>
      <c r="I754" s="5">
        <v>60.118451729999997</v>
      </c>
    </row>
    <row r="755" spans="1:9" ht="14.25" customHeight="1" x14ac:dyDescent="0.3">
      <c r="A755" t="s">
        <v>2621</v>
      </c>
      <c r="B755" s="5">
        <v>82.172470349999998</v>
      </c>
      <c r="C755" s="5">
        <v>69.463334489999994</v>
      </c>
      <c r="D755" s="5">
        <v>86.046178119999993</v>
      </c>
      <c r="E755" s="5">
        <v>65.167256710000004</v>
      </c>
      <c r="F755" s="5">
        <v>81.481649270000005</v>
      </c>
      <c r="G755" s="5">
        <v>85</v>
      </c>
      <c r="H755" s="5">
        <v>69.698983650000002</v>
      </c>
      <c r="I755" s="5">
        <v>50.77904212</v>
      </c>
    </row>
    <row r="756" spans="1:9" ht="14.25" customHeight="1" x14ac:dyDescent="0.3">
      <c r="A756" t="s">
        <v>2622</v>
      </c>
      <c r="B756" s="5">
        <v>83.035561970000003</v>
      </c>
      <c r="C756" s="5">
        <v>76.361943539999999</v>
      </c>
      <c r="D756" s="5">
        <v>86.182144399999999</v>
      </c>
      <c r="E756" s="5">
        <v>63.866585870000002</v>
      </c>
      <c r="F756" s="5">
        <v>83.884526600000001</v>
      </c>
      <c r="G756" s="5">
        <v>80.399334800000005</v>
      </c>
      <c r="H756" s="5">
        <v>71.445376710000005</v>
      </c>
      <c r="I756" s="5">
        <v>69.403461980000003</v>
      </c>
    </row>
    <row r="757" spans="1:9" ht="14.25" customHeight="1" x14ac:dyDescent="0.3">
      <c r="A757" t="s">
        <v>2623</v>
      </c>
      <c r="B757" s="5">
        <v>82.123846319999998</v>
      </c>
      <c r="C757" s="5">
        <v>67.336317570000006</v>
      </c>
      <c r="D757" s="5">
        <v>82.677497630000005</v>
      </c>
      <c r="E757" s="5">
        <v>65.469899659999996</v>
      </c>
      <c r="F757" s="5">
        <v>81.368990940000003</v>
      </c>
      <c r="G757" s="5">
        <v>84.201671820000001</v>
      </c>
      <c r="H757" s="5">
        <v>65</v>
      </c>
      <c r="I757" s="5">
        <v>62.319280409999998</v>
      </c>
    </row>
    <row r="758" spans="1:9" ht="14.25" customHeight="1" x14ac:dyDescent="0.3">
      <c r="A758" t="s">
        <v>2624</v>
      </c>
      <c r="B758" s="5">
        <v>91.942554450000003</v>
      </c>
      <c r="C758" s="5">
        <v>74.771168869999997</v>
      </c>
      <c r="D758" s="5">
        <v>70</v>
      </c>
      <c r="E758" s="5">
        <v>65.058255639999999</v>
      </c>
      <c r="F758" s="5">
        <v>83.037547529999998</v>
      </c>
      <c r="G758" s="5">
        <v>85</v>
      </c>
      <c r="H758" s="5">
        <v>67.657035800000003</v>
      </c>
      <c r="I758" s="5">
        <v>54.344246130000002</v>
      </c>
    </row>
    <row r="759" spans="1:9" ht="14.25" customHeight="1" x14ac:dyDescent="0.3">
      <c r="A759" t="s">
        <v>2625</v>
      </c>
      <c r="B759" s="5">
        <v>81.978330339999999</v>
      </c>
      <c r="C759" s="5">
        <v>60</v>
      </c>
      <c r="D759" s="5">
        <v>70</v>
      </c>
      <c r="E759" s="5">
        <v>62.260468940000003</v>
      </c>
      <c r="F759" s="5">
        <v>98.028699419999995</v>
      </c>
      <c r="G759" s="5">
        <v>74.681776260000007</v>
      </c>
      <c r="H759" s="5">
        <v>70.951836729999997</v>
      </c>
      <c r="I759" s="5">
        <v>56.249801910000002</v>
      </c>
    </row>
    <row r="760" spans="1:9" ht="14.25" customHeight="1" x14ac:dyDescent="0.3">
      <c r="A760" t="s">
        <v>2626</v>
      </c>
      <c r="B760" s="5">
        <v>92.119355119999994</v>
      </c>
      <c r="C760" s="5">
        <v>64.625339269999998</v>
      </c>
      <c r="D760" s="5">
        <v>74.206572379999997</v>
      </c>
      <c r="E760" s="5">
        <v>64.86744874</v>
      </c>
      <c r="F760" s="5">
        <v>93.588286719999999</v>
      </c>
      <c r="G760" s="5">
        <v>76.916501370000006</v>
      </c>
      <c r="H760" s="5">
        <v>72.906282289999993</v>
      </c>
      <c r="I760" s="5">
        <v>61.978328269999999</v>
      </c>
    </row>
    <row r="761" spans="1:9" ht="14.25" customHeight="1" x14ac:dyDescent="0.3">
      <c r="A761" t="s">
        <v>2627</v>
      </c>
      <c r="B761" s="5">
        <v>80.245115310000003</v>
      </c>
      <c r="C761" s="5">
        <v>73.860580119999995</v>
      </c>
      <c r="D761" s="5">
        <v>76.415124469999995</v>
      </c>
      <c r="E761" s="5">
        <v>68.03086433</v>
      </c>
      <c r="F761" s="5">
        <v>87.466463529999999</v>
      </c>
      <c r="G761" s="5">
        <v>67.881188570000006</v>
      </c>
      <c r="H761" s="5">
        <v>76.189265719999995</v>
      </c>
      <c r="I761" s="5">
        <v>59.649788739999998</v>
      </c>
    </row>
    <row r="762" spans="1:9" ht="14.25" customHeight="1" x14ac:dyDescent="0.3">
      <c r="A762" t="s">
        <v>2628</v>
      </c>
      <c r="B762" s="5">
        <v>89.652188940000002</v>
      </c>
      <c r="C762" s="5">
        <v>70.495307060000002</v>
      </c>
      <c r="D762" s="5">
        <v>70</v>
      </c>
      <c r="E762" s="5">
        <v>65.625603679999998</v>
      </c>
      <c r="F762" s="5">
        <v>95.263052959999996</v>
      </c>
      <c r="G762" s="5">
        <v>81.425610730000002</v>
      </c>
      <c r="H762" s="5">
        <v>76.649175200000002</v>
      </c>
      <c r="I762" s="5">
        <v>59.121789219999997</v>
      </c>
    </row>
    <row r="763" spans="1:9" ht="14.25" customHeight="1" x14ac:dyDescent="0.3">
      <c r="A763" t="s">
        <v>2629</v>
      </c>
      <c r="B763" s="5">
        <v>96.634476149999998</v>
      </c>
      <c r="C763" s="5">
        <v>75.630567350000007</v>
      </c>
      <c r="D763" s="5">
        <v>71.709718089999996</v>
      </c>
      <c r="E763" s="5">
        <v>63.742898719999999</v>
      </c>
      <c r="F763" s="5">
        <v>97.691350139999997</v>
      </c>
      <c r="G763" s="5">
        <v>79.980122679999994</v>
      </c>
      <c r="H763" s="5">
        <v>76.840381429999994</v>
      </c>
      <c r="I763" s="5">
        <v>53.685716909999996</v>
      </c>
    </row>
    <row r="764" spans="1:9" ht="14.25" customHeight="1" x14ac:dyDescent="0.3">
      <c r="A764" t="s">
        <v>2630</v>
      </c>
      <c r="B764" s="5">
        <v>92.331969670000007</v>
      </c>
      <c r="C764" s="5">
        <v>62.535818890000002</v>
      </c>
      <c r="D764" s="5">
        <v>80.707161729999996</v>
      </c>
      <c r="E764" s="5">
        <v>63.524407750000002</v>
      </c>
      <c r="F764" s="5">
        <v>93.299971009999993</v>
      </c>
      <c r="G764" s="5">
        <v>77.389255559999995</v>
      </c>
      <c r="H764" s="5">
        <v>76.007186039999993</v>
      </c>
      <c r="I764" s="5">
        <v>50</v>
      </c>
    </row>
    <row r="765" spans="1:9" ht="14.25" customHeight="1" x14ac:dyDescent="0.3">
      <c r="A765" t="s">
        <v>2631</v>
      </c>
      <c r="B765" s="5">
        <v>82.464458919999998</v>
      </c>
      <c r="C765" s="5">
        <v>70.277932460000002</v>
      </c>
      <c r="D765" s="5">
        <v>78.521140470000006</v>
      </c>
      <c r="E765" s="5">
        <v>66.510038960000003</v>
      </c>
      <c r="F765" s="5">
        <v>85.448670930000006</v>
      </c>
      <c r="G765" s="5">
        <v>82.574214420000004</v>
      </c>
      <c r="H765" s="5">
        <v>69.911759070000002</v>
      </c>
      <c r="I765" s="5">
        <v>54.940766709999998</v>
      </c>
    </row>
    <row r="766" spans="1:9" ht="14.25" customHeight="1" x14ac:dyDescent="0.3">
      <c r="A766" t="s">
        <v>2632</v>
      </c>
      <c r="B766" s="5">
        <v>90.946496580000002</v>
      </c>
      <c r="C766" s="5">
        <v>70.100431639999996</v>
      </c>
      <c r="D766" s="5">
        <v>77.271573660000001</v>
      </c>
      <c r="E766" s="5">
        <v>63.395791750000001</v>
      </c>
      <c r="F766" s="5">
        <v>86.777262559999997</v>
      </c>
      <c r="G766" s="5">
        <v>79.478885550000001</v>
      </c>
      <c r="H766" s="5">
        <v>65.163755789999996</v>
      </c>
      <c r="I766" s="5">
        <v>64.692425270000001</v>
      </c>
    </row>
    <row r="767" spans="1:9" ht="14.25" customHeight="1" x14ac:dyDescent="0.3">
      <c r="A767" t="s">
        <v>2633</v>
      </c>
      <c r="B767" s="5">
        <v>87.411097749999996</v>
      </c>
      <c r="C767" s="5">
        <v>74.567272650000007</v>
      </c>
      <c r="D767" s="5">
        <v>78.732424940000001</v>
      </c>
      <c r="E767" s="5">
        <v>62.637529469999997</v>
      </c>
      <c r="F767" s="5">
        <v>83.613085280000007</v>
      </c>
      <c r="G767" s="5">
        <v>76.535685509999993</v>
      </c>
      <c r="H767" s="5">
        <v>74.414638069999995</v>
      </c>
      <c r="I767" s="5">
        <v>70</v>
      </c>
    </row>
    <row r="768" spans="1:9" ht="14.25" customHeight="1" x14ac:dyDescent="0.3">
      <c r="A768" t="s">
        <v>2634</v>
      </c>
      <c r="B768" s="5">
        <v>77.547009450000004</v>
      </c>
      <c r="C768" s="5">
        <v>67.007857430000001</v>
      </c>
      <c r="D768" s="5">
        <v>70.582466740000001</v>
      </c>
      <c r="E768" s="5">
        <v>72.128031429999993</v>
      </c>
      <c r="F768" s="5">
        <v>86.93218727</v>
      </c>
      <c r="G768" s="5">
        <v>77.734209849999999</v>
      </c>
      <c r="H768" s="5">
        <v>76.164997720000002</v>
      </c>
      <c r="I768" s="5">
        <v>61.066797280000003</v>
      </c>
    </row>
    <row r="769" spans="1:9" ht="14.25" customHeight="1" x14ac:dyDescent="0.3">
      <c r="A769" t="s">
        <v>2635</v>
      </c>
      <c r="B769" s="5">
        <v>86.052670629999994</v>
      </c>
      <c r="C769" s="5">
        <v>79.636406350000001</v>
      </c>
      <c r="D769" s="5">
        <v>77.430622740000004</v>
      </c>
      <c r="E769" s="5">
        <v>66.213852529999997</v>
      </c>
      <c r="F769" s="5">
        <v>88.120351150000005</v>
      </c>
      <c r="G769" s="5">
        <v>75.823429090000005</v>
      </c>
      <c r="H769" s="5">
        <v>68.256807379999998</v>
      </c>
      <c r="I769" s="5">
        <v>59.905036639999999</v>
      </c>
    </row>
    <row r="770" spans="1:9" ht="14.25" customHeight="1" x14ac:dyDescent="0.3">
      <c r="A770" t="s">
        <v>2636</v>
      </c>
      <c r="B770" s="5">
        <v>86.798487289999997</v>
      </c>
      <c r="C770" s="5">
        <v>62.680664620000002</v>
      </c>
      <c r="D770" s="5">
        <v>89.302236960000002</v>
      </c>
      <c r="E770" s="5">
        <v>60.851766099999999</v>
      </c>
      <c r="F770" s="5">
        <v>86.725918140000005</v>
      </c>
      <c r="G770" s="5">
        <v>85</v>
      </c>
      <c r="H770" s="5">
        <v>73.338542419999996</v>
      </c>
      <c r="I770" s="5">
        <v>59.719365660000001</v>
      </c>
    </row>
    <row r="771" spans="1:9" ht="14.25" customHeight="1" x14ac:dyDescent="0.3">
      <c r="A771" t="s">
        <v>2637</v>
      </c>
      <c r="B771" s="5">
        <v>88.606526709999997</v>
      </c>
      <c r="C771" s="5">
        <v>67.264547129999997</v>
      </c>
      <c r="D771" s="5">
        <v>82.486189640000006</v>
      </c>
      <c r="E771" s="5">
        <v>60.231576259999997</v>
      </c>
      <c r="F771" s="5">
        <v>80</v>
      </c>
      <c r="G771" s="5">
        <v>69.553420389999999</v>
      </c>
      <c r="H771" s="5">
        <v>72.649909289999997</v>
      </c>
      <c r="I771" s="5">
        <v>58.628754270000002</v>
      </c>
    </row>
    <row r="772" spans="1:9" ht="14.25" customHeight="1" x14ac:dyDescent="0.3">
      <c r="A772" t="s">
        <v>2638</v>
      </c>
      <c r="B772" s="5">
        <v>92.79203253</v>
      </c>
      <c r="C772" s="5">
        <v>70.750220279999994</v>
      </c>
      <c r="D772" s="5">
        <v>81.244359189999997</v>
      </c>
      <c r="E772" s="5">
        <v>68.355810910000002</v>
      </c>
      <c r="F772" s="5">
        <v>85.148579310000002</v>
      </c>
      <c r="G772" s="5">
        <v>79.834789670000006</v>
      </c>
      <c r="H772" s="5">
        <v>67.097963680000007</v>
      </c>
      <c r="I772" s="5">
        <v>63.176134740000002</v>
      </c>
    </row>
    <row r="773" spans="1:9" ht="14.25" customHeight="1" x14ac:dyDescent="0.3">
      <c r="A773" t="s">
        <v>2639</v>
      </c>
      <c r="B773" s="5">
        <v>81.250368850000001</v>
      </c>
      <c r="C773" s="5">
        <v>71.78643409</v>
      </c>
      <c r="D773" s="5">
        <v>90</v>
      </c>
      <c r="E773" s="5">
        <v>67.991001710000006</v>
      </c>
      <c r="F773" s="5">
        <v>89.855861820000001</v>
      </c>
      <c r="G773" s="5">
        <v>78.310084950000004</v>
      </c>
      <c r="H773" s="5">
        <v>65.088025270000003</v>
      </c>
      <c r="I773" s="5">
        <v>66.795326950000003</v>
      </c>
    </row>
    <row r="774" spans="1:9" ht="14.25" customHeight="1" x14ac:dyDescent="0.3">
      <c r="A774" t="s">
        <v>2640</v>
      </c>
      <c r="B774" s="5">
        <v>86.376445790000005</v>
      </c>
      <c r="C774" s="5">
        <v>63.827494129999998</v>
      </c>
      <c r="D774" s="5">
        <v>78.119757480000004</v>
      </c>
      <c r="E774" s="5">
        <v>68.999401280000001</v>
      </c>
      <c r="F774" s="5">
        <v>80.516016609999994</v>
      </c>
      <c r="G774" s="5">
        <v>75.524914390000006</v>
      </c>
      <c r="H774" s="5">
        <v>71.783964409999996</v>
      </c>
      <c r="I774" s="5">
        <v>59.516899039999998</v>
      </c>
    </row>
    <row r="775" spans="1:9" ht="14.25" customHeight="1" x14ac:dyDescent="0.3">
      <c r="A775" t="s">
        <v>2641</v>
      </c>
      <c r="B775" s="5">
        <v>90.169452559999996</v>
      </c>
      <c r="C775" s="5">
        <v>65.918834810000007</v>
      </c>
      <c r="D775" s="5">
        <v>70.896178469999995</v>
      </c>
      <c r="E775" s="5">
        <v>65.493744489999997</v>
      </c>
      <c r="F775" s="5">
        <v>89.722215579999997</v>
      </c>
      <c r="G775" s="5">
        <v>68.054683859999997</v>
      </c>
      <c r="H775" s="5">
        <v>71.545225070000001</v>
      </c>
      <c r="I775" s="5">
        <v>60.389997430000001</v>
      </c>
    </row>
    <row r="776" spans="1:9" ht="14.25" customHeight="1" x14ac:dyDescent="0.3">
      <c r="A776" t="s">
        <v>2642</v>
      </c>
      <c r="B776" s="5">
        <v>81.344202440000004</v>
      </c>
      <c r="C776" s="5">
        <v>76.049466280000004</v>
      </c>
      <c r="D776" s="5">
        <v>70</v>
      </c>
      <c r="E776" s="5">
        <v>65.78897001</v>
      </c>
      <c r="F776" s="5">
        <v>89.245884430000004</v>
      </c>
      <c r="G776" s="5">
        <v>68.441133249999993</v>
      </c>
      <c r="H776" s="5">
        <v>72.689336139999995</v>
      </c>
      <c r="I776" s="5">
        <v>67.92162313</v>
      </c>
    </row>
    <row r="777" spans="1:9" ht="14.25" customHeight="1" x14ac:dyDescent="0.3">
      <c r="A777" t="s">
        <v>2643</v>
      </c>
      <c r="B777" s="5">
        <v>86.275897400000005</v>
      </c>
      <c r="C777" s="5">
        <v>61.659187639999999</v>
      </c>
      <c r="D777" s="5">
        <v>78.312218639999998</v>
      </c>
      <c r="E777" s="5">
        <v>56.001841169999999</v>
      </c>
      <c r="F777" s="5">
        <v>85.061162550000006</v>
      </c>
      <c r="G777" s="5">
        <v>70.341990469999999</v>
      </c>
      <c r="H777" s="5">
        <v>72.653224739999999</v>
      </c>
      <c r="I777" s="5">
        <v>53.56593857</v>
      </c>
    </row>
    <row r="778" spans="1:9" ht="14.25" customHeight="1" x14ac:dyDescent="0.3">
      <c r="A778" t="s">
        <v>2644</v>
      </c>
      <c r="B778" s="5">
        <v>83.901312680000004</v>
      </c>
      <c r="C778" s="5">
        <v>67.873732529999998</v>
      </c>
      <c r="D778" s="5">
        <v>80.168350520000004</v>
      </c>
      <c r="E778" s="5">
        <v>75</v>
      </c>
      <c r="F778" s="5">
        <v>87.762189309999997</v>
      </c>
      <c r="G778" s="5">
        <v>77.026985319999994</v>
      </c>
      <c r="H778" s="5">
        <v>71.710951219999998</v>
      </c>
      <c r="I778" s="5">
        <v>52.890128359999999</v>
      </c>
    </row>
    <row r="779" spans="1:9" ht="14.25" customHeight="1" x14ac:dyDescent="0.3">
      <c r="A779" t="s">
        <v>1593</v>
      </c>
      <c r="B779" s="5">
        <v>78.57658807</v>
      </c>
      <c r="C779" s="5">
        <v>70.961909079999998</v>
      </c>
      <c r="D779" s="5">
        <v>80.807923590000001</v>
      </c>
      <c r="E779" s="5">
        <v>66.171502590000003</v>
      </c>
      <c r="F779" s="5">
        <v>89.368624580000002</v>
      </c>
      <c r="G779" s="5">
        <v>71.794493720000006</v>
      </c>
      <c r="H779" s="5">
        <v>68.626255779999994</v>
      </c>
      <c r="I779" s="5">
        <v>53.463168209999999</v>
      </c>
    </row>
    <row r="780" spans="1:9" ht="14.25" customHeight="1" x14ac:dyDescent="0.3">
      <c r="A780" t="s">
        <v>2645</v>
      </c>
      <c r="B780" s="5">
        <v>92.016037249999997</v>
      </c>
      <c r="C780" s="5">
        <v>61.286118369999997</v>
      </c>
      <c r="D780" s="5">
        <v>75.564265899999995</v>
      </c>
      <c r="E780" s="5">
        <v>60.152123940000003</v>
      </c>
      <c r="F780" s="5">
        <v>81.496816420000002</v>
      </c>
      <c r="G780" s="5">
        <v>85</v>
      </c>
      <c r="H780" s="5">
        <v>70.549773869999996</v>
      </c>
      <c r="I780" s="5">
        <v>50</v>
      </c>
    </row>
    <row r="781" spans="1:9" ht="14.25" customHeight="1" x14ac:dyDescent="0.3">
      <c r="A781" t="s">
        <v>1597</v>
      </c>
      <c r="B781" s="5">
        <v>91.187495929999997</v>
      </c>
      <c r="C781" s="5">
        <v>66.897203880000006</v>
      </c>
      <c r="D781" s="5">
        <v>77.740493180000001</v>
      </c>
      <c r="E781" s="5">
        <v>66.025905429999995</v>
      </c>
      <c r="F781" s="5">
        <v>87.058574609999994</v>
      </c>
      <c r="G781" s="5">
        <v>77.538828550000005</v>
      </c>
      <c r="H781" s="5">
        <v>69.344718850000007</v>
      </c>
      <c r="I781" s="5">
        <v>59.675032100000003</v>
      </c>
    </row>
    <row r="782" spans="1:9" ht="14.25" customHeight="1" x14ac:dyDescent="0.3">
      <c r="A782" t="s">
        <v>2646</v>
      </c>
      <c r="B782" s="5">
        <v>91.432988859999995</v>
      </c>
      <c r="C782" s="5">
        <v>78.01054972</v>
      </c>
      <c r="D782" s="5">
        <v>70</v>
      </c>
      <c r="E782" s="5">
        <v>69.316141299999998</v>
      </c>
      <c r="F782" s="5">
        <v>99.899589399999996</v>
      </c>
      <c r="G782" s="5">
        <v>81.620581720000004</v>
      </c>
      <c r="H782" s="5">
        <v>85</v>
      </c>
      <c r="I782" s="5">
        <v>54.186636960000001</v>
      </c>
    </row>
    <row r="783" spans="1:9" ht="14.25" customHeight="1" x14ac:dyDescent="0.3">
      <c r="A783" t="s">
        <v>2647</v>
      </c>
      <c r="B783" s="5">
        <v>90.199473179999998</v>
      </c>
      <c r="C783" s="5">
        <v>60</v>
      </c>
      <c r="D783" s="5">
        <v>74.036050399999993</v>
      </c>
      <c r="E783" s="5">
        <v>69.405159159999997</v>
      </c>
      <c r="F783" s="5">
        <v>88.475387220000002</v>
      </c>
      <c r="G783" s="5">
        <v>78.942609759999996</v>
      </c>
      <c r="H783" s="5">
        <v>65</v>
      </c>
      <c r="I783" s="5">
        <v>52.851501149999997</v>
      </c>
    </row>
    <row r="784" spans="1:9" ht="14.25" customHeight="1" x14ac:dyDescent="0.3">
      <c r="A784" t="s">
        <v>2648</v>
      </c>
      <c r="B784" s="5">
        <v>77.257055930000007</v>
      </c>
      <c r="C784" s="5">
        <v>67.862153070000005</v>
      </c>
      <c r="D784" s="5">
        <v>77.536243510000006</v>
      </c>
      <c r="E784" s="5">
        <v>61.861718150000002</v>
      </c>
      <c r="F784" s="5">
        <v>99.9</v>
      </c>
      <c r="G784" s="5">
        <v>77.647615549999998</v>
      </c>
      <c r="H784" s="5">
        <v>69.724653959999998</v>
      </c>
      <c r="I784" s="5">
        <v>50</v>
      </c>
    </row>
    <row r="785" spans="1:9" ht="14.25" customHeight="1" x14ac:dyDescent="0.3">
      <c r="A785" t="s">
        <v>2649</v>
      </c>
      <c r="B785" s="5">
        <v>88.406255009999995</v>
      </c>
      <c r="C785" s="5">
        <v>60</v>
      </c>
      <c r="D785" s="5">
        <v>83.480812389999997</v>
      </c>
      <c r="E785" s="5">
        <v>68.708708799999997</v>
      </c>
      <c r="F785" s="5">
        <v>93.479499500000003</v>
      </c>
      <c r="G785" s="5">
        <v>80.730229829999999</v>
      </c>
      <c r="H785" s="5">
        <v>69.234350169999999</v>
      </c>
      <c r="I785" s="5">
        <v>54.306062500000003</v>
      </c>
    </row>
    <row r="786" spans="1:9" ht="14.25" customHeight="1" x14ac:dyDescent="0.3">
      <c r="A786" t="s">
        <v>2650</v>
      </c>
      <c r="B786" s="5">
        <v>79.489932179999997</v>
      </c>
      <c r="C786" s="5">
        <v>66.369757770000007</v>
      </c>
      <c r="D786" s="5">
        <v>72.757634659999994</v>
      </c>
      <c r="E786" s="5">
        <v>66.104843819999999</v>
      </c>
      <c r="F786" s="5">
        <v>91.076912530000001</v>
      </c>
      <c r="G786" s="5">
        <v>78.827451730000007</v>
      </c>
      <c r="H786" s="5">
        <v>79.036655580000001</v>
      </c>
      <c r="I786" s="5">
        <v>59.703963979999997</v>
      </c>
    </row>
    <row r="787" spans="1:9" ht="14.25" customHeight="1" x14ac:dyDescent="0.3">
      <c r="A787" t="s">
        <v>2651</v>
      </c>
      <c r="B787" s="5">
        <v>94.437736340000001</v>
      </c>
      <c r="C787" s="5">
        <v>72.768665369999994</v>
      </c>
      <c r="D787" s="5">
        <v>82.451485120000001</v>
      </c>
      <c r="E787" s="5">
        <v>65.956067500000003</v>
      </c>
      <c r="F787" s="5">
        <v>93.541997069999994</v>
      </c>
      <c r="G787" s="5">
        <v>76.622911930000001</v>
      </c>
      <c r="H787" s="5">
        <v>72.82733005</v>
      </c>
      <c r="I787" s="5">
        <v>55.689610729999998</v>
      </c>
    </row>
    <row r="788" spans="1:9" ht="14.25" customHeight="1" x14ac:dyDescent="0.3">
      <c r="A788" t="s">
        <v>1612</v>
      </c>
      <c r="B788" s="5">
        <v>88.988875469999996</v>
      </c>
      <c r="C788" s="5">
        <v>77.839586400000002</v>
      </c>
      <c r="D788" s="5">
        <v>73.944028230000001</v>
      </c>
      <c r="E788" s="5">
        <v>62.67919895</v>
      </c>
      <c r="F788" s="5">
        <v>80.178042689999998</v>
      </c>
      <c r="G788" s="5">
        <v>77.099183870000005</v>
      </c>
      <c r="H788" s="5">
        <v>71.711878679999998</v>
      </c>
      <c r="I788" s="5">
        <v>59.745496119999999</v>
      </c>
    </row>
    <row r="789" spans="1:9" ht="14.25" customHeight="1" x14ac:dyDescent="0.3">
      <c r="A789" t="s">
        <v>2652</v>
      </c>
      <c r="B789" s="5">
        <v>96.496192539999996</v>
      </c>
      <c r="C789" s="5">
        <v>69.603586640000003</v>
      </c>
      <c r="D789" s="5">
        <v>78.863406370000007</v>
      </c>
      <c r="E789" s="5">
        <v>62.582883649999999</v>
      </c>
      <c r="F789" s="5">
        <v>90.08239768</v>
      </c>
      <c r="G789" s="5">
        <v>80.739061899999996</v>
      </c>
      <c r="H789" s="5">
        <v>75.444226749999999</v>
      </c>
      <c r="I789" s="5">
        <v>58.623349920000003</v>
      </c>
    </row>
    <row r="790" spans="1:9" ht="14.25" customHeight="1" x14ac:dyDescent="0.3">
      <c r="A790" t="s">
        <v>2653</v>
      </c>
      <c r="B790" s="5">
        <v>79.710839879999995</v>
      </c>
      <c r="C790" s="5">
        <v>76.08643524</v>
      </c>
      <c r="D790" s="5">
        <v>82.646356499999996</v>
      </c>
      <c r="E790" s="5">
        <v>55</v>
      </c>
      <c r="F790" s="5">
        <v>87.623723350000006</v>
      </c>
      <c r="G790" s="5">
        <v>80.516247609999994</v>
      </c>
      <c r="H790" s="5">
        <v>74.675025610000006</v>
      </c>
      <c r="I790" s="5">
        <v>56.189617310000003</v>
      </c>
    </row>
    <row r="791" spans="1:9" ht="14.25" customHeight="1" x14ac:dyDescent="0.3">
      <c r="A791" t="s">
        <v>1618</v>
      </c>
      <c r="B791" s="5">
        <v>84.174734259999994</v>
      </c>
      <c r="C791" s="5">
        <v>60</v>
      </c>
      <c r="D791" s="5">
        <v>70</v>
      </c>
      <c r="E791" s="5">
        <v>75</v>
      </c>
      <c r="F791" s="5">
        <v>92.952662869999997</v>
      </c>
      <c r="G791" s="5">
        <v>74.051026660000005</v>
      </c>
      <c r="H791" s="5">
        <v>74.251188130000003</v>
      </c>
      <c r="I791" s="5">
        <v>55.186605360000001</v>
      </c>
    </row>
    <row r="792" spans="1:9" ht="14.25" customHeight="1" x14ac:dyDescent="0.3">
      <c r="A792" t="s">
        <v>2654</v>
      </c>
      <c r="B792" s="5">
        <v>80.150865830000001</v>
      </c>
      <c r="C792" s="5">
        <v>72.545372549999996</v>
      </c>
      <c r="D792" s="5">
        <v>75.988948500000006</v>
      </c>
      <c r="E792" s="5">
        <v>68.932584829999996</v>
      </c>
      <c r="F792" s="5">
        <v>99.297242080000004</v>
      </c>
      <c r="G792" s="5">
        <v>77.884010169999996</v>
      </c>
      <c r="H792" s="5">
        <v>69.38221763</v>
      </c>
      <c r="I792" s="5">
        <v>69.395173</v>
      </c>
    </row>
    <row r="793" spans="1:9" ht="14.25" customHeight="1" x14ac:dyDescent="0.3">
      <c r="A793" t="s">
        <v>2655</v>
      </c>
      <c r="B793" s="5">
        <v>88.856216020000005</v>
      </c>
      <c r="C793" s="5">
        <v>60</v>
      </c>
      <c r="D793" s="5">
        <v>77.380049150000005</v>
      </c>
      <c r="E793" s="5">
        <v>62.681832180000001</v>
      </c>
      <c r="F793" s="5">
        <v>88.935013029999993</v>
      </c>
      <c r="G793" s="5">
        <v>76.593958839999999</v>
      </c>
      <c r="H793" s="5">
        <v>78.287640580000001</v>
      </c>
      <c r="I793" s="5">
        <v>50</v>
      </c>
    </row>
    <row r="794" spans="1:9" ht="14.25" customHeight="1" x14ac:dyDescent="0.3">
      <c r="A794" t="s">
        <v>2656</v>
      </c>
      <c r="B794" s="5">
        <v>86.556287589999997</v>
      </c>
      <c r="C794" s="5">
        <v>68.869722710000005</v>
      </c>
      <c r="D794" s="5">
        <v>81.289788569999999</v>
      </c>
      <c r="E794" s="5">
        <v>62.230548419999998</v>
      </c>
      <c r="F794" s="5">
        <v>86.761649809999994</v>
      </c>
      <c r="G794" s="5">
        <v>75.581974020000004</v>
      </c>
      <c r="H794" s="5">
        <v>69.926480530000006</v>
      </c>
      <c r="I794" s="5">
        <v>51.415109440000002</v>
      </c>
    </row>
    <row r="795" spans="1:9" ht="14.25" customHeight="1" x14ac:dyDescent="0.3">
      <c r="A795" t="s">
        <v>2657</v>
      </c>
      <c r="B795" s="5">
        <v>95.897995879999996</v>
      </c>
      <c r="C795" s="5">
        <v>65.048560879999997</v>
      </c>
      <c r="D795" s="5">
        <v>70.108402040000001</v>
      </c>
      <c r="E795" s="5">
        <v>64.486921170000002</v>
      </c>
      <c r="F795" s="5">
        <v>93.041867460000006</v>
      </c>
      <c r="G795" s="5">
        <v>66.505268009999995</v>
      </c>
      <c r="H795" s="5">
        <v>65</v>
      </c>
      <c r="I795" s="5">
        <v>54.099956970000001</v>
      </c>
    </row>
    <row r="796" spans="1:9" ht="14.25" customHeight="1" x14ac:dyDescent="0.3">
      <c r="A796" t="s">
        <v>1628</v>
      </c>
      <c r="B796" s="5">
        <v>90.621837499999998</v>
      </c>
      <c r="C796" s="5">
        <v>69.218310549999998</v>
      </c>
      <c r="D796" s="5">
        <v>81.555105019999999</v>
      </c>
      <c r="E796" s="5">
        <v>68.12014035</v>
      </c>
      <c r="F796" s="5">
        <v>88.429351620000006</v>
      </c>
      <c r="G796" s="5">
        <v>83.759069859999997</v>
      </c>
      <c r="H796" s="5">
        <v>66.202821839999999</v>
      </c>
      <c r="I796" s="5">
        <v>56.853779240000001</v>
      </c>
    </row>
    <row r="797" spans="1:9" ht="14.25" customHeight="1" x14ac:dyDescent="0.3">
      <c r="A797" t="s">
        <v>2658</v>
      </c>
      <c r="B797" s="5">
        <v>89.412804820000005</v>
      </c>
      <c r="C797" s="5">
        <v>70.278104780000007</v>
      </c>
      <c r="D797" s="5">
        <v>75.183249270000005</v>
      </c>
      <c r="E797" s="5">
        <v>58.792538630000003</v>
      </c>
      <c r="F797" s="5">
        <v>90.314285260000005</v>
      </c>
      <c r="G797" s="5">
        <v>81.084385049999995</v>
      </c>
      <c r="H797" s="5">
        <v>70.671066850000003</v>
      </c>
      <c r="I797" s="5">
        <v>50</v>
      </c>
    </row>
    <row r="798" spans="1:9" ht="14.25" customHeight="1" x14ac:dyDescent="0.3">
      <c r="A798" t="s">
        <v>2659</v>
      </c>
      <c r="B798" s="5">
        <v>91.897930040000006</v>
      </c>
      <c r="C798" s="5">
        <v>62.177534549999997</v>
      </c>
      <c r="D798" s="5">
        <v>70</v>
      </c>
      <c r="E798" s="5">
        <v>61.596638579999997</v>
      </c>
      <c r="F798" s="5">
        <v>86.749572889999996</v>
      </c>
      <c r="G798" s="5">
        <v>78.950603810000004</v>
      </c>
      <c r="H798" s="5">
        <v>72.846594690000003</v>
      </c>
      <c r="I798" s="5">
        <v>54.956813400000001</v>
      </c>
    </row>
    <row r="799" spans="1:9" ht="14.25" customHeight="1" x14ac:dyDescent="0.3">
      <c r="A799" t="s">
        <v>2660</v>
      </c>
      <c r="B799" s="5">
        <v>84.612834219999996</v>
      </c>
      <c r="C799" s="5">
        <v>62.372563909999997</v>
      </c>
      <c r="D799" s="5">
        <v>77.236239769999997</v>
      </c>
      <c r="E799" s="5">
        <v>64.856862919999998</v>
      </c>
      <c r="F799" s="5">
        <v>98.573214780000001</v>
      </c>
      <c r="G799" s="5">
        <v>75.734048639999997</v>
      </c>
      <c r="H799" s="5">
        <v>73.99413783</v>
      </c>
      <c r="I799" s="5">
        <v>65.940863980000003</v>
      </c>
    </row>
    <row r="800" spans="1:9" ht="14.25" customHeight="1" x14ac:dyDescent="0.3">
      <c r="A800" t="s">
        <v>1636</v>
      </c>
      <c r="B800" s="5">
        <v>84.74964602</v>
      </c>
      <c r="C800" s="5">
        <v>66.581173219999997</v>
      </c>
      <c r="D800" s="5">
        <v>79.47302766</v>
      </c>
      <c r="E800" s="5">
        <v>64.845344080000004</v>
      </c>
      <c r="F800" s="5">
        <v>84.039357019999997</v>
      </c>
      <c r="G800" s="5">
        <v>74.805471850000004</v>
      </c>
      <c r="H800" s="5">
        <v>71.304750690000006</v>
      </c>
      <c r="I800" s="5">
        <v>68.261930550000002</v>
      </c>
    </row>
    <row r="801" spans="1:9" ht="14.25" customHeight="1" x14ac:dyDescent="0.3">
      <c r="A801" t="s">
        <v>2661</v>
      </c>
      <c r="B801" s="5">
        <v>87.775012340000004</v>
      </c>
      <c r="C801" s="5">
        <v>60</v>
      </c>
      <c r="D801" s="5">
        <v>70.376717869999993</v>
      </c>
      <c r="E801" s="5">
        <v>66.855854730000004</v>
      </c>
      <c r="F801" s="5">
        <v>91.360219639999997</v>
      </c>
      <c r="G801" s="5">
        <v>83.353773450000006</v>
      </c>
      <c r="H801" s="5">
        <v>75.8008478</v>
      </c>
      <c r="I801" s="5">
        <v>55.409234130000002</v>
      </c>
    </row>
    <row r="802" spans="1:9" ht="14.25" customHeight="1" x14ac:dyDescent="0.3">
      <c r="A802" t="s">
        <v>2662</v>
      </c>
      <c r="B802" s="5">
        <v>81.757939620000002</v>
      </c>
      <c r="C802" s="5">
        <v>63.595145670000001</v>
      </c>
      <c r="D802" s="5">
        <v>70.972782370000004</v>
      </c>
      <c r="E802" s="5">
        <v>65.296810530000002</v>
      </c>
      <c r="F802" s="5">
        <v>86.551232909999996</v>
      </c>
      <c r="G802" s="5">
        <v>74.041343909999995</v>
      </c>
      <c r="H802" s="5">
        <v>69.183060459999993</v>
      </c>
      <c r="I802" s="5">
        <v>57.553264570000003</v>
      </c>
    </row>
    <row r="803" spans="1:9" ht="14.25" customHeight="1" x14ac:dyDescent="0.3">
      <c r="A803" t="s">
        <v>2663</v>
      </c>
      <c r="B803" s="5">
        <v>77.594989720000001</v>
      </c>
      <c r="C803" s="5">
        <v>74.041650630000007</v>
      </c>
      <c r="D803" s="5">
        <v>88.007569549999999</v>
      </c>
      <c r="E803" s="5">
        <v>65.111887780000004</v>
      </c>
      <c r="F803" s="5">
        <v>86.992611620000005</v>
      </c>
      <c r="G803" s="5">
        <v>77.072308800000002</v>
      </c>
      <c r="H803" s="5">
        <v>67.153965799999995</v>
      </c>
      <c r="I803" s="5">
        <v>63.769888620000003</v>
      </c>
    </row>
    <row r="804" spans="1:9" ht="14.25" customHeight="1" x14ac:dyDescent="0.3">
      <c r="A804" t="s">
        <v>2664</v>
      </c>
      <c r="B804" s="5">
        <v>86.627043389999997</v>
      </c>
      <c r="C804" s="5">
        <v>67.626485329999994</v>
      </c>
      <c r="D804" s="5">
        <v>80.148704839999994</v>
      </c>
      <c r="E804" s="5">
        <v>59.478219199999998</v>
      </c>
      <c r="F804" s="5">
        <v>89.838891340000004</v>
      </c>
      <c r="G804" s="5">
        <v>74.717749999999995</v>
      </c>
      <c r="H804" s="5">
        <v>77.279635499999998</v>
      </c>
      <c r="I804" s="5">
        <v>63.935620710000002</v>
      </c>
    </row>
    <row r="805" spans="1:9" ht="14.25" customHeight="1" x14ac:dyDescent="0.3">
      <c r="A805" t="s">
        <v>1646</v>
      </c>
      <c r="B805" s="5">
        <v>83.285179020000001</v>
      </c>
      <c r="C805" s="5">
        <v>63.59064103</v>
      </c>
      <c r="D805" s="5">
        <v>78.775577749999997</v>
      </c>
      <c r="E805" s="5">
        <v>64.75404691</v>
      </c>
      <c r="F805" s="5">
        <v>83.155580069999999</v>
      </c>
      <c r="G805" s="5">
        <v>82.649657430000005</v>
      </c>
      <c r="H805" s="5">
        <v>76.38101795</v>
      </c>
      <c r="I805" s="5">
        <v>61.669871880000002</v>
      </c>
    </row>
    <row r="806" spans="1:9" ht="14.25" customHeight="1" x14ac:dyDescent="0.3">
      <c r="A806" t="s">
        <v>2665</v>
      </c>
      <c r="B806" s="5">
        <v>86.210464189999996</v>
      </c>
      <c r="C806" s="5">
        <v>66.308346330000006</v>
      </c>
      <c r="D806" s="5">
        <v>79.112290790000003</v>
      </c>
      <c r="E806" s="5">
        <v>65.97330384</v>
      </c>
      <c r="F806" s="5">
        <v>82.225239040000005</v>
      </c>
      <c r="G806" s="5">
        <v>73.70821918</v>
      </c>
      <c r="H806" s="5">
        <v>76.614040430000003</v>
      </c>
      <c r="I806" s="5">
        <v>60.40688016</v>
      </c>
    </row>
    <row r="807" spans="1:9" ht="14.25" customHeight="1" x14ac:dyDescent="0.3">
      <c r="A807" t="s">
        <v>1650</v>
      </c>
      <c r="B807" s="5">
        <v>89.978523999999993</v>
      </c>
      <c r="C807" s="5">
        <v>63.550156579999999</v>
      </c>
      <c r="D807" s="5">
        <v>71.456649319999997</v>
      </c>
      <c r="E807" s="5">
        <v>71.391869869999994</v>
      </c>
      <c r="F807" s="5">
        <v>86.76171334</v>
      </c>
      <c r="G807" s="5">
        <v>73.85638161</v>
      </c>
      <c r="H807" s="5">
        <v>72.523468010000002</v>
      </c>
      <c r="I807" s="5">
        <v>53.056869409999997</v>
      </c>
    </row>
    <row r="808" spans="1:9" ht="14.25" customHeight="1" x14ac:dyDescent="0.3">
      <c r="A808" t="s">
        <v>2666</v>
      </c>
      <c r="B808" s="5">
        <v>80.599377660000002</v>
      </c>
      <c r="C808" s="5">
        <v>67.043521729999995</v>
      </c>
      <c r="D808" s="5">
        <v>70</v>
      </c>
      <c r="E808" s="5">
        <v>66.293140199999996</v>
      </c>
      <c r="F808" s="5">
        <v>98.636483549999994</v>
      </c>
      <c r="G808" s="5">
        <v>78.855352379999999</v>
      </c>
      <c r="H808" s="5">
        <v>72.063759579999996</v>
      </c>
      <c r="I808" s="5">
        <v>50</v>
      </c>
    </row>
    <row r="809" spans="1:9" ht="14.25" customHeight="1" x14ac:dyDescent="0.3">
      <c r="A809" t="s">
        <v>2667</v>
      </c>
      <c r="B809" s="5">
        <v>86.817362309999993</v>
      </c>
      <c r="C809" s="5">
        <v>63.839078299999997</v>
      </c>
      <c r="D809" s="5">
        <v>76.452811679999996</v>
      </c>
      <c r="E809" s="5">
        <v>59.717771110000001</v>
      </c>
      <c r="F809" s="5">
        <v>90.172575019999996</v>
      </c>
      <c r="G809" s="5">
        <v>80.479813809999996</v>
      </c>
      <c r="H809" s="5">
        <v>70.517507050000006</v>
      </c>
      <c r="I809" s="5">
        <v>58.082219170000002</v>
      </c>
    </row>
    <row r="810" spans="1:9" ht="14.25" customHeight="1" x14ac:dyDescent="0.3">
      <c r="A810" t="s">
        <v>1658</v>
      </c>
      <c r="B810" s="5">
        <v>87.391970549999996</v>
      </c>
      <c r="C810" s="5">
        <v>64.205434260000004</v>
      </c>
      <c r="D810" s="5">
        <v>71.104709</v>
      </c>
      <c r="E810" s="5">
        <v>69.465356869999994</v>
      </c>
      <c r="F810" s="5">
        <v>81.790575770000004</v>
      </c>
      <c r="G810" s="5">
        <v>76.439575809999994</v>
      </c>
      <c r="H810" s="5">
        <v>74.980380080000003</v>
      </c>
      <c r="I810" s="5">
        <v>62.269973180000001</v>
      </c>
    </row>
    <row r="811" spans="1:9" ht="14.25" customHeight="1" x14ac:dyDescent="0.3">
      <c r="A811" t="s">
        <v>2668</v>
      </c>
      <c r="B811" s="5">
        <v>86.004924369999998</v>
      </c>
      <c r="C811" s="5">
        <v>75.633123949999998</v>
      </c>
      <c r="D811" s="5">
        <v>81.764356980000002</v>
      </c>
      <c r="E811" s="5">
        <v>66.147779740000004</v>
      </c>
      <c r="F811" s="5">
        <v>95.37960434</v>
      </c>
      <c r="G811" s="5">
        <v>69.839749870000006</v>
      </c>
      <c r="H811" s="5">
        <v>69.443749519999997</v>
      </c>
      <c r="I811" s="5">
        <v>70</v>
      </c>
    </row>
    <row r="812" spans="1:9" ht="14.25" customHeight="1" x14ac:dyDescent="0.3">
      <c r="A812" t="s">
        <v>1662</v>
      </c>
      <c r="B812" s="5">
        <v>86.798808919999999</v>
      </c>
      <c r="C812" s="5">
        <v>69.119093629999995</v>
      </c>
      <c r="D812" s="5">
        <v>80.365248289999997</v>
      </c>
      <c r="E812" s="5">
        <v>65.356520320000001</v>
      </c>
      <c r="F812" s="5">
        <v>83.099610589999998</v>
      </c>
      <c r="G812" s="5">
        <v>80.717337839999999</v>
      </c>
      <c r="H812" s="5">
        <v>76.119528919999993</v>
      </c>
      <c r="I812" s="5">
        <v>54.080941840000001</v>
      </c>
    </row>
    <row r="813" spans="1:9" ht="14.25" customHeight="1" x14ac:dyDescent="0.3">
      <c r="A813" t="s">
        <v>2669</v>
      </c>
      <c r="B813" s="5">
        <v>81.22105114</v>
      </c>
      <c r="C813" s="5">
        <v>71.286782619999997</v>
      </c>
      <c r="D813" s="5">
        <v>72.536408809999998</v>
      </c>
      <c r="E813" s="5">
        <v>60.603996739999999</v>
      </c>
      <c r="F813" s="5">
        <v>87.385659720000007</v>
      </c>
      <c r="G813" s="5">
        <v>73.705541510000003</v>
      </c>
      <c r="H813" s="5">
        <v>79.173788290000005</v>
      </c>
      <c r="I813" s="5">
        <v>64.878375629999994</v>
      </c>
    </row>
    <row r="814" spans="1:9" ht="14.25" customHeight="1" x14ac:dyDescent="0.3">
      <c r="A814" t="s">
        <v>1666</v>
      </c>
      <c r="B814" s="5">
        <v>79.232409410000002</v>
      </c>
      <c r="C814" s="5">
        <v>69.397257679999996</v>
      </c>
      <c r="D814" s="5">
        <v>74.297931030000001</v>
      </c>
      <c r="E814" s="5">
        <v>66.618361969999995</v>
      </c>
      <c r="F814" s="5">
        <v>89.833558699999998</v>
      </c>
      <c r="G814" s="5">
        <v>85</v>
      </c>
      <c r="H814" s="5">
        <v>76.080923170000005</v>
      </c>
      <c r="I814" s="5">
        <v>54.19294593</v>
      </c>
    </row>
    <row r="815" spans="1:9" ht="14.25" customHeight="1" x14ac:dyDescent="0.3">
      <c r="A815" t="s">
        <v>2670</v>
      </c>
      <c r="B815" s="5">
        <v>86.621824660000001</v>
      </c>
      <c r="C815" s="5">
        <v>74.125642529999993</v>
      </c>
      <c r="D815" s="5">
        <v>70</v>
      </c>
      <c r="E815" s="5">
        <v>65.767053610000005</v>
      </c>
      <c r="F815" s="5">
        <v>97.289273800000004</v>
      </c>
      <c r="G815" s="5">
        <v>76.444244710000007</v>
      </c>
      <c r="H815" s="5">
        <v>67.630373789999993</v>
      </c>
      <c r="I815" s="5">
        <v>59.207592570000003</v>
      </c>
    </row>
    <row r="816" spans="1:9" ht="14.25" customHeight="1" x14ac:dyDescent="0.3">
      <c r="A816" t="s">
        <v>1670</v>
      </c>
      <c r="B816" s="5">
        <v>83.564669129999999</v>
      </c>
      <c r="C816" s="5">
        <v>66.132148790000002</v>
      </c>
      <c r="D816" s="5">
        <v>77.840761270000002</v>
      </c>
      <c r="E816" s="5">
        <v>70.960327759999998</v>
      </c>
      <c r="F816" s="5">
        <v>80</v>
      </c>
      <c r="G816" s="5">
        <v>82.074190669999993</v>
      </c>
      <c r="H816" s="5">
        <v>68.234840890000001</v>
      </c>
      <c r="I816" s="5">
        <v>50</v>
      </c>
    </row>
    <row r="817" spans="1:9" ht="14.25" customHeight="1" x14ac:dyDescent="0.3">
      <c r="A817" t="s">
        <v>2671</v>
      </c>
      <c r="B817" s="5">
        <v>92.219616500000001</v>
      </c>
      <c r="C817" s="5">
        <v>80</v>
      </c>
      <c r="D817" s="5">
        <v>88.410727829999999</v>
      </c>
      <c r="E817" s="5">
        <v>67.786020609999994</v>
      </c>
      <c r="F817" s="5">
        <v>80</v>
      </c>
      <c r="G817" s="5">
        <v>75.245937920000003</v>
      </c>
      <c r="H817" s="5">
        <v>70.890915449999994</v>
      </c>
      <c r="I817" s="5">
        <v>62.176755929999999</v>
      </c>
    </row>
    <row r="818" spans="1:9" ht="14.25" customHeight="1" x14ac:dyDescent="0.3">
      <c r="A818" t="s">
        <v>2672</v>
      </c>
      <c r="B818" s="5">
        <v>91.3321787</v>
      </c>
      <c r="C818" s="5">
        <v>67.823457660000003</v>
      </c>
      <c r="D818" s="5">
        <v>70</v>
      </c>
      <c r="E818" s="5">
        <v>67.831351299999994</v>
      </c>
      <c r="F818" s="5">
        <v>85.997969299999994</v>
      </c>
      <c r="G818" s="5">
        <v>83.417581810000001</v>
      </c>
      <c r="H818" s="5">
        <v>70.286601730000001</v>
      </c>
      <c r="I818" s="5">
        <v>56.836126780000001</v>
      </c>
    </row>
    <row r="819" spans="1:9" ht="14.25" customHeight="1" x14ac:dyDescent="0.3">
      <c r="A819" t="s">
        <v>1676</v>
      </c>
      <c r="B819" s="5">
        <v>90.281124750000004</v>
      </c>
      <c r="C819" s="5">
        <v>70.966300189999998</v>
      </c>
      <c r="D819" s="5">
        <v>76.637881800000002</v>
      </c>
      <c r="E819" s="5">
        <v>69.807169680000001</v>
      </c>
      <c r="F819" s="5">
        <v>94.118825569999998</v>
      </c>
      <c r="G819" s="5">
        <v>76.038579569999996</v>
      </c>
      <c r="H819" s="5">
        <v>74.475164590000006</v>
      </c>
      <c r="I819" s="5">
        <v>50.111622410000003</v>
      </c>
    </row>
    <row r="820" spans="1:9" ht="14.25" customHeight="1" x14ac:dyDescent="0.3">
      <c r="A820" t="s">
        <v>2673</v>
      </c>
      <c r="B820" s="5">
        <v>98.279438049999996</v>
      </c>
      <c r="C820" s="5">
        <v>68.774226929999998</v>
      </c>
      <c r="D820" s="5">
        <v>79.995316459999998</v>
      </c>
      <c r="E820" s="5">
        <v>65.435744979999996</v>
      </c>
      <c r="F820" s="5">
        <v>84.0413791</v>
      </c>
      <c r="G820" s="5">
        <v>78.946067009999993</v>
      </c>
      <c r="H820" s="5">
        <v>65</v>
      </c>
      <c r="I820" s="5">
        <v>52.657095949999999</v>
      </c>
    </row>
    <row r="821" spans="1:9" ht="14.25" customHeight="1" x14ac:dyDescent="0.3">
      <c r="A821" t="s">
        <v>2674</v>
      </c>
      <c r="B821" s="5">
        <v>86.180398010000005</v>
      </c>
      <c r="C821" s="5">
        <v>75.383564739999997</v>
      </c>
      <c r="D821" s="5">
        <v>74.460371170000002</v>
      </c>
      <c r="E821" s="5">
        <v>68.355352780000004</v>
      </c>
      <c r="F821" s="5">
        <v>90.373601820000005</v>
      </c>
      <c r="G821" s="5">
        <v>77.770378109999996</v>
      </c>
      <c r="H821" s="5">
        <v>71.351467389999996</v>
      </c>
      <c r="I821" s="5">
        <v>55.979329020000002</v>
      </c>
    </row>
    <row r="822" spans="1:9" ht="14.25" customHeight="1" x14ac:dyDescent="0.3">
      <c r="A822" t="s">
        <v>2675</v>
      </c>
      <c r="B822" s="5">
        <v>89.904569379999998</v>
      </c>
      <c r="C822" s="5">
        <v>60</v>
      </c>
      <c r="D822" s="5">
        <v>71.661064929999995</v>
      </c>
      <c r="E822" s="5">
        <v>66.168127490000003</v>
      </c>
      <c r="F822" s="5">
        <v>81.10422423</v>
      </c>
      <c r="G822" s="5">
        <v>72.294148160000006</v>
      </c>
      <c r="H822" s="5">
        <v>65</v>
      </c>
      <c r="I822" s="5">
        <v>57.95240407</v>
      </c>
    </row>
    <row r="823" spans="1:9" ht="14.25" customHeight="1" x14ac:dyDescent="0.3">
      <c r="A823" t="s">
        <v>2676</v>
      </c>
      <c r="B823" s="5">
        <v>82.208528560000005</v>
      </c>
      <c r="C823" s="5">
        <v>74.429211890000005</v>
      </c>
      <c r="D823" s="5">
        <v>72.467829850000001</v>
      </c>
      <c r="E823" s="5">
        <v>67.460106139999994</v>
      </c>
      <c r="F823" s="5">
        <v>99.9</v>
      </c>
      <c r="G823" s="5">
        <v>80.446308540000004</v>
      </c>
      <c r="H823" s="5">
        <v>76.364591039999993</v>
      </c>
      <c r="I823" s="5">
        <v>57.764579750000003</v>
      </c>
    </row>
    <row r="824" spans="1:9" ht="14.25" customHeight="1" x14ac:dyDescent="0.3">
      <c r="A824" t="s">
        <v>1686</v>
      </c>
      <c r="B824" s="5">
        <v>82.035446590000006</v>
      </c>
      <c r="C824" s="5">
        <v>70.574940589999997</v>
      </c>
      <c r="D824" s="5">
        <v>80.684886610000007</v>
      </c>
      <c r="E824" s="5">
        <v>63.77143847</v>
      </c>
      <c r="F824" s="5">
        <v>90.165705610000003</v>
      </c>
      <c r="G824" s="5">
        <v>77.042150269999993</v>
      </c>
      <c r="H824" s="5">
        <v>77.706782309999994</v>
      </c>
      <c r="I824" s="5">
        <v>56.115361270000001</v>
      </c>
    </row>
    <row r="825" spans="1:9" ht="14.25" customHeight="1" x14ac:dyDescent="0.3">
      <c r="A825" t="s">
        <v>2677</v>
      </c>
      <c r="B825" s="5">
        <v>81.155097889999993</v>
      </c>
      <c r="C825" s="5">
        <v>64.386121619999997</v>
      </c>
      <c r="D825" s="5">
        <v>70</v>
      </c>
      <c r="E825" s="5">
        <v>69.68310194</v>
      </c>
      <c r="F825" s="5">
        <v>93.357891190000004</v>
      </c>
      <c r="G825" s="5">
        <v>75.624999310000007</v>
      </c>
      <c r="H825" s="5">
        <v>67.963595650000002</v>
      </c>
      <c r="I825" s="5">
        <v>63.594881770000001</v>
      </c>
    </row>
    <row r="826" spans="1:9" ht="14.25" customHeight="1" x14ac:dyDescent="0.3">
      <c r="A826" t="s">
        <v>2678</v>
      </c>
      <c r="B826" s="5">
        <v>94.480031440000005</v>
      </c>
      <c r="C826" s="5">
        <v>62.223159750000001</v>
      </c>
      <c r="D826" s="5">
        <v>70</v>
      </c>
      <c r="E826" s="5">
        <v>71.583453910000003</v>
      </c>
      <c r="F826" s="5">
        <v>94.974739170000007</v>
      </c>
      <c r="G826" s="5">
        <v>82.217282859999997</v>
      </c>
      <c r="H826" s="5">
        <v>67.369916480000001</v>
      </c>
      <c r="I826" s="5">
        <v>52.624473680000001</v>
      </c>
    </row>
    <row r="827" spans="1:9" ht="14.25" customHeight="1" x14ac:dyDescent="0.3">
      <c r="A827" t="s">
        <v>2679</v>
      </c>
      <c r="B827" s="5">
        <v>88.359128510000005</v>
      </c>
      <c r="C827" s="5">
        <v>60</v>
      </c>
      <c r="D827" s="5">
        <v>73.630177470000007</v>
      </c>
      <c r="E827" s="5">
        <v>68.078666429999998</v>
      </c>
      <c r="F827" s="5">
        <v>98.592091710000005</v>
      </c>
      <c r="G827" s="5">
        <v>85</v>
      </c>
      <c r="H827" s="5">
        <v>67.743130669999999</v>
      </c>
      <c r="I827" s="5">
        <v>65.574920820000003</v>
      </c>
    </row>
    <row r="828" spans="1:9" ht="14.25" customHeight="1" x14ac:dyDescent="0.3">
      <c r="A828" t="s">
        <v>1694</v>
      </c>
      <c r="B828" s="5">
        <v>82.268772200000001</v>
      </c>
      <c r="C828" s="5">
        <v>69.108322189999996</v>
      </c>
      <c r="D828" s="5">
        <v>74.166944599999994</v>
      </c>
      <c r="E828" s="5">
        <v>63.623978459999996</v>
      </c>
      <c r="F828" s="5">
        <v>89.630978249999998</v>
      </c>
      <c r="G828" s="5">
        <v>80.09149472</v>
      </c>
      <c r="H828" s="5">
        <v>65</v>
      </c>
      <c r="I828" s="5">
        <v>58.508701639999998</v>
      </c>
    </row>
    <row r="829" spans="1:9" ht="14.25" customHeight="1" x14ac:dyDescent="0.3">
      <c r="A829" t="s">
        <v>1696</v>
      </c>
      <c r="B829" s="5">
        <v>81.139399240000003</v>
      </c>
      <c r="C829" s="5">
        <v>65.235348999999999</v>
      </c>
      <c r="D829" s="5">
        <v>89.817826640000007</v>
      </c>
      <c r="E829" s="5">
        <v>61.859902150000003</v>
      </c>
      <c r="F829" s="5">
        <v>84.92699288</v>
      </c>
      <c r="G829" s="5">
        <v>81.388278549999995</v>
      </c>
      <c r="H829" s="5">
        <v>71.069570429999999</v>
      </c>
      <c r="I829" s="5">
        <v>53.5569451</v>
      </c>
    </row>
    <row r="830" spans="1:9" ht="14.25" customHeight="1" x14ac:dyDescent="0.3">
      <c r="A830" t="s">
        <v>2680</v>
      </c>
      <c r="B830" s="5">
        <v>86.528968559999996</v>
      </c>
      <c r="C830" s="5">
        <v>73.019577760000004</v>
      </c>
      <c r="D830" s="5">
        <v>70</v>
      </c>
      <c r="E830" s="5">
        <v>62.674472510000001</v>
      </c>
      <c r="F830" s="5">
        <v>99.9</v>
      </c>
      <c r="G830" s="5">
        <v>79.734063370000001</v>
      </c>
      <c r="H830" s="5">
        <v>69.910518400000001</v>
      </c>
      <c r="I830" s="5">
        <v>54.696013180000001</v>
      </c>
    </row>
    <row r="831" spans="1:9" ht="14.25" customHeight="1" x14ac:dyDescent="0.3">
      <c r="A831" t="s">
        <v>2681</v>
      </c>
      <c r="B831" s="5">
        <v>86.649575240000004</v>
      </c>
      <c r="C831" s="5">
        <v>68.597569160000006</v>
      </c>
      <c r="D831" s="5">
        <v>79.675534740000003</v>
      </c>
      <c r="E831" s="5">
        <v>66.645791220000007</v>
      </c>
      <c r="F831" s="5">
        <v>91.072186200000004</v>
      </c>
      <c r="G831" s="5">
        <v>75.509274820000002</v>
      </c>
      <c r="H831" s="5">
        <v>74.668558829999995</v>
      </c>
      <c r="I831" s="5">
        <v>53.899210959999998</v>
      </c>
    </row>
    <row r="832" spans="1:9" ht="14.25" customHeight="1" x14ac:dyDescent="0.3">
      <c r="A832" t="s">
        <v>2682</v>
      </c>
      <c r="B832" s="5">
        <v>80.875058089999996</v>
      </c>
      <c r="C832" s="5">
        <v>69.471337419999998</v>
      </c>
      <c r="D832" s="5">
        <v>75.886495760000003</v>
      </c>
      <c r="E832" s="5">
        <v>56.578011600000004</v>
      </c>
      <c r="F832" s="5">
        <v>87.700426449999995</v>
      </c>
      <c r="G832" s="5">
        <v>80.921809420000002</v>
      </c>
      <c r="H832" s="5">
        <v>65</v>
      </c>
      <c r="I832" s="5">
        <v>62.55053556</v>
      </c>
    </row>
    <row r="833" spans="1:9" ht="14.25" customHeight="1" x14ac:dyDescent="0.3">
      <c r="A833" t="s">
        <v>2683</v>
      </c>
      <c r="B833" s="5">
        <v>87.660900749999996</v>
      </c>
      <c r="C833" s="5">
        <v>69.971453519999997</v>
      </c>
      <c r="D833" s="5">
        <v>79.023166840000002</v>
      </c>
      <c r="E833" s="5">
        <v>65.782426049999998</v>
      </c>
      <c r="F833" s="5">
        <v>82.779153269999995</v>
      </c>
      <c r="G833" s="5">
        <v>85</v>
      </c>
      <c r="H833" s="5">
        <v>67.274380739999998</v>
      </c>
      <c r="I833" s="5">
        <v>50</v>
      </c>
    </row>
    <row r="834" spans="1:9" ht="14.25" customHeight="1" x14ac:dyDescent="0.3">
      <c r="A834" t="s">
        <v>2684</v>
      </c>
      <c r="B834" s="5">
        <v>94.624500659999995</v>
      </c>
      <c r="C834" s="5">
        <v>78.996700009999998</v>
      </c>
      <c r="D834" s="5">
        <v>70</v>
      </c>
      <c r="E834" s="5">
        <v>62.78815693</v>
      </c>
      <c r="F834" s="5">
        <v>99.9</v>
      </c>
      <c r="G834" s="5">
        <v>80.351614249999997</v>
      </c>
      <c r="H834" s="5">
        <v>69.554175180000001</v>
      </c>
      <c r="I834" s="5">
        <v>51.630414090000002</v>
      </c>
    </row>
    <row r="835" spans="1:9" ht="14.25" customHeight="1" x14ac:dyDescent="0.3">
      <c r="A835" t="s">
        <v>1708</v>
      </c>
      <c r="B835" s="5">
        <v>88.200845639999997</v>
      </c>
      <c r="C835" s="5">
        <v>73.17745884</v>
      </c>
      <c r="D835" s="5">
        <v>72.89885975</v>
      </c>
      <c r="E835" s="5">
        <v>68.692228830000005</v>
      </c>
      <c r="F835" s="5">
        <v>99.9</v>
      </c>
      <c r="G835" s="5">
        <v>67.364331719999996</v>
      </c>
      <c r="H835" s="5">
        <v>72.560159889999994</v>
      </c>
      <c r="I835" s="5">
        <v>60.551948510000003</v>
      </c>
    </row>
    <row r="836" spans="1:9" ht="14.25" customHeight="1" x14ac:dyDescent="0.3">
      <c r="A836" t="s">
        <v>1710</v>
      </c>
      <c r="B836" s="5">
        <v>85.810137490000002</v>
      </c>
      <c r="C836" s="5">
        <v>66.955007670000001</v>
      </c>
      <c r="D836" s="5">
        <v>70</v>
      </c>
      <c r="E836" s="5">
        <v>70.400927999999993</v>
      </c>
      <c r="F836" s="5">
        <v>90.15504104</v>
      </c>
      <c r="G836" s="5">
        <v>78.282399170000005</v>
      </c>
      <c r="H836" s="5">
        <v>66.156558709999999</v>
      </c>
      <c r="I836" s="5">
        <v>68.876193079999993</v>
      </c>
    </row>
    <row r="837" spans="1:9" ht="14.25" customHeight="1" x14ac:dyDescent="0.3">
      <c r="A837" t="s">
        <v>2685</v>
      </c>
      <c r="B837" s="5">
        <v>83.941920850000002</v>
      </c>
      <c r="C837" s="5">
        <v>64.649209810000002</v>
      </c>
      <c r="D837" s="5">
        <v>81.155355650000004</v>
      </c>
      <c r="E837" s="5">
        <v>68.235780180000006</v>
      </c>
      <c r="F837" s="5">
        <v>89.588983010000007</v>
      </c>
      <c r="G837" s="5">
        <v>77.945197070000006</v>
      </c>
      <c r="H837" s="5">
        <v>72.866494900000006</v>
      </c>
      <c r="I837" s="5">
        <v>54.779986559999998</v>
      </c>
    </row>
    <row r="838" spans="1:9" ht="14.25" customHeight="1" x14ac:dyDescent="0.3">
      <c r="A838" t="s">
        <v>2686</v>
      </c>
      <c r="B838" s="5">
        <v>88.792546700000003</v>
      </c>
      <c r="C838" s="5">
        <v>60.617655130000003</v>
      </c>
      <c r="D838" s="5">
        <v>81.373329369999993</v>
      </c>
      <c r="E838" s="5">
        <v>61.835825249999999</v>
      </c>
      <c r="F838" s="5">
        <v>99.9</v>
      </c>
      <c r="G838" s="5">
        <v>85</v>
      </c>
      <c r="H838" s="5">
        <v>70.231169309999999</v>
      </c>
      <c r="I838" s="5">
        <v>57.307967310000002</v>
      </c>
    </row>
    <row r="839" spans="1:9" ht="14.25" customHeight="1" x14ac:dyDescent="0.3">
      <c r="A839" t="s">
        <v>1717</v>
      </c>
      <c r="B839" s="5">
        <v>86.966157339999995</v>
      </c>
      <c r="C839" s="5">
        <v>70.274884729999997</v>
      </c>
      <c r="D839" s="5">
        <v>82.706544780000002</v>
      </c>
      <c r="E839" s="5">
        <v>62.007956790000001</v>
      </c>
      <c r="F839" s="5">
        <v>86.619533320000002</v>
      </c>
      <c r="G839" s="5">
        <v>76.305902739999993</v>
      </c>
      <c r="H839" s="5">
        <v>75.290807360000002</v>
      </c>
      <c r="I839" s="5">
        <v>50.087572360000003</v>
      </c>
    </row>
    <row r="840" spans="1:9" ht="14.25" customHeight="1" x14ac:dyDescent="0.3">
      <c r="A840" t="s">
        <v>2687</v>
      </c>
      <c r="B840" s="5">
        <v>99.9</v>
      </c>
      <c r="C840" s="5">
        <v>73.945139920000003</v>
      </c>
      <c r="D840" s="5">
        <v>73.058502230000002</v>
      </c>
      <c r="E840" s="5">
        <v>65.904372690000002</v>
      </c>
      <c r="F840" s="5">
        <v>87.170791390000005</v>
      </c>
      <c r="G840" s="5">
        <v>82.095407480000006</v>
      </c>
      <c r="H840" s="5">
        <v>66.691804820000002</v>
      </c>
      <c r="I840" s="5">
        <v>52.623130600000003</v>
      </c>
    </row>
    <row r="841" spans="1:9" ht="14.25" customHeight="1" x14ac:dyDescent="0.3">
      <c r="A841" t="s">
        <v>2688</v>
      </c>
      <c r="B841" s="5">
        <v>82.644494690000002</v>
      </c>
      <c r="C841" s="5">
        <v>66.519075369999996</v>
      </c>
      <c r="D841" s="5">
        <v>78.954257130000002</v>
      </c>
      <c r="E841" s="5">
        <v>65.330485749999994</v>
      </c>
      <c r="F841" s="5">
        <v>85.871708720000001</v>
      </c>
      <c r="G841" s="5">
        <v>85</v>
      </c>
      <c r="H841" s="5">
        <v>75.760432190000003</v>
      </c>
      <c r="I841" s="5">
        <v>62.483004149999999</v>
      </c>
    </row>
    <row r="842" spans="1:9" ht="14.25" customHeight="1" x14ac:dyDescent="0.3">
      <c r="A842" t="s">
        <v>2689</v>
      </c>
      <c r="B842" s="5">
        <v>92.278184049999993</v>
      </c>
      <c r="C842" s="5">
        <v>71.882845549999999</v>
      </c>
      <c r="D842" s="5">
        <v>70.939434460000001</v>
      </c>
      <c r="E842" s="5">
        <v>75</v>
      </c>
      <c r="F842" s="5">
        <v>99.9</v>
      </c>
      <c r="G842" s="5">
        <v>82.29928357</v>
      </c>
      <c r="H842" s="5">
        <v>70.345771499999998</v>
      </c>
      <c r="I842" s="5">
        <v>57.358232090000001</v>
      </c>
    </row>
    <row r="843" spans="1:9" ht="14.25" customHeight="1" x14ac:dyDescent="0.3">
      <c r="A843" t="s">
        <v>1725</v>
      </c>
      <c r="B843" s="5">
        <v>75</v>
      </c>
      <c r="C843" s="5">
        <v>72.381372470000002</v>
      </c>
      <c r="D843" s="5">
        <v>78.881502429999998</v>
      </c>
      <c r="E843" s="5">
        <v>71.633822289999998</v>
      </c>
      <c r="F843" s="5">
        <v>87.153311869999996</v>
      </c>
      <c r="G843" s="5">
        <v>71.401498900000007</v>
      </c>
      <c r="H843" s="5">
        <v>75.033392190000001</v>
      </c>
      <c r="I843" s="5">
        <v>58.614790769999999</v>
      </c>
    </row>
    <row r="844" spans="1:9" ht="14.25" customHeight="1" x14ac:dyDescent="0.3">
      <c r="A844" t="s">
        <v>2690</v>
      </c>
      <c r="B844" s="5">
        <v>85.585812919999995</v>
      </c>
      <c r="C844" s="5">
        <v>64.542220330000006</v>
      </c>
      <c r="D844" s="5">
        <v>78.677207249999995</v>
      </c>
      <c r="E844" s="5">
        <v>67.485173430000003</v>
      </c>
      <c r="F844" s="5">
        <v>97.394041439999995</v>
      </c>
      <c r="G844" s="5">
        <v>80.832874169999997</v>
      </c>
      <c r="H844" s="5">
        <v>69.438102290000003</v>
      </c>
      <c r="I844" s="5">
        <v>70</v>
      </c>
    </row>
    <row r="845" spans="1:9" ht="14.25" customHeight="1" x14ac:dyDescent="0.3">
      <c r="A845" t="s">
        <v>2691</v>
      </c>
      <c r="B845" s="5">
        <v>86.657699190000002</v>
      </c>
      <c r="C845" s="5">
        <v>78.331893449999995</v>
      </c>
      <c r="D845" s="5">
        <v>81.136999919999994</v>
      </c>
      <c r="E845" s="5">
        <v>68.724228690000004</v>
      </c>
      <c r="F845" s="5">
        <v>89.989132150000003</v>
      </c>
      <c r="G845" s="5">
        <v>79.935759430000004</v>
      </c>
      <c r="H845" s="5">
        <v>66.810093170000002</v>
      </c>
      <c r="I845" s="5">
        <v>55.216035869999999</v>
      </c>
    </row>
    <row r="846" spans="1:9" ht="14.25" customHeight="1" x14ac:dyDescent="0.3">
      <c r="A846" t="s">
        <v>2692</v>
      </c>
      <c r="B846" s="5">
        <v>90.185364250000006</v>
      </c>
      <c r="C846" s="5">
        <v>72.715478700000006</v>
      </c>
      <c r="D846" s="5">
        <v>72.198148930000002</v>
      </c>
      <c r="E846" s="5">
        <v>63.820315880000003</v>
      </c>
      <c r="F846" s="5">
        <v>93.037863569999999</v>
      </c>
      <c r="G846" s="5">
        <v>70.601127259999998</v>
      </c>
      <c r="H846" s="5">
        <v>70.440766199999999</v>
      </c>
      <c r="I846" s="5">
        <v>50</v>
      </c>
    </row>
    <row r="847" spans="1:9" ht="14.25" customHeight="1" x14ac:dyDescent="0.3">
      <c r="A847" t="s">
        <v>2693</v>
      </c>
      <c r="B847" s="5">
        <v>89.753549960000001</v>
      </c>
      <c r="C847" s="5">
        <v>60</v>
      </c>
      <c r="D847" s="5">
        <v>70</v>
      </c>
      <c r="E847" s="5">
        <v>60.967365239999999</v>
      </c>
      <c r="F847" s="5">
        <v>99.9</v>
      </c>
      <c r="G847" s="5">
        <v>73.684411760000003</v>
      </c>
      <c r="H847" s="5">
        <v>70.499003389999999</v>
      </c>
      <c r="I847" s="5">
        <v>53.45108862</v>
      </c>
    </row>
    <row r="848" spans="1:9" ht="14.25" customHeight="1" x14ac:dyDescent="0.3">
      <c r="A848" t="s">
        <v>1735</v>
      </c>
      <c r="B848" s="5">
        <v>90.070966609999999</v>
      </c>
      <c r="C848" s="5">
        <v>68.791107850000003</v>
      </c>
      <c r="D848" s="5">
        <v>72.29218865</v>
      </c>
      <c r="E848" s="5">
        <v>64.509055430000004</v>
      </c>
      <c r="F848" s="5">
        <v>85.944058839999997</v>
      </c>
      <c r="G848" s="5">
        <v>80.684638879999994</v>
      </c>
      <c r="H848" s="5">
        <v>66.735370239999995</v>
      </c>
      <c r="I848" s="5">
        <v>51.24188839</v>
      </c>
    </row>
    <row r="849" spans="1:9" ht="14.25" customHeight="1" x14ac:dyDescent="0.3">
      <c r="A849" t="s">
        <v>1737</v>
      </c>
      <c r="B849" s="5">
        <v>88.222170129999995</v>
      </c>
      <c r="C849" s="5">
        <v>72.519924090000004</v>
      </c>
      <c r="D849" s="5">
        <v>70</v>
      </c>
      <c r="E849" s="5">
        <v>64.370126240000005</v>
      </c>
      <c r="F849" s="5">
        <v>85.513081709999994</v>
      </c>
      <c r="G849" s="5">
        <v>71.092453500000005</v>
      </c>
      <c r="H849" s="5">
        <v>72.011592429999993</v>
      </c>
      <c r="I849" s="5">
        <v>50</v>
      </c>
    </row>
    <row r="850" spans="1:9" ht="14.25" customHeight="1" x14ac:dyDescent="0.3">
      <c r="A850" t="s">
        <v>2694</v>
      </c>
      <c r="B850" s="5">
        <v>88.484654039999995</v>
      </c>
      <c r="C850" s="5">
        <v>60</v>
      </c>
      <c r="D850" s="5">
        <v>70.361490770000003</v>
      </c>
      <c r="E850" s="5">
        <v>57.848343900000003</v>
      </c>
      <c r="F850" s="5">
        <v>97.404090280000005</v>
      </c>
      <c r="G850" s="5">
        <v>71.472636390000005</v>
      </c>
      <c r="H850" s="5">
        <v>76.525317520000002</v>
      </c>
      <c r="I850" s="5">
        <v>51.780399449999997</v>
      </c>
    </row>
    <row r="851" spans="1:9" ht="14.25" customHeight="1" x14ac:dyDescent="0.3">
      <c r="A851" t="s">
        <v>2695</v>
      </c>
      <c r="B851" s="5">
        <v>92.909657249999995</v>
      </c>
      <c r="C851" s="5">
        <v>60</v>
      </c>
      <c r="D851" s="5">
        <v>84.210811410000005</v>
      </c>
      <c r="E851" s="5">
        <v>67.818017789999999</v>
      </c>
      <c r="F851" s="5">
        <v>82.469820979999994</v>
      </c>
      <c r="G851" s="5">
        <v>84.451217920000005</v>
      </c>
      <c r="H851" s="5">
        <v>77.37237958</v>
      </c>
      <c r="I851" s="5">
        <v>51.823105890000001</v>
      </c>
    </row>
    <row r="852" spans="1:9" ht="14.25" customHeight="1" x14ac:dyDescent="0.3">
      <c r="A852" t="s">
        <v>2696</v>
      </c>
      <c r="B852" s="5">
        <v>83.243314729999994</v>
      </c>
      <c r="C852" s="5">
        <v>60</v>
      </c>
      <c r="D852" s="5">
        <v>74.720067169999993</v>
      </c>
      <c r="E852" s="5">
        <v>59.142103990000003</v>
      </c>
      <c r="F852" s="5">
        <v>94.144009969999999</v>
      </c>
      <c r="G852" s="5">
        <v>81.239048440000005</v>
      </c>
      <c r="H852" s="5">
        <v>68.205526309999996</v>
      </c>
      <c r="I852" s="5">
        <v>62.094173439999999</v>
      </c>
    </row>
    <row r="853" spans="1:9" ht="14.25" customHeight="1" x14ac:dyDescent="0.3">
      <c r="A853" t="s">
        <v>1745</v>
      </c>
      <c r="B853" s="5">
        <v>84.318342459999997</v>
      </c>
      <c r="C853" s="5">
        <v>60</v>
      </c>
      <c r="D853" s="5">
        <v>79.321484260000005</v>
      </c>
      <c r="E853" s="5">
        <v>64.164866070000002</v>
      </c>
      <c r="F853" s="5">
        <v>92.507966929999995</v>
      </c>
      <c r="G853" s="5">
        <v>81.299232160000003</v>
      </c>
      <c r="H853" s="5">
        <v>67.87344324</v>
      </c>
      <c r="I853" s="5">
        <v>53.959045230000001</v>
      </c>
    </row>
    <row r="854" spans="1:9" ht="14.25" customHeight="1" x14ac:dyDescent="0.3">
      <c r="A854" t="s">
        <v>2697</v>
      </c>
      <c r="B854" s="5">
        <v>87.440584360000003</v>
      </c>
      <c r="C854" s="5">
        <v>60.407725650000003</v>
      </c>
      <c r="D854" s="5">
        <v>81.592606410000002</v>
      </c>
      <c r="E854" s="5">
        <v>66.149927989999995</v>
      </c>
      <c r="F854" s="5">
        <v>85.288946129999999</v>
      </c>
      <c r="G854" s="5">
        <v>84.181086339999993</v>
      </c>
      <c r="H854" s="5">
        <v>76.418451509999997</v>
      </c>
      <c r="I854" s="5">
        <v>56.268289350000003</v>
      </c>
    </row>
    <row r="855" spans="1:9" ht="14.25" customHeight="1" x14ac:dyDescent="0.3">
      <c r="A855" t="s">
        <v>1749</v>
      </c>
      <c r="B855" s="5">
        <v>77.911633780000003</v>
      </c>
      <c r="C855" s="5">
        <v>74.817616540000003</v>
      </c>
      <c r="D855" s="5">
        <v>75.471670759999995</v>
      </c>
      <c r="E855" s="5">
        <v>67.184501510000004</v>
      </c>
      <c r="F855" s="5">
        <v>91.700686849999997</v>
      </c>
      <c r="G855" s="5">
        <v>66.850510970000002</v>
      </c>
      <c r="H855" s="5">
        <v>70.960595819999995</v>
      </c>
      <c r="I855" s="5">
        <v>58.231700289999999</v>
      </c>
    </row>
    <row r="856" spans="1:9" ht="14.25" customHeight="1" x14ac:dyDescent="0.3">
      <c r="A856" t="s">
        <v>2698</v>
      </c>
      <c r="B856" s="5">
        <v>79.6464517</v>
      </c>
      <c r="C856" s="5">
        <v>74.814343210000004</v>
      </c>
      <c r="D856" s="5">
        <v>84.99681932</v>
      </c>
      <c r="E856" s="5">
        <v>55</v>
      </c>
      <c r="F856" s="5">
        <v>98.623760709999999</v>
      </c>
      <c r="G856" s="5">
        <v>81.51944666</v>
      </c>
      <c r="H856" s="5">
        <v>70.568964399999999</v>
      </c>
      <c r="I856" s="5">
        <v>58.503592580000003</v>
      </c>
    </row>
    <row r="857" spans="1:9" ht="14.25" customHeight="1" x14ac:dyDescent="0.3">
      <c r="A857" t="s">
        <v>2699</v>
      </c>
      <c r="B857" s="5">
        <v>88.997146520000001</v>
      </c>
      <c r="C857" s="5">
        <v>72.070017919999998</v>
      </c>
      <c r="D857" s="5">
        <v>87.011450310000001</v>
      </c>
      <c r="E857" s="5">
        <v>68.801389</v>
      </c>
      <c r="F857" s="5">
        <v>98.404505080000007</v>
      </c>
      <c r="G857" s="5">
        <v>80.291243350000002</v>
      </c>
      <c r="H857" s="5">
        <v>69.026647519999997</v>
      </c>
      <c r="I857" s="5">
        <v>64.723500119999997</v>
      </c>
    </row>
    <row r="858" spans="1:9" ht="14.25" customHeight="1" x14ac:dyDescent="0.3">
      <c r="A858" t="s">
        <v>1755</v>
      </c>
      <c r="B858" s="5">
        <v>78.327619659999996</v>
      </c>
      <c r="C858" s="5">
        <v>69.218818900000002</v>
      </c>
      <c r="D858" s="5">
        <v>71.596849329999998</v>
      </c>
      <c r="E858" s="5">
        <v>60.436513429999998</v>
      </c>
      <c r="F858" s="5">
        <v>98.714185459999996</v>
      </c>
      <c r="G858" s="5">
        <v>77.477918399999993</v>
      </c>
      <c r="H858" s="5">
        <v>73.571604140000005</v>
      </c>
      <c r="I858" s="5">
        <v>51.501643700000002</v>
      </c>
    </row>
    <row r="859" spans="1:9" ht="14.25" customHeight="1" x14ac:dyDescent="0.3">
      <c r="A859" t="s">
        <v>1757</v>
      </c>
      <c r="B859" s="5">
        <v>92.437059009999999</v>
      </c>
      <c r="C859" s="5">
        <v>66.334184179999994</v>
      </c>
      <c r="D859" s="5">
        <v>70.659812509999995</v>
      </c>
      <c r="E859" s="5">
        <v>58.378716429999997</v>
      </c>
      <c r="F859" s="5">
        <v>95.517763299999999</v>
      </c>
      <c r="G859" s="5">
        <v>75.535233309999995</v>
      </c>
      <c r="H859" s="5">
        <v>75.966829880000006</v>
      </c>
      <c r="I859" s="5">
        <v>61.333092129999997</v>
      </c>
    </row>
    <row r="860" spans="1:9" ht="14.25" customHeight="1" x14ac:dyDescent="0.3">
      <c r="A860" t="s">
        <v>2700</v>
      </c>
      <c r="B860" s="5">
        <v>85.332889170000001</v>
      </c>
      <c r="C860" s="5">
        <v>80</v>
      </c>
      <c r="D860" s="5">
        <v>77.779347920000006</v>
      </c>
      <c r="E860" s="5">
        <v>63.998736639999997</v>
      </c>
      <c r="F860" s="5">
        <v>80.747840400000001</v>
      </c>
      <c r="G860" s="5">
        <v>85</v>
      </c>
      <c r="H860" s="5">
        <v>65</v>
      </c>
      <c r="I860" s="5">
        <v>55.791503229999996</v>
      </c>
    </row>
    <row r="861" spans="1:9" ht="14.25" customHeight="1" x14ac:dyDescent="0.3">
      <c r="A861" t="s">
        <v>2701</v>
      </c>
      <c r="B861" s="5">
        <v>77.707403650000003</v>
      </c>
      <c r="C861" s="5">
        <v>77.088097899999994</v>
      </c>
      <c r="D861" s="5">
        <v>77.249734340000003</v>
      </c>
      <c r="E861" s="5">
        <v>59.211400439999998</v>
      </c>
      <c r="F861" s="5">
        <v>84.728059779999995</v>
      </c>
      <c r="G861" s="5">
        <v>78.133578819999997</v>
      </c>
      <c r="H861" s="5">
        <v>75.213742389999993</v>
      </c>
      <c r="I861" s="5">
        <v>50.087413840000004</v>
      </c>
    </row>
    <row r="862" spans="1:9" ht="14.25" customHeight="1" x14ac:dyDescent="0.3">
      <c r="A862" t="s">
        <v>2702</v>
      </c>
      <c r="B862" s="5">
        <v>83.918360469999996</v>
      </c>
      <c r="C862" s="5">
        <v>60</v>
      </c>
      <c r="D862" s="5">
        <v>71.104788350000007</v>
      </c>
      <c r="E862" s="5">
        <v>65.581813350000004</v>
      </c>
      <c r="F862" s="5">
        <v>96.158130220000004</v>
      </c>
      <c r="G862" s="5">
        <v>76.009793970000004</v>
      </c>
      <c r="H862" s="5">
        <v>74.471067270000006</v>
      </c>
      <c r="I862" s="5">
        <v>51.74351102</v>
      </c>
    </row>
    <row r="863" spans="1:9" ht="14.25" customHeight="1" x14ac:dyDescent="0.3">
      <c r="A863" t="s">
        <v>2703</v>
      </c>
      <c r="B863" s="5">
        <v>84.314129289999997</v>
      </c>
      <c r="C863" s="5">
        <v>73.893432540000006</v>
      </c>
      <c r="D863" s="5">
        <v>77.582509540000004</v>
      </c>
      <c r="E863" s="5">
        <v>66.496180229999993</v>
      </c>
      <c r="F863" s="5">
        <v>90.427809620000005</v>
      </c>
      <c r="G863" s="5">
        <v>79.768744209999994</v>
      </c>
      <c r="H863" s="5">
        <v>69.501991189999998</v>
      </c>
      <c r="I863" s="5">
        <v>50</v>
      </c>
    </row>
    <row r="864" spans="1:9" ht="14.25" customHeight="1" x14ac:dyDescent="0.3">
      <c r="A864" t="s">
        <v>2704</v>
      </c>
      <c r="B864" s="5">
        <v>94.682766790000002</v>
      </c>
      <c r="C864" s="5">
        <v>72.917688999999996</v>
      </c>
      <c r="D864" s="5">
        <v>70</v>
      </c>
      <c r="E864" s="5">
        <v>65.433143950000002</v>
      </c>
      <c r="F864" s="5">
        <v>80.222271379999995</v>
      </c>
      <c r="G864" s="5">
        <v>79.411856069999999</v>
      </c>
      <c r="H864" s="5">
        <v>68.43832879</v>
      </c>
      <c r="I864" s="5">
        <v>65.383029820000004</v>
      </c>
    </row>
    <row r="865" spans="1:9" ht="14.25" customHeight="1" x14ac:dyDescent="0.3">
      <c r="A865" t="s">
        <v>2705</v>
      </c>
      <c r="B865" s="5">
        <v>83.544465720000005</v>
      </c>
      <c r="C865" s="5">
        <v>68.458982199999994</v>
      </c>
      <c r="D865" s="5">
        <v>73.31004867</v>
      </c>
      <c r="E865" s="5">
        <v>70.145790419999997</v>
      </c>
      <c r="F865" s="5">
        <v>93.192575629999993</v>
      </c>
      <c r="G865" s="5">
        <v>67.471149569999994</v>
      </c>
      <c r="H865" s="5">
        <v>72.266714469999997</v>
      </c>
      <c r="I865" s="5">
        <v>53.737782090000003</v>
      </c>
    </row>
    <row r="866" spans="1:9" ht="14.25" customHeight="1" x14ac:dyDescent="0.3">
      <c r="A866" t="s">
        <v>1771</v>
      </c>
      <c r="B866" s="5">
        <v>75</v>
      </c>
      <c r="C866" s="5">
        <v>68.096452249999999</v>
      </c>
      <c r="D866" s="5">
        <v>85.585654239999997</v>
      </c>
      <c r="E866" s="5">
        <v>67.752702819999996</v>
      </c>
      <c r="F866" s="5">
        <v>92.221588609999998</v>
      </c>
      <c r="G866" s="5">
        <v>81.992269399999998</v>
      </c>
      <c r="H866" s="5">
        <v>68.939015749999996</v>
      </c>
      <c r="I866" s="5">
        <v>54.063121109999997</v>
      </c>
    </row>
    <row r="867" spans="1:9" ht="14.25" customHeight="1" x14ac:dyDescent="0.3">
      <c r="A867" t="s">
        <v>2706</v>
      </c>
      <c r="B867" s="5">
        <v>86.713593130000007</v>
      </c>
      <c r="C867" s="5">
        <v>71.882931060000004</v>
      </c>
      <c r="D867" s="5">
        <v>79.991391649999997</v>
      </c>
      <c r="E867" s="5">
        <v>72.904729009999997</v>
      </c>
      <c r="F867" s="5">
        <v>98.18748162</v>
      </c>
      <c r="G867" s="5">
        <v>73.884588089999994</v>
      </c>
      <c r="H867" s="5">
        <v>73.50229204</v>
      </c>
      <c r="I867" s="5">
        <v>56.663448420000002</v>
      </c>
    </row>
    <row r="868" spans="1:9" ht="14.25" customHeight="1" x14ac:dyDescent="0.3">
      <c r="A868" t="s">
        <v>1775</v>
      </c>
      <c r="B868" s="5">
        <v>81.780841330000001</v>
      </c>
      <c r="C868" s="5">
        <v>67.021037219999997</v>
      </c>
      <c r="D868" s="5">
        <v>83.881675509999994</v>
      </c>
      <c r="E868" s="5">
        <v>61.39739694</v>
      </c>
      <c r="F868" s="5">
        <v>96.457905429999997</v>
      </c>
      <c r="G868" s="5">
        <v>81.576950429999997</v>
      </c>
      <c r="H868" s="5">
        <v>70.203180849999995</v>
      </c>
      <c r="I868" s="5">
        <v>64.577920919999997</v>
      </c>
    </row>
    <row r="869" spans="1:9" ht="14.25" customHeight="1" x14ac:dyDescent="0.3">
      <c r="A869" t="s">
        <v>1777</v>
      </c>
      <c r="B869" s="5">
        <v>79.899282420000006</v>
      </c>
      <c r="C869" s="5">
        <v>68.321203139999994</v>
      </c>
      <c r="D869" s="5">
        <v>80.865138939999994</v>
      </c>
      <c r="E869" s="5">
        <v>61.565266200000003</v>
      </c>
      <c r="F869" s="5">
        <v>99.9</v>
      </c>
      <c r="G869" s="5">
        <v>72.306914329999998</v>
      </c>
      <c r="H869" s="5">
        <v>74.413553690000001</v>
      </c>
      <c r="I869" s="5">
        <v>66.861228260000004</v>
      </c>
    </row>
    <row r="870" spans="1:9" ht="14.25" customHeight="1" x14ac:dyDescent="0.3">
      <c r="A870" t="s">
        <v>1779</v>
      </c>
      <c r="B870" s="5">
        <v>76.557849340000004</v>
      </c>
      <c r="C870" s="5">
        <v>77.959721560000006</v>
      </c>
      <c r="D870" s="5">
        <v>75.667867990000005</v>
      </c>
      <c r="E870" s="5">
        <v>60.690512269999999</v>
      </c>
      <c r="F870" s="5">
        <v>80.152639960000002</v>
      </c>
      <c r="G870" s="5">
        <v>75.019025310000004</v>
      </c>
      <c r="H870" s="5">
        <v>65.193093599999997</v>
      </c>
      <c r="I870" s="5">
        <v>66.077804389999997</v>
      </c>
    </row>
    <row r="871" spans="1:9" ht="14.25" customHeight="1" x14ac:dyDescent="0.3">
      <c r="A871" t="s">
        <v>2707</v>
      </c>
      <c r="B871" s="5">
        <v>96.679184710000001</v>
      </c>
      <c r="C871" s="5">
        <v>67.404541949999995</v>
      </c>
      <c r="D871" s="5">
        <v>70.660455920000004</v>
      </c>
      <c r="E871" s="5">
        <v>61.979434580000003</v>
      </c>
      <c r="F871" s="5">
        <v>97.045826270000006</v>
      </c>
      <c r="G871" s="5">
        <v>76.7715824</v>
      </c>
      <c r="H871" s="5">
        <v>74.129696960000004</v>
      </c>
      <c r="I871" s="5">
        <v>50.150728059999999</v>
      </c>
    </row>
    <row r="872" spans="1:9" ht="14.25" customHeight="1" x14ac:dyDescent="0.3">
      <c r="A872" t="s">
        <v>2708</v>
      </c>
      <c r="B872" s="5">
        <v>95.496640040000003</v>
      </c>
      <c r="C872" s="5">
        <v>71.440103059999998</v>
      </c>
      <c r="D872" s="5">
        <v>73.414278120000006</v>
      </c>
      <c r="E872" s="5">
        <v>61.306844470000001</v>
      </c>
      <c r="F872" s="5">
        <v>99.9</v>
      </c>
      <c r="G872" s="5">
        <v>73.589466920000007</v>
      </c>
      <c r="H872" s="5">
        <v>72.134789620000006</v>
      </c>
      <c r="I872" s="5">
        <v>55.660426149999999</v>
      </c>
    </row>
    <row r="873" spans="1:9" ht="14.25" customHeight="1" x14ac:dyDescent="0.3">
      <c r="A873" t="s">
        <v>2709</v>
      </c>
      <c r="B873" s="5">
        <v>84.227782980000001</v>
      </c>
      <c r="C873" s="5">
        <v>70.241631089999998</v>
      </c>
      <c r="D873" s="5">
        <v>70</v>
      </c>
      <c r="E873" s="5">
        <v>62.109559590000003</v>
      </c>
      <c r="F873" s="5">
        <v>99.9</v>
      </c>
      <c r="G873" s="5">
        <v>81.336665999999994</v>
      </c>
      <c r="H873" s="5">
        <v>69.546405239999999</v>
      </c>
      <c r="I873" s="5">
        <v>60.397095759999999</v>
      </c>
    </row>
    <row r="874" spans="1:9" ht="14.25" customHeight="1" x14ac:dyDescent="0.3">
      <c r="A874" t="s">
        <v>2710</v>
      </c>
      <c r="B874" s="5">
        <v>82.845371799999995</v>
      </c>
      <c r="C874" s="5">
        <v>67.088843530000005</v>
      </c>
      <c r="D874" s="5">
        <v>76.43679951</v>
      </c>
      <c r="E874" s="5">
        <v>68.262882540000007</v>
      </c>
      <c r="F874" s="5">
        <v>87.124949439999995</v>
      </c>
      <c r="G874" s="5">
        <v>77.894056800000001</v>
      </c>
      <c r="H874" s="5">
        <v>67.920349939999994</v>
      </c>
      <c r="I874" s="5">
        <v>59.83141638</v>
      </c>
    </row>
    <row r="875" spans="1:9" ht="14.25" customHeight="1" x14ac:dyDescent="0.3">
      <c r="A875" t="s">
        <v>2711</v>
      </c>
      <c r="B875" s="5">
        <v>88.261825220000006</v>
      </c>
      <c r="C875" s="5">
        <v>66.762532669999999</v>
      </c>
      <c r="D875" s="5">
        <v>72.097181500000005</v>
      </c>
      <c r="E875" s="5">
        <v>67.081989100000001</v>
      </c>
      <c r="F875" s="5">
        <v>80</v>
      </c>
      <c r="G875" s="5">
        <v>76.363785859999993</v>
      </c>
      <c r="H875" s="5">
        <v>67.085672299999999</v>
      </c>
      <c r="I875" s="5">
        <v>50.040974570000003</v>
      </c>
    </row>
    <row r="876" spans="1:9" ht="14.25" customHeight="1" x14ac:dyDescent="0.3">
      <c r="A876" t="s">
        <v>1791</v>
      </c>
      <c r="B876" s="5">
        <v>75</v>
      </c>
      <c r="C876" s="5">
        <v>70.468015980000004</v>
      </c>
      <c r="D876" s="5">
        <v>70.888302809999999</v>
      </c>
      <c r="E876" s="5">
        <v>58.69219708</v>
      </c>
      <c r="F876" s="5">
        <v>99.9</v>
      </c>
      <c r="G876" s="5">
        <v>85</v>
      </c>
      <c r="H876" s="5">
        <v>74.481357489999994</v>
      </c>
      <c r="I876" s="5">
        <v>50</v>
      </c>
    </row>
    <row r="877" spans="1:9" ht="14.25" customHeight="1" x14ac:dyDescent="0.3">
      <c r="A877" t="s">
        <v>2712</v>
      </c>
      <c r="B877" s="5">
        <v>75</v>
      </c>
      <c r="C877" s="5">
        <v>80</v>
      </c>
      <c r="D877" s="5">
        <v>82.017590979999994</v>
      </c>
      <c r="E877" s="5">
        <v>63.695612490000002</v>
      </c>
      <c r="F877" s="5">
        <v>83.273665190000003</v>
      </c>
      <c r="G877" s="5">
        <v>69.599093339999996</v>
      </c>
      <c r="H877" s="5">
        <v>71.140944219999994</v>
      </c>
      <c r="I877" s="5">
        <v>61.498351790000001</v>
      </c>
    </row>
    <row r="878" spans="1:9" ht="14.25" customHeight="1" x14ac:dyDescent="0.3">
      <c r="A878" t="s">
        <v>1795</v>
      </c>
      <c r="B878" s="5">
        <v>93.160163359999999</v>
      </c>
      <c r="C878" s="5">
        <v>69.902074529999993</v>
      </c>
      <c r="D878" s="5">
        <v>82.328015769999993</v>
      </c>
      <c r="E878" s="5">
        <v>66.529527709999996</v>
      </c>
      <c r="F878" s="5">
        <v>88.106535789999995</v>
      </c>
      <c r="G878" s="5">
        <v>78.9822712</v>
      </c>
      <c r="H878" s="5">
        <v>68.009977809999995</v>
      </c>
      <c r="I878" s="5">
        <v>61.153475299999997</v>
      </c>
    </row>
    <row r="879" spans="1:9" ht="14.25" customHeight="1" x14ac:dyDescent="0.3">
      <c r="A879" t="s">
        <v>2713</v>
      </c>
      <c r="B879" s="5">
        <v>77.246569309999998</v>
      </c>
      <c r="C879" s="5">
        <v>74.442981750000001</v>
      </c>
      <c r="D879" s="5">
        <v>90</v>
      </c>
      <c r="E879" s="5">
        <v>60.956545030000001</v>
      </c>
      <c r="F879" s="5">
        <v>93.943409619999997</v>
      </c>
      <c r="G879" s="5">
        <v>76.372166669999999</v>
      </c>
      <c r="H879" s="5">
        <v>78.432547249999999</v>
      </c>
      <c r="I879" s="5">
        <v>54.491782049999998</v>
      </c>
    </row>
    <row r="880" spans="1:9" ht="14.25" customHeight="1" x14ac:dyDescent="0.3">
      <c r="A880" t="s">
        <v>2714</v>
      </c>
      <c r="B880" s="5">
        <v>85.832990510000002</v>
      </c>
      <c r="C880" s="5">
        <v>62.217948049999997</v>
      </c>
      <c r="D880" s="5">
        <v>70</v>
      </c>
      <c r="E880" s="5">
        <v>64.529462379999998</v>
      </c>
      <c r="F880" s="5">
        <v>90.736480240000006</v>
      </c>
      <c r="G880" s="5">
        <v>75.086651369999998</v>
      </c>
      <c r="H880" s="5">
        <v>71.989915150000002</v>
      </c>
      <c r="I880" s="5">
        <v>59.585286019999998</v>
      </c>
    </row>
    <row r="881" spans="1:9" ht="14.25" customHeight="1" x14ac:dyDescent="0.3">
      <c r="A881" t="s">
        <v>1802</v>
      </c>
      <c r="B881" s="5">
        <v>85.099013319999997</v>
      </c>
      <c r="C881" s="5">
        <v>62.587421020000001</v>
      </c>
      <c r="D881" s="5">
        <v>84.721808060000001</v>
      </c>
      <c r="E881" s="5">
        <v>58.111916530000002</v>
      </c>
      <c r="F881" s="5">
        <v>89.632251249999996</v>
      </c>
      <c r="G881" s="5">
        <v>83.940695959999999</v>
      </c>
      <c r="H881" s="5">
        <v>70.628618970000005</v>
      </c>
      <c r="I881" s="5">
        <v>54.931136180000003</v>
      </c>
    </row>
    <row r="882" spans="1:9" ht="14.25" customHeight="1" x14ac:dyDescent="0.3">
      <c r="A882" t="s">
        <v>2715</v>
      </c>
      <c r="B882" s="5">
        <v>89.465699450000002</v>
      </c>
      <c r="C882" s="5">
        <v>61.140648810000002</v>
      </c>
      <c r="D882" s="5">
        <v>70</v>
      </c>
      <c r="E882" s="5">
        <v>69.592849099999995</v>
      </c>
      <c r="F882" s="5">
        <v>91.146369849999999</v>
      </c>
      <c r="G882" s="5">
        <v>84.350634339999999</v>
      </c>
      <c r="H882" s="5">
        <v>70.947762690000005</v>
      </c>
      <c r="I882" s="5">
        <v>59.945196780000003</v>
      </c>
    </row>
    <row r="883" spans="1:9" ht="14.25" customHeight="1" x14ac:dyDescent="0.3">
      <c r="A883" t="s">
        <v>2716</v>
      </c>
      <c r="B883" s="5">
        <v>85.387372119999995</v>
      </c>
      <c r="C883" s="5">
        <v>61.415046340000004</v>
      </c>
      <c r="D883" s="5">
        <v>74.686193000000003</v>
      </c>
      <c r="E883" s="5">
        <v>61.427349100000001</v>
      </c>
      <c r="F883" s="5">
        <v>92.032091829999999</v>
      </c>
      <c r="G883" s="5">
        <v>70.612082319999999</v>
      </c>
      <c r="H883" s="5">
        <v>67.150674179999996</v>
      </c>
      <c r="I883" s="5">
        <v>60.284952439999998</v>
      </c>
    </row>
    <row r="884" spans="1:9" ht="14.25" customHeight="1" x14ac:dyDescent="0.3">
      <c r="A884" t="s">
        <v>2717</v>
      </c>
      <c r="B884" s="5">
        <v>80.898692150000002</v>
      </c>
      <c r="C884" s="5">
        <v>60</v>
      </c>
      <c r="D884" s="5">
        <v>75.471722240000005</v>
      </c>
      <c r="E884" s="5">
        <v>59.586212150000001</v>
      </c>
      <c r="F884" s="5">
        <v>98.754984379999996</v>
      </c>
      <c r="G884" s="5">
        <v>80.518102889999994</v>
      </c>
      <c r="H884" s="5">
        <v>69.721933269999994</v>
      </c>
      <c r="I884" s="5">
        <v>52.213753599999997</v>
      </c>
    </row>
    <row r="885" spans="1:9" ht="14.25" customHeight="1" x14ac:dyDescent="0.3">
      <c r="A885" t="s">
        <v>2718</v>
      </c>
      <c r="B885" s="5">
        <v>93.983027480000004</v>
      </c>
      <c r="C885" s="5">
        <v>71.986834709999997</v>
      </c>
      <c r="D885" s="5">
        <v>82.558084609999995</v>
      </c>
      <c r="E885" s="5">
        <v>70.091685060000003</v>
      </c>
      <c r="F885" s="5">
        <v>82.325113169999995</v>
      </c>
      <c r="G885" s="5">
        <v>73.711213319999999</v>
      </c>
      <c r="H885" s="5">
        <v>70.066132609999997</v>
      </c>
      <c r="I885" s="5">
        <v>65.17671181</v>
      </c>
    </row>
    <row r="886" spans="1:9" ht="14.25" customHeight="1" x14ac:dyDescent="0.3">
      <c r="A886" t="s">
        <v>2719</v>
      </c>
      <c r="B886" s="5">
        <v>89.517371929999996</v>
      </c>
      <c r="C886" s="5">
        <v>70.323541890000001</v>
      </c>
      <c r="D886" s="5">
        <v>70</v>
      </c>
      <c r="E886" s="5">
        <v>56.862496120000003</v>
      </c>
      <c r="F886" s="5">
        <v>97.963341639999996</v>
      </c>
      <c r="G886" s="5">
        <v>75.406991199999993</v>
      </c>
      <c r="H886" s="5">
        <v>75.820216470000005</v>
      </c>
      <c r="I886" s="5">
        <v>65.896499419999998</v>
      </c>
    </row>
    <row r="887" spans="1:9" ht="14.25" customHeight="1" x14ac:dyDescent="0.3">
      <c r="A887" t="s">
        <v>2720</v>
      </c>
      <c r="B887" s="5">
        <v>90.631473940000006</v>
      </c>
      <c r="C887" s="5">
        <v>60</v>
      </c>
      <c r="D887" s="5">
        <v>72.309296239999995</v>
      </c>
      <c r="E887" s="5">
        <v>63.794303069999998</v>
      </c>
      <c r="F887" s="5">
        <v>85.277145270000005</v>
      </c>
      <c r="G887" s="5">
        <v>81.012926460000003</v>
      </c>
      <c r="H887" s="5">
        <v>75.455448439999998</v>
      </c>
      <c r="I887" s="5">
        <v>61.594259889999996</v>
      </c>
    </row>
    <row r="888" spans="1:9" ht="14.25" customHeight="1" x14ac:dyDescent="0.3">
      <c r="A888" t="s">
        <v>2721</v>
      </c>
      <c r="B888" s="5">
        <v>89.099397280000005</v>
      </c>
      <c r="C888" s="5">
        <v>63.153234320000003</v>
      </c>
      <c r="D888" s="5">
        <v>78.240367629999994</v>
      </c>
      <c r="E888" s="5">
        <v>64.087352969999998</v>
      </c>
      <c r="F888" s="5">
        <v>80.936422440000001</v>
      </c>
      <c r="G888" s="5">
        <v>76.847716349999999</v>
      </c>
      <c r="H888" s="5">
        <v>68.103256900000005</v>
      </c>
      <c r="I888" s="5">
        <v>50</v>
      </c>
    </row>
    <row r="889" spans="1:9" ht="14.25" customHeight="1" x14ac:dyDescent="0.3">
      <c r="A889" t="s">
        <v>2722</v>
      </c>
      <c r="B889" s="5">
        <v>88.930607469999998</v>
      </c>
      <c r="C889" s="5">
        <v>64.495749169999996</v>
      </c>
      <c r="D889" s="5">
        <v>80.835635179999997</v>
      </c>
      <c r="E889" s="5">
        <v>59.778518650000002</v>
      </c>
      <c r="F889" s="5">
        <v>87.183462160000005</v>
      </c>
      <c r="G889" s="5">
        <v>75.313115640000007</v>
      </c>
      <c r="H889" s="5">
        <v>66.300267489999996</v>
      </c>
      <c r="I889" s="5">
        <v>55.071453730000002</v>
      </c>
    </row>
    <row r="890" spans="1:9" ht="14.25" customHeight="1" x14ac:dyDescent="0.3">
      <c r="A890" t="s">
        <v>2723</v>
      </c>
      <c r="B890" s="5">
        <v>87.156869040000004</v>
      </c>
      <c r="C890" s="5">
        <v>71.236001119999997</v>
      </c>
      <c r="D890" s="5">
        <v>81.112216930000002</v>
      </c>
      <c r="E890" s="5">
        <v>68.982076550000002</v>
      </c>
      <c r="F890" s="5">
        <v>91.948412820000001</v>
      </c>
      <c r="G890" s="5">
        <v>77.39006741</v>
      </c>
      <c r="H890" s="5">
        <v>74.237792170000006</v>
      </c>
      <c r="I890" s="5">
        <v>50</v>
      </c>
    </row>
    <row r="891" spans="1:9" ht="14.25" customHeight="1" x14ac:dyDescent="0.3">
      <c r="A891" t="s">
        <v>2724</v>
      </c>
      <c r="B891" s="5">
        <v>79.879285370000005</v>
      </c>
      <c r="C891" s="5">
        <v>67.677019470000005</v>
      </c>
      <c r="D891" s="5">
        <v>70</v>
      </c>
      <c r="E891" s="5">
        <v>68.993715879999996</v>
      </c>
      <c r="F891" s="5">
        <v>80</v>
      </c>
      <c r="G891" s="5">
        <v>81.448976270000003</v>
      </c>
      <c r="H891" s="5">
        <v>71.066523079999996</v>
      </c>
      <c r="I891" s="5">
        <v>56.640593299999999</v>
      </c>
    </row>
    <row r="892" spans="1:9" ht="14.25" customHeight="1" x14ac:dyDescent="0.3">
      <c r="A892" t="s">
        <v>1824</v>
      </c>
      <c r="B892" s="5">
        <v>83.427053639999997</v>
      </c>
      <c r="C892" s="5">
        <v>70.074176019999996</v>
      </c>
      <c r="D892" s="5">
        <v>72.335003619999995</v>
      </c>
      <c r="E892" s="5">
        <v>59.914326840000001</v>
      </c>
      <c r="F892" s="5">
        <v>83.907299330000001</v>
      </c>
      <c r="G892" s="5">
        <v>77.272071080000003</v>
      </c>
      <c r="H892" s="5">
        <v>73.416365529999993</v>
      </c>
      <c r="I892" s="5">
        <v>63.1582504</v>
      </c>
    </row>
    <row r="893" spans="1:9" ht="14.25" customHeight="1" x14ac:dyDescent="0.3">
      <c r="A893" t="s">
        <v>1826</v>
      </c>
      <c r="B893" s="5">
        <v>80.605850469999993</v>
      </c>
      <c r="C893" s="5">
        <v>72.053862370000004</v>
      </c>
      <c r="D893" s="5">
        <v>77.029795329999999</v>
      </c>
      <c r="E893" s="5">
        <v>60.642349930000002</v>
      </c>
      <c r="F893" s="5">
        <v>85.032037169999995</v>
      </c>
      <c r="G893" s="5">
        <v>74.957297780000005</v>
      </c>
      <c r="H893" s="5">
        <v>79.544982959999999</v>
      </c>
      <c r="I893" s="5">
        <v>64.188374080000003</v>
      </c>
    </row>
    <row r="894" spans="1:9" ht="14.25" customHeight="1" x14ac:dyDescent="0.3">
      <c r="A894" t="s">
        <v>2725</v>
      </c>
      <c r="B894" s="5">
        <v>80.820179629999998</v>
      </c>
      <c r="C894" s="5">
        <v>69.076930469999994</v>
      </c>
      <c r="D894" s="5">
        <v>73.32745113</v>
      </c>
      <c r="E894" s="5">
        <v>68.095089450000003</v>
      </c>
      <c r="F894" s="5">
        <v>99.9</v>
      </c>
      <c r="G894" s="5">
        <v>81.647293410000003</v>
      </c>
      <c r="H894" s="5">
        <v>69.777945630000005</v>
      </c>
      <c r="I894" s="5">
        <v>56.48892317</v>
      </c>
    </row>
    <row r="895" spans="1:9" ht="14.25" customHeight="1" x14ac:dyDescent="0.3">
      <c r="A895" t="s">
        <v>2726</v>
      </c>
      <c r="B895" s="5">
        <v>90.336016700000002</v>
      </c>
      <c r="C895" s="5">
        <v>62.613195490000003</v>
      </c>
      <c r="D895" s="5">
        <v>73.363911509999994</v>
      </c>
      <c r="E895" s="5">
        <v>68.475192149999998</v>
      </c>
      <c r="F895" s="5">
        <v>87.645869390000001</v>
      </c>
      <c r="G895" s="5">
        <v>71.716017100000002</v>
      </c>
      <c r="H895" s="5">
        <v>65</v>
      </c>
      <c r="I895" s="5">
        <v>50</v>
      </c>
    </row>
    <row r="896" spans="1:9" ht="14.25" customHeight="1" x14ac:dyDescent="0.3">
      <c r="A896" t="s">
        <v>1832</v>
      </c>
      <c r="B896" s="5">
        <v>75</v>
      </c>
      <c r="C896" s="5">
        <v>68.431160590000005</v>
      </c>
      <c r="D896" s="5">
        <v>78.97503055</v>
      </c>
      <c r="E896" s="5">
        <v>68.28209631</v>
      </c>
      <c r="F896" s="5">
        <v>89.691475999999994</v>
      </c>
      <c r="G896" s="5">
        <v>74.524271299999995</v>
      </c>
      <c r="H896" s="5">
        <v>75.246348710000007</v>
      </c>
      <c r="I896" s="5">
        <v>64.331858330000003</v>
      </c>
    </row>
    <row r="897" spans="1:9" ht="14.25" customHeight="1" x14ac:dyDescent="0.3">
      <c r="A897" t="s">
        <v>2727</v>
      </c>
      <c r="B897" s="5">
        <v>90.731896210000002</v>
      </c>
      <c r="C897" s="5">
        <v>60.699942829999998</v>
      </c>
      <c r="D897" s="5">
        <v>72.946957170000005</v>
      </c>
      <c r="E897" s="5">
        <v>69.190619850000004</v>
      </c>
      <c r="F897" s="5">
        <v>95.224237489999993</v>
      </c>
      <c r="G897" s="5">
        <v>69.633183819999999</v>
      </c>
      <c r="H897" s="5">
        <v>72.575233699999998</v>
      </c>
      <c r="I897" s="5">
        <v>55.677627350000002</v>
      </c>
    </row>
    <row r="898" spans="1:9" ht="14.25" customHeight="1" x14ac:dyDescent="0.3">
      <c r="A898" t="s">
        <v>2728</v>
      </c>
      <c r="B898" s="5">
        <v>80.91565301</v>
      </c>
      <c r="C898" s="5">
        <v>61.86723817</v>
      </c>
      <c r="D898" s="5">
        <v>70</v>
      </c>
      <c r="E898" s="5">
        <v>62.95624961</v>
      </c>
      <c r="F898" s="5">
        <v>99.9</v>
      </c>
      <c r="G898" s="5">
        <v>81.275284869999993</v>
      </c>
      <c r="H898" s="5">
        <v>70.797157889999994</v>
      </c>
      <c r="I898" s="5">
        <v>61.423356239999997</v>
      </c>
    </row>
    <row r="899" spans="1:9" ht="14.25" customHeight="1" x14ac:dyDescent="0.3">
      <c r="A899" t="s">
        <v>2729</v>
      </c>
      <c r="B899" s="5">
        <v>83.473622109999994</v>
      </c>
      <c r="C899" s="5">
        <v>65.869734629999996</v>
      </c>
      <c r="D899" s="5">
        <v>72.591393080000003</v>
      </c>
      <c r="E899" s="5">
        <v>59.115593369999999</v>
      </c>
      <c r="F899" s="5">
        <v>85.759203409999998</v>
      </c>
      <c r="G899" s="5">
        <v>83.409587419999994</v>
      </c>
      <c r="H899" s="5">
        <v>69.820384110000006</v>
      </c>
      <c r="I899" s="5">
        <v>60.979316240000003</v>
      </c>
    </row>
    <row r="900" spans="1:9" ht="14.25" customHeight="1" x14ac:dyDescent="0.3">
      <c r="A900" t="s">
        <v>2730</v>
      </c>
      <c r="B900" s="5">
        <v>84.737475970000006</v>
      </c>
      <c r="C900" s="5">
        <v>68.201220989999996</v>
      </c>
      <c r="D900" s="5">
        <v>79.675641060000004</v>
      </c>
      <c r="E900" s="5">
        <v>64.73112716</v>
      </c>
      <c r="F900" s="5">
        <v>93.400694360000003</v>
      </c>
      <c r="G900" s="5">
        <v>84.928452140000005</v>
      </c>
      <c r="H900" s="5">
        <v>69.475129089999996</v>
      </c>
      <c r="I900" s="5">
        <v>50</v>
      </c>
    </row>
    <row r="901" spans="1:9" ht="14.25" customHeight="1" x14ac:dyDescent="0.3">
      <c r="A901" t="s">
        <v>1842</v>
      </c>
      <c r="B901" s="5">
        <v>86.318200899999994</v>
      </c>
      <c r="C901" s="5">
        <v>70.234120970000006</v>
      </c>
      <c r="D901" s="5">
        <v>82.760014960000007</v>
      </c>
      <c r="E901" s="5">
        <v>62.427102499999997</v>
      </c>
      <c r="F901" s="5">
        <v>94.413411210000007</v>
      </c>
      <c r="G901" s="5">
        <v>73.770471610000001</v>
      </c>
      <c r="H901" s="5">
        <v>71.314558469999994</v>
      </c>
      <c r="I901" s="5">
        <v>64.717643679999995</v>
      </c>
    </row>
    <row r="902" spans="1:9" ht="14.25" customHeight="1" x14ac:dyDescent="0.3">
      <c r="A902" t="s">
        <v>2731</v>
      </c>
      <c r="B902" s="5">
        <v>82.146803809999994</v>
      </c>
      <c r="C902" s="5">
        <v>69.719089460000006</v>
      </c>
      <c r="D902" s="5">
        <v>87.636956339999998</v>
      </c>
      <c r="E902" s="5">
        <v>69.424847909999997</v>
      </c>
      <c r="F902" s="5">
        <v>96.553655879999994</v>
      </c>
      <c r="G902" s="5">
        <v>79.880499950000001</v>
      </c>
      <c r="H902" s="5">
        <v>65</v>
      </c>
      <c r="I902" s="5">
        <v>52.169552150000001</v>
      </c>
    </row>
    <row r="903" spans="1:9" ht="14.25" customHeight="1" x14ac:dyDescent="0.3">
      <c r="A903" t="s">
        <v>2732</v>
      </c>
      <c r="B903" s="5">
        <v>82.163657009999994</v>
      </c>
      <c r="C903" s="5">
        <v>62.971437459999997</v>
      </c>
      <c r="D903" s="5">
        <v>76.274369219999997</v>
      </c>
      <c r="E903" s="5">
        <v>59.635075360000002</v>
      </c>
      <c r="F903" s="5">
        <v>94.166130710000004</v>
      </c>
      <c r="G903" s="5">
        <v>77.777530420000005</v>
      </c>
      <c r="H903" s="5">
        <v>73.913196139999997</v>
      </c>
      <c r="I903" s="5">
        <v>70</v>
      </c>
    </row>
    <row r="904" spans="1:9" ht="14.25" customHeight="1" x14ac:dyDescent="0.3">
      <c r="A904" t="s">
        <v>2733</v>
      </c>
      <c r="B904" s="5">
        <v>87.976782700000001</v>
      </c>
      <c r="C904" s="5">
        <v>66.58645396</v>
      </c>
      <c r="D904" s="5">
        <v>72.247642709999994</v>
      </c>
      <c r="E904" s="5">
        <v>59.285778690000001</v>
      </c>
      <c r="F904" s="5">
        <v>97.249200389999999</v>
      </c>
      <c r="G904" s="5">
        <v>79.979103989999999</v>
      </c>
      <c r="H904" s="5">
        <v>73.195653230000005</v>
      </c>
      <c r="I904" s="5">
        <v>69.541606770000001</v>
      </c>
    </row>
    <row r="905" spans="1:9" ht="14.25" customHeight="1" x14ac:dyDescent="0.3">
      <c r="A905" t="s">
        <v>1850</v>
      </c>
      <c r="B905" s="5">
        <v>75</v>
      </c>
      <c r="C905" s="5">
        <v>73.611644560000002</v>
      </c>
      <c r="D905" s="5">
        <v>72.562843020000003</v>
      </c>
      <c r="E905" s="5">
        <v>73.91967683</v>
      </c>
      <c r="F905" s="5">
        <v>87.331988390000006</v>
      </c>
      <c r="G905" s="5">
        <v>76.739007630000003</v>
      </c>
      <c r="H905" s="5">
        <v>76.045216159999995</v>
      </c>
      <c r="I905" s="5">
        <v>52.646550320000003</v>
      </c>
    </row>
    <row r="906" spans="1:9" ht="14.25" customHeight="1" x14ac:dyDescent="0.3">
      <c r="A906" t="s">
        <v>2734</v>
      </c>
      <c r="B906" s="5">
        <v>77.396439229999999</v>
      </c>
      <c r="C906" s="5">
        <v>72.621126849999996</v>
      </c>
      <c r="D906" s="5">
        <v>75.987856219999998</v>
      </c>
      <c r="E906" s="5">
        <v>63.216914119999998</v>
      </c>
      <c r="F906" s="5">
        <v>80.480127300000007</v>
      </c>
      <c r="G906" s="5">
        <v>82.089266170000002</v>
      </c>
      <c r="H906" s="5">
        <v>68.32328081</v>
      </c>
      <c r="I906" s="5">
        <v>59.208257750000001</v>
      </c>
    </row>
    <row r="907" spans="1:9" ht="14.25" customHeight="1" x14ac:dyDescent="0.3">
      <c r="A907" t="s">
        <v>2735</v>
      </c>
      <c r="B907" s="5">
        <v>81.534422849999999</v>
      </c>
      <c r="C907" s="5">
        <v>73.20039362</v>
      </c>
      <c r="D907" s="5">
        <v>81.802537549999997</v>
      </c>
      <c r="E907" s="5">
        <v>74.026401879999995</v>
      </c>
      <c r="F907" s="5">
        <v>92.170217730000005</v>
      </c>
      <c r="G907" s="5">
        <v>74.999851919999998</v>
      </c>
      <c r="H907" s="5">
        <v>70.37641988</v>
      </c>
      <c r="I907" s="5">
        <v>54.35490411</v>
      </c>
    </row>
    <row r="908" spans="1:9" ht="14.25" customHeight="1" x14ac:dyDescent="0.3">
      <c r="A908" t="s">
        <v>2736</v>
      </c>
      <c r="B908" s="5">
        <v>78.4178158</v>
      </c>
      <c r="C908" s="5">
        <v>72.207802869999995</v>
      </c>
      <c r="D908" s="5">
        <v>70.345990130000004</v>
      </c>
      <c r="E908" s="5">
        <v>59.354483979999998</v>
      </c>
      <c r="F908" s="5">
        <v>85.789292130000007</v>
      </c>
      <c r="G908" s="5">
        <v>76.914960660000006</v>
      </c>
      <c r="H908" s="5">
        <v>68.842677140000006</v>
      </c>
      <c r="I908" s="5">
        <v>52.385654840000001</v>
      </c>
    </row>
    <row r="909" spans="1:9" ht="14.25" customHeight="1" x14ac:dyDescent="0.3">
      <c r="A909" t="s">
        <v>2737</v>
      </c>
      <c r="B909" s="5">
        <v>75.472269460000007</v>
      </c>
      <c r="C909" s="5">
        <v>62.790155579999997</v>
      </c>
      <c r="D909" s="5">
        <v>74.511054400000006</v>
      </c>
      <c r="E909" s="5">
        <v>66.046731170000001</v>
      </c>
      <c r="F909" s="5">
        <v>80</v>
      </c>
      <c r="G909" s="5">
        <v>74.672341320000001</v>
      </c>
      <c r="H909" s="5">
        <v>76.413854349999994</v>
      </c>
      <c r="I909" s="5">
        <v>64.459408960000005</v>
      </c>
    </row>
    <row r="910" spans="1:9" ht="14.25" customHeight="1" x14ac:dyDescent="0.3">
      <c r="A910" t="s">
        <v>2738</v>
      </c>
      <c r="B910" s="5">
        <v>86.787724819999994</v>
      </c>
      <c r="C910" s="5">
        <v>70.162981529999996</v>
      </c>
      <c r="D910" s="5">
        <v>70</v>
      </c>
      <c r="E910" s="5">
        <v>65.370543789999999</v>
      </c>
      <c r="F910" s="5">
        <v>90.704049999999995</v>
      </c>
      <c r="G910" s="5">
        <v>80.208110540000007</v>
      </c>
      <c r="H910" s="5">
        <v>71.060562790000006</v>
      </c>
      <c r="I910" s="5">
        <v>60.948932710000001</v>
      </c>
    </row>
    <row r="911" spans="1:9" ht="14.25" customHeight="1" x14ac:dyDescent="0.3">
      <c r="A911" t="s">
        <v>2739</v>
      </c>
      <c r="B911" s="5">
        <v>93.506017619999994</v>
      </c>
      <c r="C911" s="5">
        <v>72.930405059999998</v>
      </c>
      <c r="D911" s="5">
        <v>77.321334480000004</v>
      </c>
      <c r="E911" s="5">
        <v>65.033720500000001</v>
      </c>
      <c r="F911" s="5">
        <v>80</v>
      </c>
      <c r="G911" s="5">
        <v>73.054754799999998</v>
      </c>
      <c r="H911" s="5">
        <v>71.692688590000003</v>
      </c>
      <c r="I911" s="5">
        <v>60.426654980000002</v>
      </c>
    </row>
    <row r="912" spans="1:9" ht="14.25" customHeight="1" x14ac:dyDescent="0.3">
      <c r="A912" t="s">
        <v>1864</v>
      </c>
      <c r="B912" s="5">
        <v>79.320295160000001</v>
      </c>
      <c r="C912" s="5">
        <v>73.801799209999999</v>
      </c>
      <c r="D912" s="5">
        <v>82.622570170000003</v>
      </c>
      <c r="E912" s="5">
        <v>62.646467579999999</v>
      </c>
      <c r="F912" s="5">
        <v>89.178933380000004</v>
      </c>
      <c r="G912" s="5">
        <v>72.887658450000004</v>
      </c>
      <c r="H912" s="5">
        <v>68.798481659999993</v>
      </c>
      <c r="I912" s="5">
        <v>64.045309149999994</v>
      </c>
    </row>
    <row r="913" spans="1:9" ht="14.25" customHeight="1" x14ac:dyDescent="0.3">
      <c r="A913" t="s">
        <v>2740</v>
      </c>
      <c r="B913" s="5">
        <v>83.713864270000002</v>
      </c>
      <c r="C913" s="5">
        <v>71.005561920000005</v>
      </c>
      <c r="D913" s="5">
        <v>70</v>
      </c>
      <c r="E913" s="5">
        <v>62.257661329999998</v>
      </c>
      <c r="F913" s="5">
        <v>97.085866300000006</v>
      </c>
      <c r="G913" s="5">
        <v>71.388142599999995</v>
      </c>
      <c r="H913" s="5">
        <v>72.911725270000005</v>
      </c>
      <c r="I913" s="5">
        <v>51.563039789999998</v>
      </c>
    </row>
    <row r="914" spans="1:9" ht="14.25" customHeight="1" x14ac:dyDescent="0.3">
      <c r="A914" t="s">
        <v>2741</v>
      </c>
      <c r="B914" s="5">
        <v>87.167512200000004</v>
      </c>
      <c r="C914" s="5">
        <v>68.001452490000005</v>
      </c>
      <c r="D914" s="5">
        <v>80.285637109999996</v>
      </c>
      <c r="E914" s="5">
        <v>67.108343640000001</v>
      </c>
      <c r="F914" s="5">
        <v>84.663579159999998</v>
      </c>
      <c r="G914" s="5">
        <v>77.977013690000007</v>
      </c>
      <c r="H914" s="5">
        <v>71.305088089999998</v>
      </c>
      <c r="I914" s="5">
        <v>54.20134891</v>
      </c>
    </row>
    <row r="915" spans="1:9" ht="14.25" customHeight="1" x14ac:dyDescent="0.3">
      <c r="A915" t="s">
        <v>2742</v>
      </c>
      <c r="B915" s="5">
        <v>95.120560620000006</v>
      </c>
      <c r="C915" s="5">
        <v>70.265577070000006</v>
      </c>
      <c r="D915" s="5">
        <v>79.517477459999995</v>
      </c>
      <c r="E915" s="5">
        <v>55.165649430000002</v>
      </c>
      <c r="F915" s="5">
        <v>90.919350190000003</v>
      </c>
      <c r="G915" s="5">
        <v>73.755899200000002</v>
      </c>
      <c r="H915" s="5">
        <v>66.964067529999994</v>
      </c>
      <c r="I915" s="5">
        <v>57.909845349999998</v>
      </c>
    </row>
    <row r="916" spans="1:9" ht="14.25" customHeight="1" x14ac:dyDescent="0.3">
      <c r="A916" t="s">
        <v>1872</v>
      </c>
      <c r="B916" s="5">
        <v>76.718901000000002</v>
      </c>
      <c r="C916" s="5">
        <v>76.916946499999995</v>
      </c>
      <c r="D916" s="5">
        <v>80.861873950000003</v>
      </c>
      <c r="E916" s="5">
        <v>63.345932650000002</v>
      </c>
      <c r="F916" s="5">
        <v>95.153899710000005</v>
      </c>
      <c r="G916" s="5">
        <v>77.495432179999995</v>
      </c>
      <c r="H916" s="5">
        <v>72.632575309999993</v>
      </c>
      <c r="I916" s="5">
        <v>62.698797929999998</v>
      </c>
    </row>
    <row r="917" spans="1:9" ht="14.25" customHeight="1" x14ac:dyDescent="0.3">
      <c r="A917" t="s">
        <v>1874</v>
      </c>
      <c r="B917" s="5">
        <v>87.090823610000001</v>
      </c>
      <c r="C917" s="5">
        <v>69.287381159999995</v>
      </c>
      <c r="D917" s="5">
        <v>84.770576009999999</v>
      </c>
      <c r="E917" s="5">
        <v>62.078378690000001</v>
      </c>
      <c r="F917" s="5">
        <v>85.396369469999996</v>
      </c>
      <c r="G917" s="5">
        <v>78.054960859999994</v>
      </c>
      <c r="H917" s="5">
        <v>69.939466510000003</v>
      </c>
      <c r="I917" s="5">
        <v>62.907468110000003</v>
      </c>
    </row>
    <row r="918" spans="1:9" ht="14.25" customHeight="1" x14ac:dyDescent="0.3">
      <c r="A918" t="s">
        <v>2743</v>
      </c>
      <c r="B918" s="5">
        <v>89.273216540000007</v>
      </c>
      <c r="C918" s="5">
        <v>65.763481200000001</v>
      </c>
      <c r="D918" s="5">
        <v>75.207659230000004</v>
      </c>
      <c r="E918" s="5">
        <v>62.705729980000001</v>
      </c>
      <c r="F918" s="5">
        <v>80</v>
      </c>
      <c r="G918" s="5">
        <v>75.418605490000004</v>
      </c>
      <c r="H918" s="5">
        <v>68.068089189999995</v>
      </c>
      <c r="I918" s="5">
        <v>58.574841489999997</v>
      </c>
    </row>
    <row r="919" spans="1:9" ht="14.25" customHeight="1" x14ac:dyDescent="0.3">
      <c r="A919" t="s">
        <v>1878</v>
      </c>
      <c r="B919" s="5">
        <v>86.880723099999997</v>
      </c>
      <c r="C919" s="5">
        <v>60</v>
      </c>
      <c r="D919" s="5">
        <v>75.470225940000006</v>
      </c>
      <c r="E919" s="5">
        <v>64.520562589999997</v>
      </c>
      <c r="F919" s="5">
        <v>92.841978830000002</v>
      </c>
      <c r="G919" s="5">
        <v>80.777894549999999</v>
      </c>
      <c r="H919" s="5">
        <v>65.807904019999995</v>
      </c>
      <c r="I919" s="5">
        <v>56.757794840000003</v>
      </c>
    </row>
    <row r="920" spans="1:9" ht="14.25" customHeight="1" x14ac:dyDescent="0.3">
      <c r="A920" t="s">
        <v>2744</v>
      </c>
      <c r="B920" s="5">
        <v>88.609521979999997</v>
      </c>
      <c r="C920" s="5">
        <v>67.425681350000005</v>
      </c>
      <c r="D920" s="5">
        <v>74.250541400000003</v>
      </c>
      <c r="E920" s="5">
        <v>64.378586889999994</v>
      </c>
      <c r="F920" s="5">
        <v>97.189053779999995</v>
      </c>
      <c r="G920" s="5">
        <v>81.462311479999997</v>
      </c>
      <c r="H920" s="5">
        <v>74.024970300000007</v>
      </c>
      <c r="I920" s="5">
        <v>59.301950269999999</v>
      </c>
    </row>
    <row r="921" spans="1:9" ht="14.25" customHeight="1" x14ac:dyDescent="0.3">
      <c r="A921" t="s">
        <v>2745</v>
      </c>
      <c r="B921" s="5">
        <v>75</v>
      </c>
      <c r="C921" s="5">
        <v>80</v>
      </c>
      <c r="D921" s="5">
        <v>87.799509360000002</v>
      </c>
      <c r="E921" s="5">
        <v>61.355908110000001</v>
      </c>
      <c r="F921" s="5">
        <v>84.542539849999997</v>
      </c>
      <c r="G921" s="5">
        <v>80.231938709999994</v>
      </c>
      <c r="H921" s="5">
        <v>72.255130980000004</v>
      </c>
      <c r="I921" s="5">
        <v>59.864592010000003</v>
      </c>
    </row>
    <row r="922" spans="1:9" ht="14.25" customHeight="1" x14ac:dyDescent="0.3">
      <c r="A922" t="s">
        <v>1884</v>
      </c>
      <c r="B922" s="5">
        <v>93.045351120000007</v>
      </c>
      <c r="C922" s="5">
        <v>61.594701669999999</v>
      </c>
      <c r="D922" s="5">
        <v>79.949114550000004</v>
      </c>
      <c r="E922" s="5">
        <v>61.074976730000003</v>
      </c>
      <c r="F922" s="5">
        <v>92.629999810000001</v>
      </c>
      <c r="G922" s="5">
        <v>83.573205000000002</v>
      </c>
      <c r="H922" s="5">
        <v>65</v>
      </c>
      <c r="I922" s="5">
        <v>63.405169399999998</v>
      </c>
    </row>
    <row r="923" spans="1:9" ht="14.25" customHeight="1" x14ac:dyDescent="0.3">
      <c r="A923" t="s">
        <v>2746</v>
      </c>
      <c r="B923" s="5">
        <v>87.225667040000005</v>
      </c>
      <c r="C923" s="5">
        <v>71.570412520000005</v>
      </c>
      <c r="D923" s="5">
        <v>82.209200640000006</v>
      </c>
      <c r="E923" s="5">
        <v>64.771746390000004</v>
      </c>
      <c r="F923" s="5">
        <v>99.9</v>
      </c>
      <c r="G923" s="5">
        <v>79.788538540000005</v>
      </c>
      <c r="H923" s="5">
        <v>74.175788319999995</v>
      </c>
      <c r="I923" s="5">
        <v>56.642110330000001</v>
      </c>
    </row>
    <row r="924" spans="1:9" ht="14.25" customHeight="1" x14ac:dyDescent="0.3">
      <c r="A924" t="s">
        <v>1888</v>
      </c>
      <c r="B924" s="5">
        <v>88.666077049999998</v>
      </c>
      <c r="C924" s="5">
        <v>78.033491659999996</v>
      </c>
      <c r="D924" s="5">
        <v>82.866129020000002</v>
      </c>
      <c r="E924" s="5">
        <v>55</v>
      </c>
      <c r="F924" s="5">
        <v>92.752474890000002</v>
      </c>
      <c r="G924" s="5">
        <v>74.326137410000001</v>
      </c>
      <c r="H924" s="5">
        <v>73.221558290000004</v>
      </c>
      <c r="I924" s="5">
        <v>54.018941730000002</v>
      </c>
    </row>
    <row r="925" spans="1:9" ht="14.25" customHeight="1" x14ac:dyDescent="0.3">
      <c r="A925" t="s">
        <v>2747</v>
      </c>
      <c r="B925" s="5">
        <v>81.703778479999997</v>
      </c>
      <c r="C925" s="5">
        <v>68.499906490000001</v>
      </c>
      <c r="D925" s="5">
        <v>70</v>
      </c>
      <c r="E925" s="5">
        <v>68.164225990000006</v>
      </c>
      <c r="F925" s="5">
        <v>85.518948030000004</v>
      </c>
      <c r="G925" s="5">
        <v>75.693692290000001</v>
      </c>
      <c r="H925" s="5">
        <v>73.093419400000002</v>
      </c>
      <c r="I925" s="5">
        <v>70</v>
      </c>
    </row>
    <row r="926" spans="1:9" ht="14.25" customHeight="1" x14ac:dyDescent="0.3">
      <c r="A926" t="s">
        <v>1892</v>
      </c>
      <c r="B926" s="5">
        <v>94.811974280000001</v>
      </c>
      <c r="C926" s="5">
        <v>75.318439150000003</v>
      </c>
      <c r="D926" s="5">
        <v>76.722137559999993</v>
      </c>
      <c r="E926" s="5">
        <v>72.456046850000007</v>
      </c>
      <c r="F926" s="5">
        <v>94.92394942</v>
      </c>
      <c r="G926" s="5">
        <v>77.191695659999993</v>
      </c>
      <c r="H926" s="5">
        <v>71.009473569999997</v>
      </c>
      <c r="I926" s="5">
        <v>51.93846095</v>
      </c>
    </row>
    <row r="927" spans="1:9" ht="14.25" customHeight="1" x14ac:dyDescent="0.3">
      <c r="A927" t="s">
        <v>2748</v>
      </c>
      <c r="B927" s="5">
        <v>87.724115960000006</v>
      </c>
      <c r="C927" s="5">
        <v>73.174533670000002</v>
      </c>
      <c r="D927" s="5">
        <v>70</v>
      </c>
      <c r="E927" s="5">
        <v>60.161132139999999</v>
      </c>
      <c r="F927" s="5">
        <v>91.380652690000005</v>
      </c>
      <c r="G927" s="5">
        <v>71.877900960000005</v>
      </c>
      <c r="H927" s="5">
        <v>66.577975949999995</v>
      </c>
      <c r="I927" s="5">
        <v>50</v>
      </c>
    </row>
    <row r="928" spans="1:9" ht="14.25" customHeight="1" x14ac:dyDescent="0.3">
      <c r="A928" t="s">
        <v>2749</v>
      </c>
      <c r="B928" s="5">
        <v>89.640202909999999</v>
      </c>
      <c r="C928" s="5">
        <v>66.149256510000001</v>
      </c>
      <c r="D928" s="5">
        <v>84.371968890000005</v>
      </c>
      <c r="E928" s="5">
        <v>58.271736879999999</v>
      </c>
      <c r="F928" s="5">
        <v>92.58948427</v>
      </c>
      <c r="G928" s="5">
        <v>76.258702729999996</v>
      </c>
      <c r="H928" s="5">
        <v>66.682032669999998</v>
      </c>
      <c r="I928" s="5">
        <v>60.84119218</v>
      </c>
    </row>
    <row r="929" spans="1:9" ht="14.25" customHeight="1" x14ac:dyDescent="0.3">
      <c r="A929" t="s">
        <v>2750</v>
      </c>
      <c r="B929" s="5">
        <v>80.912515130000003</v>
      </c>
      <c r="C929" s="5">
        <v>66.620713589999994</v>
      </c>
      <c r="D929" s="5">
        <v>82.692721660000004</v>
      </c>
      <c r="E929" s="5">
        <v>71.285069750000005</v>
      </c>
      <c r="F929" s="5">
        <v>89.721420249999994</v>
      </c>
      <c r="G929" s="5">
        <v>79.074695849999998</v>
      </c>
      <c r="H929" s="5">
        <v>76.429380480000006</v>
      </c>
      <c r="I929" s="5">
        <v>64.633750669999998</v>
      </c>
    </row>
    <row r="930" spans="1:9" ht="14.25" customHeight="1" x14ac:dyDescent="0.3">
      <c r="A930" t="s">
        <v>2751</v>
      </c>
      <c r="B930" s="5">
        <v>81.259779519999995</v>
      </c>
      <c r="C930" s="5">
        <v>72.942130300000002</v>
      </c>
      <c r="D930" s="5">
        <v>71.777391440000002</v>
      </c>
      <c r="E930" s="5">
        <v>70.917641669999995</v>
      </c>
      <c r="F930" s="5">
        <v>92.574799029999994</v>
      </c>
      <c r="G930" s="5">
        <v>76.877761289999995</v>
      </c>
      <c r="H930" s="5">
        <v>69.348124290000001</v>
      </c>
      <c r="I930" s="5">
        <v>67.861289170000006</v>
      </c>
    </row>
    <row r="931" spans="1:9" ht="14.25" customHeight="1" x14ac:dyDescent="0.3">
      <c r="A931" t="s">
        <v>2752</v>
      </c>
      <c r="B931" s="5">
        <v>75.433651620000006</v>
      </c>
      <c r="C931" s="5">
        <v>78.791788990000001</v>
      </c>
      <c r="D931" s="5">
        <v>80.112984819999994</v>
      </c>
      <c r="E931" s="5">
        <v>66.575039529999998</v>
      </c>
      <c r="F931" s="5">
        <v>84.729024870000003</v>
      </c>
      <c r="G931" s="5">
        <v>78.908021910000002</v>
      </c>
      <c r="H931" s="5">
        <v>71.807331439999999</v>
      </c>
      <c r="I931" s="5">
        <v>66.596020420000002</v>
      </c>
    </row>
    <row r="932" spans="1:9" ht="14.25" customHeight="1" x14ac:dyDescent="0.3">
      <c r="A932" t="s">
        <v>2753</v>
      </c>
      <c r="B932" s="5">
        <v>86.824635169999993</v>
      </c>
      <c r="C932" s="5">
        <v>61.855928740000003</v>
      </c>
      <c r="D932" s="5">
        <v>79.38305948</v>
      </c>
      <c r="E932" s="5">
        <v>58.504678749999997</v>
      </c>
      <c r="F932" s="5">
        <v>97.181766400000001</v>
      </c>
      <c r="G932" s="5">
        <v>83.278020299999994</v>
      </c>
      <c r="H932" s="5">
        <v>73.093917509999997</v>
      </c>
      <c r="I932" s="5">
        <v>61.301542060000003</v>
      </c>
    </row>
    <row r="933" spans="1:9" ht="14.25" customHeight="1" x14ac:dyDescent="0.3">
      <c r="A933" t="s">
        <v>2754</v>
      </c>
      <c r="B933" s="5">
        <v>84.020166380000006</v>
      </c>
      <c r="C933" s="5">
        <v>68.880545310000002</v>
      </c>
      <c r="D933" s="5">
        <v>84.995201300000005</v>
      </c>
      <c r="E933" s="5">
        <v>60.088755300000003</v>
      </c>
      <c r="F933" s="5">
        <v>98.553136109999997</v>
      </c>
      <c r="G933" s="5">
        <v>76.913739059999997</v>
      </c>
      <c r="H933" s="5">
        <v>71.752949060000006</v>
      </c>
      <c r="I933" s="5">
        <v>64.475191719999998</v>
      </c>
    </row>
    <row r="934" spans="1:9" ht="14.25" customHeight="1" x14ac:dyDescent="0.3">
      <c r="A934" t="s">
        <v>2755</v>
      </c>
      <c r="B934" s="5">
        <v>78.504691620000003</v>
      </c>
      <c r="C934" s="5">
        <v>68.614653340000004</v>
      </c>
      <c r="D934" s="5">
        <v>86.333678520000007</v>
      </c>
      <c r="E934" s="5">
        <v>63.409309579999999</v>
      </c>
      <c r="F934" s="5">
        <v>99.156060530000005</v>
      </c>
      <c r="G934" s="5">
        <v>76.018394580000006</v>
      </c>
      <c r="H934" s="5">
        <v>76.782534709999993</v>
      </c>
      <c r="I934" s="5">
        <v>60.589131559999998</v>
      </c>
    </row>
    <row r="935" spans="1:9" ht="14.25" customHeight="1" x14ac:dyDescent="0.3">
      <c r="A935" t="s">
        <v>2756</v>
      </c>
      <c r="B935" s="5">
        <v>95.961231479999995</v>
      </c>
      <c r="C935" s="5">
        <v>64.525338640000001</v>
      </c>
      <c r="D935" s="5">
        <v>83.159269730000005</v>
      </c>
      <c r="E935" s="5">
        <v>75</v>
      </c>
      <c r="F935" s="5">
        <v>80</v>
      </c>
      <c r="G935" s="5">
        <v>71.767323410000003</v>
      </c>
      <c r="H935" s="5">
        <v>65</v>
      </c>
      <c r="I935" s="5">
        <v>50.107862920000002</v>
      </c>
    </row>
    <row r="936" spans="1:9" ht="14.25" customHeight="1" x14ac:dyDescent="0.3">
      <c r="A936" t="s">
        <v>2757</v>
      </c>
      <c r="B936" s="5">
        <v>79.933152669999998</v>
      </c>
      <c r="C936" s="5">
        <v>80</v>
      </c>
      <c r="D936" s="5">
        <v>77.421050149999999</v>
      </c>
      <c r="E936" s="5">
        <v>66.697005039999993</v>
      </c>
      <c r="F936" s="5">
        <v>82.192365769999995</v>
      </c>
      <c r="G936" s="5">
        <v>81.456624829999996</v>
      </c>
      <c r="H936" s="5">
        <v>73.589958260000003</v>
      </c>
      <c r="I936" s="5">
        <v>52.986741639999998</v>
      </c>
    </row>
    <row r="937" spans="1:9" ht="14.25" customHeight="1" x14ac:dyDescent="0.3">
      <c r="A937" t="s">
        <v>2758</v>
      </c>
      <c r="B937" s="5">
        <v>81.311357909999998</v>
      </c>
      <c r="C937" s="5">
        <v>73.380326969999999</v>
      </c>
      <c r="D937" s="5">
        <v>75.188150629999996</v>
      </c>
      <c r="E937" s="5">
        <v>66.225183009999995</v>
      </c>
      <c r="F937" s="5">
        <v>87.646572739999996</v>
      </c>
      <c r="G937" s="5">
        <v>65</v>
      </c>
      <c r="H937" s="5">
        <v>71.657130300000006</v>
      </c>
      <c r="I937" s="5">
        <v>55.694247089999998</v>
      </c>
    </row>
    <row r="938" spans="1:9" ht="14.25" customHeight="1" x14ac:dyDescent="0.3">
      <c r="A938" t="s">
        <v>2759</v>
      </c>
      <c r="B938" s="5">
        <v>84.796492709999995</v>
      </c>
      <c r="C938" s="5">
        <v>66.202228259999998</v>
      </c>
      <c r="D938" s="5">
        <v>75.657777760000002</v>
      </c>
      <c r="E938" s="5">
        <v>66.198455980000006</v>
      </c>
      <c r="F938" s="5">
        <v>91.276416889999993</v>
      </c>
      <c r="G938" s="5">
        <v>72.976814480000002</v>
      </c>
      <c r="H938" s="5">
        <v>73.963962499999994</v>
      </c>
      <c r="I938" s="5">
        <v>54.47724959</v>
      </c>
    </row>
    <row r="939" spans="1:9" ht="14.25" customHeight="1" x14ac:dyDescent="0.3">
      <c r="A939" t="s">
        <v>2760</v>
      </c>
      <c r="B939" s="5">
        <v>87.810309290000006</v>
      </c>
      <c r="C939" s="5">
        <v>74.639403160000001</v>
      </c>
      <c r="D939" s="5">
        <v>75.276368309999995</v>
      </c>
      <c r="E939" s="5">
        <v>66.430875810000003</v>
      </c>
      <c r="F939" s="5">
        <v>90.956364010000001</v>
      </c>
      <c r="G939" s="5">
        <v>85</v>
      </c>
      <c r="H939" s="5">
        <v>72.902272789999998</v>
      </c>
      <c r="I939" s="5">
        <v>53.713200710000002</v>
      </c>
    </row>
    <row r="940" spans="1:9" ht="14.25" customHeight="1" x14ac:dyDescent="0.3">
      <c r="A940" t="s">
        <v>2761</v>
      </c>
      <c r="B940" s="5">
        <v>85.985907670000003</v>
      </c>
      <c r="C940" s="5">
        <v>60</v>
      </c>
      <c r="D940" s="5">
        <v>77.03861157</v>
      </c>
      <c r="E940" s="5">
        <v>64.477532490000002</v>
      </c>
      <c r="F940" s="5">
        <v>96.898560709999998</v>
      </c>
      <c r="G940" s="5">
        <v>80.692069900000007</v>
      </c>
      <c r="H940" s="5">
        <v>76.246697310000002</v>
      </c>
      <c r="I940" s="5">
        <v>58.03919466</v>
      </c>
    </row>
    <row r="941" spans="1:9" ht="14.25" customHeight="1" x14ac:dyDescent="0.3">
      <c r="A941" t="s">
        <v>2762</v>
      </c>
      <c r="B941" s="5">
        <v>81.811649520000003</v>
      </c>
      <c r="C941" s="5">
        <v>75.204339430000005</v>
      </c>
      <c r="D941" s="5">
        <v>70.808912050000004</v>
      </c>
      <c r="E941" s="5">
        <v>67.078808890000005</v>
      </c>
      <c r="F941" s="5">
        <v>80.470800019999999</v>
      </c>
      <c r="G941" s="5">
        <v>81.356723689999995</v>
      </c>
      <c r="H941" s="5">
        <v>67.892964860000006</v>
      </c>
      <c r="I941" s="5">
        <v>63.556532320000002</v>
      </c>
    </row>
    <row r="942" spans="1:9" ht="14.25" customHeight="1" x14ac:dyDescent="0.3">
      <c r="A942" t="s">
        <v>2763</v>
      </c>
      <c r="B942" s="5">
        <v>75</v>
      </c>
      <c r="C942" s="5">
        <v>62.467154309999998</v>
      </c>
      <c r="D942" s="5">
        <v>72.950602079999996</v>
      </c>
      <c r="E942" s="5">
        <v>58.088120279999998</v>
      </c>
      <c r="F942" s="5">
        <v>80</v>
      </c>
      <c r="G942" s="5">
        <v>78.759160480000006</v>
      </c>
      <c r="H942" s="5">
        <v>75.396529150000006</v>
      </c>
      <c r="I942" s="5">
        <v>50</v>
      </c>
    </row>
    <row r="943" spans="1:9" ht="14.25" customHeight="1" x14ac:dyDescent="0.3">
      <c r="A943" t="s">
        <v>2764</v>
      </c>
      <c r="B943" s="5">
        <v>81.238525859999996</v>
      </c>
      <c r="C943" s="5">
        <v>71.472042669999993</v>
      </c>
      <c r="D943" s="5">
        <v>80.78534793</v>
      </c>
      <c r="E943" s="5">
        <v>63.520866480000002</v>
      </c>
      <c r="F943" s="5">
        <v>90.558512019999995</v>
      </c>
      <c r="G943" s="5">
        <v>81.348567739999993</v>
      </c>
      <c r="H943" s="5">
        <v>65.508960579999993</v>
      </c>
      <c r="I943" s="5">
        <v>53.259466889999999</v>
      </c>
    </row>
    <row r="944" spans="1:9" ht="14.25" customHeight="1" x14ac:dyDescent="0.3">
      <c r="A944" t="s">
        <v>2765</v>
      </c>
      <c r="B944" s="5">
        <v>90.931438400000005</v>
      </c>
      <c r="C944" s="5">
        <v>69.383181680000007</v>
      </c>
      <c r="D944" s="5">
        <v>70.467232199999998</v>
      </c>
      <c r="E944" s="5">
        <v>64.102907810000005</v>
      </c>
      <c r="F944" s="5">
        <v>90.897253469999995</v>
      </c>
      <c r="G944" s="5">
        <v>85</v>
      </c>
      <c r="H944" s="5">
        <v>74.929616820000007</v>
      </c>
      <c r="I944" s="5">
        <v>70</v>
      </c>
    </row>
    <row r="945" spans="1:9" ht="14.25" customHeight="1" x14ac:dyDescent="0.3">
      <c r="A945" t="s">
        <v>2766</v>
      </c>
      <c r="B945" s="5">
        <v>86.435273879999997</v>
      </c>
      <c r="C945" s="5">
        <v>67.690412460000005</v>
      </c>
      <c r="D945" s="5">
        <v>76.485659139999996</v>
      </c>
      <c r="E945" s="5">
        <v>63.07907514</v>
      </c>
      <c r="F945" s="5">
        <v>90.093739389999996</v>
      </c>
      <c r="G945" s="5">
        <v>82.811529759999999</v>
      </c>
      <c r="H945" s="5">
        <v>68.011773090000005</v>
      </c>
      <c r="I945" s="5">
        <v>56.745382640000003</v>
      </c>
    </row>
    <row r="946" spans="1:9" ht="14.25" customHeight="1" x14ac:dyDescent="0.3">
      <c r="A946" t="s">
        <v>2767</v>
      </c>
      <c r="B946" s="5">
        <v>78.865346459999998</v>
      </c>
      <c r="C946" s="5">
        <v>77.622070390000005</v>
      </c>
      <c r="D946" s="5">
        <v>73.002373509999998</v>
      </c>
      <c r="E946" s="5">
        <v>66.458000470000002</v>
      </c>
      <c r="F946" s="5">
        <v>95.079061710000005</v>
      </c>
      <c r="G946" s="5">
        <v>72.768507200000002</v>
      </c>
      <c r="H946" s="5">
        <v>70.864608419999996</v>
      </c>
      <c r="I946" s="5">
        <v>63.448417050000003</v>
      </c>
    </row>
    <row r="947" spans="1:9" ht="14.25" customHeight="1" x14ac:dyDescent="0.3">
      <c r="A947" t="s">
        <v>1934</v>
      </c>
      <c r="B947" s="5">
        <v>90.167176600000005</v>
      </c>
      <c r="C947" s="5">
        <v>63.096508630000002</v>
      </c>
      <c r="D947" s="5">
        <v>79.275376769999994</v>
      </c>
      <c r="E947" s="5">
        <v>67.998458740000004</v>
      </c>
      <c r="F947" s="5">
        <v>80</v>
      </c>
      <c r="G947" s="5">
        <v>69.220318680000005</v>
      </c>
      <c r="H947" s="5">
        <v>66.322540419999996</v>
      </c>
      <c r="I947" s="5">
        <v>50</v>
      </c>
    </row>
    <row r="948" spans="1:9" ht="14.25" customHeight="1" x14ac:dyDescent="0.3">
      <c r="A948" t="s">
        <v>2768</v>
      </c>
      <c r="B948" s="5">
        <v>85.290467699999994</v>
      </c>
      <c r="C948" s="5">
        <v>77.571848739999993</v>
      </c>
      <c r="D948" s="5">
        <v>72.573155619999994</v>
      </c>
      <c r="E948" s="5">
        <v>73.826241179999997</v>
      </c>
      <c r="F948" s="5">
        <v>94.961321999999996</v>
      </c>
      <c r="G948" s="5">
        <v>75.826538630000002</v>
      </c>
      <c r="H948" s="5">
        <v>66.730138120000007</v>
      </c>
      <c r="I948" s="5">
        <v>70</v>
      </c>
    </row>
    <row r="949" spans="1:9" ht="14.25" customHeight="1" x14ac:dyDescent="0.3">
      <c r="A949" t="s">
        <v>2769</v>
      </c>
      <c r="B949" s="5">
        <v>81.068729149999996</v>
      </c>
      <c r="C949" s="5">
        <v>67.600103720000007</v>
      </c>
      <c r="D949" s="5">
        <v>84.961603199999999</v>
      </c>
      <c r="E949" s="5">
        <v>65.623738889999998</v>
      </c>
      <c r="F949" s="5">
        <v>92.710593009999997</v>
      </c>
      <c r="G949" s="5">
        <v>84.144577650000002</v>
      </c>
      <c r="H949" s="5">
        <v>75.710123339999996</v>
      </c>
      <c r="I949" s="5">
        <v>53.198561210000001</v>
      </c>
    </row>
    <row r="950" spans="1:9" ht="14.25" customHeight="1" x14ac:dyDescent="0.3">
      <c r="A950" t="s">
        <v>2770</v>
      </c>
      <c r="B950" s="5">
        <v>89.783421559999994</v>
      </c>
      <c r="C950" s="5">
        <v>72.248315259999998</v>
      </c>
      <c r="D950" s="5">
        <v>85.446529519999999</v>
      </c>
      <c r="E950" s="5">
        <v>56.748719880000003</v>
      </c>
      <c r="F950" s="5">
        <v>88.235758680000004</v>
      </c>
      <c r="G950" s="5">
        <v>68.896230059999994</v>
      </c>
      <c r="H950" s="5">
        <v>66.107404360000004</v>
      </c>
      <c r="I950" s="5">
        <v>60.4827522</v>
      </c>
    </row>
    <row r="951" spans="1:9" ht="14.25" customHeight="1" x14ac:dyDescent="0.3">
      <c r="A951" t="s">
        <v>2771</v>
      </c>
      <c r="B951" s="5">
        <v>87.857906670000006</v>
      </c>
      <c r="C951" s="5">
        <v>69.70758988</v>
      </c>
      <c r="D951" s="5">
        <v>79.396915079999999</v>
      </c>
      <c r="E951" s="5">
        <v>75</v>
      </c>
      <c r="F951" s="5">
        <v>80</v>
      </c>
      <c r="G951" s="5">
        <v>74.780694159999996</v>
      </c>
      <c r="H951" s="5">
        <v>75.324626570000007</v>
      </c>
      <c r="I951" s="5">
        <v>53.220287650000003</v>
      </c>
    </row>
    <row r="952" spans="1:9" ht="14.25" customHeight="1" x14ac:dyDescent="0.3">
      <c r="A952" t="s">
        <v>2772</v>
      </c>
      <c r="B952" s="5">
        <v>87.125144340000006</v>
      </c>
      <c r="C952" s="5">
        <v>69.711205019999994</v>
      </c>
      <c r="D952" s="5">
        <v>78.780951819999999</v>
      </c>
      <c r="E952" s="5">
        <v>69.241154949999995</v>
      </c>
      <c r="F952" s="5">
        <v>98.376772970000005</v>
      </c>
      <c r="G952" s="5">
        <v>80.412814499999996</v>
      </c>
      <c r="H952" s="5">
        <v>70.414209560000003</v>
      </c>
      <c r="I952" s="5">
        <v>50</v>
      </c>
    </row>
    <row r="953" spans="1:9" ht="14.25" customHeight="1" x14ac:dyDescent="0.3">
      <c r="A953" t="s">
        <v>1946</v>
      </c>
      <c r="B953" s="5">
        <v>77.878657930000003</v>
      </c>
      <c r="C953" s="5">
        <v>73.034591520000006</v>
      </c>
      <c r="D953" s="5">
        <v>79.615840340000005</v>
      </c>
      <c r="E953" s="5">
        <v>60.935100210000002</v>
      </c>
      <c r="F953" s="5">
        <v>86.300742260000007</v>
      </c>
      <c r="G953" s="5">
        <v>74.914265880000002</v>
      </c>
      <c r="H953" s="5">
        <v>77.723735820000002</v>
      </c>
      <c r="I953" s="5">
        <v>60.415370090000003</v>
      </c>
    </row>
    <row r="954" spans="1:9" ht="14.25" customHeight="1" x14ac:dyDescent="0.3">
      <c r="A954" t="s">
        <v>1948</v>
      </c>
      <c r="B954" s="5">
        <v>81.203169729999999</v>
      </c>
      <c r="C954" s="5">
        <v>66.699892329999997</v>
      </c>
      <c r="D954" s="5">
        <v>79.332427780000003</v>
      </c>
      <c r="E954" s="5">
        <v>67.667472110000006</v>
      </c>
      <c r="F954" s="5">
        <v>83.956689109999999</v>
      </c>
      <c r="G954" s="5">
        <v>70.760737430000006</v>
      </c>
      <c r="H954" s="5">
        <v>68.537243380000007</v>
      </c>
      <c r="I954" s="5">
        <v>59.346497759999998</v>
      </c>
    </row>
    <row r="955" spans="1:9" ht="14.25" customHeight="1" x14ac:dyDescent="0.3">
      <c r="A955" t="s">
        <v>2773</v>
      </c>
      <c r="B955" s="5">
        <v>87.492628819999993</v>
      </c>
      <c r="C955" s="5">
        <v>60</v>
      </c>
      <c r="D955" s="5">
        <v>75.843005809999994</v>
      </c>
      <c r="E955" s="5">
        <v>58.44240602</v>
      </c>
      <c r="F955" s="5">
        <v>81.413151409999998</v>
      </c>
      <c r="G955" s="5">
        <v>85</v>
      </c>
      <c r="H955" s="5">
        <v>76.881145270000005</v>
      </c>
      <c r="I955" s="5">
        <v>50</v>
      </c>
    </row>
    <row r="956" spans="1:9" ht="14.25" customHeight="1" x14ac:dyDescent="0.3">
      <c r="A956" t="s">
        <v>2774</v>
      </c>
      <c r="B956" s="5">
        <v>87.010636340000005</v>
      </c>
      <c r="C956" s="5">
        <v>71.050676080000002</v>
      </c>
      <c r="D956" s="5">
        <v>70</v>
      </c>
      <c r="E956" s="5">
        <v>73.944859879999996</v>
      </c>
      <c r="F956" s="5">
        <v>98.473439299999995</v>
      </c>
      <c r="G956" s="5">
        <v>71.666858360000006</v>
      </c>
      <c r="H956" s="5">
        <v>69.259356690000004</v>
      </c>
      <c r="I956" s="5">
        <v>56.60311454</v>
      </c>
    </row>
    <row r="957" spans="1:9" ht="14.25" customHeight="1" x14ac:dyDescent="0.3">
      <c r="A957" t="s">
        <v>2775</v>
      </c>
      <c r="B957" s="5">
        <v>90.975439170000001</v>
      </c>
      <c r="C957" s="5">
        <v>74.61821132</v>
      </c>
      <c r="D957" s="5">
        <v>80.891093650000002</v>
      </c>
      <c r="E957" s="5">
        <v>64.276636530000005</v>
      </c>
      <c r="F957" s="5">
        <v>90.981115720000005</v>
      </c>
      <c r="G957" s="5">
        <v>78.796660360000004</v>
      </c>
      <c r="H957" s="5">
        <v>65</v>
      </c>
      <c r="I957" s="5">
        <v>62.731466820000001</v>
      </c>
    </row>
    <row r="958" spans="1:9" ht="14.25" customHeight="1" x14ac:dyDescent="0.3">
      <c r="A958" t="s">
        <v>2776</v>
      </c>
      <c r="B958" s="5">
        <v>79.322801490000003</v>
      </c>
      <c r="C958" s="5">
        <v>63.183705260000004</v>
      </c>
      <c r="D958" s="5">
        <v>83.806174380000002</v>
      </c>
      <c r="E958" s="5">
        <v>62.131236059999999</v>
      </c>
      <c r="F958" s="5">
        <v>89.469608440000002</v>
      </c>
      <c r="G958" s="5">
        <v>76.342020360000006</v>
      </c>
      <c r="H958" s="5">
        <v>72.246966959999995</v>
      </c>
      <c r="I958" s="5">
        <v>56.262590279999998</v>
      </c>
    </row>
    <row r="959" spans="1:9" ht="14.25" customHeight="1" x14ac:dyDescent="0.3">
      <c r="A959" t="s">
        <v>1958</v>
      </c>
      <c r="B959" s="5">
        <v>81.049541320000003</v>
      </c>
      <c r="C959" s="5">
        <v>70.413359659999998</v>
      </c>
      <c r="D959" s="5">
        <v>78.928879420000001</v>
      </c>
      <c r="E959" s="5">
        <v>68.03281921</v>
      </c>
      <c r="F959" s="5">
        <v>96.073514099999997</v>
      </c>
      <c r="G959" s="5">
        <v>71.497969190000006</v>
      </c>
      <c r="H959" s="5">
        <v>72.574517920000005</v>
      </c>
      <c r="I959" s="5">
        <v>51.450043620000002</v>
      </c>
    </row>
    <row r="960" spans="1:9" ht="14.25" customHeight="1" x14ac:dyDescent="0.3">
      <c r="A960" t="s">
        <v>2777</v>
      </c>
      <c r="B960" s="5">
        <v>84.946279770000004</v>
      </c>
      <c r="C960" s="5">
        <v>66.967315679999999</v>
      </c>
      <c r="D960" s="5">
        <v>76.130875200000006</v>
      </c>
      <c r="E960" s="5">
        <v>63.197601480000003</v>
      </c>
      <c r="F960" s="5">
        <v>91.673121710000004</v>
      </c>
      <c r="G960" s="5">
        <v>75.859875439999996</v>
      </c>
      <c r="H960" s="5">
        <v>71.703072340000006</v>
      </c>
      <c r="I960" s="5">
        <v>64.522131610000002</v>
      </c>
    </row>
    <row r="961" spans="1:9" ht="14.25" customHeight="1" x14ac:dyDescent="0.3">
      <c r="A961" t="s">
        <v>1962</v>
      </c>
      <c r="B961" s="5">
        <v>82.754174390000003</v>
      </c>
      <c r="C961" s="5">
        <v>73.722977330000006</v>
      </c>
      <c r="D961" s="5">
        <v>85.765467999999998</v>
      </c>
      <c r="E961" s="5">
        <v>65.5927887</v>
      </c>
      <c r="F961" s="5">
        <v>90.524680309999994</v>
      </c>
      <c r="G961" s="5">
        <v>82.673651500000005</v>
      </c>
      <c r="H961" s="5">
        <v>69.860124799999994</v>
      </c>
      <c r="I961" s="5">
        <v>63.554271210000003</v>
      </c>
    </row>
    <row r="962" spans="1:9" ht="14.25" customHeight="1" x14ac:dyDescent="0.3">
      <c r="A962" t="s">
        <v>2778</v>
      </c>
      <c r="B962" s="5">
        <v>81.430976670000007</v>
      </c>
      <c r="C962" s="5">
        <v>62.084998450000001</v>
      </c>
      <c r="D962" s="5">
        <v>72.591509419999994</v>
      </c>
      <c r="E962" s="5">
        <v>69.636339620000001</v>
      </c>
      <c r="F962" s="5">
        <v>81.041266059999998</v>
      </c>
      <c r="G962" s="5">
        <v>79.655788200000003</v>
      </c>
      <c r="H962" s="5">
        <v>67.590633400000002</v>
      </c>
      <c r="I962" s="5">
        <v>69.268021829999995</v>
      </c>
    </row>
    <row r="963" spans="1:9" ht="14.25" customHeight="1" x14ac:dyDescent="0.3">
      <c r="A963" t="s">
        <v>1966</v>
      </c>
      <c r="B963" s="5">
        <v>89.555254079999997</v>
      </c>
      <c r="C963" s="5">
        <v>70.177826899999999</v>
      </c>
      <c r="D963" s="5">
        <v>72.760148380000004</v>
      </c>
      <c r="E963" s="5">
        <v>64.427974180000007</v>
      </c>
      <c r="F963" s="5">
        <v>92.591243469999995</v>
      </c>
      <c r="G963" s="5">
        <v>74.061114829999994</v>
      </c>
      <c r="H963" s="5">
        <v>70.717006760000004</v>
      </c>
      <c r="I963" s="5">
        <v>50</v>
      </c>
    </row>
    <row r="964" spans="1:9" ht="14.25" customHeight="1" x14ac:dyDescent="0.3">
      <c r="A964" t="s">
        <v>1968</v>
      </c>
      <c r="B964" s="5">
        <v>93.719232899999994</v>
      </c>
      <c r="C964" s="5">
        <v>69.660782639999994</v>
      </c>
      <c r="D964" s="5">
        <v>77.116763199999994</v>
      </c>
      <c r="E964" s="5">
        <v>62.28674565</v>
      </c>
      <c r="F964" s="5">
        <v>93.917312609999996</v>
      </c>
      <c r="G964" s="5">
        <v>79.67760251</v>
      </c>
      <c r="H964" s="5">
        <v>65</v>
      </c>
      <c r="I964" s="5">
        <v>53.381116910000003</v>
      </c>
    </row>
    <row r="965" spans="1:9" ht="14.25" customHeight="1" x14ac:dyDescent="0.3">
      <c r="A965" t="s">
        <v>2779</v>
      </c>
      <c r="B965" s="5">
        <v>79.729949439999999</v>
      </c>
      <c r="C965" s="5">
        <v>73.416769680000002</v>
      </c>
      <c r="D965" s="5">
        <v>78.739916719999997</v>
      </c>
      <c r="E965" s="5">
        <v>65.968839329999994</v>
      </c>
      <c r="F965" s="5">
        <v>83.277895720000004</v>
      </c>
      <c r="G965" s="5">
        <v>79.442339450000006</v>
      </c>
      <c r="H965" s="5">
        <v>69.42810987</v>
      </c>
      <c r="I965" s="5">
        <v>70</v>
      </c>
    </row>
    <row r="966" spans="1:9" ht="14.25" customHeight="1" x14ac:dyDescent="0.3">
      <c r="A966" t="s">
        <v>2780</v>
      </c>
      <c r="B966" s="5">
        <v>88.299287430000007</v>
      </c>
      <c r="C966" s="5">
        <v>66.703926620000004</v>
      </c>
      <c r="D966" s="5">
        <v>78.525543229999997</v>
      </c>
      <c r="E966" s="5">
        <v>66.796521100000007</v>
      </c>
      <c r="F966" s="5">
        <v>88.451699559999994</v>
      </c>
      <c r="G966" s="5">
        <v>82.646508909999994</v>
      </c>
      <c r="H966" s="5">
        <v>73.919802950000005</v>
      </c>
      <c r="I966" s="5">
        <v>57.919883460000001</v>
      </c>
    </row>
    <row r="967" spans="1:9" ht="14.25" customHeight="1" x14ac:dyDescent="0.3">
      <c r="A967" t="s">
        <v>2781</v>
      </c>
      <c r="B967" s="5">
        <v>79.251087999999996</v>
      </c>
      <c r="C967" s="5">
        <v>74.870414139999994</v>
      </c>
      <c r="D967" s="5">
        <v>70</v>
      </c>
      <c r="E967" s="5">
        <v>61.791290949999997</v>
      </c>
      <c r="F967" s="5">
        <v>92.190984880000002</v>
      </c>
      <c r="G967" s="5">
        <v>82.352959350000006</v>
      </c>
      <c r="H967" s="5">
        <v>74.641162989999998</v>
      </c>
      <c r="I967" s="5">
        <v>57.97675744</v>
      </c>
    </row>
    <row r="968" spans="1:9" ht="14.25" customHeight="1" x14ac:dyDescent="0.3">
      <c r="A968" t="s">
        <v>2782</v>
      </c>
      <c r="B968" s="5">
        <v>81.085255230000001</v>
      </c>
      <c r="C968" s="5">
        <v>64.655737110000004</v>
      </c>
      <c r="D968" s="5">
        <v>78.596620389999998</v>
      </c>
      <c r="E968" s="5">
        <v>63.171167740000001</v>
      </c>
      <c r="F968" s="5">
        <v>87.394359989999998</v>
      </c>
      <c r="G968" s="5">
        <v>85</v>
      </c>
      <c r="H968" s="5">
        <v>67.949921149999994</v>
      </c>
      <c r="I968" s="5">
        <v>56.713651900000002</v>
      </c>
    </row>
    <row r="969" spans="1:9" ht="14.25" customHeight="1" x14ac:dyDescent="0.3">
      <c r="A969" t="s">
        <v>2783</v>
      </c>
      <c r="B969" s="5">
        <v>77.682215159999998</v>
      </c>
      <c r="C969" s="5">
        <v>60</v>
      </c>
      <c r="D969" s="5">
        <v>75.980873900000006</v>
      </c>
      <c r="E969" s="5">
        <v>65.350172119999996</v>
      </c>
      <c r="F969" s="5">
        <v>93.211124100000006</v>
      </c>
      <c r="G969" s="5">
        <v>71.816779789999998</v>
      </c>
      <c r="H969" s="5">
        <v>67.407023269999996</v>
      </c>
      <c r="I969" s="5">
        <v>62.548015290000002</v>
      </c>
    </row>
    <row r="970" spans="1:9" ht="14.25" customHeight="1" x14ac:dyDescent="0.3">
      <c r="A970" t="s">
        <v>1980</v>
      </c>
      <c r="B970" s="5">
        <v>83.906715939999998</v>
      </c>
      <c r="C970" s="5">
        <v>63.065145790000003</v>
      </c>
      <c r="D970" s="5">
        <v>75.708671409999994</v>
      </c>
      <c r="E970" s="5">
        <v>65.295914350000004</v>
      </c>
      <c r="F970" s="5">
        <v>94.858500309999997</v>
      </c>
      <c r="G970" s="5">
        <v>73.974210249999999</v>
      </c>
      <c r="H970" s="5">
        <v>69.206429589999999</v>
      </c>
      <c r="I970" s="5">
        <v>52.165508699999997</v>
      </c>
    </row>
    <row r="971" spans="1:9" ht="14.25" customHeight="1" x14ac:dyDescent="0.3">
      <c r="A971" t="s">
        <v>2784</v>
      </c>
      <c r="B971" s="5">
        <v>89.501373950000001</v>
      </c>
      <c r="C971" s="5">
        <v>69.616291849999996</v>
      </c>
      <c r="D971" s="5">
        <v>70</v>
      </c>
      <c r="E971" s="5">
        <v>55</v>
      </c>
      <c r="F971" s="5">
        <v>81.165264460000003</v>
      </c>
      <c r="G971" s="5">
        <v>78.509146569999999</v>
      </c>
      <c r="H971" s="5">
        <v>70.377580019999996</v>
      </c>
      <c r="I971" s="5">
        <v>56.808967670000001</v>
      </c>
    </row>
    <row r="972" spans="1:9" ht="14.25" customHeight="1" x14ac:dyDescent="0.3">
      <c r="A972" t="s">
        <v>2785</v>
      </c>
      <c r="B972" s="5">
        <v>76.190369430000004</v>
      </c>
      <c r="C972" s="5">
        <v>62.605708159999999</v>
      </c>
      <c r="D972" s="5">
        <v>73.524630200000004</v>
      </c>
      <c r="E972" s="5">
        <v>66.423261460000006</v>
      </c>
      <c r="F972" s="5">
        <v>88.375782169999994</v>
      </c>
      <c r="G972" s="5">
        <v>73.764317059999996</v>
      </c>
      <c r="H972" s="5">
        <v>73.147115459999995</v>
      </c>
      <c r="I972" s="5">
        <v>67.002543099999997</v>
      </c>
    </row>
    <row r="973" spans="1:9" ht="14.25" customHeight="1" x14ac:dyDescent="0.3">
      <c r="A973" t="s">
        <v>2786</v>
      </c>
      <c r="B973" s="5">
        <v>86.747628539999994</v>
      </c>
      <c r="C973" s="5">
        <v>60.534841880000002</v>
      </c>
      <c r="D973" s="5">
        <v>81.15644992</v>
      </c>
      <c r="E973" s="5">
        <v>69.833112330000006</v>
      </c>
      <c r="F973" s="5">
        <v>80.623640280000004</v>
      </c>
      <c r="G973" s="5">
        <v>85</v>
      </c>
      <c r="H973" s="5">
        <v>71.342084970000002</v>
      </c>
      <c r="I973" s="5">
        <v>61.34346996</v>
      </c>
    </row>
    <row r="974" spans="1:9" ht="14.25" customHeight="1" x14ac:dyDescent="0.3">
      <c r="A974" t="s">
        <v>1988</v>
      </c>
      <c r="B974" s="5">
        <v>89.189977619999993</v>
      </c>
      <c r="C974" s="5">
        <v>76.98375317</v>
      </c>
      <c r="D974" s="5">
        <v>86.714566910000002</v>
      </c>
      <c r="E974" s="5">
        <v>62.383393929999997</v>
      </c>
      <c r="F974" s="5">
        <v>99.9</v>
      </c>
      <c r="G974" s="5">
        <v>81.650234220000002</v>
      </c>
      <c r="H974" s="5">
        <v>72.753674070000002</v>
      </c>
      <c r="I974" s="5">
        <v>56.374458429999997</v>
      </c>
    </row>
    <row r="975" spans="1:9" ht="14.25" customHeight="1" x14ac:dyDescent="0.3">
      <c r="A975" t="s">
        <v>2787</v>
      </c>
      <c r="B975" s="5">
        <v>79.118858900000006</v>
      </c>
      <c r="C975" s="5">
        <v>74.118275550000007</v>
      </c>
      <c r="D975" s="5">
        <v>79.687961189999996</v>
      </c>
      <c r="E975" s="5">
        <v>74.495473189999998</v>
      </c>
      <c r="F975" s="5">
        <v>95.998096649999994</v>
      </c>
      <c r="G975" s="5">
        <v>76.48486939</v>
      </c>
      <c r="H975" s="5">
        <v>75.042728990000001</v>
      </c>
      <c r="I975" s="5">
        <v>62.727195080000001</v>
      </c>
    </row>
    <row r="976" spans="1:9" ht="14.25" customHeight="1" x14ac:dyDescent="0.3">
      <c r="A976" t="s">
        <v>2788</v>
      </c>
      <c r="B976" s="5">
        <v>93.08768001</v>
      </c>
      <c r="C976" s="5">
        <v>65.499218690000006</v>
      </c>
      <c r="D976" s="5">
        <v>85.333486519999994</v>
      </c>
      <c r="E976" s="5">
        <v>59.49041708</v>
      </c>
      <c r="F976" s="5">
        <v>88.427606769999997</v>
      </c>
      <c r="G976" s="5">
        <v>81.435933969999994</v>
      </c>
      <c r="H976" s="5">
        <v>74.121475790000005</v>
      </c>
      <c r="I976" s="5">
        <v>54.759103940000003</v>
      </c>
    </row>
    <row r="977" spans="1:9" ht="14.25" customHeight="1" x14ac:dyDescent="0.3">
      <c r="A977" t="s">
        <v>2789</v>
      </c>
      <c r="B977" s="5">
        <v>75.645441500000004</v>
      </c>
      <c r="C977" s="5">
        <v>67.498117460000003</v>
      </c>
      <c r="D977" s="5">
        <v>73.870415769999994</v>
      </c>
      <c r="E977" s="5">
        <v>74.164118149999993</v>
      </c>
      <c r="F977" s="5">
        <v>85.96341074</v>
      </c>
      <c r="G977" s="5">
        <v>81.53903407</v>
      </c>
      <c r="H977" s="5">
        <v>74.389059880000005</v>
      </c>
      <c r="I977" s="5">
        <v>50</v>
      </c>
    </row>
    <row r="978" spans="1:9" ht="14.25" customHeight="1" x14ac:dyDescent="0.3">
      <c r="A978" t="s">
        <v>1996</v>
      </c>
      <c r="B978" s="5">
        <v>88.944784850000005</v>
      </c>
      <c r="C978" s="5">
        <v>65.181815619999995</v>
      </c>
      <c r="D978" s="5">
        <v>77.174198880000006</v>
      </c>
      <c r="E978" s="5">
        <v>71.549924099999998</v>
      </c>
      <c r="F978" s="5">
        <v>87.265730970000007</v>
      </c>
      <c r="G978" s="5">
        <v>81.180249200000006</v>
      </c>
      <c r="H978" s="5">
        <v>73.520266219999996</v>
      </c>
      <c r="I978" s="5">
        <v>55.524301690000001</v>
      </c>
    </row>
    <row r="979" spans="1:9" ht="14.25" customHeight="1" x14ac:dyDescent="0.3">
      <c r="A979" t="s">
        <v>1998</v>
      </c>
      <c r="B979" s="5">
        <v>86.841782210000005</v>
      </c>
      <c r="C979" s="5">
        <v>69.058112429999994</v>
      </c>
      <c r="D979" s="5">
        <v>75.405357129999999</v>
      </c>
      <c r="E979" s="5">
        <v>65.751546180000005</v>
      </c>
      <c r="F979" s="5">
        <v>92.228333919999997</v>
      </c>
      <c r="G979" s="5">
        <v>80.066816939999995</v>
      </c>
      <c r="H979" s="5">
        <v>71.846028459999999</v>
      </c>
      <c r="I979" s="5">
        <v>68.273462390000006</v>
      </c>
    </row>
    <row r="980" spans="1:9" ht="14.25" customHeight="1" x14ac:dyDescent="0.3">
      <c r="A980" t="s">
        <v>2790</v>
      </c>
      <c r="B980" s="5">
        <v>79.552340130000005</v>
      </c>
      <c r="C980" s="5">
        <v>64.372430780000002</v>
      </c>
      <c r="D980" s="5">
        <v>85.621689040000007</v>
      </c>
      <c r="E980" s="5">
        <v>71.061459959999993</v>
      </c>
      <c r="F980" s="5">
        <v>85.532657270000001</v>
      </c>
      <c r="G980" s="5">
        <v>78.828594039999999</v>
      </c>
      <c r="H980" s="5">
        <v>70.906175439999998</v>
      </c>
      <c r="I980" s="5">
        <v>51.574576729999997</v>
      </c>
    </row>
    <row r="981" spans="1:9" ht="14.25" customHeight="1" x14ac:dyDescent="0.3">
      <c r="A981" t="s">
        <v>2002</v>
      </c>
      <c r="B981" s="5">
        <v>86.672058910000004</v>
      </c>
      <c r="C981" s="5">
        <v>68.151527130000005</v>
      </c>
      <c r="D981" s="5">
        <v>75.979310850000005</v>
      </c>
      <c r="E981" s="5">
        <v>67.322622080000002</v>
      </c>
      <c r="F981" s="5">
        <v>82.588883989999999</v>
      </c>
      <c r="G981" s="5">
        <v>76.938155730000005</v>
      </c>
      <c r="H981" s="5">
        <v>68.763456649999995</v>
      </c>
      <c r="I981" s="5">
        <v>61.809997189999997</v>
      </c>
    </row>
    <row r="982" spans="1:9" ht="14.25" customHeight="1" x14ac:dyDescent="0.3">
      <c r="A982" t="s">
        <v>2004</v>
      </c>
      <c r="B982" s="5">
        <v>82.374451250000007</v>
      </c>
      <c r="C982" s="5">
        <v>65.860127489999996</v>
      </c>
      <c r="D982" s="5">
        <v>79.984811059999998</v>
      </c>
      <c r="E982" s="5">
        <v>68.148914320000003</v>
      </c>
      <c r="F982" s="5">
        <v>88.063155440000003</v>
      </c>
      <c r="G982" s="5">
        <v>77.38181032</v>
      </c>
      <c r="H982" s="5">
        <v>72.266220090000004</v>
      </c>
      <c r="I982" s="5">
        <v>63.349375760000001</v>
      </c>
    </row>
    <row r="983" spans="1:9" ht="14.25" customHeight="1" x14ac:dyDescent="0.3">
      <c r="A983" t="s">
        <v>2006</v>
      </c>
      <c r="B983" s="5">
        <v>89.563496580000006</v>
      </c>
      <c r="C983" s="5">
        <v>70.998300060000005</v>
      </c>
      <c r="D983" s="5">
        <v>78.871993540000005</v>
      </c>
      <c r="E983" s="5">
        <v>70.81328164</v>
      </c>
      <c r="F983" s="5">
        <v>81.641271970000005</v>
      </c>
      <c r="G983" s="5">
        <v>75.563243080000007</v>
      </c>
      <c r="H983" s="5">
        <v>65</v>
      </c>
      <c r="I983" s="5">
        <v>61.230071469999999</v>
      </c>
    </row>
    <row r="984" spans="1:9" ht="14.25" customHeight="1" x14ac:dyDescent="0.3">
      <c r="A984" t="s">
        <v>2008</v>
      </c>
      <c r="B984" s="5">
        <v>87.555655340000001</v>
      </c>
      <c r="C984" s="5">
        <v>65.828988589999994</v>
      </c>
      <c r="D984" s="5">
        <v>82.798474119999995</v>
      </c>
      <c r="E984" s="5">
        <v>60.845517579999999</v>
      </c>
      <c r="F984" s="5">
        <v>84.134377740000005</v>
      </c>
      <c r="G984" s="5">
        <v>76.238994270000006</v>
      </c>
      <c r="H984" s="5">
        <v>74.097914470000006</v>
      </c>
      <c r="I984" s="5">
        <v>57.791229360000003</v>
      </c>
    </row>
    <row r="985" spans="1:9" ht="14.25" customHeight="1" x14ac:dyDescent="0.3">
      <c r="A985" t="s">
        <v>2791</v>
      </c>
      <c r="B985" s="5">
        <v>85.079765629999997</v>
      </c>
      <c r="C985" s="5">
        <v>79.744664270000001</v>
      </c>
      <c r="D985" s="5">
        <v>77.523359630000002</v>
      </c>
      <c r="E985" s="5">
        <v>67.180221810000006</v>
      </c>
      <c r="F985" s="5">
        <v>81.894477249999994</v>
      </c>
      <c r="G985" s="5">
        <v>81.11740202</v>
      </c>
      <c r="H985" s="5">
        <v>73.21699065</v>
      </c>
      <c r="I985" s="5">
        <v>53.23049177</v>
      </c>
    </row>
    <row r="986" spans="1:9" ht="14.25" customHeight="1" x14ac:dyDescent="0.3">
      <c r="A986" t="s">
        <v>2012</v>
      </c>
      <c r="B986" s="5">
        <v>87.229316220000001</v>
      </c>
      <c r="C986" s="5">
        <v>68.226355870000006</v>
      </c>
      <c r="D986" s="5">
        <v>83.556557589999997</v>
      </c>
      <c r="E986" s="5">
        <v>74.032717390000002</v>
      </c>
      <c r="F986" s="5">
        <v>93.007299500000002</v>
      </c>
      <c r="G986" s="5">
        <v>80.744909519999993</v>
      </c>
      <c r="H986" s="5">
        <v>65</v>
      </c>
      <c r="I986" s="5">
        <v>52.829050080000002</v>
      </c>
    </row>
    <row r="987" spans="1:9" ht="14.25" customHeight="1" x14ac:dyDescent="0.3">
      <c r="A987" t="s">
        <v>2014</v>
      </c>
      <c r="B987" s="5">
        <v>84.842227100000002</v>
      </c>
      <c r="C987" s="5">
        <v>64.816388279999998</v>
      </c>
      <c r="D987" s="5">
        <v>70</v>
      </c>
      <c r="E987" s="5">
        <v>63.159785999999997</v>
      </c>
      <c r="F987" s="5">
        <v>94.7021345</v>
      </c>
      <c r="G987" s="5">
        <v>70.488226830000002</v>
      </c>
      <c r="H987" s="5">
        <v>70.430389430000005</v>
      </c>
      <c r="I987" s="5">
        <v>60.660075159999998</v>
      </c>
    </row>
    <row r="988" spans="1:9" ht="14.25" customHeight="1" x14ac:dyDescent="0.3">
      <c r="A988" t="s">
        <v>2792</v>
      </c>
      <c r="B988" s="5">
        <v>81.473561489999994</v>
      </c>
      <c r="C988" s="5">
        <v>63.829968409999999</v>
      </c>
      <c r="D988" s="5">
        <v>79.116284980000003</v>
      </c>
      <c r="E988" s="5">
        <v>55</v>
      </c>
      <c r="F988" s="5">
        <v>92.425798139999998</v>
      </c>
      <c r="G988" s="5">
        <v>73.783531019999998</v>
      </c>
      <c r="H988" s="5">
        <v>71.689032019999999</v>
      </c>
      <c r="I988" s="5">
        <v>61.19196436</v>
      </c>
    </row>
    <row r="989" spans="1:9" ht="14.25" customHeight="1" x14ac:dyDescent="0.3">
      <c r="A989" t="s">
        <v>2793</v>
      </c>
      <c r="B989" s="5">
        <v>79.885347719999999</v>
      </c>
      <c r="C989" s="5">
        <v>68.103036840000001</v>
      </c>
      <c r="D989" s="5">
        <v>70.055302380000001</v>
      </c>
      <c r="E989" s="5">
        <v>64.686363279999995</v>
      </c>
      <c r="F989" s="5">
        <v>94.989947389999998</v>
      </c>
      <c r="G989" s="5">
        <v>78.908806159999997</v>
      </c>
      <c r="H989" s="5">
        <v>74.066234780000002</v>
      </c>
      <c r="I989" s="5">
        <v>59.11126359</v>
      </c>
    </row>
    <row r="990" spans="1:9" ht="14.25" customHeight="1" x14ac:dyDescent="0.3">
      <c r="A990" t="s">
        <v>2794</v>
      </c>
      <c r="B990" s="5">
        <v>95.225537509999995</v>
      </c>
      <c r="C990" s="5">
        <v>60</v>
      </c>
      <c r="D990" s="5">
        <v>70</v>
      </c>
      <c r="E990" s="5">
        <v>62.922517419999998</v>
      </c>
      <c r="F990" s="5">
        <v>90.560321049999999</v>
      </c>
      <c r="G990" s="5">
        <v>81.473536530000004</v>
      </c>
      <c r="H990" s="5">
        <v>77.334639370000005</v>
      </c>
      <c r="I990" s="5">
        <v>50</v>
      </c>
    </row>
    <row r="991" spans="1:9" ht="14.25" customHeight="1" x14ac:dyDescent="0.3">
      <c r="A991" t="s">
        <v>2795</v>
      </c>
      <c r="B991" s="5">
        <v>85.55007938</v>
      </c>
      <c r="C991" s="5">
        <v>64.464542570000006</v>
      </c>
      <c r="D991" s="5">
        <v>83.362111100000007</v>
      </c>
      <c r="E991" s="5">
        <v>68.415279279999993</v>
      </c>
      <c r="F991" s="5">
        <v>93.820875430000001</v>
      </c>
      <c r="G991" s="5">
        <v>72.989507090000004</v>
      </c>
      <c r="H991" s="5">
        <v>71.347955780000007</v>
      </c>
      <c r="I991" s="5">
        <v>60.418441479999998</v>
      </c>
    </row>
    <row r="992" spans="1:9" ht="14.25" customHeight="1" x14ac:dyDescent="0.3">
      <c r="A992" t="s">
        <v>2796</v>
      </c>
      <c r="B992" s="5">
        <v>77.180176059999994</v>
      </c>
      <c r="C992" s="5">
        <v>67.563918560000005</v>
      </c>
      <c r="D992" s="5">
        <v>75.051358649999997</v>
      </c>
      <c r="E992" s="5">
        <v>64.925183140000001</v>
      </c>
      <c r="F992" s="5">
        <v>99.9</v>
      </c>
      <c r="G992" s="5">
        <v>71.559298720000001</v>
      </c>
      <c r="H992" s="5">
        <v>71.42286077</v>
      </c>
      <c r="I992" s="5">
        <v>58.24846024</v>
      </c>
    </row>
    <row r="993" spans="1:9" ht="14.25" customHeight="1" x14ac:dyDescent="0.3">
      <c r="A993" t="s">
        <v>2026</v>
      </c>
      <c r="B993" s="5">
        <v>99.9</v>
      </c>
      <c r="C993" s="5">
        <v>66.957534699999997</v>
      </c>
      <c r="D993" s="5">
        <v>79.154470739999994</v>
      </c>
      <c r="E993" s="5">
        <v>63.616989160000003</v>
      </c>
      <c r="F993" s="5">
        <v>83.647541380000007</v>
      </c>
      <c r="G993" s="5">
        <v>78.928119730000006</v>
      </c>
      <c r="H993" s="5">
        <v>67.958598519999995</v>
      </c>
      <c r="I993" s="5">
        <v>66.850540330000001</v>
      </c>
    </row>
    <row r="994" spans="1:9" ht="14.25" customHeight="1" x14ac:dyDescent="0.3">
      <c r="A994" t="s">
        <v>2797</v>
      </c>
      <c r="B994" s="5">
        <v>86.395310420000001</v>
      </c>
      <c r="C994" s="5">
        <v>64.976686999999998</v>
      </c>
      <c r="D994" s="5">
        <v>87.421628470000002</v>
      </c>
      <c r="E994" s="5">
        <v>55</v>
      </c>
      <c r="F994" s="5">
        <v>85.188812279999993</v>
      </c>
      <c r="G994" s="5">
        <v>79.277684719999996</v>
      </c>
      <c r="H994" s="5">
        <v>68.722574809999998</v>
      </c>
      <c r="I994" s="5">
        <v>70</v>
      </c>
    </row>
    <row r="995" spans="1:9" ht="14.25" customHeight="1" x14ac:dyDescent="0.3">
      <c r="A995" t="s">
        <v>2030</v>
      </c>
      <c r="B995" s="5">
        <v>79.259458559999999</v>
      </c>
      <c r="C995" s="5">
        <v>63.223799079999999</v>
      </c>
      <c r="D995" s="5">
        <v>73.814046610000005</v>
      </c>
      <c r="E995" s="5">
        <v>62.497715599999999</v>
      </c>
      <c r="F995" s="5">
        <v>82.023054880000004</v>
      </c>
      <c r="G995" s="5">
        <v>82.781914490000005</v>
      </c>
      <c r="H995" s="5">
        <v>70.874684299999998</v>
      </c>
      <c r="I995" s="5">
        <v>50</v>
      </c>
    </row>
    <row r="996" spans="1:9" ht="14.25" customHeight="1" x14ac:dyDescent="0.3">
      <c r="A996" t="s">
        <v>2798</v>
      </c>
      <c r="B996" s="5">
        <v>84.838538139999997</v>
      </c>
      <c r="C996" s="5">
        <v>60</v>
      </c>
      <c r="D996" s="5">
        <v>81.961262450000007</v>
      </c>
      <c r="E996" s="5">
        <v>62.087274999999998</v>
      </c>
      <c r="F996" s="5">
        <v>94.621624729999994</v>
      </c>
      <c r="G996" s="5">
        <v>85</v>
      </c>
      <c r="H996" s="5">
        <v>74.567013320000001</v>
      </c>
      <c r="I996" s="5">
        <v>59.238444479999998</v>
      </c>
    </row>
    <row r="997" spans="1:9" ht="14.25" customHeight="1" x14ac:dyDescent="0.3">
      <c r="A997" t="s">
        <v>2034</v>
      </c>
      <c r="B997" s="5">
        <v>99.9</v>
      </c>
      <c r="C997" s="5">
        <v>69.851008989999997</v>
      </c>
      <c r="D997" s="5">
        <v>72.993381569999997</v>
      </c>
      <c r="E997" s="5">
        <v>65.170470179999995</v>
      </c>
      <c r="F997" s="5">
        <v>95.142453750000001</v>
      </c>
      <c r="G997" s="5">
        <v>76.428621329999999</v>
      </c>
      <c r="H997" s="5">
        <v>66.073316879999993</v>
      </c>
      <c r="I997" s="5">
        <v>54.711016149999999</v>
      </c>
    </row>
    <row r="998" spans="1:9" ht="14.25" customHeight="1" x14ac:dyDescent="0.3">
      <c r="A998" t="s">
        <v>2799</v>
      </c>
      <c r="B998" s="5">
        <v>88.632896329999994</v>
      </c>
      <c r="C998" s="5">
        <v>75.536347899999996</v>
      </c>
      <c r="D998" s="5">
        <v>74.657704440000003</v>
      </c>
      <c r="E998" s="5">
        <v>61.294281949999998</v>
      </c>
      <c r="F998" s="5">
        <v>95.608831480000006</v>
      </c>
      <c r="G998" s="5">
        <v>77.470533219999993</v>
      </c>
      <c r="H998" s="5">
        <v>71.978908739999994</v>
      </c>
      <c r="I998" s="5">
        <v>55.433689790000003</v>
      </c>
    </row>
    <row r="999" spans="1:9" ht="14.25" customHeight="1" x14ac:dyDescent="0.3">
      <c r="A999" t="s">
        <v>2800</v>
      </c>
      <c r="B999" s="5">
        <v>80.272288329999995</v>
      </c>
      <c r="C999" s="5">
        <v>60</v>
      </c>
      <c r="D999" s="5">
        <v>90</v>
      </c>
      <c r="E999" s="5">
        <v>67.905659249999999</v>
      </c>
      <c r="F999" s="5">
        <v>91.599761130000005</v>
      </c>
      <c r="G999" s="5">
        <v>78.67957389</v>
      </c>
      <c r="H999" s="5">
        <v>71.660910950000002</v>
      </c>
      <c r="I999" s="5">
        <v>70</v>
      </c>
    </row>
    <row r="1000" spans="1:9" ht="14.25" customHeight="1" x14ac:dyDescent="0.3">
      <c r="A1000" t="s">
        <v>2040</v>
      </c>
      <c r="B1000" s="5">
        <v>84.87266606</v>
      </c>
      <c r="C1000" s="5">
        <v>71.227290010000004</v>
      </c>
      <c r="D1000" s="5">
        <v>70.121949849999993</v>
      </c>
      <c r="E1000" s="5">
        <v>57.136156030000002</v>
      </c>
      <c r="F1000" s="5">
        <v>89.17802476</v>
      </c>
      <c r="G1000" s="5">
        <v>74.777396190000005</v>
      </c>
      <c r="H1000" s="5">
        <v>71.474869870000006</v>
      </c>
      <c r="I1000" s="5">
        <v>63.637861630000003</v>
      </c>
    </row>
    <row r="1001" spans="1:9" ht="14.25" customHeight="1" x14ac:dyDescent="0.3">
      <c r="A1001" t="s">
        <v>2801</v>
      </c>
      <c r="B1001" s="5">
        <v>93.688809079999999</v>
      </c>
      <c r="C1001" s="5">
        <v>76.57402372</v>
      </c>
      <c r="D1001" s="5">
        <v>81.297223340000002</v>
      </c>
      <c r="E1001" s="5">
        <v>70.948612080000004</v>
      </c>
      <c r="F1001" s="5">
        <v>95.914821119999999</v>
      </c>
      <c r="G1001" s="5">
        <v>80.281026830000002</v>
      </c>
      <c r="H1001" s="5">
        <v>66.579494830000002</v>
      </c>
      <c r="I1001" s="5">
        <v>50</v>
      </c>
    </row>
    <row r="1002" spans="1:9" ht="14.25" customHeight="1" x14ac:dyDescent="0.3">
      <c r="A1002" t="s">
        <v>2802</v>
      </c>
      <c r="B1002" s="5">
        <v>75.008568999999994</v>
      </c>
      <c r="C1002" s="5">
        <v>89.584100000000007</v>
      </c>
      <c r="D1002" s="5">
        <v>78.259630000000001</v>
      </c>
      <c r="E1002" s="5">
        <v>78.123547000000002</v>
      </c>
      <c r="F1002" s="5">
        <v>88.453366000000003</v>
      </c>
      <c r="G1002" s="5">
        <v>70.256986999999995</v>
      </c>
      <c r="H1002" s="5">
        <v>82.123689999999996</v>
      </c>
      <c r="I1002" s="5">
        <v>97</v>
      </c>
    </row>
    <row r="1003" spans="1:9" ht="14.25" customHeight="1" x14ac:dyDescent="0.3">
      <c r="A1003" t="s">
        <v>2803</v>
      </c>
      <c r="B1003" s="5">
        <v>85.456199999999995</v>
      </c>
      <c r="C1003" s="5">
        <v>74.985619999999997</v>
      </c>
      <c r="D1003" s="5">
        <v>87.145690000000002</v>
      </c>
      <c r="E1003" s="5">
        <v>70.458320000000001</v>
      </c>
      <c r="F1003" s="5">
        <v>82.147599999999997</v>
      </c>
      <c r="G1003" s="5">
        <v>95</v>
      </c>
      <c r="H1003" s="5">
        <v>89.214500000000001</v>
      </c>
      <c r="I1003" s="5">
        <v>78.214556000000002</v>
      </c>
    </row>
  </sheetData>
  <conditionalFormatting sqref="A2:A1003">
    <cfRule type="cellIs" dxfId="52" priority="2" operator="equal">
      <formula>"N/A"</formula>
    </cfRule>
    <cfRule type="cellIs" dxfId="51" priority="3" operator="equal">
      <formula>"NA"</formula>
    </cfRule>
  </conditionalFormatting>
  <dataValidations count="1">
    <dataValidation type="decimal" allowBlank="1" showInputMessage="1" showErrorMessage="1" sqref="B1:I1001" xr:uid="{00000000-0002-0000-0500-000000000000}">
      <formula1>0</formula1>
      <formula2>100</formula2>
    </dataValidation>
  </dataValidations>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5"/>
  <sheetViews>
    <sheetView zoomScaleNormal="100" workbookViewId="0"/>
  </sheetViews>
  <sheetFormatPr defaultColWidth="8.6640625" defaultRowHeight="14.4" x14ac:dyDescent="0.3"/>
  <cols>
    <col min="1" max="1" width="18.21875" customWidth="1"/>
    <col min="2" max="2" width="23.109375" customWidth="1"/>
    <col min="3" max="3" width="27.33203125" customWidth="1"/>
  </cols>
  <sheetData>
    <row r="1" spans="1:3" ht="14.25" customHeight="1" x14ac:dyDescent="0.3">
      <c r="A1" s="7" t="s">
        <v>2812</v>
      </c>
      <c r="B1" s="7" t="s">
        <v>2813</v>
      </c>
      <c r="C1" s="8" t="s">
        <v>2814</v>
      </c>
    </row>
    <row r="2" spans="1:3" ht="14.25" customHeight="1" x14ac:dyDescent="0.3">
      <c r="A2" s="9" t="s">
        <v>2815</v>
      </c>
      <c r="B2" s="10">
        <v>84.4</v>
      </c>
      <c r="C2" s="10">
        <v>69.959999999999994</v>
      </c>
    </row>
    <row r="3" spans="1:3" ht="14.25" customHeight="1" x14ac:dyDescent="0.3">
      <c r="A3" s="9" t="s">
        <v>2816</v>
      </c>
      <c r="B3" s="10">
        <v>80.349999999999994</v>
      </c>
      <c r="C3" s="10">
        <v>64.819999999999993</v>
      </c>
    </row>
    <row r="4" spans="1:3" ht="14.25" customHeight="1" x14ac:dyDescent="0.3">
      <c r="A4" s="9" t="s">
        <v>2817</v>
      </c>
      <c r="B4" s="10">
        <v>90.32</v>
      </c>
      <c r="C4" s="10">
        <v>75.510000000000005</v>
      </c>
    </row>
    <row r="5" spans="1:3" ht="14.25" customHeight="1" x14ac:dyDescent="0.3">
      <c r="A5" s="9" t="s">
        <v>2818</v>
      </c>
      <c r="B5" s="10">
        <v>73.63</v>
      </c>
      <c r="C5" s="10">
        <v>60.52</v>
      </c>
    </row>
  </sheetData>
  <pageMargins left="0.7" right="0.7" top="0.75" bottom="0.75" header="0.511811023622047" footer="0.511811023622047"/>
  <pageSetup paperSize="9" orientation="portrait" horizontalDpi="300" verticalDpi="30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H16"/>
  <sheetViews>
    <sheetView zoomScaleNormal="100" workbookViewId="0"/>
  </sheetViews>
  <sheetFormatPr defaultColWidth="8.6640625" defaultRowHeight="14.4" x14ac:dyDescent="0.3"/>
  <cols>
    <col min="1" max="1" width="14.33203125" customWidth="1"/>
    <col min="2" max="2" width="23.21875" customWidth="1"/>
    <col min="3" max="3" width="23.44140625" customWidth="1"/>
    <col min="4" max="4" width="23.5546875" customWidth="1"/>
    <col min="5" max="5" width="21" customWidth="1"/>
    <col min="6" max="6" width="14.33203125" customWidth="1"/>
    <col min="7" max="7" width="20" bestFit="1" customWidth="1"/>
    <col min="8" max="8" width="19.44140625" bestFit="1" customWidth="1"/>
  </cols>
  <sheetData>
    <row r="1" spans="1:8" s="12" customFormat="1" ht="28.5" customHeight="1" x14ac:dyDescent="0.3">
      <c r="A1" s="11" t="s">
        <v>2819</v>
      </c>
      <c r="B1" s="11" t="s">
        <v>2820</v>
      </c>
      <c r="C1" s="11" t="s">
        <v>2821</v>
      </c>
      <c r="D1" s="11" t="s">
        <v>2822</v>
      </c>
      <c r="E1" s="11" t="s">
        <v>2823</v>
      </c>
      <c r="F1" s="11" t="s">
        <v>2824</v>
      </c>
      <c r="G1" s="43" t="s">
        <v>2951</v>
      </c>
      <c r="H1" s="45" t="s">
        <v>2968</v>
      </c>
    </row>
    <row r="2" spans="1:8" ht="14.25" customHeight="1" x14ac:dyDescent="0.3">
      <c r="A2" s="29" t="s">
        <v>2848</v>
      </c>
      <c r="B2" s="29" t="s">
        <v>2849</v>
      </c>
      <c r="C2" s="29" t="s">
        <v>2850</v>
      </c>
      <c r="D2" s="29" t="s">
        <v>2828</v>
      </c>
      <c r="E2" s="29" t="s">
        <v>2851</v>
      </c>
      <c r="F2" s="29">
        <v>15</v>
      </c>
      <c r="G2" s="29" t="str">
        <f t="shared" ref="G2:G16" si="0">IF(F2&lt;8,"Junior",IF(F2&lt;12,"Mid","Senior"))</f>
        <v>Senior</v>
      </c>
      <c r="H2" s="29" t="str">
        <f t="shared" ref="H2:H16" si="1">IF(F2&lt;8,"Junior",
IF(F2&lt;=12,"Mid","Senior"))</f>
        <v>Senior</v>
      </c>
    </row>
    <row r="3" spans="1:8" ht="14.25" customHeight="1" x14ac:dyDescent="0.3">
      <c r="A3" s="29" t="s">
        <v>2861</v>
      </c>
      <c r="B3" s="29" t="s">
        <v>2862</v>
      </c>
      <c r="C3" s="29" t="s">
        <v>2863</v>
      </c>
      <c r="D3" s="29" t="s">
        <v>2847</v>
      </c>
      <c r="E3" s="29" t="s">
        <v>2863</v>
      </c>
      <c r="F3" s="29">
        <v>13</v>
      </c>
      <c r="G3" s="29" t="str">
        <f t="shared" si="0"/>
        <v>Senior</v>
      </c>
      <c r="H3" s="29" t="str">
        <f t="shared" si="1"/>
        <v>Senior</v>
      </c>
    </row>
    <row r="4" spans="1:8" ht="14.25" customHeight="1" x14ac:dyDescent="0.3">
      <c r="A4" s="29" t="s">
        <v>2825</v>
      </c>
      <c r="B4" s="29" t="s">
        <v>2826</v>
      </c>
      <c r="C4" s="29" t="s">
        <v>2827</v>
      </c>
      <c r="D4" s="29" t="s">
        <v>2828</v>
      </c>
      <c r="E4" s="29" t="s">
        <v>2829</v>
      </c>
      <c r="F4" s="29">
        <v>12</v>
      </c>
      <c r="G4" s="29" t="str">
        <f t="shared" si="0"/>
        <v>Senior</v>
      </c>
      <c r="H4" s="29" t="str">
        <f t="shared" si="1"/>
        <v>Mid</v>
      </c>
    </row>
    <row r="5" spans="1:8" ht="14.25" customHeight="1" x14ac:dyDescent="0.3">
      <c r="A5" s="29" t="s">
        <v>2870</v>
      </c>
      <c r="B5" s="29" t="s">
        <v>2871</v>
      </c>
      <c r="C5" s="29" t="s">
        <v>2841</v>
      </c>
      <c r="D5" s="29" t="s">
        <v>2842</v>
      </c>
      <c r="E5" s="29" t="s">
        <v>2843</v>
      </c>
      <c r="F5" s="29">
        <v>12</v>
      </c>
      <c r="G5" s="29" t="str">
        <f t="shared" si="0"/>
        <v>Senior</v>
      </c>
      <c r="H5" s="29" t="str">
        <f t="shared" si="1"/>
        <v>Mid</v>
      </c>
    </row>
    <row r="6" spans="1:8" ht="14.25" customHeight="1" x14ac:dyDescent="0.3">
      <c r="A6" s="29" t="s">
        <v>2844</v>
      </c>
      <c r="B6" s="29" t="s">
        <v>2845</v>
      </c>
      <c r="C6" s="29" t="s">
        <v>2846</v>
      </c>
      <c r="D6" s="29" t="s">
        <v>2847</v>
      </c>
      <c r="E6" s="29" t="s">
        <v>2846</v>
      </c>
      <c r="F6" s="29">
        <v>11</v>
      </c>
      <c r="G6" s="29" t="str">
        <f t="shared" si="0"/>
        <v>Mid</v>
      </c>
      <c r="H6" s="29" t="str">
        <f t="shared" si="1"/>
        <v>Mid</v>
      </c>
    </row>
    <row r="7" spans="1:8" ht="14.25" customHeight="1" x14ac:dyDescent="0.3">
      <c r="A7" s="29" t="s">
        <v>2868</v>
      </c>
      <c r="B7" s="29" t="s">
        <v>2869</v>
      </c>
      <c r="C7" s="29" t="s">
        <v>2837</v>
      </c>
      <c r="D7" s="29" t="s">
        <v>2838</v>
      </c>
      <c r="E7" s="29" t="s">
        <v>2837</v>
      </c>
      <c r="F7" s="29">
        <v>11</v>
      </c>
      <c r="G7" s="29" t="str">
        <f t="shared" si="0"/>
        <v>Mid</v>
      </c>
      <c r="H7" s="29" t="str">
        <f t="shared" si="1"/>
        <v>Mid</v>
      </c>
    </row>
    <row r="8" spans="1:8" ht="14.25" customHeight="1" x14ac:dyDescent="0.3">
      <c r="A8" s="29" t="s">
        <v>2830</v>
      </c>
      <c r="B8" s="29" t="s">
        <v>2831</v>
      </c>
      <c r="C8" s="29" t="s">
        <v>2832</v>
      </c>
      <c r="D8" s="29" t="s">
        <v>2833</v>
      </c>
      <c r="E8" s="29" t="s">
        <v>2834</v>
      </c>
      <c r="F8" s="29">
        <v>10</v>
      </c>
      <c r="G8" s="29" t="str">
        <f t="shared" si="0"/>
        <v>Mid</v>
      </c>
      <c r="H8" s="29" t="str">
        <f t="shared" si="1"/>
        <v>Mid</v>
      </c>
    </row>
    <row r="9" spans="1:8" ht="14.25" customHeight="1" x14ac:dyDescent="0.3">
      <c r="A9" s="29" t="s">
        <v>2864</v>
      </c>
      <c r="B9" s="29" t="s">
        <v>2865</v>
      </c>
      <c r="C9" s="29" t="s">
        <v>2827</v>
      </c>
      <c r="D9" s="29" t="s">
        <v>2828</v>
      </c>
      <c r="E9" s="29" t="s">
        <v>2829</v>
      </c>
      <c r="F9" s="29">
        <v>10</v>
      </c>
      <c r="G9" s="29" t="str">
        <f t="shared" si="0"/>
        <v>Mid</v>
      </c>
      <c r="H9" s="29" t="str">
        <f t="shared" si="1"/>
        <v>Mid</v>
      </c>
    </row>
    <row r="10" spans="1:8" ht="14.25" customHeight="1" x14ac:dyDescent="0.3">
      <c r="A10" s="29" t="s">
        <v>2839</v>
      </c>
      <c r="B10" s="29" t="s">
        <v>2840</v>
      </c>
      <c r="C10" s="29" t="s">
        <v>2841</v>
      </c>
      <c r="D10" s="29" t="s">
        <v>2842</v>
      </c>
      <c r="E10" s="29" t="s">
        <v>2843</v>
      </c>
      <c r="F10" s="29">
        <v>9</v>
      </c>
      <c r="G10" s="29" t="str">
        <f t="shared" si="0"/>
        <v>Mid</v>
      </c>
      <c r="H10" s="29" t="str">
        <f t="shared" si="1"/>
        <v>Mid</v>
      </c>
    </row>
    <row r="11" spans="1:8" ht="14.25" customHeight="1" x14ac:dyDescent="0.3">
      <c r="A11" s="29" t="s">
        <v>2854</v>
      </c>
      <c r="B11" s="29" t="s">
        <v>2855</v>
      </c>
      <c r="C11" s="29" t="s">
        <v>2856</v>
      </c>
      <c r="D11" s="29" t="s">
        <v>2838</v>
      </c>
      <c r="E11" s="29" t="s">
        <v>2856</v>
      </c>
      <c r="F11" s="29">
        <v>9</v>
      </c>
      <c r="G11" s="29" t="str">
        <f t="shared" si="0"/>
        <v>Mid</v>
      </c>
      <c r="H11" s="29" t="str">
        <f t="shared" si="1"/>
        <v>Mid</v>
      </c>
    </row>
    <row r="12" spans="1:8" ht="14.25" customHeight="1" x14ac:dyDescent="0.3">
      <c r="A12" s="29" t="s">
        <v>2872</v>
      </c>
      <c r="B12" s="29" t="s">
        <v>2873</v>
      </c>
      <c r="C12" s="29" t="s">
        <v>2846</v>
      </c>
      <c r="D12" s="29" t="s">
        <v>2847</v>
      </c>
      <c r="E12" s="29" t="s">
        <v>2846</v>
      </c>
      <c r="F12" s="29">
        <v>9</v>
      </c>
      <c r="G12" s="29" t="str">
        <f t="shared" si="0"/>
        <v>Mid</v>
      </c>
      <c r="H12" s="29" t="str">
        <f t="shared" si="1"/>
        <v>Mid</v>
      </c>
    </row>
    <row r="13" spans="1:8" ht="14.25" customHeight="1" x14ac:dyDescent="0.3">
      <c r="A13" s="29" t="s">
        <v>2835</v>
      </c>
      <c r="B13" s="29" t="s">
        <v>2836</v>
      </c>
      <c r="C13" s="29" t="s">
        <v>2837</v>
      </c>
      <c r="D13" s="29" t="s">
        <v>2838</v>
      </c>
      <c r="E13" s="29" t="s">
        <v>2837</v>
      </c>
      <c r="F13" s="29">
        <v>8</v>
      </c>
      <c r="G13" s="29" t="str">
        <f t="shared" si="0"/>
        <v>Mid</v>
      </c>
      <c r="H13" s="29" t="str">
        <f t="shared" si="1"/>
        <v>Mid</v>
      </c>
    </row>
    <row r="14" spans="1:8" ht="14.25" customHeight="1" x14ac:dyDescent="0.3">
      <c r="A14" s="29" t="s">
        <v>2866</v>
      </c>
      <c r="B14" s="29" t="s">
        <v>2867</v>
      </c>
      <c r="C14" s="29" t="s">
        <v>2832</v>
      </c>
      <c r="D14" s="29" t="s">
        <v>2833</v>
      </c>
      <c r="E14" s="29" t="s">
        <v>2834</v>
      </c>
      <c r="F14" s="29">
        <v>8</v>
      </c>
      <c r="G14" s="29" t="str">
        <f t="shared" si="0"/>
        <v>Mid</v>
      </c>
      <c r="H14" s="29" t="str">
        <f t="shared" si="1"/>
        <v>Mid</v>
      </c>
    </row>
    <row r="15" spans="1:8" ht="14.25" customHeight="1" x14ac:dyDescent="0.3">
      <c r="A15" s="29" t="s">
        <v>2852</v>
      </c>
      <c r="B15" s="29" t="s">
        <v>2853</v>
      </c>
      <c r="C15" s="29" t="s">
        <v>2837</v>
      </c>
      <c r="D15" s="29" t="s">
        <v>2833</v>
      </c>
      <c r="E15" s="29" t="s">
        <v>2837</v>
      </c>
      <c r="F15" s="29">
        <v>7</v>
      </c>
      <c r="G15" s="29" t="str">
        <f t="shared" si="0"/>
        <v>Junior</v>
      </c>
      <c r="H15" s="29" t="str">
        <f t="shared" si="1"/>
        <v>Junior</v>
      </c>
    </row>
    <row r="16" spans="1:8" ht="14.25" customHeight="1" x14ac:dyDescent="0.3">
      <c r="A16" s="29" t="s">
        <v>2857</v>
      </c>
      <c r="B16" s="29" t="s">
        <v>2858</v>
      </c>
      <c r="C16" s="29" t="s">
        <v>2859</v>
      </c>
      <c r="D16" s="29" t="s">
        <v>2842</v>
      </c>
      <c r="E16" s="29" t="s">
        <v>2860</v>
      </c>
      <c r="F16" s="29">
        <v>6</v>
      </c>
      <c r="G16" s="29" t="str">
        <f t="shared" si="0"/>
        <v>Junior</v>
      </c>
      <c r="H16" s="29" t="str">
        <f t="shared" si="1"/>
        <v>Junior</v>
      </c>
    </row>
  </sheetData>
  <pageMargins left="0.7" right="0.7" top="0.75" bottom="0.75" header="0.511811023622047" footer="0.511811023622047"/>
  <pageSetup paperSize="9" orientation="portrait" horizontalDpi="300" verticalDpi="30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dimension ref="A1:AI1003"/>
  <sheetViews>
    <sheetView topLeftCell="F1" zoomScaleNormal="100" workbookViewId="0">
      <selection activeCell="C13" sqref="C13"/>
    </sheetView>
  </sheetViews>
  <sheetFormatPr defaultColWidth="8.6640625" defaultRowHeight="14.4" x14ac:dyDescent="0.3"/>
  <cols>
    <col min="1" max="1" width="13.109375" style="31" bestFit="1" customWidth="1"/>
    <col min="2" max="3" width="18.21875" style="31" customWidth="1"/>
    <col min="4" max="4" width="9.77734375" customWidth="1"/>
    <col min="5" max="5" width="18.21875" style="12" customWidth="1"/>
    <col min="6" max="6" width="26.77734375" bestFit="1" customWidth="1"/>
    <col min="7" max="7" width="30.44140625" bestFit="1" customWidth="1"/>
    <col min="8" max="8" width="32.5546875" bestFit="1" customWidth="1"/>
    <col min="9" max="9" width="30.6640625" bestFit="1" customWidth="1"/>
    <col min="10" max="10" width="34.44140625" bestFit="1" customWidth="1"/>
    <col min="11" max="11" width="26" bestFit="1" customWidth="1"/>
    <col min="12" max="12" width="29.5546875" bestFit="1" customWidth="1"/>
    <col min="13" max="13" width="31.77734375" bestFit="1" customWidth="1"/>
    <col min="14" max="14" width="29.88671875" bestFit="1" customWidth="1"/>
    <col min="15" max="15" width="33.5546875" bestFit="1" customWidth="1"/>
    <col min="16" max="16" width="25.33203125" bestFit="1" customWidth="1"/>
    <col min="17" max="17" width="32.109375" bestFit="1" customWidth="1"/>
    <col min="18" max="18" width="24.5546875" bestFit="1" customWidth="1"/>
    <col min="19" max="19" width="33.77734375" bestFit="1" customWidth="1"/>
    <col min="20" max="20" width="38.33203125" bestFit="1" customWidth="1"/>
    <col min="21" max="21" width="32.5546875" bestFit="1" customWidth="1"/>
    <col min="22" max="22" width="37" bestFit="1" customWidth="1"/>
    <col min="23" max="23" width="34.77734375" bestFit="1" customWidth="1"/>
    <col min="24" max="24" width="39.21875" bestFit="1" customWidth="1"/>
    <col min="25" max="25" width="40.5546875" bestFit="1" customWidth="1"/>
    <col min="26" max="26" width="45" style="12" bestFit="1" customWidth="1"/>
    <col min="27" max="30" width="45" style="12" customWidth="1"/>
    <col min="31" max="31" width="31.77734375" style="31" bestFit="1" customWidth="1"/>
    <col min="32" max="32" width="31" style="31" bestFit="1" customWidth="1"/>
    <col min="33" max="33" width="33.5546875" style="12" bestFit="1" customWidth="1"/>
    <col min="34" max="34" width="35.33203125" style="31" bestFit="1" customWidth="1"/>
    <col min="35" max="35" width="21.44140625" customWidth="1"/>
  </cols>
  <sheetData>
    <row r="1" spans="1:35" s="26" customFormat="1" ht="25.2" customHeight="1" x14ac:dyDescent="0.3">
      <c r="A1" s="32" t="s">
        <v>0</v>
      </c>
      <c r="B1" s="23" t="s">
        <v>1</v>
      </c>
      <c r="C1" s="23" t="s">
        <v>2874</v>
      </c>
      <c r="D1" s="25" t="s">
        <v>2875</v>
      </c>
      <c r="E1" s="25" t="s">
        <v>2876</v>
      </c>
      <c r="F1" s="25" t="s">
        <v>2</v>
      </c>
      <c r="G1" s="25" t="s">
        <v>3</v>
      </c>
      <c r="H1" s="25" t="s">
        <v>4</v>
      </c>
      <c r="I1" s="25" t="s">
        <v>5</v>
      </c>
      <c r="J1" s="25" t="s">
        <v>6</v>
      </c>
      <c r="K1" s="25" t="s">
        <v>7</v>
      </c>
      <c r="L1" s="25" t="s">
        <v>8</v>
      </c>
      <c r="M1" s="25" t="s">
        <v>9</v>
      </c>
      <c r="N1" s="25" t="s">
        <v>10</v>
      </c>
      <c r="O1" s="25" t="s">
        <v>11</v>
      </c>
      <c r="P1" s="25" t="s">
        <v>12</v>
      </c>
      <c r="Q1" s="25" t="s">
        <v>2093</v>
      </c>
      <c r="R1" s="25" t="s">
        <v>13</v>
      </c>
      <c r="S1" s="24" t="s">
        <v>2804</v>
      </c>
      <c r="T1" s="24" t="s">
        <v>2805</v>
      </c>
      <c r="U1" s="24" t="s">
        <v>2806</v>
      </c>
      <c r="V1" s="24" t="s">
        <v>2807</v>
      </c>
      <c r="W1" s="24" t="s">
        <v>2808</v>
      </c>
      <c r="X1" s="24" t="s">
        <v>2809</v>
      </c>
      <c r="Y1" s="24" t="s">
        <v>2810</v>
      </c>
      <c r="Z1" s="24" t="s">
        <v>2811</v>
      </c>
      <c r="AA1" s="24" t="s">
        <v>2956</v>
      </c>
      <c r="AB1" s="24" t="s">
        <v>2957</v>
      </c>
      <c r="AC1" s="24" t="s">
        <v>2958</v>
      </c>
      <c r="AD1" s="24" t="s">
        <v>2959</v>
      </c>
      <c r="AE1" s="32" t="s">
        <v>2951</v>
      </c>
      <c r="AF1" s="23" t="s">
        <v>2877</v>
      </c>
      <c r="AG1" s="23" t="s">
        <v>2878</v>
      </c>
      <c r="AH1" s="25" t="s">
        <v>2879</v>
      </c>
      <c r="AI1" s="23" t="s">
        <v>2880</v>
      </c>
    </row>
    <row r="2" spans="1:35" ht="14.25" customHeight="1" x14ac:dyDescent="0.3">
      <c r="A2" s="31" t="s">
        <v>14</v>
      </c>
      <c r="B2" s="31" t="s">
        <v>2094</v>
      </c>
      <c r="C2" s="31" t="s">
        <v>2881</v>
      </c>
      <c r="D2" s="12">
        <f t="shared" ref="D2:D65" ca="1" si="0">RANDBETWEEN(20,30)</f>
        <v>21</v>
      </c>
      <c r="E2" s="12" t="str">
        <f ca="1">IF(Table1[[#This Row],[Age]]&lt;=22,"20-22",IF(Table1[[#This Row],[Age]]&lt;=25,"23-25",IF(Table1[[#This Row],[Age]]&lt;=28,"26-28","29-30")))</f>
        <v>20-22</v>
      </c>
      <c r="F2" s="12">
        <v>4.04</v>
      </c>
      <c r="G2" s="12">
        <v>3.81</v>
      </c>
      <c r="H2" s="12">
        <v>4.1500000000000004</v>
      </c>
      <c r="I2" s="12">
        <v>4.16</v>
      </c>
      <c r="J2" s="12">
        <v>4.03</v>
      </c>
      <c r="K2" s="12">
        <v>3.65</v>
      </c>
      <c r="L2" s="12">
        <v>3.98</v>
      </c>
      <c r="M2" s="12">
        <v>4.01</v>
      </c>
      <c r="N2" s="12">
        <v>4.24</v>
      </c>
      <c r="O2" s="12">
        <v>4.18</v>
      </c>
      <c r="P2" s="12">
        <f t="shared" ref="P2:P65" si="1">AVERAGE(F2:J2)</f>
        <v>4.0380000000000003</v>
      </c>
      <c r="Q2" s="12">
        <f t="shared" ref="Q2:Q65" si="2">ROUND(P2,2)</f>
        <v>4.04</v>
      </c>
      <c r="R2" s="12">
        <f t="shared" ref="R2:R65" si="3">AVERAGE(K2:O2)</f>
        <v>4.0120000000000005</v>
      </c>
      <c r="S2" s="28">
        <f>IFERROR(INDEX('Clean Gamification Data'!$B:$B,MATCH($B2,'Clean Gamification Data'!$A:$A,0)),"Not Found")</f>
        <v>91.665353280000005</v>
      </c>
      <c r="T2" s="28">
        <f>IFERROR(INDEX('Clean Gamification Data'!$C:$C,MATCH($B2,'Clean Gamification Data'!$A:$A,0)),"Not Found")</f>
        <v>64.472586280000002</v>
      </c>
      <c r="U2" s="28">
        <f>IFERROR(INDEX('Clean Gamification Data'!$D:$D,MATCH($B2,'Clean Gamification Data'!$A:$A,0)),"Not Found")</f>
        <v>75.446229990000006</v>
      </c>
      <c r="V2" s="28">
        <f>IFERROR(INDEX('Clean Gamification Data'!$E:$E,MATCH($B2,'Clean Gamification Data'!$A:$A,0)),"Not Found")</f>
        <v>66.947884400000007</v>
      </c>
      <c r="W2" s="28">
        <f>IFERROR(INDEX('Clean Gamification Data'!$F:$F,MATCH($B2,'Clean Gamification Data'!$A:$A,0)),"Not Found")</f>
        <v>80.535501749999995</v>
      </c>
      <c r="X2" s="28">
        <f>IFERROR(INDEX('Clean Gamification Data'!$G:$G,MATCH($B2,'Clean Gamification Data'!$A:$A,0)),"Not Found")</f>
        <v>78.052880979999998</v>
      </c>
      <c r="Y2" s="28">
        <f>IFERROR(INDEX('Clean Gamification Data'!$H:$H,MATCH($B2,'Clean Gamification Data'!$A:$A,0)),"Not Found")</f>
        <v>74.805507469999995</v>
      </c>
      <c r="Z2" s="28">
        <f>IFERROR(INDEX('Clean Gamification Data'!$I:$I,MATCH($B2,'Clean Gamification Data'!$A:$A,0)),"Not Found")</f>
        <v>54.760030229999998</v>
      </c>
      <c r="AA2" s="28">
        <f>Table1[[#This Row],[Engagement (Gamification %)]]-Table1[[#This Row],[Engagement (Non-Gamification %)]]</f>
        <v>27.192767000000003</v>
      </c>
      <c r="AB2" s="28">
        <f>Table1[[#This Row],[Motivation (Gamification %)]]-Table1[[#This Row],[Motivation (Non-Gamification %)]]</f>
        <v>8.4983455899999996</v>
      </c>
      <c r="AC2" s="28">
        <f>Table1[[#This Row],[Participation (Gamification %)]]-Table1[[#This Row],[Participation (Non-Gamification %)]]</f>
        <v>2.4826207699999969</v>
      </c>
      <c r="AD2" s="28">
        <f>Table1[[#This Row],[Learning Outcomes (Gamification %)]]-Table1[[#This Row],[Learning Outcomes (Non-Gamification %)]]</f>
        <v>20.045477239999997</v>
      </c>
      <c r="AE2" s="44" t="str">
        <f>IF(Table1[[#This Row],[Overall Effectiveness]]&lt;3.9,"Low",IF(Table1[[#This Row],[Overall Effectiveness]]&lt;4.2,"Medium","High"))</f>
        <v>Medium</v>
      </c>
      <c r="AF2" s="30" t="str">
        <f t="shared" ref="AF2:AF65" si="4">CHOOSE(MATCH(MAX(F2:J2),F2:J2,0),"Lectures","Case Studies","Group Projects","Experiments","Online Tutorials")</f>
        <v>Experiments</v>
      </c>
      <c r="AG2" s="30" t="str">
        <f t="shared" ref="AG2:AG65" si="5">CHOOSE(MATCH(MAX(K2:O2),K2:O2,0),"Lectures","Case Studies","Group Projects","Experiments","Online Tutorials")</f>
        <v>Experiments</v>
      </c>
      <c r="AH2" s="27">
        <f>COUNTIF(Teacher_Master!$D$2:$D$16,AF2)</f>
        <v>3</v>
      </c>
      <c r="AI2" s="30" t="str">
        <f>INDEX(Teacher_Master!$B$2:$B$16,MATCH(AF2,Teacher_Master!$D$2:$D$16,0))</f>
        <v>Prof. Rahul Singh</v>
      </c>
    </row>
    <row r="3" spans="1:35" ht="14.25" customHeight="1" x14ac:dyDescent="0.3">
      <c r="A3" s="31" t="s">
        <v>16</v>
      </c>
      <c r="B3" s="31" t="s">
        <v>17</v>
      </c>
      <c r="C3" s="31" t="s">
        <v>2881</v>
      </c>
      <c r="D3" s="12">
        <f t="shared" ca="1" si="0"/>
        <v>21</v>
      </c>
      <c r="E3" s="12" t="str">
        <f ca="1">IF(Table1[[#This Row],[Age]]&lt;=22,"20-22",IF(Table1[[#This Row],[Age]]&lt;=25,"23-25",IF(Table1[[#This Row],[Age]]&lt;=28,"26-28","29-30")))</f>
        <v>20-22</v>
      </c>
      <c r="F3" s="12">
        <v>3.58</v>
      </c>
      <c r="G3" s="12">
        <v>3.86</v>
      </c>
      <c r="H3" s="12">
        <v>3.95</v>
      </c>
      <c r="I3" s="12">
        <v>3.73</v>
      </c>
      <c r="J3" s="12">
        <v>3.8</v>
      </c>
      <c r="K3" s="12">
        <v>4.13</v>
      </c>
      <c r="L3" s="12">
        <v>4.42</v>
      </c>
      <c r="M3" s="12">
        <v>3.65</v>
      </c>
      <c r="N3" s="12">
        <v>4.2300000000000004</v>
      </c>
      <c r="O3" s="12">
        <v>4.33</v>
      </c>
      <c r="P3" s="12">
        <f t="shared" si="1"/>
        <v>3.7840000000000003</v>
      </c>
      <c r="Q3" s="12">
        <f t="shared" si="2"/>
        <v>3.78</v>
      </c>
      <c r="R3" s="12">
        <f t="shared" si="3"/>
        <v>4.1519999999999992</v>
      </c>
      <c r="S3" s="28">
        <f>IFERROR(INDEX('Clean Gamification Data'!$B:$B,MATCH($B3,'Clean Gamification Data'!$A:$A,0)),"Not Found")</f>
        <v>87.654193460000002</v>
      </c>
      <c r="T3" s="28">
        <f>IFERROR(INDEX('Clean Gamification Data'!$C:$C,MATCH($B3,'Clean Gamification Data'!$A:$A,0)),"Not Found")</f>
        <v>67.820685659999995</v>
      </c>
      <c r="U3" s="28">
        <f>IFERROR(INDEX('Clean Gamification Data'!$D:$D,MATCH($B3,'Clean Gamification Data'!$A:$A,0)),"Not Found")</f>
        <v>77.648152760000002</v>
      </c>
      <c r="V3" s="28">
        <f>IFERROR(INDEX('Clean Gamification Data'!$E:$E,MATCH($B3,'Clean Gamification Data'!$A:$A,0)),"Not Found")</f>
        <v>67.762033419999995</v>
      </c>
      <c r="W3" s="28">
        <f>IFERROR(INDEX('Clean Gamification Data'!$F:$F,MATCH($B3,'Clean Gamification Data'!$A:$A,0)),"Not Found")</f>
        <v>90.721900270000006</v>
      </c>
      <c r="X3" s="28">
        <f>IFERROR(INDEX('Clean Gamification Data'!$G:$G,MATCH($B3,'Clean Gamification Data'!$A:$A,0)),"Not Found")</f>
        <v>73.554424710000006</v>
      </c>
      <c r="Y3" s="28">
        <f>IFERROR(INDEX('Clean Gamification Data'!$H:$H,MATCH($B3,'Clean Gamification Data'!$A:$A,0)),"Not Found")</f>
        <v>67.865059930000001</v>
      </c>
      <c r="Z3" s="28">
        <f>IFERROR(INDEX('Clean Gamification Data'!$I:$I,MATCH($B3,'Clean Gamification Data'!$A:$A,0)),"Not Found")</f>
        <v>59.274791329999999</v>
      </c>
      <c r="AA3" s="28">
        <f>Table1[[#This Row],[Engagement (Gamification %)]]-Table1[[#This Row],[Engagement (Non-Gamification %)]]</f>
        <v>19.833507800000007</v>
      </c>
      <c r="AB3" s="28">
        <f>Table1[[#This Row],[Motivation (Gamification %)]]-Table1[[#This Row],[Motivation (Non-Gamification %)]]</f>
        <v>9.8861193400000076</v>
      </c>
      <c r="AC3" s="28">
        <f>Table1[[#This Row],[Participation (Gamification %)]]-Table1[[#This Row],[Participation (Non-Gamification %)]]</f>
        <v>17.16747556</v>
      </c>
      <c r="AD3" s="28">
        <f>Table1[[#This Row],[Learning Outcomes (Gamification %)]]-Table1[[#This Row],[Learning Outcomes (Non-Gamification %)]]</f>
        <v>8.5902686000000017</v>
      </c>
      <c r="AE3" s="44" t="str">
        <f>IF(Table1[[#This Row],[Overall Effectiveness]]&lt;3.9,"Low",IF(Table1[[#This Row],[Overall Effectiveness]]&lt;4.2,"Medium","High"))</f>
        <v>Low</v>
      </c>
      <c r="AF3" s="30" t="str">
        <f t="shared" si="4"/>
        <v>Group Projects</v>
      </c>
      <c r="AG3" s="30" t="str">
        <f t="shared" si="5"/>
        <v>Case Studies</v>
      </c>
      <c r="AH3" s="27">
        <f>COUNTIF(Teacher_Master!$D$2:$D$16,AF3)</f>
        <v>3</v>
      </c>
      <c r="AI3" s="30" t="str">
        <f>INDEX(Teacher_Master!$B$2:$B$16,MATCH(AF3,Teacher_Master!$D$2:$D$16,0))</f>
        <v>Dr. Rohan Dutta</v>
      </c>
    </row>
    <row r="4" spans="1:35" ht="14.25" customHeight="1" x14ac:dyDescent="0.3">
      <c r="A4" s="31" t="s">
        <v>18</v>
      </c>
      <c r="B4" s="31" t="s">
        <v>19</v>
      </c>
      <c r="C4" s="31" t="s">
        <v>2882</v>
      </c>
      <c r="D4" s="12">
        <f t="shared" ca="1" si="0"/>
        <v>24</v>
      </c>
      <c r="E4" s="12" t="str">
        <f ca="1">IF(Table1[[#This Row],[Age]]&lt;=22,"20-22",IF(Table1[[#This Row],[Age]]&lt;=25,"23-25",IF(Table1[[#This Row],[Age]]&lt;=28,"26-28","29-30")))</f>
        <v>23-25</v>
      </c>
      <c r="F4" s="12">
        <v>4.17</v>
      </c>
      <c r="G4" s="12">
        <v>4.58</v>
      </c>
      <c r="H4" s="12">
        <v>4.3</v>
      </c>
      <c r="I4" s="12">
        <v>4.24</v>
      </c>
      <c r="J4" s="12">
        <v>3.86</v>
      </c>
      <c r="K4" s="12">
        <v>4.28</v>
      </c>
      <c r="L4" s="12">
        <v>4.04</v>
      </c>
      <c r="M4" s="12">
        <v>4.1399999999999997</v>
      </c>
      <c r="N4" s="12">
        <v>3.89</v>
      </c>
      <c r="O4" s="12">
        <v>4.09</v>
      </c>
      <c r="P4" s="12">
        <f t="shared" si="1"/>
        <v>4.2299999999999995</v>
      </c>
      <c r="Q4" s="12">
        <f t="shared" si="2"/>
        <v>4.2300000000000004</v>
      </c>
      <c r="R4" s="12">
        <f t="shared" si="3"/>
        <v>4.0880000000000001</v>
      </c>
      <c r="S4" s="28">
        <f>IFERROR(INDEX('Clean Gamification Data'!$B:$B,MATCH($B4,'Clean Gamification Data'!$A:$A,0)),"Not Found")</f>
        <v>87.049486520000002</v>
      </c>
      <c r="T4" s="28">
        <f>IFERROR(INDEX('Clean Gamification Data'!$C:$C,MATCH($B4,'Clean Gamification Data'!$A:$A,0)),"Not Found")</f>
        <v>73.833676740000001</v>
      </c>
      <c r="U4" s="28">
        <f>IFERROR(INDEX('Clean Gamification Data'!$D:$D,MATCH($B4,'Clean Gamification Data'!$A:$A,0)),"Not Found")</f>
        <v>75.678608949999997</v>
      </c>
      <c r="V4" s="28">
        <f>IFERROR(INDEX('Clean Gamification Data'!$E:$E,MATCH($B4,'Clean Gamification Data'!$A:$A,0)),"Not Found")</f>
        <v>68.029196159999998</v>
      </c>
      <c r="W4" s="28">
        <f>IFERROR(INDEX('Clean Gamification Data'!$F:$F,MATCH($B4,'Clean Gamification Data'!$A:$A,0)),"Not Found")</f>
        <v>94.535746309999993</v>
      </c>
      <c r="X4" s="28">
        <f>IFERROR(INDEX('Clean Gamification Data'!$G:$G,MATCH($B4,'Clean Gamification Data'!$A:$A,0)),"Not Found")</f>
        <v>71.574285459999999</v>
      </c>
      <c r="Y4" s="28">
        <f>IFERROR(INDEX('Clean Gamification Data'!$H:$H,MATCH($B4,'Clean Gamification Data'!$A:$A,0)),"Not Found")</f>
        <v>67.194050880000006</v>
      </c>
      <c r="Z4" s="28">
        <f>IFERROR(INDEX('Clean Gamification Data'!$I:$I,MATCH($B4,'Clean Gamification Data'!$A:$A,0)),"Not Found")</f>
        <v>50</v>
      </c>
      <c r="AA4" s="28">
        <f>Table1[[#This Row],[Engagement (Gamification %)]]-Table1[[#This Row],[Engagement (Non-Gamification %)]]</f>
        <v>13.215809780000001</v>
      </c>
      <c r="AB4" s="28">
        <f>Table1[[#This Row],[Motivation (Gamification %)]]-Table1[[#This Row],[Motivation (Non-Gamification %)]]</f>
        <v>7.6494127899999995</v>
      </c>
      <c r="AC4" s="28">
        <f>Table1[[#This Row],[Participation (Gamification %)]]-Table1[[#This Row],[Participation (Non-Gamification %)]]</f>
        <v>22.961460849999995</v>
      </c>
      <c r="AD4" s="28">
        <f>Table1[[#This Row],[Learning Outcomes (Gamification %)]]-Table1[[#This Row],[Learning Outcomes (Non-Gamification %)]]</f>
        <v>17.194050880000006</v>
      </c>
      <c r="AE4" s="44" t="str">
        <f>IF(Table1[[#This Row],[Overall Effectiveness]]&lt;3.9,"Low",IF(Table1[[#This Row],[Overall Effectiveness]]&lt;4.2,"Medium","High"))</f>
        <v>High</v>
      </c>
      <c r="AF4" s="30" t="str">
        <f t="shared" si="4"/>
        <v>Case Studies</v>
      </c>
      <c r="AG4" s="30" t="str">
        <f t="shared" si="5"/>
        <v>Lectures</v>
      </c>
      <c r="AH4" s="27">
        <f>COUNTIF(Teacher_Master!$D$2:$D$16,AF4)</f>
        <v>3</v>
      </c>
      <c r="AI4" s="30" t="str">
        <f>INDEX(Teacher_Master!$B$2:$B$16,MATCH(AF4,Teacher_Master!$D$2:$D$16,0))</f>
        <v>Prof. Rajesh Mukherjee</v>
      </c>
    </row>
    <row r="5" spans="1:35" ht="14.25" customHeight="1" x14ac:dyDescent="0.3">
      <c r="A5" s="31" t="s">
        <v>20</v>
      </c>
      <c r="B5" s="31" t="s">
        <v>2095</v>
      </c>
      <c r="C5" s="31" t="s">
        <v>2882</v>
      </c>
      <c r="D5" s="12">
        <f t="shared" ca="1" si="0"/>
        <v>30</v>
      </c>
      <c r="E5" s="12" t="str">
        <f ca="1">IF(Table1[[#This Row],[Age]]&lt;=22,"20-22",IF(Table1[[#This Row],[Age]]&lt;=25,"23-25",IF(Table1[[#This Row],[Age]]&lt;=28,"26-28","29-30")))</f>
        <v>29-30</v>
      </c>
      <c r="F5" s="12">
        <v>3.48</v>
      </c>
      <c r="G5" s="12">
        <v>3.86</v>
      </c>
      <c r="H5" s="12">
        <v>3.58</v>
      </c>
      <c r="I5" s="12">
        <v>3.62</v>
      </c>
      <c r="J5" s="12">
        <v>3.61</v>
      </c>
      <c r="K5" s="12">
        <v>3.82</v>
      </c>
      <c r="L5" s="12">
        <v>4.2699999999999996</v>
      </c>
      <c r="M5" s="12">
        <v>4.12</v>
      </c>
      <c r="N5" s="12">
        <v>4.0199999999999996</v>
      </c>
      <c r="O5" s="12">
        <v>4.18</v>
      </c>
      <c r="P5" s="12">
        <f t="shared" si="1"/>
        <v>3.63</v>
      </c>
      <c r="Q5" s="12">
        <f t="shared" si="2"/>
        <v>3.63</v>
      </c>
      <c r="R5" s="12">
        <f t="shared" si="3"/>
        <v>4.0819999999999999</v>
      </c>
      <c r="S5" s="28">
        <f>IFERROR(INDEX('Clean Gamification Data'!$B:$B,MATCH($B5,'Clean Gamification Data'!$A:$A,0)),"Not Found")</f>
        <v>85.713902700000006</v>
      </c>
      <c r="T5" s="28">
        <f>IFERROR(INDEX('Clean Gamification Data'!$C:$C,MATCH($B5,'Clean Gamification Data'!$A:$A,0)),"Not Found")</f>
        <v>70.380426999999997</v>
      </c>
      <c r="U5" s="28">
        <f>IFERROR(INDEX('Clean Gamification Data'!$D:$D,MATCH($B5,'Clean Gamification Data'!$A:$A,0)),"Not Found")</f>
        <v>76.472089890000007</v>
      </c>
      <c r="V5" s="28">
        <f>IFERROR(INDEX('Clean Gamification Data'!$E:$E,MATCH($B5,'Clean Gamification Data'!$A:$A,0)),"Not Found")</f>
        <v>60.393160709999997</v>
      </c>
      <c r="W5" s="28">
        <f>IFERROR(INDEX('Clean Gamification Data'!$F:$F,MATCH($B5,'Clean Gamification Data'!$A:$A,0)),"Not Found")</f>
        <v>93.241402170000001</v>
      </c>
      <c r="X5" s="28">
        <f>IFERROR(INDEX('Clean Gamification Data'!$G:$G,MATCH($B5,'Clean Gamification Data'!$A:$A,0)),"Not Found")</f>
        <v>75.730622420000003</v>
      </c>
      <c r="Y5" s="28">
        <f>IFERROR(INDEX('Clean Gamification Data'!$H:$H,MATCH($B5,'Clean Gamification Data'!$A:$A,0)),"Not Found")</f>
        <v>76.560149409999994</v>
      </c>
      <c r="Z5" s="28">
        <f>IFERROR(INDEX('Clean Gamification Data'!$I:$I,MATCH($B5,'Clean Gamification Data'!$A:$A,0)),"Not Found")</f>
        <v>64.492761169999994</v>
      </c>
      <c r="AA5" s="28">
        <f>Table1[[#This Row],[Engagement (Gamification %)]]-Table1[[#This Row],[Engagement (Non-Gamification %)]]</f>
        <v>15.333475700000008</v>
      </c>
      <c r="AB5" s="28">
        <f>Table1[[#This Row],[Motivation (Gamification %)]]-Table1[[#This Row],[Motivation (Non-Gamification %)]]</f>
        <v>16.07892918000001</v>
      </c>
      <c r="AC5" s="28">
        <f>Table1[[#This Row],[Participation (Gamification %)]]-Table1[[#This Row],[Participation (Non-Gamification %)]]</f>
        <v>17.510779749999998</v>
      </c>
      <c r="AD5" s="28">
        <f>Table1[[#This Row],[Learning Outcomes (Gamification %)]]-Table1[[#This Row],[Learning Outcomes (Non-Gamification %)]]</f>
        <v>12.06738824</v>
      </c>
      <c r="AE5" s="44" t="str">
        <f>IF(Table1[[#This Row],[Overall Effectiveness]]&lt;3.9,"Low",IF(Table1[[#This Row],[Overall Effectiveness]]&lt;4.2,"Medium","High"))</f>
        <v>Low</v>
      </c>
      <c r="AF5" s="30" t="str">
        <f t="shared" si="4"/>
        <v>Case Studies</v>
      </c>
      <c r="AG5" s="30" t="str">
        <f t="shared" si="5"/>
        <v>Case Studies</v>
      </c>
      <c r="AH5" s="27">
        <f>COUNTIF(Teacher_Master!$D$2:$D$16,AF5)</f>
        <v>3</v>
      </c>
      <c r="AI5" s="30" t="str">
        <f>INDEX(Teacher_Master!$B$2:$B$16,MATCH(AF5,Teacher_Master!$D$2:$D$16,0))</f>
        <v>Prof. Rajesh Mukherjee</v>
      </c>
    </row>
    <row r="6" spans="1:35" ht="14.25" customHeight="1" x14ac:dyDescent="0.3">
      <c r="A6" s="31" t="s">
        <v>22</v>
      </c>
      <c r="B6" s="31" t="s">
        <v>23</v>
      </c>
      <c r="C6" s="31" t="s">
        <v>2882</v>
      </c>
      <c r="D6" s="12">
        <f t="shared" ca="1" si="0"/>
        <v>20</v>
      </c>
      <c r="E6" s="12" t="str">
        <f ca="1">IF(Table1[[#This Row],[Age]]&lt;=22,"20-22",IF(Table1[[#This Row],[Age]]&lt;=25,"23-25",IF(Table1[[#This Row],[Age]]&lt;=28,"26-28","29-30")))</f>
        <v>20-22</v>
      </c>
      <c r="F6" s="12">
        <v>3.79</v>
      </c>
      <c r="G6" s="12">
        <v>4.29</v>
      </c>
      <c r="H6" s="12">
        <v>4.1500000000000004</v>
      </c>
      <c r="I6" s="12">
        <v>3.89</v>
      </c>
      <c r="J6" s="12">
        <v>3.76</v>
      </c>
      <c r="K6" s="12">
        <v>4.43</v>
      </c>
      <c r="L6" s="12">
        <v>3.91</v>
      </c>
      <c r="M6" s="12">
        <v>3.59</v>
      </c>
      <c r="N6" s="12">
        <v>4.46</v>
      </c>
      <c r="O6" s="12">
        <v>4.25</v>
      </c>
      <c r="P6" s="12">
        <f t="shared" si="1"/>
        <v>3.9760000000000004</v>
      </c>
      <c r="Q6" s="12">
        <f t="shared" si="2"/>
        <v>3.98</v>
      </c>
      <c r="R6" s="12">
        <f t="shared" si="3"/>
        <v>4.1280000000000001</v>
      </c>
      <c r="S6" s="28">
        <f>IFERROR(INDEX('Clean Gamification Data'!$B:$B,MATCH($B6,'Clean Gamification Data'!$A:$A,0)),"Not Found")</f>
        <v>93.12175637</v>
      </c>
      <c r="T6" s="28">
        <f>IFERROR(INDEX('Clean Gamification Data'!$C:$C,MATCH($B6,'Clean Gamification Data'!$A:$A,0)),"Not Found")</f>
        <v>68.620500980000003</v>
      </c>
      <c r="U6" s="28">
        <f>IFERROR(INDEX('Clean Gamification Data'!$D:$D,MATCH($B6,'Clean Gamification Data'!$A:$A,0)),"Not Found")</f>
        <v>77.653629089999995</v>
      </c>
      <c r="V6" s="28">
        <f>IFERROR(INDEX('Clean Gamification Data'!$E:$E,MATCH($B6,'Clean Gamification Data'!$A:$A,0)),"Not Found")</f>
        <v>66.811238650000007</v>
      </c>
      <c r="W6" s="28">
        <f>IFERROR(INDEX('Clean Gamification Data'!$F:$F,MATCH($B6,'Clean Gamification Data'!$A:$A,0)),"Not Found")</f>
        <v>90.971236309999995</v>
      </c>
      <c r="X6" s="28">
        <f>IFERROR(INDEX('Clean Gamification Data'!$G:$G,MATCH($B6,'Clean Gamification Data'!$A:$A,0)),"Not Found")</f>
        <v>79.839091310000001</v>
      </c>
      <c r="Y6" s="28">
        <f>IFERROR(INDEX('Clean Gamification Data'!$H:$H,MATCH($B6,'Clean Gamification Data'!$A:$A,0)),"Not Found")</f>
        <v>74.383354449999999</v>
      </c>
      <c r="Z6" s="28">
        <f>IFERROR(INDEX('Clean Gamification Data'!$I:$I,MATCH($B6,'Clean Gamification Data'!$A:$A,0)),"Not Found")</f>
        <v>65.949048860000005</v>
      </c>
      <c r="AA6" s="28">
        <f>Table1[[#This Row],[Engagement (Gamification %)]]-Table1[[#This Row],[Engagement (Non-Gamification %)]]</f>
        <v>24.501255389999997</v>
      </c>
      <c r="AB6" s="28">
        <f>Table1[[#This Row],[Motivation (Gamification %)]]-Table1[[#This Row],[Motivation (Non-Gamification %)]]</f>
        <v>10.842390439999988</v>
      </c>
      <c r="AC6" s="28">
        <f>Table1[[#This Row],[Participation (Gamification %)]]-Table1[[#This Row],[Participation (Non-Gamification %)]]</f>
        <v>11.132144999999994</v>
      </c>
      <c r="AD6" s="28">
        <f>Table1[[#This Row],[Learning Outcomes (Gamification %)]]-Table1[[#This Row],[Learning Outcomes (Non-Gamification %)]]</f>
        <v>8.4343055899999939</v>
      </c>
      <c r="AE6" s="44" t="str">
        <f>IF(Table1[[#This Row],[Overall Effectiveness]]&lt;3.9,"Low",IF(Table1[[#This Row],[Overall Effectiveness]]&lt;4.2,"Medium","High"))</f>
        <v>Medium</v>
      </c>
      <c r="AF6" s="30" t="str">
        <f t="shared" si="4"/>
        <v>Case Studies</v>
      </c>
      <c r="AG6" s="30" t="str">
        <f t="shared" si="5"/>
        <v>Experiments</v>
      </c>
      <c r="AH6" s="27">
        <f>COUNTIF(Teacher_Master!$D$2:$D$16,AF6)</f>
        <v>3</v>
      </c>
      <c r="AI6" s="30" t="str">
        <f>INDEX(Teacher_Master!$B$2:$B$16,MATCH(AF6,Teacher_Master!$D$2:$D$16,0))</f>
        <v>Prof. Rajesh Mukherjee</v>
      </c>
    </row>
    <row r="7" spans="1:35" ht="14.25" customHeight="1" x14ac:dyDescent="0.3">
      <c r="A7" s="31" t="s">
        <v>24</v>
      </c>
      <c r="B7" s="31" t="s">
        <v>2096</v>
      </c>
      <c r="C7" s="31" t="s">
        <v>2881</v>
      </c>
      <c r="D7" s="12">
        <f t="shared" ca="1" si="0"/>
        <v>24</v>
      </c>
      <c r="E7" s="12" t="str">
        <f ca="1">IF(Table1[[#This Row],[Age]]&lt;=22,"20-22",IF(Table1[[#This Row],[Age]]&lt;=25,"23-25",IF(Table1[[#This Row],[Age]]&lt;=28,"26-28","29-30")))</f>
        <v>23-25</v>
      </c>
      <c r="F7" s="12">
        <v>4.21</v>
      </c>
      <c r="G7" s="12">
        <v>4.32</v>
      </c>
      <c r="H7" s="12">
        <v>4.51</v>
      </c>
      <c r="I7" s="12">
        <v>4.0199999999999996</v>
      </c>
      <c r="J7" s="12">
        <v>3.59</v>
      </c>
      <c r="K7" s="12">
        <v>3.88</v>
      </c>
      <c r="L7" s="12">
        <v>4.3499999999999996</v>
      </c>
      <c r="M7" s="12">
        <v>3.59</v>
      </c>
      <c r="N7" s="12">
        <v>4.0599999999999996</v>
      </c>
      <c r="O7" s="12">
        <v>4.13</v>
      </c>
      <c r="P7" s="12">
        <f t="shared" si="1"/>
        <v>4.1300000000000008</v>
      </c>
      <c r="Q7" s="12">
        <f t="shared" si="2"/>
        <v>4.13</v>
      </c>
      <c r="R7" s="12">
        <f t="shared" si="3"/>
        <v>4.0019999999999998</v>
      </c>
      <c r="S7" s="28">
        <f>IFERROR(INDEX('Clean Gamification Data'!$B:$B,MATCH($B7,'Clean Gamification Data'!$A:$A,0)),"Not Found")</f>
        <v>91.202608589999997</v>
      </c>
      <c r="T7" s="28">
        <f>IFERROR(INDEX('Clean Gamification Data'!$C:$C,MATCH($B7,'Clean Gamification Data'!$A:$A,0)),"Not Found")</f>
        <v>77.368115180000004</v>
      </c>
      <c r="U7" s="28">
        <f>IFERROR(INDEX('Clean Gamification Data'!$D:$D,MATCH($B7,'Clean Gamification Data'!$A:$A,0)),"Not Found")</f>
        <v>70</v>
      </c>
      <c r="V7" s="28">
        <f>IFERROR(INDEX('Clean Gamification Data'!$E:$E,MATCH($B7,'Clean Gamification Data'!$A:$A,0)),"Not Found")</f>
        <v>65.027168689999996</v>
      </c>
      <c r="W7" s="28">
        <f>IFERROR(INDEX('Clean Gamification Data'!$F:$F,MATCH($B7,'Clean Gamification Data'!$A:$A,0)),"Not Found")</f>
        <v>93.457185719999998</v>
      </c>
      <c r="X7" s="28">
        <f>IFERROR(INDEX('Clean Gamification Data'!$G:$G,MATCH($B7,'Clean Gamification Data'!$A:$A,0)),"Not Found")</f>
        <v>83.671175930000004</v>
      </c>
      <c r="Y7" s="28">
        <f>IFERROR(INDEX('Clean Gamification Data'!$H:$H,MATCH($B7,'Clean Gamification Data'!$A:$A,0)),"Not Found")</f>
        <v>77.504628969999999</v>
      </c>
      <c r="Z7" s="28">
        <f>IFERROR(INDEX('Clean Gamification Data'!$I:$I,MATCH($B7,'Clean Gamification Data'!$A:$A,0)),"Not Found")</f>
        <v>50</v>
      </c>
      <c r="AA7" s="28">
        <f>Table1[[#This Row],[Engagement (Gamification %)]]-Table1[[#This Row],[Engagement (Non-Gamification %)]]</f>
        <v>13.834493409999993</v>
      </c>
      <c r="AB7" s="28">
        <f>Table1[[#This Row],[Motivation (Gamification %)]]-Table1[[#This Row],[Motivation (Non-Gamification %)]]</f>
        <v>4.9728313100000037</v>
      </c>
      <c r="AC7" s="28">
        <f>Table1[[#This Row],[Participation (Gamification %)]]-Table1[[#This Row],[Participation (Non-Gamification %)]]</f>
        <v>9.7860097899999943</v>
      </c>
      <c r="AD7" s="28">
        <f>Table1[[#This Row],[Learning Outcomes (Gamification %)]]-Table1[[#This Row],[Learning Outcomes (Non-Gamification %)]]</f>
        <v>27.504628969999999</v>
      </c>
      <c r="AE7" s="44" t="str">
        <f>IF(Table1[[#This Row],[Overall Effectiveness]]&lt;3.9,"Low",IF(Table1[[#This Row],[Overall Effectiveness]]&lt;4.2,"Medium","High"))</f>
        <v>Medium</v>
      </c>
      <c r="AF7" s="30" t="str">
        <f t="shared" si="4"/>
        <v>Group Projects</v>
      </c>
      <c r="AG7" s="30" t="str">
        <f t="shared" si="5"/>
        <v>Case Studies</v>
      </c>
      <c r="AH7" s="27">
        <f>COUNTIF(Teacher_Master!$D$2:$D$16,AF7)</f>
        <v>3</v>
      </c>
      <c r="AI7" s="30" t="str">
        <f>INDEX(Teacher_Master!$B$2:$B$16,MATCH(AF7,Teacher_Master!$D$2:$D$16,0))</f>
        <v>Dr. Rohan Dutta</v>
      </c>
    </row>
    <row r="8" spans="1:35" ht="14.25" customHeight="1" x14ac:dyDescent="0.3">
      <c r="A8" s="31" t="s">
        <v>26</v>
      </c>
      <c r="B8" s="31" t="s">
        <v>27</v>
      </c>
      <c r="C8" s="31" t="s">
        <v>2882</v>
      </c>
      <c r="D8" s="12">
        <f t="shared" ca="1" si="0"/>
        <v>29</v>
      </c>
      <c r="E8" s="12" t="str">
        <f ca="1">IF(Table1[[#This Row],[Age]]&lt;=22,"20-22",IF(Table1[[#This Row],[Age]]&lt;=25,"23-25",IF(Table1[[#This Row],[Age]]&lt;=28,"26-28","29-30")))</f>
        <v>29-30</v>
      </c>
      <c r="F8" s="12">
        <v>4.03</v>
      </c>
      <c r="G8" s="12">
        <v>4.2699999999999996</v>
      </c>
      <c r="H8" s="12">
        <v>4.66</v>
      </c>
      <c r="I8" s="12">
        <v>3.82</v>
      </c>
      <c r="J8" s="12">
        <v>3.87</v>
      </c>
      <c r="K8" s="12">
        <v>4.4800000000000004</v>
      </c>
      <c r="L8" s="12">
        <v>3.49</v>
      </c>
      <c r="M8" s="12">
        <v>4.4800000000000004</v>
      </c>
      <c r="N8" s="12">
        <v>3.81</v>
      </c>
      <c r="O8" s="12">
        <v>4.1100000000000003</v>
      </c>
      <c r="P8" s="12">
        <f t="shared" si="1"/>
        <v>4.1300000000000008</v>
      </c>
      <c r="Q8" s="12">
        <f t="shared" si="2"/>
        <v>4.13</v>
      </c>
      <c r="R8" s="12">
        <f t="shared" si="3"/>
        <v>4.0739999999999998</v>
      </c>
      <c r="S8" s="28">
        <f>IFERROR(INDEX('Clean Gamification Data'!$B:$B,MATCH($B8,'Clean Gamification Data'!$A:$A,0)),"Not Found")</f>
        <v>78.806084679999998</v>
      </c>
      <c r="T8" s="28">
        <f>IFERROR(INDEX('Clean Gamification Data'!$C:$C,MATCH($B8,'Clean Gamification Data'!$A:$A,0)),"Not Found")</f>
        <v>65.087842980000005</v>
      </c>
      <c r="U8" s="28">
        <f>IFERROR(INDEX('Clean Gamification Data'!$D:$D,MATCH($B8,'Clean Gamification Data'!$A:$A,0)),"Not Found")</f>
        <v>74.683539510000003</v>
      </c>
      <c r="V8" s="28">
        <f>IFERROR(INDEX('Clean Gamification Data'!$E:$E,MATCH($B8,'Clean Gamification Data'!$A:$A,0)),"Not Found")</f>
        <v>60.436103039999999</v>
      </c>
      <c r="W8" s="28">
        <f>IFERROR(INDEX('Clean Gamification Data'!$F:$F,MATCH($B8,'Clean Gamification Data'!$A:$A,0)),"Not Found")</f>
        <v>94.145564179999994</v>
      </c>
      <c r="X8" s="28">
        <f>IFERROR(INDEX('Clean Gamification Data'!$G:$G,MATCH($B8,'Clean Gamification Data'!$A:$A,0)),"Not Found")</f>
        <v>71.491548039999998</v>
      </c>
      <c r="Y8" s="28">
        <f>IFERROR(INDEX('Clean Gamification Data'!$H:$H,MATCH($B8,'Clean Gamification Data'!$A:$A,0)),"Not Found")</f>
        <v>67.209314149999997</v>
      </c>
      <c r="Z8" s="28">
        <f>IFERROR(INDEX('Clean Gamification Data'!$I:$I,MATCH($B8,'Clean Gamification Data'!$A:$A,0)),"Not Found")</f>
        <v>52.915449979999998</v>
      </c>
      <c r="AA8" s="28">
        <f>Table1[[#This Row],[Engagement (Gamification %)]]-Table1[[#This Row],[Engagement (Non-Gamification %)]]</f>
        <v>13.718241699999993</v>
      </c>
      <c r="AB8" s="28">
        <f>Table1[[#This Row],[Motivation (Gamification %)]]-Table1[[#This Row],[Motivation (Non-Gamification %)]]</f>
        <v>14.247436470000004</v>
      </c>
      <c r="AC8" s="28">
        <f>Table1[[#This Row],[Participation (Gamification %)]]-Table1[[#This Row],[Participation (Non-Gamification %)]]</f>
        <v>22.654016139999996</v>
      </c>
      <c r="AD8" s="28">
        <f>Table1[[#This Row],[Learning Outcomes (Gamification %)]]-Table1[[#This Row],[Learning Outcomes (Non-Gamification %)]]</f>
        <v>14.293864169999999</v>
      </c>
      <c r="AE8" s="44" t="str">
        <f>IF(Table1[[#This Row],[Overall Effectiveness]]&lt;3.9,"Low",IF(Table1[[#This Row],[Overall Effectiveness]]&lt;4.2,"Medium","High"))</f>
        <v>Medium</v>
      </c>
      <c r="AF8" s="30" t="str">
        <f t="shared" si="4"/>
        <v>Group Projects</v>
      </c>
      <c r="AG8" s="30" t="str">
        <f t="shared" si="5"/>
        <v>Lectures</v>
      </c>
      <c r="AH8" s="27">
        <f>COUNTIF(Teacher_Master!$D$2:$D$16,AF8)</f>
        <v>3</v>
      </c>
      <c r="AI8" s="30" t="str">
        <f>INDEX(Teacher_Master!$B$2:$B$16,MATCH(AF8,Teacher_Master!$D$2:$D$16,0))</f>
        <v>Dr. Rohan Dutta</v>
      </c>
    </row>
    <row r="9" spans="1:35" ht="14.25" customHeight="1" x14ac:dyDescent="0.3">
      <c r="A9" s="31" t="s">
        <v>28</v>
      </c>
      <c r="B9" s="31" t="s">
        <v>2097</v>
      </c>
      <c r="C9" s="31" t="s">
        <v>2882</v>
      </c>
      <c r="D9" s="12">
        <f t="shared" ca="1" si="0"/>
        <v>22</v>
      </c>
      <c r="E9" s="12" t="str">
        <f ca="1">IF(Table1[[#This Row],[Age]]&lt;=22,"20-22",IF(Table1[[#This Row],[Age]]&lt;=25,"23-25",IF(Table1[[#This Row],[Age]]&lt;=28,"26-28","29-30")))</f>
        <v>20-22</v>
      </c>
      <c r="F9" s="12">
        <v>4.0199999999999996</v>
      </c>
      <c r="G9" s="12">
        <v>4.47</v>
      </c>
      <c r="H9" s="12">
        <v>4.3099999999999996</v>
      </c>
      <c r="I9" s="12">
        <v>3.86</v>
      </c>
      <c r="J9" s="12">
        <v>4.26</v>
      </c>
      <c r="K9" s="12">
        <v>5.14</v>
      </c>
      <c r="L9" s="12">
        <v>3.91</v>
      </c>
      <c r="M9" s="12">
        <v>4.04</v>
      </c>
      <c r="N9" s="12">
        <v>4.2</v>
      </c>
      <c r="O9" s="12">
        <v>4.09</v>
      </c>
      <c r="P9" s="12">
        <f t="shared" si="1"/>
        <v>4.1839999999999993</v>
      </c>
      <c r="Q9" s="12">
        <f t="shared" si="2"/>
        <v>4.18</v>
      </c>
      <c r="R9" s="12">
        <f t="shared" si="3"/>
        <v>4.2759999999999998</v>
      </c>
      <c r="S9" s="28">
        <f>IFERROR(INDEX('Clean Gamification Data'!$B:$B,MATCH($B9,'Clean Gamification Data'!$A:$A,0)),"Not Found")</f>
        <v>80.045044959999998</v>
      </c>
      <c r="T9" s="28">
        <f>IFERROR(INDEX('Clean Gamification Data'!$C:$C,MATCH($B9,'Clean Gamification Data'!$A:$A,0)),"Not Found")</f>
        <v>60</v>
      </c>
      <c r="U9" s="28">
        <f>IFERROR(INDEX('Clean Gamification Data'!$D:$D,MATCH($B9,'Clean Gamification Data'!$A:$A,0)),"Not Found")</f>
        <v>81.150110040000001</v>
      </c>
      <c r="V9" s="28">
        <f>IFERROR(INDEX('Clean Gamification Data'!$E:$E,MATCH($B9,'Clean Gamification Data'!$A:$A,0)),"Not Found")</f>
        <v>75</v>
      </c>
      <c r="W9" s="28">
        <f>IFERROR(INDEX('Clean Gamification Data'!$F:$F,MATCH($B9,'Clean Gamification Data'!$A:$A,0)),"Not Found")</f>
        <v>80</v>
      </c>
      <c r="X9" s="28">
        <f>IFERROR(INDEX('Clean Gamification Data'!$G:$G,MATCH($B9,'Clean Gamification Data'!$A:$A,0)),"Not Found")</f>
        <v>74.297456819999994</v>
      </c>
      <c r="Y9" s="28">
        <f>IFERROR(INDEX('Clean Gamification Data'!$H:$H,MATCH($B9,'Clean Gamification Data'!$A:$A,0)),"Not Found")</f>
        <v>72.593604130000003</v>
      </c>
      <c r="Z9" s="28">
        <f>IFERROR(INDEX('Clean Gamification Data'!$I:$I,MATCH($B9,'Clean Gamification Data'!$A:$A,0)),"Not Found")</f>
        <v>57.801526729999999</v>
      </c>
      <c r="AA9" s="28">
        <f>Table1[[#This Row],[Engagement (Gamification %)]]-Table1[[#This Row],[Engagement (Non-Gamification %)]]</f>
        <v>20.045044959999998</v>
      </c>
      <c r="AB9" s="28">
        <f>Table1[[#This Row],[Motivation (Gamification %)]]-Table1[[#This Row],[Motivation (Non-Gamification %)]]</f>
        <v>6.1501100400000013</v>
      </c>
      <c r="AC9" s="28">
        <f>Table1[[#This Row],[Participation (Gamification %)]]-Table1[[#This Row],[Participation (Non-Gamification %)]]</f>
        <v>5.7025431800000064</v>
      </c>
      <c r="AD9" s="28">
        <f>Table1[[#This Row],[Learning Outcomes (Gamification %)]]-Table1[[#This Row],[Learning Outcomes (Non-Gamification %)]]</f>
        <v>14.792077400000004</v>
      </c>
      <c r="AE9" s="44" t="str">
        <f>IF(Table1[[#This Row],[Overall Effectiveness]]&lt;3.9,"Low",IF(Table1[[#This Row],[Overall Effectiveness]]&lt;4.2,"Medium","High"))</f>
        <v>Medium</v>
      </c>
      <c r="AF9" s="30" t="str">
        <f t="shared" si="4"/>
        <v>Case Studies</v>
      </c>
      <c r="AG9" s="30" t="str">
        <f t="shared" si="5"/>
        <v>Lectures</v>
      </c>
      <c r="AH9" s="27">
        <f>COUNTIF(Teacher_Master!$D$2:$D$16,AF9)</f>
        <v>3</v>
      </c>
      <c r="AI9" s="30" t="str">
        <f>INDEX(Teacher_Master!$B$2:$B$16,MATCH(AF9,Teacher_Master!$D$2:$D$16,0))</f>
        <v>Prof. Rajesh Mukherjee</v>
      </c>
    </row>
    <row r="10" spans="1:35" ht="14.25" customHeight="1" x14ac:dyDescent="0.3">
      <c r="A10" s="31" t="s">
        <v>30</v>
      </c>
      <c r="B10" s="31" t="s">
        <v>31</v>
      </c>
      <c r="C10" s="31" t="s">
        <v>2881</v>
      </c>
      <c r="D10" s="12">
        <f t="shared" ca="1" si="0"/>
        <v>23</v>
      </c>
      <c r="E10" s="12" t="str">
        <f ca="1">IF(Table1[[#This Row],[Age]]&lt;=22,"20-22",IF(Table1[[#This Row],[Age]]&lt;=25,"23-25",IF(Table1[[#This Row],[Age]]&lt;=28,"26-28","29-30")))</f>
        <v>23-25</v>
      </c>
      <c r="F10" s="12">
        <v>3.79</v>
      </c>
      <c r="G10" s="12">
        <v>3.87</v>
      </c>
      <c r="H10" s="12">
        <v>3.75</v>
      </c>
      <c r="I10" s="12">
        <v>3.85</v>
      </c>
      <c r="J10" s="12">
        <v>4.05</v>
      </c>
      <c r="K10" s="12">
        <v>4.46</v>
      </c>
      <c r="L10" s="12">
        <v>4.5</v>
      </c>
      <c r="M10" s="12">
        <v>3.88</v>
      </c>
      <c r="N10" s="12">
        <v>4.55</v>
      </c>
      <c r="O10" s="12">
        <v>4.49</v>
      </c>
      <c r="P10" s="12">
        <f t="shared" si="1"/>
        <v>3.8619999999999997</v>
      </c>
      <c r="Q10" s="12">
        <f t="shared" si="2"/>
        <v>3.86</v>
      </c>
      <c r="R10" s="12">
        <f t="shared" si="3"/>
        <v>4.3760000000000003</v>
      </c>
      <c r="S10" s="28">
        <f>IFERROR(INDEX('Clean Gamification Data'!$B:$B,MATCH($B10,'Clean Gamification Data'!$A:$A,0)),"Not Found")</f>
        <v>84.226793729999997</v>
      </c>
      <c r="T10" s="28">
        <f>IFERROR(INDEX('Clean Gamification Data'!$C:$C,MATCH($B10,'Clean Gamification Data'!$A:$A,0)),"Not Found")</f>
        <v>69.953556890000002</v>
      </c>
      <c r="U10" s="28">
        <f>IFERROR(INDEX('Clean Gamification Data'!$D:$D,MATCH($B10,'Clean Gamification Data'!$A:$A,0)),"Not Found")</f>
        <v>70</v>
      </c>
      <c r="V10" s="28">
        <f>IFERROR(INDEX('Clean Gamification Data'!$E:$E,MATCH($B10,'Clean Gamification Data'!$A:$A,0)),"Not Found")</f>
        <v>63.358897419999998</v>
      </c>
      <c r="W10" s="28">
        <f>IFERROR(INDEX('Clean Gamification Data'!$F:$F,MATCH($B10,'Clean Gamification Data'!$A:$A,0)),"Not Found")</f>
        <v>88.499793220000001</v>
      </c>
      <c r="X10" s="28">
        <f>IFERROR(INDEX('Clean Gamification Data'!$G:$G,MATCH($B10,'Clean Gamification Data'!$A:$A,0)),"Not Found")</f>
        <v>79.561852569999999</v>
      </c>
      <c r="Y10" s="28">
        <f>IFERROR(INDEX('Clean Gamification Data'!$H:$H,MATCH($B10,'Clean Gamification Data'!$A:$A,0)),"Not Found")</f>
        <v>69.863281580000006</v>
      </c>
      <c r="Z10" s="28">
        <f>IFERROR(INDEX('Clean Gamification Data'!$I:$I,MATCH($B10,'Clean Gamification Data'!$A:$A,0)),"Not Found")</f>
        <v>69.679202419999996</v>
      </c>
      <c r="AA10" s="28">
        <f>Table1[[#This Row],[Engagement (Gamification %)]]-Table1[[#This Row],[Engagement (Non-Gamification %)]]</f>
        <v>14.273236839999996</v>
      </c>
      <c r="AB10" s="28">
        <f>Table1[[#This Row],[Motivation (Gamification %)]]-Table1[[#This Row],[Motivation (Non-Gamification %)]]</f>
        <v>6.6411025800000019</v>
      </c>
      <c r="AC10" s="28">
        <f>Table1[[#This Row],[Participation (Gamification %)]]-Table1[[#This Row],[Participation (Non-Gamification %)]]</f>
        <v>8.9379406500000016</v>
      </c>
      <c r="AD10" s="28">
        <f>Table1[[#This Row],[Learning Outcomes (Gamification %)]]-Table1[[#This Row],[Learning Outcomes (Non-Gamification %)]]</f>
        <v>0.18407916000001023</v>
      </c>
      <c r="AE10" s="44" t="str">
        <f>IF(Table1[[#This Row],[Overall Effectiveness]]&lt;3.9,"Low",IF(Table1[[#This Row],[Overall Effectiveness]]&lt;4.2,"Medium","High"))</f>
        <v>Low</v>
      </c>
      <c r="AF10" s="30" t="str">
        <f t="shared" si="4"/>
        <v>Online Tutorials</v>
      </c>
      <c r="AG10" s="30" t="str">
        <f t="shared" si="5"/>
        <v>Experiments</v>
      </c>
      <c r="AH10" s="27">
        <f>COUNTIF(Teacher_Master!$D$2:$D$16,AF10)</f>
        <v>3</v>
      </c>
      <c r="AI10" s="30" t="str">
        <f>INDEX(Teacher_Master!$B$2:$B$16,MATCH(AF10,Teacher_Master!$D$2:$D$16,0))</f>
        <v>Prof. Kavita Rao</v>
      </c>
    </row>
    <row r="11" spans="1:35" ht="14.25" customHeight="1" x14ac:dyDescent="0.3">
      <c r="A11" s="31" t="s">
        <v>32</v>
      </c>
      <c r="B11" s="31" t="s">
        <v>2098</v>
      </c>
      <c r="C11" s="31" t="s">
        <v>2882</v>
      </c>
      <c r="D11" s="12">
        <f t="shared" ca="1" si="0"/>
        <v>21</v>
      </c>
      <c r="E11" s="12" t="str">
        <f ca="1">IF(Table1[[#This Row],[Age]]&lt;=22,"20-22",IF(Table1[[#This Row],[Age]]&lt;=25,"23-25",IF(Table1[[#This Row],[Age]]&lt;=28,"26-28","29-30")))</f>
        <v>20-22</v>
      </c>
      <c r="F11" s="12">
        <v>4.3099999999999996</v>
      </c>
      <c r="G11" s="12">
        <v>4.2699999999999996</v>
      </c>
      <c r="H11" s="12">
        <v>3.29</v>
      </c>
      <c r="I11" s="12">
        <v>4.28</v>
      </c>
      <c r="J11" s="12">
        <v>4.2300000000000004</v>
      </c>
      <c r="K11" s="12">
        <v>3.87</v>
      </c>
      <c r="L11" s="12">
        <v>3.85</v>
      </c>
      <c r="M11" s="12">
        <v>4.05</v>
      </c>
      <c r="N11" s="12">
        <v>4.5999999999999996</v>
      </c>
      <c r="O11" s="12">
        <v>3.71</v>
      </c>
      <c r="P11" s="12">
        <f t="shared" si="1"/>
        <v>4.0759999999999996</v>
      </c>
      <c r="Q11" s="12">
        <f t="shared" si="2"/>
        <v>4.08</v>
      </c>
      <c r="R11" s="12">
        <f t="shared" si="3"/>
        <v>4.016</v>
      </c>
      <c r="S11" s="28">
        <f>IFERROR(INDEX('Clean Gamification Data'!$B:$B,MATCH($B11,'Clean Gamification Data'!$A:$A,0)),"Not Found")</f>
        <v>89.602269509999999</v>
      </c>
      <c r="T11" s="28">
        <f>IFERROR(INDEX('Clean Gamification Data'!$C:$C,MATCH($B11,'Clean Gamification Data'!$A:$A,0)),"Not Found")</f>
        <v>66.597591859999994</v>
      </c>
      <c r="U11" s="28">
        <f>IFERROR(INDEX('Clean Gamification Data'!$D:$D,MATCH($B11,'Clean Gamification Data'!$A:$A,0)),"Not Found")</f>
        <v>77.567887429999999</v>
      </c>
      <c r="V11" s="28">
        <f>IFERROR(INDEX('Clean Gamification Data'!$E:$E,MATCH($B11,'Clean Gamification Data'!$A:$A,0)),"Not Found")</f>
        <v>68.086795670000001</v>
      </c>
      <c r="W11" s="28">
        <f>IFERROR(INDEX('Clean Gamification Data'!$F:$F,MATCH($B11,'Clean Gamification Data'!$A:$A,0)),"Not Found")</f>
        <v>99.9</v>
      </c>
      <c r="X11" s="28">
        <f>IFERROR(INDEX('Clean Gamification Data'!$G:$G,MATCH($B11,'Clean Gamification Data'!$A:$A,0)),"Not Found")</f>
        <v>76.946860009999995</v>
      </c>
      <c r="Y11" s="28">
        <f>IFERROR(INDEX('Clean Gamification Data'!$H:$H,MATCH($B11,'Clean Gamification Data'!$A:$A,0)),"Not Found")</f>
        <v>70.401646209999996</v>
      </c>
      <c r="Z11" s="28">
        <f>IFERROR(INDEX('Clean Gamification Data'!$I:$I,MATCH($B11,'Clean Gamification Data'!$A:$A,0)),"Not Found")</f>
        <v>60.821486470000004</v>
      </c>
      <c r="AA11" s="28">
        <f>Table1[[#This Row],[Engagement (Gamification %)]]-Table1[[#This Row],[Engagement (Non-Gamification %)]]</f>
        <v>23.004677650000005</v>
      </c>
      <c r="AB11" s="28">
        <f>Table1[[#This Row],[Motivation (Gamification %)]]-Table1[[#This Row],[Motivation (Non-Gamification %)]]</f>
        <v>9.4810917599999982</v>
      </c>
      <c r="AC11" s="28">
        <f>Table1[[#This Row],[Participation (Gamification %)]]-Table1[[#This Row],[Participation (Non-Gamification %)]]</f>
        <v>22.953139990000011</v>
      </c>
      <c r="AD11" s="28">
        <f>Table1[[#This Row],[Learning Outcomes (Gamification %)]]-Table1[[#This Row],[Learning Outcomes (Non-Gamification %)]]</f>
        <v>9.580159739999992</v>
      </c>
      <c r="AE11" s="44" t="str">
        <f>IF(Table1[[#This Row],[Overall Effectiveness]]&lt;3.9,"Low",IF(Table1[[#This Row],[Overall Effectiveness]]&lt;4.2,"Medium","High"))</f>
        <v>Medium</v>
      </c>
      <c r="AF11" s="30" t="str">
        <f t="shared" si="4"/>
        <v>Lectures</v>
      </c>
      <c r="AG11" s="30" t="str">
        <f t="shared" si="5"/>
        <v>Experiments</v>
      </c>
      <c r="AH11" s="27">
        <f>COUNTIF(Teacher_Master!$D$2:$D$16,AF11)</f>
        <v>3</v>
      </c>
      <c r="AI11" s="30" t="str">
        <f>INDEX(Teacher_Master!$B$2:$B$16,MATCH(AF11,Teacher_Master!$D$2:$D$16,0))</f>
        <v>Prof. Vikram Gupta</v>
      </c>
    </row>
    <row r="12" spans="1:35" ht="14.25" customHeight="1" x14ac:dyDescent="0.3">
      <c r="A12" s="31" t="s">
        <v>34</v>
      </c>
      <c r="B12" s="31" t="s">
        <v>2099</v>
      </c>
      <c r="C12" s="31" t="s">
        <v>2881</v>
      </c>
      <c r="D12" s="12">
        <f t="shared" ca="1" si="0"/>
        <v>30</v>
      </c>
      <c r="E12" s="12" t="str">
        <f ca="1">IF(Table1[[#This Row],[Age]]&lt;=22,"20-22",IF(Table1[[#This Row],[Age]]&lt;=25,"23-25",IF(Table1[[#This Row],[Age]]&lt;=28,"26-28","29-30")))</f>
        <v>29-30</v>
      </c>
      <c r="F12" s="12">
        <v>3.91</v>
      </c>
      <c r="G12" s="12">
        <v>3.93</v>
      </c>
      <c r="H12" s="12">
        <v>4.08</v>
      </c>
      <c r="I12" s="12">
        <v>3.65</v>
      </c>
      <c r="J12" s="12">
        <v>4.12</v>
      </c>
      <c r="K12" s="12">
        <v>3.66</v>
      </c>
      <c r="L12" s="12">
        <v>4.33</v>
      </c>
      <c r="M12" s="12">
        <v>4.05</v>
      </c>
      <c r="N12" s="12">
        <v>4.78</v>
      </c>
      <c r="O12" s="12">
        <v>4.1399999999999997</v>
      </c>
      <c r="P12" s="12">
        <f t="shared" si="1"/>
        <v>3.9380000000000002</v>
      </c>
      <c r="Q12" s="12">
        <f t="shared" si="2"/>
        <v>3.94</v>
      </c>
      <c r="R12" s="12">
        <f t="shared" si="3"/>
        <v>4.1920000000000002</v>
      </c>
      <c r="S12" s="28">
        <f>IFERROR(INDEX('Clean Gamification Data'!$B:$B,MATCH($B12,'Clean Gamification Data'!$A:$A,0)),"Not Found")</f>
        <v>91.396171170000002</v>
      </c>
      <c r="T12" s="28">
        <f>IFERROR(INDEX('Clean Gamification Data'!$C:$C,MATCH($B12,'Clean Gamification Data'!$A:$A,0)),"Not Found")</f>
        <v>68.689777309999997</v>
      </c>
      <c r="U12" s="28">
        <f>IFERROR(INDEX('Clean Gamification Data'!$D:$D,MATCH($B12,'Clean Gamification Data'!$A:$A,0)),"Not Found")</f>
        <v>70</v>
      </c>
      <c r="V12" s="28">
        <f>IFERROR(INDEX('Clean Gamification Data'!$E:$E,MATCH($B12,'Clean Gamification Data'!$A:$A,0)),"Not Found")</f>
        <v>60.844100160000004</v>
      </c>
      <c r="W12" s="28">
        <f>IFERROR(INDEX('Clean Gamification Data'!$F:$F,MATCH($B12,'Clean Gamification Data'!$A:$A,0)),"Not Found")</f>
        <v>95.907413899999995</v>
      </c>
      <c r="X12" s="28">
        <f>IFERROR(INDEX('Clean Gamification Data'!$G:$G,MATCH($B12,'Clean Gamification Data'!$A:$A,0)),"Not Found")</f>
        <v>79.423690019999995</v>
      </c>
      <c r="Y12" s="28">
        <f>IFERROR(INDEX('Clean Gamification Data'!$H:$H,MATCH($B12,'Clean Gamification Data'!$A:$A,0)),"Not Found")</f>
        <v>72.160361469999998</v>
      </c>
      <c r="Z12" s="28">
        <f>IFERROR(INDEX('Clean Gamification Data'!$I:$I,MATCH($B12,'Clean Gamification Data'!$A:$A,0)),"Not Found")</f>
        <v>51.529862919999999</v>
      </c>
      <c r="AA12" s="28">
        <f>Table1[[#This Row],[Engagement (Gamification %)]]-Table1[[#This Row],[Engagement (Non-Gamification %)]]</f>
        <v>22.706393860000006</v>
      </c>
      <c r="AB12" s="28">
        <f>Table1[[#This Row],[Motivation (Gamification %)]]-Table1[[#This Row],[Motivation (Non-Gamification %)]]</f>
        <v>9.1558998399999965</v>
      </c>
      <c r="AC12" s="28">
        <f>Table1[[#This Row],[Participation (Gamification %)]]-Table1[[#This Row],[Participation (Non-Gamification %)]]</f>
        <v>16.483723879999999</v>
      </c>
      <c r="AD12" s="28">
        <f>Table1[[#This Row],[Learning Outcomes (Gamification %)]]-Table1[[#This Row],[Learning Outcomes (Non-Gamification %)]]</f>
        <v>20.630498549999999</v>
      </c>
      <c r="AE12" s="44" t="str">
        <f>IF(Table1[[#This Row],[Overall Effectiveness]]&lt;3.9,"Low",IF(Table1[[#This Row],[Overall Effectiveness]]&lt;4.2,"Medium","High"))</f>
        <v>Medium</v>
      </c>
      <c r="AF12" s="30" t="str">
        <f t="shared" si="4"/>
        <v>Online Tutorials</v>
      </c>
      <c r="AG12" s="30" t="str">
        <f t="shared" si="5"/>
        <v>Experiments</v>
      </c>
      <c r="AH12" s="27">
        <f>COUNTIF(Teacher_Master!$D$2:$D$16,AF12)</f>
        <v>3</v>
      </c>
      <c r="AI12" s="30" t="str">
        <f>INDEX(Teacher_Master!$B$2:$B$16,MATCH(AF12,Teacher_Master!$D$2:$D$16,0))</f>
        <v>Prof. Kavita Rao</v>
      </c>
    </row>
    <row r="13" spans="1:35" ht="14.25" customHeight="1" x14ac:dyDescent="0.3">
      <c r="A13" s="31" t="s">
        <v>36</v>
      </c>
      <c r="B13" s="31" t="s">
        <v>2100</v>
      </c>
      <c r="C13" s="31" t="s">
        <v>2882</v>
      </c>
      <c r="D13" s="12">
        <f t="shared" ca="1" si="0"/>
        <v>23</v>
      </c>
      <c r="E13" s="12" t="str">
        <f ca="1">IF(Table1[[#This Row],[Age]]&lt;=22,"20-22",IF(Table1[[#This Row],[Age]]&lt;=25,"23-25",IF(Table1[[#This Row],[Age]]&lt;=28,"26-28","29-30")))</f>
        <v>23-25</v>
      </c>
      <c r="F13" s="12">
        <v>4.66</v>
      </c>
      <c r="G13" s="12">
        <v>4.28</v>
      </c>
      <c r="H13" s="12">
        <v>4.18</v>
      </c>
      <c r="I13" s="12">
        <v>4.01</v>
      </c>
      <c r="J13" s="12">
        <v>3.93</v>
      </c>
      <c r="K13" s="12">
        <v>4.0599999999999996</v>
      </c>
      <c r="L13" s="12">
        <v>4.09</v>
      </c>
      <c r="M13" s="12">
        <v>3.51</v>
      </c>
      <c r="N13" s="12">
        <v>4.3</v>
      </c>
      <c r="O13" s="12">
        <v>4.3099999999999996</v>
      </c>
      <c r="P13" s="12">
        <f t="shared" si="1"/>
        <v>4.2120000000000006</v>
      </c>
      <c r="Q13" s="12">
        <f t="shared" si="2"/>
        <v>4.21</v>
      </c>
      <c r="R13" s="12">
        <f t="shared" si="3"/>
        <v>4.0539999999999994</v>
      </c>
      <c r="S13" s="28">
        <f>IFERROR(INDEX('Clean Gamification Data'!$B:$B,MATCH($B13,'Clean Gamification Data'!$A:$A,0)),"Not Found")</f>
        <v>78.267945229999995</v>
      </c>
      <c r="T13" s="28">
        <f>IFERROR(INDEX('Clean Gamification Data'!$C:$C,MATCH($B13,'Clean Gamification Data'!$A:$A,0)),"Not Found")</f>
        <v>79.35764795</v>
      </c>
      <c r="U13" s="28">
        <f>IFERROR(INDEX('Clean Gamification Data'!$D:$D,MATCH($B13,'Clean Gamification Data'!$A:$A,0)),"Not Found")</f>
        <v>74.445449670000002</v>
      </c>
      <c r="V13" s="28">
        <f>IFERROR(INDEX('Clean Gamification Data'!$E:$E,MATCH($B13,'Clean Gamification Data'!$A:$A,0)),"Not Found")</f>
        <v>73.167360130000006</v>
      </c>
      <c r="W13" s="28">
        <f>IFERROR(INDEX('Clean Gamification Data'!$F:$F,MATCH($B13,'Clean Gamification Data'!$A:$A,0)),"Not Found")</f>
        <v>95.395274659999998</v>
      </c>
      <c r="X13" s="28">
        <f>IFERROR(INDEX('Clean Gamification Data'!$G:$G,MATCH($B13,'Clean Gamification Data'!$A:$A,0)),"Not Found")</f>
        <v>75.139835730000001</v>
      </c>
      <c r="Y13" s="28">
        <f>IFERROR(INDEX('Clean Gamification Data'!$H:$H,MATCH($B13,'Clean Gamification Data'!$A:$A,0)),"Not Found")</f>
        <v>73.560245069999993</v>
      </c>
      <c r="Z13" s="28">
        <f>IFERROR(INDEX('Clean Gamification Data'!$I:$I,MATCH($B13,'Clean Gamification Data'!$A:$A,0)),"Not Found")</f>
        <v>59.764703019999999</v>
      </c>
      <c r="AA13" s="28">
        <f>Table1[[#This Row],[Engagement (Gamification %)]]-Table1[[#This Row],[Engagement (Non-Gamification %)]]</f>
        <v>-1.0897027200000053</v>
      </c>
      <c r="AB13" s="28">
        <f>Table1[[#This Row],[Motivation (Gamification %)]]-Table1[[#This Row],[Motivation (Non-Gamification %)]]</f>
        <v>1.2780895399999963</v>
      </c>
      <c r="AC13" s="28">
        <f>Table1[[#This Row],[Participation (Gamification %)]]-Table1[[#This Row],[Participation (Non-Gamification %)]]</f>
        <v>20.255438929999997</v>
      </c>
      <c r="AD13" s="28">
        <f>Table1[[#This Row],[Learning Outcomes (Gamification %)]]-Table1[[#This Row],[Learning Outcomes (Non-Gamification %)]]</f>
        <v>13.795542049999995</v>
      </c>
      <c r="AE13" s="44" t="str">
        <f>IF(Table1[[#This Row],[Overall Effectiveness]]&lt;3.9,"Low",IF(Table1[[#This Row],[Overall Effectiveness]]&lt;4.2,"Medium","High"))</f>
        <v>High</v>
      </c>
      <c r="AF13" s="30" t="str">
        <f t="shared" si="4"/>
        <v>Lectures</v>
      </c>
      <c r="AG13" s="30" t="str">
        <f t="shared" si="5"/>
        <v>Online Tutorials</v>
      </c>
      <c r="AH13" s="27">
        <f>COUNTIF(Teacher_Master!$D$2:$D$16,AF13)</f>
        <v>3</v>
      </c>
      <c r="AI13" s="30" t="str">
        <f>INDEX(Teacher_Master!$B$2:$B$16,MATCH(AF13,Teacher_Master!$D$2:$D$16,0))</f>
        <v>Prof. Vikram Gupta</v>
      </c>
    </row>
    <row r="14" spans="1:35" ht="14.25" customHeight="1" x14ac:dyDescent="0.3">
      <c r="A14" s="31" t="s">
        <v>38</v>
      </c>
      <c r="B14" s="31" t="s">
        <v>2101</v>
      </c>
      <c r="C14" s="31" t="s">
        <v>2882</v>
      </c>
      <c r="D14" s="12">
        <f t="shared" ca="1" si="0"/>
        <v>30</v>
      </c>
      <c r="E14" s="12" t="str">
        <f ca="1">IF(Table1[[#This Row],[Age]]&lt;=22,"20-22",IF(Table1[[#This Row],[Age]]&lt;=25,"23-25",IF(Table1[[#This Row],[Age]]&lt;=28,"26-28","29-30")))</f>
        <v>29-30</v>
      </c>
      <c r="F14" s="12">
        <v>3.99</v>
      </c>
      <c r="G14" s="12">
        <v>4.7</v>
      </c>
      <c r="H14" s="12">
        <v>3.85</v>
      </c>
      <c r="I14" s="12">
        <v>4.1500000000000004</v>
      </c>
      <c r="J14" s="12">
        <v>3.55</v>
      </c>
      <c r="K14" s="12">
        <v>3.92</v>
      </c>
      <c r="L14" s="12">
        <v>4.13</v>
      </c>
      <c r="M14" s="12" t="s">
        <v>211</v>
      </c>
      <c r="N14" s="12">
        <v>4.51</v>
      </c>
      <c r="O14" s="12">
        <v>4.04</v>
      </c>
      <c r="P14" s="12">
        <f t="shared" si="1"/>
        <v>4.048</v>
      </c>
      <c r="Q14" s="12">
        <f t="shared" si="2"/>
        <v>4.05</v>
      </c>
      <c r="R14" s="12">
        <f t="shared" si="3"/>
        <v>4.1500000000000004</v>
      </c>
      <c r="S14" s="28">
        <f>IFERROR(INDEX('Clean Gamification Data'!$B:$B,MATCH($B14,'Clean Gamification Data'!$A:$A,0)),"Not Found")</f>
        <v>87.21558417</v>
      </c>
      <c r="T14" s="28">
        <f>IFERROR(INDEX('Clean Gamification Data'!$C:$C,MATCH($B14,'Clean Gamification Data'!$A:$A,0)),"Not Found")</f>
        <v>70.434878269999999</v>
      </c>
      <c r="U14" s="28">
        <f>IFERROR(INDEX('Clean Gamification Data'!$D:$D,MATCH($B14,'Clean Gamification Data'!$A:$A,0)),"Not Found")</f>
        <v>73.375498250000007</v>
      </c>
      <c r="V14" s="28">
        <f>IFERROR(INDEX('Clean Gamification Data'!$E:$E,MATCH($B14,'Clean Gamification Data'!$A:$A,0)),"Not Found")</f>
        <v>69.797155380000007</v>
      </c>
      <c r="W14" s="28">
        <f>IFERROR(INDEX('Clean Gamification Data'!$F:$F,MATCH($B14,'Clean Gamification Data'!$A:$A,0)),"Not Found")</f>
        <v>80.246712900000006</v>
      </c>
      <c r="X14" s="28">
        <f>IFERROR(INDEX('Clean Gamification Data'!$G:$G,MATCH($B14,'Clean Gamification Data'!$A:$A,0)),"Not Found")</f>
        <v>80.552681649999997</v>
      </c>
      <c r="Y14" s="28">
        <f>IFERROR(INDEX('Clean Gamification Data'!$H:$H,MATCH($B14,'Clean Gamification Data'!$A:$A,0)),"Not Found")</f>
        <v>68.592786599999997</v>
      </c>
      <c r="Z14" s="28">
        <f>IFERROR(INDEX('Clean Gamification Data'!$I:$I,MATCH($B14,'Clean Gamification Data'!$A:$A,0)),"Not Found")</f>
        <v>50</v>
      </c>
      <c r="AA14" s="28">
        <f>Table1[[#This Row],[Engagement (Gamification %)]]-Table1[[#This Row],[Engagement (Non-Gamification %)]]</f>
        <v>16.780705900000001</v>
      </c>
      <c r="AB14" s="28">
        <f>Table1[[#This Row],[Motivation (Gamification %)]]-Table1[[#This Row],[Motivation (Non-Gamification %)]]</f>
        <v>3.5783428700000002</v>
      </c>
      <c r="AC14" s="28">
        <f>Table1[[#This Row],[Participation (Gamification %)]]-Table1[[#This Row],[Participation (Non-Gamification %)]]</f>
        <v>-0.30596874999999102</v>
      </c>
      <c r="AD14" s="28">
        <f>Table1[[#This Row],[Learning Outcomes (Gamification %)]]-Table1[[#This Row],[Learning Outcomes (Non-Gamification %)]]</f>
        <v>18.592786599999997</v>
      </c>
      <c r="AE14" s="44" t="str">
        <f>IF(Table1[[#This Row],[Overall Effectiveness]]&lt;3.9,"Low",IF(Table1[[#This Row],[Overall Effectiveness]]&lt;4.2,"Medium","High"))</f>
        <v>Medium</v>
      </c>
      <c r="AF14" s="30" t="str">
        <f t="shared" si="4"/>
        <v>Case Studies</v>
      </c>
      <c r="AG14" s="30" t="str">
        <f t="shared" si="5"/>
        <v>Experiments</v>
      </c>
      <c r="AH14" s="27">
        <f>COUNTIF(Teacher_Master!$D$2:$D$16,AF14)</f>
        <v>3</v>
      </c>
      <c r="AI14" s="30" t="str">
        <f>INDEX(Teacher_Master!$B$2:$B$16,MATCH(AF14,Teacher_Master!$D$2:$D$16,0))</f>
        <v>Prof. Rajesh Mukherjee</v>
      </c>
    </row>
    <row r="15" spans="1:35" ht="14.25" customHeight="1" x14ac:dyDescent="0.3">
      <c r="A15" s="31" t="s">
        <v>40</v>
      </c>
      <c r="B15" s="31" t="s">
        <v>2102</v>
      </c>
      <c r="C15" s="31" t="s">
        <v>2881</v>
      </c>
      <c r="D15" s="12">
        <f t="shared" ca="1" si="0"/>
        <v>29</v>
      </c>
      <c r="E15" s="12" t="str">
        <f ca="1">IF(Table1[[#This Row],[Age]]&lt;=22,"20-22",IF(Table1[[#This Row],[Age]]&lt;=25,"23-25",IF(Table1[[#This Row],[Age]]&lt;=28,"26-28","29-30")))</f>
        <v>29-30</v>
      </c>
      <c r="F15" s="12">
        <v>3.82</v>
      </c>
      <c r="G15" s="12">
        <v>4.12</v>
      </c>
      <c r="H15" s="12">
        <v>4.1100000000000003</v>
      </c>
      <c r="I15" s="12">
        <v>4.08</v>
      </c>
      <c r="J15" s="12">
        <v>3.65</v>
      </c>
      <c r="K15" s="12">
        <v>3.91</v>
      </c>
      <c r="L15" s="12">
        <v>4.55</v>
      </c>
      <c r="M15" s="12">
        <v>4.07</v>
      </c>
      <c r="N15" s="12">
        <v>4.16</v>
      </c>
      <c r="O15" s="12">
        <v>4.09</v>
      </c>
      <c r="P15" s="12">
        <f t="shared" si="1"/>
        <v>3.9560000000000004</v>
      </c>
      <c r="Q15" s="12">
        <f t="shared" si="2"/>
        <v>3.96</v>
      </c>
      <c r="R15" s="12">
        <f t="shared" si="3"/>
        <v>4.1560000000000006</v>
      </c>
      <c r="S15" s="28">
        <f>IFERROR(INDEX('Clean Gamification Data'!$B:$B,MATCH($B15,'Clean Gamification Data'!$A:$A,0)),"Not Found")</f>
        <v>81.453963520000002</v>
      </c>
      <c r="T15" s="28">
        <f>IFERROR(INDEX('Clean Gamification Data'!$C:$C,MATCH($B15,'Clean Gamification Data'!$A:$A,0)),"Not Found")</f>
        <v>62.267088459999997</v>
      </c>
      <c r="U15" s="28">
        <f>IFERROR(INDEX('Clean Gamification Data'!$D:$D,MATCH($B15,'Clean Gamification Data'!$A:$A,0)),"Not Found")</f>
        <v>82.207744039999994</v>
      </c>
      <c r="V15" s="28">
        <f>IFERROR(INDEX('Clean Gamification Data'!$E:$E,MATCH($B15,'Clean Gamification Data'!$A:$A,0)),"Not Found")</f>
        <v>70.302207850000002</v>
      </c>
      <c r="W15" s="28">
        <f>IFERROR(INDEX('Clean Gamification Data'!$F:$F,MATCH($B15,'Clean Gamification Data'!$A:$A,0)),"Not Found")</f>
        <v>85.587294139999997</v>
      </c>
      <c r="X15" s="28">
        <f>IFERROR(INDEX('Clean Gamification Data'!$G:$G,MATCH($B15,'Clean Gamification Data'!$A:$A,0)),"Not Found")</f>
        <v>84.887672670000001</v>
      </c>
      <c r="Y15" s="28">
        <f>IFERROR(INDEX('Clean Gamification Data'!$H:$H,MATCH($B15,'Clean Gamification Data'!$A:$A,0)),"Not Found")</f>
        <v>70.837715549999999</v>
      </c>
      <c r="Z15" s="28">
        <f>IFERROR(INDEX('Clean Gamification Data'!$I:$I,MATCH($B15,'Clean Gamification Data'!$A:$A,0)),"Not Found")</f>
        <v>53.719754000000002</v>
      </c>
      <c r="AA15" s="28">
        <f>Table1[[#This Row],[Engagement (Gamification %)]]-Table1[[#This Row],[Engagement (Non-Gamification %)]]</f>
        <v>19.186875060000006</v>
      </c>
      <c r="AB15" s="28">
        <f>Table1[[#This Row],[Motivation (Gamification %)]]-Table1[[#This Row],[Motivation (Non-Gamification %)]]</f>
        <v>11.905536189999992</v>
      </c>
      <c r="AC15" s="28">
        <f>Table1[[#This Row],[Participation (Gamification %)]]-Table1[[#This Row],[Participation (Non-Gamification %)]]</f>
        <v>0.69962146999999675</v>
      </c>
      <c r="AD15" s="28">
        <f>Table1[[#This Row],[Learning Outcomes (Gamification %)]]-Table1[[#This Row],[Learning Outcomes (Non-Gamification %)]]</f>
        <v>17.117961549999997</v>
      </c>
      <c r="AE15" s="44" t="str">
        <f>IF(Table1[[#This Row],[Overall Effectiveness]]&lt;3.9,"Low",IF(Table1[[#This Row],[Overall Effectiveness]]&lt;4.2,"Medium","High"))</f>
        <v>Medium</v>
      </c>
      <c r="AF15" s="30" t="str">
        <f t="shared" si="4"/>
        <v>Case Studies</v>
      </c>
      <c r="AG15" s="30" t="str">
        <f t="shared" si="5"/>
        <v>Case Studies</v>
      </c>
      <c r="AH15" s="27">
        <f>COUNTIF(Teacher_Master!$D$2:$D$16,AF15)</f>
        <v>3</v>
      </c>
      <c r="AI15" s="30" t="str">
        <f>INDEX(Teacher_Master!$B$2:$B$16,MATCH(AF15,Teacher_Master!$D$2:$D$16,0))</f>
        <v>Prof. Rajesh Mukherjee</v>
      </c>
    </row>
    <row r="16" spans="1:35" ht="14.25" customHeight="1" x14ac:dyDescent="0.3">
      <c r="A16" s="31" t="s">
        <v>42</v>
      </c>
      <c r="B16" s="31" t="s">
        <v>2103</v>
      </c>
      <c r="C16" s="31" t="s">
        <v>2882</v>
      </c>
      <c r="D16" s="12">
        <f t="shared" ca="1" si="0"/>
        <v>26</v>
      </c>
      <c r="E16" s="12" t="str">
        <f ca="1">IF(Table1[[#This Row],[Age]]&lt;=22,"20-22",IF(Table1[[#This Row],[Age]]&lt;=25,"23-25",IF(Table1[[#This Row],[Age]]&lt;=28,"26-28","29-30")))</f>
        <v>26-28</v>
      </c>
      <c r="F16" s="12">
        <v>4.26</v>
      </c>
      <c r="G16" s="12">
        <v>4.1500000000000004</v>
      </c>
      <c r="H16" s="12">
        <v>3.94</v>
      </c>
      <c r="I16" s="12">
        <v>3.86</v>
      </c>
      <c r="J16" s="12">
        <v>4.55</v>
      </c>
      <c r="K16" s="12">
        <v>4.5999999999999996</v>
      </c>
      <c r="L16" s="12">
        <v>3.72</v>
      </c>
      <c r="M16" s="12">
        <v>3.89</v>
      </c>
      <c r="N16" s="12">
        <v>4.18</v>
      </c>
      <c r="O16" s="12">
        <v>3.48</v>
      </c>
      <c r="P16" s="12">
        <f t="shared" si="1"/>
        <v>4.1520000000000001</v>
      </c>
      <c r="Q16" s="12">
        <f t="shared" si="2"/>
        <v>4.1500000000000004</v>
      </c>
      <c r="R16" s="12">
        <f t="shared" si="3"/>
        <v>3.9740000000000002</v>
      </c>
      <c r="S16" s="28">
        <f>IFERROR(INDEX('Clean Gamification Data'!$B:$B,MATCH($B16,'Clean Gamification Data'!$A:$A,0)),"Not Found")</f>
        <v>80.564782260000001</v>
      </c>
      <c r="T16" s="28">
        <f>IFERROR(INDEX('Clean Gamification Data'!$C:$C,MATCH($B16,'Clean Gamification Data'!$A:$A,0)),"Not Found")</f>
        <v>69.490667639999998</v>
      </c>
      <c r="U16" s="28">
        <f>IFERROR(INDEX('Clean Gamification Data'!$D:$D,MATCH($B16,'Clean Gamification Data'!$A:$A,0)),"Not Found")</f>
        <v>78.645091960000002</v>
      </c>
      <c r="V16" s="28">
        <f>IFERROR(INDEX('Clean Gamification Data'!$E:$E,MATCH($B16,'Clean Gamification Data'!$A:$A,0)),"Not Found")</f>
        <v>66.10962705</v>
      </c>
      <c r="W16" s="28">
        <f>IFERROR(INDEX('Clean Gamification Data'!$F:$F,MATCH($B16,'Clean Gamification Data'!$A:$A,0)),"Not Found")</f>
        <v>99.9</v>
      </c>
      <c r="X16" s="28">
        <f>IFERROR(INDEX('Clean Gamification Data'!$G:$G,MATCH($B16,'Clean Gamification Data'!$A:$A,0)),"Not Found")</f>
        <v>77.837270880000005</v>
      </c>
      <c r="Y16" s="28">
        <f>IFERROR(INDEX('Clean Gamification Data'!$H:$H,MATCH($B16,'Clean Gamification Data'!$A:$A,0)),"Not Found")</f>
        <v>66.016498479999996</v>
      </c>
      <c r="Z16" s="28">
        <f>IFERROR(INDEX('Clean Gamification Data'!$I:$I,MATCH($B16,'Clean Gamification Data'!$A:$A,0)),"Not Found")</f>
        <v>61.749554009999997</v>
      </c>
      <c r="AA16" s="28">
        <f>Table1[[#This Row],[Engagement (Gamification %)]]-Table1[[#This Row],[Engagement (Non-Gamification %)]]</f>
        <v>11.074114620000003</v>
      </c>
      <c r="AB16" s="28">
        <f>Table1[[#This Row],[Motivation (Gamification %)]]-Table1[[#This Row],[Motivation (Non-Gamification %)]]</f>
        <v>12.535464910000002</v>
      </c>
      <c r="AC16" s="28">
        <f>Table1[[#This Row],[Participation (Gamification %)]]-Table1[[#This Row],[Participation (Non-Gamification %)]]</f>
        <v>22.06272912</v>
      </c>
      <c r="AD16" s="28">
        <f>Table1[[#This Row],[Learning Outcomes (Gamification %)]]-Table1[[#This Row],[Learning Outcomes (Non-Gamification %)]]</f>
        <v>4.2669444699999985</v>
      </c>
      <c r="AE16" s="44" t="str">
        <f>IF(Table1[[#This Row],[Overall Effectiveness]]&lt;3.9,"Low",IF(Table1[[#This Row],[Overall Effectiveness]]&lt;4.2,"Medium","High"))</f>
        <v>Medium</v>
      </c>
      <c r="AF16" s="30" t="str">
        <f t="shared" si="4"/>
        <v>Online Tutorials</v>
      </c>
      <c r="AG16" s="30" t="str">
        <f t="shared" si="5"/>
        <v>Lectures</v>
      </c>
      <c r="AH16" s="27">
        <f>COUNTIF(Teacher_Master!$D$2:$D$16,AF16)</f>
        <v>3</v>
      </c>
      <c r="AI16" s="30" t="str">
        <f>INDEX(Teacher_Master!$B$2:$B$16,MATCH(AF16,Teacher_Master!$D$2:$D$16,0))</f>
        <v>Prof. Kavita Rao</v>
      </c>
    </row>
    <row r="17" spans="1:35" ht="14.25" customHeight="1" x14ac:dyDescent="0.3">
      <c r="A17" s="31" t="s">
        <v>44</v>
      </c>
      <c r="B17" s="31" t="s">
        <v>2104</v>
      </c>
      <c r="C17" s="31" t="s">
        <v>2881</v>
      </c>
      <c r="D17" s="12">
        <f t="shared" ca="1" si="0"/>
        <v>23</v>
      </c>
      <c r="E17" s="12" t="str">
        <f ca="1">IF(Table1[[#This Row],[Age]]&lt;=22,"20-22",IF(Table1[[#This Row],[Age]]&lt;=25,"23-25",IF(Table1[[#This Row],[Age]]&lt;=28,"26-28","29-30")))</f>
        <v>23-25</v>
      </c>
      <c r="F17" s="12" t="s">
        <v>211</v>
      </c>
      <c r="G17" s="12">
        <v>4.24</v>
      </c>
      <c r="H17" s="12">
        <v>3.73</v>
      </c>
      <c r="I17" s="12">
        <v>4.22</v>
      </c>
      <c r="J17" s="12">
        <v>3.99</v>
      </c>
      <c r="K17" s="12">
        <v>3.58</v>
      </c>
      <c r="L17" s="12">
        <v>4.1900000000000004</v>
      </c>
      <c r="M17" s="12">
        <v>4.04</v>
      </c>
      <c r="N17" s="12">
        <v>3.81</v>
      </c>
      <c r="O17" s="12">
        <v>4.22</v>
      </c>
      <c r="P17" s="12">
        <f t="shared" si="1"/>
        <v>4.0449999999999999</v>
      </c>
      <c r="Q17" s="12">
        <f t="shared" si="2"/>
        <v>4.05</v>
      </c>
      <c r="R17" s="12">
        <f t="shared" si="3"/>
        <v>3.968</v>
      </c>
      <c r="S17" s="28">
        <f>IFERROR(INDEX('Clean Gamification Data'!$B:$B,MATCH($B17,'Clean Gamification Data'!$A:$A,0)),"Not Found")</f>
        <v>95.246557999999993</v>
      </c>
      <c r="T17" s="28">
        <f>IFERROR(INDEX('Clean Gamification Data'!$C:$C,MATCH($B17,'Clean Gamification Data'!$A:$A,0)),"Not Found")</f>
        <v>65.319337930000003</v>
      </c>
      <c r="U17" s="28">
        <f>IFERROR(INDEX('Clean Gamification Data'!$D:$D,MATCH($B17,'Clean Gamification Data'!$A:$A,0)),"Not Found")</f>
        <v>70</v>
      </c>
      <c r="V17" s="28">
        <f>IFERROR(INDEX('Clean Gamification Data'!$E:$E,MATCH($B17,'Clean Gamification Data'!$A:$A,0)),"Not Found")</f>
        <v>68.874663479999995</v>
      </c>
      <c r="W17" s="28">
        <f>IFERROR(INDEX('Clean Gamification Data'!$F:$F,MATCH($B17,'Clean Gamification Data'!$A:$A,0)),"Not Found")</f>
        <v>92.0097588</v>
      </c>
      <c r="X17" s="28">
        <f>IFERROR(INDEX('Clean Gamification Data'!$G:$G,MATCH($B17,'Clean Gamification Data'!$A:$A,0)),"Not Found")</f>
        <v>77.401859490000007</v>
      </c>
      <c r="Y17" s="28">
        <f>IFERROR(INDEX('Clean Gamification Data'!$H:$H,MATCH($B17,'Clean Gamification Data'!$A:$A,0)),"Not Found")</f>
        <v>67.648610180000006</v>
      </c>
      <c r="Z17" s="28">
        <f>IFERROR(INDEX('Clean Gamification Data'!$I:$I,MATCH($B17,'Clean Gamification Data'!$A:$A,0)),"Not Found")</f>
        <v>61.878284430000001</v>
      </c>
      <c r="AA17" s="28">
        <f>Table1[[#This Row],[Engagement (Gamification %)]]-Table1[[#This Row],[Engagement (Non-Gamification %)]]</f>
        <v>29.92722006999999</v>
      </c>
      <c r="AB17" s="28">
        <f>Table1[[#This Row],[Motivation (Gamification %)]]-Table1[[#This Row],[Motivation (Non-Gamification %)]]</f>
        <v>1.1253365200000047</v>
      </c>
      <c r="AC17" s="28">
        <f>Table1[[#This Row],[Participation (Gamification %)]]-Table1[[#This Row],[Participation (Non-Gamification %)]]</f>
        <v>14.607899309999993</v>
      </c>
      <c r="AD17" s="28">
        <f>Table1[[#This Row],[Learning Outcomes (Gamification %)]]-Table1[[#This Row],[Learning Outcomes (Non-Gamification %)]]</f>
        <v>5.7703257500000049</v>
      </c>
      <c r="AE17" s="44" t="str">
        <f>IF(Table1[[#This Row],[Overall Effectiveness]]&lt;3.9,"Low",IF(Table1[[#This Row],[Overall Effectiveness]]&lt;4.2,"Medium","High"))</f>
        <v>Medium</v>
      </c>
      <c r="AF17" s="30" t="str">
        <f t="shared" si="4"/>
        <v>Case Studies</v>
      </c>
      <c r="AG17" s="30" t="str">
        <f t="shared" si="5"/>
        <v>Online Tutorials</v>
      </c>
      <c r="AH17" s="27">
        <f>COUNTIF(Teacher_Master!$D$2:$D$16,AF17)</f>
        <v>3</v>
      </c>
      <c r="AI17" s="30" t="str">
        <f>INDEX(Teacher_Master!$B$2:$B$16,MATCH(AF17,Teacher_Master!$D$2:$D$16,0))</f>
        <v>Prof. Rajesh Mukherjee</v>
      </c>
    </row>
    <row r="18" spans="1:35" ht="14.25" customHeight="1" x14ac:dyDescent="0.3">
      <c r="A18" s="31" t="s">
        <v>46</v>
      </c>
      <c r="B18" s="31" t="s">
        <v>2105</v>
      </c>
      <c r="C18" s="31" t="s">
        <v>2882</v>
      </c>
      <c r="D18" s="12">
        <f t="shared" ca="1" si="0"/>
        <v>28</v>
      </c>
      <c r="E18" s="12" t="str">
        <f ca="1">IF(Table1[[#This Row],[Age]]&lt;=22,"20-22",IF(Table1[[#This Row],[Age]]&lt;=25,"23-25",IF(Table1[[#This Row],[Age]]&lt;=28,"26-28","29-30")))</f>
        <v>26-28</v>
      </c>
      <c r="F18" s="12">
        <v>4.1900000000000004</v>
      </c>
      <c r="G18" s="12">
        <v>4.42</v>
      </c>
      <c r="H18" s="12">
        <v>4.18</v>
      </c>
      <c r="I18" s="12">
        <v>4.21</v>
      </c>
      <c r="J18" s="12">
        <v>3.42</v>
      </c>
      <c r="K18" s="12">
        <v>4.2</v>
      </c>
      <c r="L18" s="12">
        <v>4.57</v>
      </c>
      <c r="M18" s="12">
        <v>4.32</v>
      </c>
      <c r="N18" s="12">
        <v>4.1399999999999997</v>
      </c>
      <c r="O18" s="12">
        <v>3.94</v>
      </c>
      <c r="P18" s="12">
        <f t="shared" si="1"/>
        <v>4.0840000000000005</v>
      </c>
      <c r="Q18" s="12">
        <f t="shared" si="2"/>
        <v>4.08</v>
      </c>
      <c r="R18" s="12">
        <f t="shared" si="3"/>
        <v>4.234</v>
      </c>
      <c r="S18" s="28">
        <f>IFERROR(INDEX('Clean Gamification Data'!$B:$B,MATCH($B18,'Clean Gamification Data'!$A:$A,0)),"Not Found")</f>
        <v>75</v>
      </c>
      <c r="T18" s="28">
        <f>IFERROR(INDEX('Clean Gamification Data'!$C:$C,MATCH($B18,'Clean Gamification Data'!$A:$A,0)),"Not Found")</f>
        <v>68.987092140000001</v>
      </c>
      <c r="U18" s="28">
        <f>IFERROR(INDEX('Clean Gamification Data'!$D:$D,MATCH($B18,'Clean Gamification Data'!$A:$A,0)),"Not Found")</f>
        <v>75.584455680000005</v>
      </c>
      <c r="V18" s="28">
        <f>IFERROR(INDEX('Clean Gamification Data'!$E:$E,MATCH($B18,'Clean Gamification Data'!$A:$A,0)),"Not Found")</f>
        <v>64.66537744</v>
      </c>
      <c r="W18" s="28">
        <f>IFERROR(INDEX('Clean Gamification Data'!$F:$F,MATCH($B18,'Clean Gamification Data'!$A:$A,0)),"Not Found")</f>
        <v>96.335242530000002</v>
      </c>
      <c r="X18" s="28">
        <f>IFERROR(INDEX('Clean Gamification Data'!$G:$G,MATCH($B18,'Clean Gamification Data'!$A:$A,0)),"Not Found")</f>
        <v>73.336466610000002</v>
      </c>
      <c r="Y18" s="28">
        <f>IFERROR(INDEX('Clean Gamification Data'!$H:$H,MATCH($B18,'Clean Gamification Data'!$A:$A,0)),"Not Found")</f>
        <v>72.236646449999995</v>
      </c>
      <c r="Z18" s="28">
        <f>IFERROR(INDEX('Clean Gamification Data'!$I:$I,MATCH($B18,'Clean Gamification Data'!$A:$A,0)),"Not Found")</f>
        <v>60.115408289999998</v>
      </c>
      <c r="AA18" s="28">
        <f>Table1[[#This Row],[Engagement (Gamification %)]]-Table1[[#This Row],[Engagement (Non-Gamification %)]]</f>
        <v>6.0129078599999985</v>
      </c>
      <c r="AB18" s="28">
        <f>Table1[[#This Row],[Motivation (Gamification %)]]-Table1[[#This Row],[Motivation (Non-Gamification %)]]</f>
        <v>10.919078240000005</v>
      </c>
      <c r="AC18" s="28">
        <f>Table1[[#This Row],[Participation (Gamification %)]]-Table1[[#This Row],[Participation (Non-Gamification %)]]</f>
        <v>22.99877592</v>
      </c>
      <c r="AD18" s="28">
        <f>Table1[[#This Row],[Learning Outcomes (Gamification %)]]-Table1[[#This Row],[Learning Outcomes (Non-Gamification %)]]</f>
        <v>12.121238159999997</v>
      </c>
      <c r="AE18" s="44" t="str">
        <f>IF(Table1[[#This Row],[Overall Effectiveness]]&lt;3.9,"Low",IF(Table1[[#This Row],[Overall Effectiveness]]&lt;4.2,"Medium","High"))</f>
        <v>Medium</v>
      </c>
      <c r="AF18" s="30" t="str">
        <f t="shared" si="4"/>
        <v>Case Studies</v>
      </c>
      <c r="AG18" s="30" t="str">
        <f t="shared" si="5"/>
        <v>Case Studies</v>
      </c>
      <c r="AH18" s="27">
        <f>COUNTIF(Teacher_Master!$D$2:$D$16,AF18)</f>
        <v>3</v>
      </c>
      <c r="AI18" s="30" t="str">
        <f>INDEX(Teacher_Master!$B$2:$B$16,MATCH(AF18,Teacher_Master!$D$2:$D$16,0))</f>
        <v>Prof. Rajesh Mukherjee</v>
      </c>
    </row>
    <row r="19" spans="1:35" ht="14.25" customHeight="1" x14ac:dyDescent="0.3">
      <c r="A19" s="31" t="s">
        <v>48</v>
      </c>
      <c r="B19" s="31" t="s">
        <v>2106</v>
      </c>
      <c r="C19" s="31" t="s">
        <v>2881</v>
      </c>
      <c r="D19" s="12">
        <f t="shared" ca="1" si="0"/>
        <v>21</v>
      </c>
      <c r="E19" s="12" t="str">
        <f ca="1">IF(Table1[[#This Row],[Age]]&lt;=22,"20-22",IF(Table1[[#This Row],[Age]]&lt;=25,"23-25",IF(Table1[[#This Row],[Age]]&lt;=28,"26-28","29-30")))</f>
        <v>20-22</v>
      </c>
      <c r="F19" s="12">
        <v>4.7699999999999996</v>
      </c>
      <c r="G19" s="12">
        <v>3.91</v>
      </c>
      <c r="H19" s="12">
        <v>4.16</v>
      </c>
      <c r="I19" s="12">
        <v>3.89</v>
      </c>
      <c r="J19" s="12">
        <v>3.83</v>
      </c>
      <c r="K19" s="12">
        <v>4.07</v>
      </c>
      <c r="L19" s="12">
        <v>3.96</v>
      </c>
      <c r="M19" s="12">
        <v>4.1100000000000003</v>
      </c>
      <c r="N19" s="12">
        <v>3.38</v>
      </c>
      <c r="O19" s="12">
        <v>4.6900000000000004</v>
      </c>
      <c r="P19" s="12">
        <f t="shared" si="1"/>
        <v>4.1120000000000001</v>
      </c>
      <c r="Q19" s="12">
        <f t="shared" si="2"/>
        <v>4.1100000000000003</v>
      </c>
      <c r="R19" s="12">
        <f t="shared" si="3"/>
        <v>4.0419999999999998</v>
      </c>
      <c r="S19" s="28">
        <f>IFERROR(INDEX('Clean Gamification Data'!$B:$B,MATCH($B19,'Clean Gamification Data'!$A:$A,0)),"Not Found")</f>
        <v>80.250771259999993</v>
      </c>
      <c r="T19" s="28">
        <f>IFERROR(INDEX('Clean Gamification Data'!$C:$C,MATCH($B19,'Clean Gamification Data'!$A:$A,0)),"Not Found")</f>
        <v>75.746034769999994</v>
      </c>
      <c r="U19" s="28">
        <f>IFERROR(INDEX('Clean Gamification Data'!$D:$D,MATCH($B19,'Clean Gamification Data'!$A:$A,0)),"Not Found")</f>
        <v>82.716875560000005</v>
      </c>
      <c r="V19" s="28">
        <f>IFERROR(INDEX('Clean Gamification Data'!$E:$E,MATCH($B19,'Clean Gamification Data'!$A:$A,0)),"Not Found")</f>
        <v>72.128401539999999</v>
      </c>
      <c r="W19" s="28">
        <f>IFERROR(INDEX('Clean Gamification Data'!$F:$F,MATCH($B19,'Clean Gamification Data'!$A:$A,0)),"Not Found")</f>
        <v>85.200885420000006</v>
      </c>
      <c r="X19" s="28">
        <f>IFERROR(INDEX('Clean Gamification Data'!$G:$G,MATCH($B19,'Clean Gamification Data'!$A:$A,0)),"Not Found")</f>
        <v>80.113230239999993</v>
      </c>
      <c r="Y19" s="28">
        <f>IFERROR(INDEX('Clean Gamification Data'!$H:$H,MATCH($B19,'Clean Gamification Data'!$A:$A,0)),"Not Found")</f>
        <v>71.28658978</v>
      </c>
      <c r="Z19" s="28">
        <f>IFERROR(INDEX('Clean Gamification Data'!$I:$I,MATCH($B19,'Clean Gamification Data'!$A:$A,0)),"Not Found")</f>
        <v>62.62283652</v>
      </c>
      <c r="AA19" s="28">
        <f>Table1[[#This Row],[Engagement (Gamification %)]]-Table1[[#This Row],[Engagement (Non-Gamification %)]]</f>
        <v>4.5047364899999991</v>
      </c>
      <c r="AB19" s="28">
        <f>Table1[[#This Row],[Motivation (Gamification %)]]-Table1[[#This Row],[Motivation (Non-Gamification %)]]</f>
        <v>10.588474020000007</v>
      </c>
      <c r="AC19" s="28">
        <f>Table1[[#This Row],[Participation (Gamification %)]]-Table1[[#This Row],[Participation (Non-Gamification %)]]</f>
        <v>5.0876551800000129</v>
      </c>
      <c r="AD19" s="28">
        <f>Table1[[#This Row],[Learning Outcomes (Gamification %)]]-Table1[[#This Row],[Learning Outcomes (Non-Gamification %)]]</f>
        <v>8.66375326</v>
      </c>
      <c r="AE19" s="44" t="str">
        <f>IF(Table1[[#This Row],[Overall Effectiveness]]&lt;3.9,"Low",IF(Table1[[#This Row],[Overall Effectiveness]]&lt;4.2,"Medium","High"))</f>
        <v>Medium</v>
      </c>
      <c r="AF19" s="30" t="str">
        <f t="shared" si="4"/>
        <v>Lectures</v>
      </c>
      <c r="AG19" s="30" t="str">
        <f t="shared" si="5"/>
        <v>Online Tutorials</v>
      </c>
      <c r="AH19" s="27">
        <f>COUNTIF(Teacher_Master!$D$2:$D$16,AF19)</f>
        <v>3</v>
      </c>
      <c r="AI19" s="30" t="str">
        <f>INDEX(Teacher_Master!$B$2:$B$16,MATCH(AF19,Teacher_Master!$D$2:$D$16,0))</f>
        <v>Prof. Vikram Gupta</v>
      </c>
    </row>
    <row r="20" spans="1:35" ht="14.25" customHeight="1" x14ac:dyDescent="0.3">
      <c r="A20" s="31" t="s">
        <v>50</v>
      </c>
      <c r="B20" s="31" t="s">
        <v>51</v>
      </c>
      <c r="C20" s="31" t="s">
        <v>2882</v>
      </c>
      <c r="D20" s="12">
        <f t="shared" ca="1" si="0"/>
        <v>21</v>
      </c>
      <c r="E20" s="12" t="str">
        <f ca="1">IF(Table1[[#This Row],[Age]]&lt;=22,"20-22",IF(Table1[[#This Row],[Age]]&lt;=25,"23-25",IF(Table1[[#This Row],[Age]]&lt;=28,"26-28","29-30")))</f>
        <v>20-22</v>
      </c>
      <c r="F20" s="12">
        <v>3.94</v>
      </c>
      <c r="G20" s="12">
        <v>4.53</v>
      </c>
      <c r="H20" s="12">
        <v>3.98</v>
      </c>
      <c r="I20" s="12">
        <v>3.49</v>
      </c>
      <c r="J20" s="12">
        <v>3.86</v>
      </c>
      <c r="K20" s="12">
        <v>3.74</v>
      </c>
      <c r="L20" s="12">
        <v>4.13</v>
      </c>
      <c r="M20" s="12">
        <v>4.26</v>
      </c>
      <c r="N20" s="12">
        <v>4.54</v>
      </c>
      <c r="O20" s="12">
        <v>4.24</v>
      </c>
      <c r="P20" s="12">
        <f t="shared" si="1"/>
        <v>3.96</v>
      </c>
      <c r="Q20" s="12">
        <f t="shared" si="2"/>
        <v>3.96</v>
      </c>
      <c r="R20" s="12">
        <f t="shared" si="3"/>
        <v>4.1819999999999995</v>
      </c>
      <c r="S20" s="28">
        <f>IFERROR(INDEX('Clean Gamification Data'!$B:$B,MATCH($B20,'Clean Gamification Data'!$A:$A,0)),"Not Found")</f>
        <v>95.091433670000001</v>
      </c>
      <c r="T20" s="28">
        <f>IFERROR(INDEX('Clean Gamification Data'!$C:$C,MATCH($B20,'Clean Gamification Data'!$A:$A,0)),"Not Found")</f>
        <v>67.156055350000003</v>
      </c>
      <c r="U20" s="28">
        <f>IFERROR(INDEX('Clean Gamification Data'!$D:$D,MATCH($B20,'Clean Gamification Data'!$A:$A,0)),"Not Found")</f>
        <v>74.449300949999994</v>
      </c>
      <c r="V20" s="28">
        <f>IFERROR(INDEX('Clean Gamification Data'!$E:$E,MATCH($B20,'Clean Gamification Data'!$A:$A,0)),"Not Found")</f>
        <v>63.150566120000001</v>
      </c>
      <c r="W20" s="28">
        <f>IFERROR(INDEX('Clean Gamification Data'!$F:$F,MATCH($B20,'Clean Gamification Data'!$A:$A,0)),"Not Found")</f>
        <v>99.9</v>
      </c>
      <c r="X20" s="28">
        <f>IFERROR(INDEX('Clean Gamification Data'!$G:$G,MATCH($B20,'Clean Gamification Data'!$A:$A,0)),"Not Found")</f>
        <v>73.898048029999998</v>
      </c>
      <c r="Y20" s="28">
        <f>IFERROR(INDEX('Clean Gamification Data'!$H:$H,MATCH($B20,'Clean Gamification Data'!$A:$A,0)),"Not Found")</f>
        <v>70.937344499999995</v>
      </c>
      <c r="Z20" s="28">
        <f>IFERROR(INDEX('Clean Gamification Data'!$I:$I,MATCH($B20,'Clean Gamification Data'!$A:$A,0)),"Not Found")</f>
        <v>54.261797700000002</v>
      </c>
      <c r="AA20" s="28">
        <f>Table1[[#This Row],[Engagement (Gamification %)]]-Table1[[#This Row],[Engagement (Non-Gamification %)]]</f>
        <v>27.935378319999998</v>
      </c>
      <c r="AB20" s="28">
        <f>Table1[[#This Row],[Motivation (Gamification %)]]-Table1[[#This Row],[Motivation (Non-Gamification %)]]</f>
        <v>11.298734829999994</v>
      </c>
      <c r="AC20" s="28">
        <f>Table1[[#This Row],[Participation (Gamification %)]]-Table1[[#This Row],[Participation (Non-Gamification %)]]</f>
        <v>26.001951970000007</v>
      </c>
      <c r="AD20" s="28">
        <f>Table1[[#This Row],[Learning Outcomes (Gamification %)]]-Table1[[#This Row],[Learning Outcomes (Non-Gamification %)]]</f>
        <v>16.675546799999992</v>
      </c>
      <c r="AE20" s="44" t="str">
        <f>IF(Table1[[#This Row],[Overall Effectiveness]]&lt;3.9,"Low",IF(Table1[[#This Row],[Overall Effectiveness]]&lt;4.2,"Medium","High"))</f>
        <v>Medium</v>
      </c>
      <c r="AF20" s="30" t="str">
        <f t="shared" si="4"/>
        <v>Case Studies</v>
      </c>
      <c r="AG20" s="30" t="str">
        <f t="shared" si="5"/>
        <v>Experiments</v>
      </c>
      <c r="AH20" s="27">
        <f>COUNTIF(Teacher_Master!$D$2:$D$16,AF20)</f>
        <v>3</v>
      </c>
      <c r="AI20" s="30" t="str">
        <f>INDEX(Teacher_Master!$B$2:$B$16,MATCH(AF20,Teacher_Master!$D$2:$D$16,0))</f>
        <v>Prof. Rajesh Mukherjee</v>
      </c>
    </row>
    <row r="21" spans="1:35" ht="14.25" customHeight="1" x14ac:dyDescent="0.3">
      <c r="A21" s="31" t="s">
        <v>52</v>
      </c>
      <c r="B21" s="31" t="s">
        <v>2107</v>
      </c>
      <c r="C21" s="31" t="s">
        <v>2881</v>
      </c>
      <c r="D21" s="12">
        <f t="shared" ca="1" si="0"/>
        <v>21</v>
      </c>
      <c r="E21" s="12" t="str">
        <f ca="1">IF(Table1[[#This Row],[Age]]&lt;=22,"20-22",IF(Table1[[#This Row],[Age]]&lt;=25,"23-25",IF(Table1[[#This Row],[Age]]&lt;=28,"26-28","29-30")))</f>
        <v>20-22</v>
      </c>
      <c r="F21" s="12">
        <v>4.45</v>
      </c>
      <c r="G21" s="12">
        <v>4.2</v>
      </c>
      <c r="H21" s="12">
        <v>3.42</v>
      </c>
      <c r="I21" s="12">
        <v>4.04</v>
      </c>
      <c r="J21" s="12">
        <v>4.5</v>
      </c>
      <c r="K21" s="12" t="s">
        <v>211</v>
      </c>
      <c r="L21" s="12">
        <v>4.2300000000000004</v>
      </c>
      <c r="M21" s="12">
        <v>4.1500000000000004</v>
      </c>
      <c r="N21" s="12">
        <v>3.65</v>
      </c>
      <c r="O21" s="12">
        <v>3.78</v>
      </c>
      <c r="P21" s="12">
        <f t="shared" si="1"/>
        <v>4.1219999999999999</v>
      </c>
      <c r="Q21" s="12">
        <f t="shared" si="2"/>
        <v>4.12</v>
      </c>
      <c r="R21" s="12">
        <f t="shared" si="3"/>
        <v>3.9525000000000001</v>
      </c>
      <c r="S21" s="28">
        <f>IFERROR(INDEX('Clean Gamification Data'!$B:$B,MATCH($B21,'Clean Gamification Data'!$A:$A,0)),"Not Found")</f>
        <v>98.118804010000005</v>
      </c>
      <c r="T21" s="28">
        <f>IFERROR(INDEX('Clean Gamification Data'!$C:$C,MATCH($B21,'Clean Gamification Data'!$A:$A,0)),"Not Found")</f>
        <v>67.144920499999998</v>
      </c>
      <c r="U21" s="28">
        <f>IFERROR(INDEX('Clean Gamification Data'!$D:$D,MATCH($B21,'Clean Gamification Data'!$A:$A,0)),"Not Found")</f>
        <v>87.167290390000005</v>
      </c>
      <c r="V21" s="28">
        <f>IFERROR(INDEX('Clean Gamification Data'!$E:$E,MATCH($B21,'Clean Gamification Data'!$A:$A,0)),"Not Found")</f>
        <v>62.460245520000001</v>
      </c>
      <c r="W21" s="28">
        <f>IFERROR(INDEX('Clean Gamification Data'!$F:$F,MATCH($B21,'Clean Gamification Data'!$A:$A,0)),"Not Found")</f>
        <v>84.123701780000005</v>
      </c>
      <c r="X21" s="28">
        <f>IFERROR(INDEX('Clean Gamification Data'!$G:$G,MATCH($B21,'Clean Gamification Data'!$A:$A,0)),"Not Found")</f>
        <v>68.975103439999998</v>
      </c>
      <c r="Y21" s="28">
        <f>IFERROR(INDEX('Clean Gamification Data'!$H:$H,MATCH($B21,'Clean Gamification Data'!$A:$A,0)),"Not Found")</f>
        <v>74.679737070000002</v>
      </c>
      <c r="Z21" s="28">
        <f>IFERROR(INDEX('Clean Gamification Data'!$I:$I,MATCH($B21,'Clean Gamification Data'!$A:$A,0)),"Not Found")</f>
        <v>62.953719939999999</v>
      </c>
      <c r="AA21" s="28">
        <f>Table1[[#This Row],[Engagement (Gamification %)]]-Table1[[#This Row],[Engagement (Non-Gamification %)]]</f>
        <v>30.973883510000007</v>
      </c>
      <c r="AB21" s="28">
        <f>Table1[[#This Row],[Motivation (Gamification %)]]-Table1[[#This Row],[Motivation (Non-Gamification %)]]</f>
        <v>24.707044870000004</v>
      </c>
      <c r="AC21" s="28">
        <f>Table1[[#This Row],[Participation (Gamification %)]]-Table1[[#This Row],[Participation (Non-Gamification %)]]</f>
        <v>15.148598340000007</v>
      </c>
      <c r="AD21" s="28">
        <f>Table1[[#This Row],[Learning Outcomes (Gamification %)]]-Table1[[#This Row],[Learning Outcomes (Non-Gamification %)]]</f>
        <v>11.726017130000002</v>
      </c>
      <c r="AE21" s="44" t="str">
        <f>IF(Table1[[#This Row],[Overall Effectiveness]]&lt;3.9,"Low",IF(Table1[[#This Row],[Overall Effectiveness]]&lt;4.2,"Medium","High"))</f>
        <v>Medium</v>
      </c>
      <c r="AF21" s="30" t="str">
        <f t="shared" si="4"/>
        <v>Online Tutorials</v>
      </c>
      <c r="AG21" s="30" t="str">
        <f t="shared" si="5"/>
        <v>Case Studies</v>
      </c>
      <c r="AH21" s="27">
        <f>COUNTIF(Teacher_Master!$D$2:$D$16,AF21)</f>
        <v>3</v>
      </c>
      <c r="AI21" s="30" t="str">
        <f>INDEX(Teacher_Master!$B$2:$B$16,MATCH(AF21,Teacher_Master!$D$2:$D$16,0))</f>
        <v>Prof. Kavita Rao</v>
      </c>
    </row>
    <row r="22" spans="1:35" ht="14.25" customHeight="1" x14ac:dyDescent="0.3">
      <c r="A22" s="31" t="s">
        <v>54</v>
      </c>
      <c r="B22" s="31" t="s">
        <v>2108</v>
      </c>
      <c r="C22" s="31" t="s">
        <v>2882</v>
      </c>
      <c r="D22" s="12">
        <f t="shared" ca="1" si="0"/>
        <v>28</v>
      </c>
      <c r="E22" s="12" t="str">
        <f ca="1">IF(Table1[[#This Row],[Age]]&lt;=22,"20-22",IF(Table1[[#This Row],[Age]]&lt;=25,"23-25",IF(Table1[[#This Row],[Age]]&lt;=28,"26-28","29-30")))</f>
        <v>26-28</v>
      </c>
      <c r="F22" s="12">
        <v>4.54</v>
      </c>
      <c r="G22" s="12">
        <v>4.51</v>
      </c>
      <c r="H22" s="12">
        <v>4.0599999999999996</v>
      </c>
      <c r="I22" s="12">
        <v>4.4800000000000004</v>
      </c>
      <c r="J22" s="12">
        <v>3.81</v>
      </c>
      <c r="K22" s="12">
        <v>3.82</v>
      </c>
      <c r="L22" s="12">
        <v>3.71</v>
      </c>
      <c r="M22" s="12">
        <v>3.85</v>
      </c>
      <c r="N22" s="12">
        <v>4.25</v>
      </c>
      <c r="O22" s="12">
        <v>3.96</v>
      </c>
      <c r="P22" s="12">
        <f t="shared" si="1"/>
        <v>4.2799999999999994</v>
      </c>
      <c r="Q22" s="12">
        <f t="shared" si="2"/>
        <v>4.28</v>
      </c>
      <c r="R22" s="12">
        <f t="shared" si="3"/>
        <v>3.9180000000000001</v>
      </c>
      <c r="S22" s="28">
        <f>IFERROR(INDEX('Clean Gamification Data'!$B:$B,MATCH($B22,'Clean Gamification Data'!$A:$A,0)),"Not Found")</f>
        <v>91.229112270000002</v>
      </c>
      <c r="T22" s="28">
        <f>IFERROR(INDEX('Clean Gamification Data'!$C:$C,MATCH($B22,'Clean Gamification Data'!$A:$A,0)),"Not Found")</f>
        <v>64.401921680000001</v>
      </c>
      <c r="U22" s="28">
        <f>IFERROR(INDEX('Clean Gamification Data'!$D:$D,MATCH($B22,'Clean Gamification Data'!$A:$A,0)),"Not Found")</f>
        <v>83.111886780000006</v>
      </c>
      <c r="V22" s="28">
        <f>IFERROR(INDEX('Clean Gamification Data'!$E:$E,MATCH($B22,'Clean Gamification Data'!$A:$A,0)),"Not Found")</f>
        <v>71.098371999999998</v>
      </c>
      <c r="W22" s="28">
        <f>IFERROR(INDEX('Clean Gamification Data'!$F:$F,MATCH($B22,'Clean Gamification Data'!$A:$A,0)),"Not Found")</f>
        <v>92.681232570000006</v>
      </c>
      <c r="X22" s="28">
        <f>IFERROR(INDEX('Clean Gamification Data'!$G:$G,MATCH($B22,'Clean Gamification Data'!$A:$A,0)),"Not Found")</f>
        <v>76.904634909999999</v>
      </c>
      <c r="Y22" s="28">
        <f>IFERROR(INDEX('Clean Gamification Data'!$H:$H,MATCH($B22,'Clean Gamification Data'!$A:$A,0)),"Not Found")</f>
        <v>75.124816559999999</v>
      </c>
      <c r="Z22" s="28">
        <f>IFERROR(INDEX('Clean Gamification Data'!$I:$I,MATCH($B22,'Clean Gamification Data'!$A:$A,0)),"Not Found")</f>
        <v>57.803730459999997</v>
      </c>
      <c r="AA22" s="28">
        <f>Table1[[#This Row],[Engagement (Gamification %)]]-Table1[[#This Row],[Engagement (Non-Gamification %)]]</f>
        <v>26.827190590000001</v>
      </c>
      <c r="AB22" s="28">
        <f>Table1[[#This Row],[Motivation (Gamification %)]]-Table1[[#This Row],[Motivation (Non-Gamification %)]]</f>
        <v>12.013514780000008</v>
      </c>
      <c r="AC22" s="28">
        <f>Table1[[#This Row],[Participation (Gamification %)]]-Table1[[#This Row],[Participation (Non-Gamification %)]]</f>
        <v>15.776597660000007</v>
      </c>
      <c r="AD22" s="28">
        <f>Table1[[#This Row],[Learning Outcomes (Gamification %)]]-Table1[[#This Row],[Learning Outcomes (Non-Gamification %)]]</f>
        <v>17.321086100000002</v>
      </c>
      <c r="AE22" s="44" t="str">
        <f>IF(Table1[[#This Row],[Overall Effectiveness]]&lt;3.9,"Low",IF(Table1[[#This Row],[Overall Effectiveness]]&lt;4.2,"Medium","High"))</f>
        <v>High</v>
      </c>
      <c r="AF22" s="30" t="str">
        <f t="shared" si="4"/>
        <v>Lectures</v>
      </c>
      <c r="AG22" s="30" t="str">
        <f t="shared" si="5"/>
        <v>Experiments</v>
      </c>
      <c r="AH22" s="27">
        <f>COUNTIF(Teacher_Master!$D$2:$D$16,AF22)</f>
        <v>3</v>
      </c>
      <c r="AI22" s="30" t="str">
        <f>INDEX(Teacher_Master!$B$2:$B$16,MATCH(AF22,Teacher_Master!$D$2:$D$16,0))</f>
        <v>Prof. Vikram Gupta</v>
      </c>
    </row>
    <row r="23" spans="1:35" ht="14.25" customHeight="1" x14ac:dyDescent="0.3">
      <c r="A23" s="31" t="s">
        <v>56</v>
      </c>
      <c r="B23" s="31" t="s">
        <v>57</v>
      </c>
      <c r="C23" s="31" t="s">
        <v>2882</v>
      </c>
      <c r="D23" s="12">
        <f t="shared" ca="1" si="0"/>
        <v>26</v>
      </c>
      <c r="E23" s="12" t="str">
        <f ca="1">IF(Table1[[#This Row],[Age]]&lt;=22,"20-22",IF(Table1[[#This Row],[Age]]&lt;=25,"23-25",IF(Table1[[#This Row],[Age]]&lt;=28,"26-28","29-30")))</f>
        <v>26-28</v>
      </c>
      <c r="F23" s="12" t="s">
        <v>211</v>
      </c>
      <c r="G23" s="12">
        <v>4.22</v>
      </c>
      <c r="H23" s="12">
        <v>3.83</v>
      </c>
      <c r="I23" s="12">
        <v>3.77</v>
      </c>
      <c r="J23" s="12">
        <v>4.7300000000000004</v>
      </c>
      <c r="K23" s="12">
        <v>3.73</v>
      </c>
      <c r="L23" s="12">
        <v>4.5</v>
      </c>
      <c r="M23" s="12">
        <v>4.08</v>
      </c>
      <c r="N23" s="12">
        <v>3.91</v>
      </c>
      <c r="O23" s="12">
        <v>3.99</v>
      </c>
      <c r="P23" s="12">
        <f t="shared" si="1"/>
        <v>4.1375000000000002</v>
      </c>
      <c r="Q23" s="12">
        <f t="shared" si="2"/>
        <v>4.1399999999999997</v>
      </c>
      <c r="R23" s="12">
        <f t="shared" si="3"/>
        <v>4.0419999999999998</v>
      </c>
      <c r="S23" s="28">
        <f>IFERROR(INDEX('Clean Gamification Data'!$B:$B,MATCH($B23,'Clean Gamification Data'!$A:$A,0)),"Not Found")</f>
        <v>91.488793630000004</v>
      </c>
      <c r="T23" s="28">
        <f>IFERROR(INDEX('Clean Gamification Data'!$C:$C,MATCH($B23,'Clean Gamification Data'!$A:$A,0)),"Not Found")</f>
        <v>67.981841110000005</v>
      </c>
      <c r="U23" s="28">
        <f>IFERROR(INDEX('Clean Gamification Data'!$D:$D,MATCH($B23,'Clean Gamification Data'!$A:$A,0)),"Not Found")</f>
        <v>78.171675429999993</v>
      </c>
      <c r="V23" s="28">
        <f>IFERROR(INDEX('Clean Gamification Data'!$E:$E,MATCH($B23,'Clean Gamification Data'!$A:$A,0)),"Not Found")</f>
        <v>67.032847250000003</v>
      </c>
      <c r="W23" s="28">
        <f>IFERROR(INDEX('Clean Gamification Data'!$F:$F,MATCH($B23,'Clean Gamification Data'!$A:$A,0)),"Not Found")</f>
        <v>87.880431470000005</v>
      </c>
      <c r="X23" s="28">
        <f>IFERROR(INDEX('Clean Gamification Data'!$G:$G,MATCH($B23,'Clean Gamification Data'!$A:$A,0)),"Not Found")</f>
        <v>84.05463555</v>
      </c>
      <c r="Y23" s="28">
        <f>IFERROR(INDEX('Clean Gamification Data'!$H:$H,MATCH($B23,'Clean Gamification Data'!$A:$A,0)),"Not Found")</f>
        <v>74.195987070000001</v>
      </c>
      <c r="Z23" s="28">
        <f>IFERROR(INDEX('Clean Gamification Data'!$I:$I,MATCH($B23,'Clean Gamification Data'!$A:$A,0)),"Not Found")</f>
        <v>57.84925982</v>
      </c>
      <c r="AA23" s="28">
        <f>Table1[[#This Row],[Engagement (Gamification %)]]-Table1[[#This Row],[Engagement (Non-Gamification %)]]</f>
        <v>23.506952519999999</v>
      </c>
      <c r="AB23" s="28">
        <f>Table1[[#This Row],[Motivation (Gamification %)]]-Table1[[#This Row],[Motivation (Non-Gamification %)]]</f>
        <v>11.13882817999999</v>
      </c>
      <c r="AC23" s="28">
        <f>Table1[[#This Row],[Participation (Gamification %)]]-Table1[[#This Row],[Participation (Non-Gamification %)]]</f>
        <v>3.8257959200000045</v>
      </c>
      <c r="AD23" s="28">
        <f>Table1[[#This Row],[Learning Outcomes (Gamification %)]]-Table1[[#This Row],[Learning Outcomes (Non-Gamification %)]]</f>
        <v>16.346727250000001</v>
      </c>
      <c r="AE23" s="44" t="str">
        <f>IF(Table1[[#This Row],[Overall Effectiveness]]&lt;3.9,"Low",IF(Table1[[#This Row],[Overall Effectiveness]]&lt;4.2,"Medium","High"))</f>
        <v>Medium</v>
      </c>
      <c r="AF23" s="30" t="str">
        <f t="shared" si="4"/>
        <v>Online Tutorials</v>
      </c>
      <c r="AG23" s="30" t="str">
        <f t="shared" si="5"/>
        <v>Case Studies</v>
      </c>
      <c r="AH23" s="27">
        <f>COUNTIF(Teacher_Master!$D$2:$D$16,AF23)</f>
        <v>3</v>
      </c>
      <c r="AI23" s="30" t="str">
        <f>INDEX(Teacher_Master!$B$2:$B$16,MATCH(AF23,Teacher_Master!$D$2:$D$16,0))</f>
        <v>Prof. Kavita Rao</v>
      </c>
    </row>
    <row r="24" spans="1:35" ht="14.25" customHeight="1" x14ac:dyDescent="0.3">
      <c r="A24" s="31" t="s">
        <v>58</v>
      </c>
      <c r="B24" s="31" t="s">
        <v>2109</v>
      </c>
      <c r="C24" s="31" t="s">
        <v>2881</v>
      </c>
      <c r="D24" s="12">
        <f t="shared" ca="1" si="0"/>
        <v>24</v>
      </c>
      <c r="E24" s="12" t="str">
        <f ca="1">IF(Table1[[#This Row],[Age]]&lt;=22,"20-22",IF(Table1[[#This Row],[Age]]&lt;=25,"23-25",IF(Table1[[#This Row],[Age]]&lt;=28,"26-28","29-30")))</f>
        <v>23-25</v>
      </c>
      <c r="F24" s="12">
        <v>3.88</v>
      </c>
      <c r="G24" s="12">
        <v>4.04</v>
      </c>
      <c r="H24" s="12">
        <v>3.98</v>
      </c>
      <c r="I24" s="12">
        <v>4.1500000000000004</v>
      </c>
      <c r="J24" s="12">
        <v>4.0599999999999996</v>
      </c>
      <c r="K24" s="12">
        <v>4.3099999999999996</v>
      </c>
      <c r="L24" s="12">
        <v>3.68</v>
      </c>
      <c r="M24" s="12">
        <v>4.2</v>
      </c>
      <c r="N24" s="12">
        <v>3.75</v>
      </c>
      <c r="O24" s="12">
        <v>4.92</v>
      </c>
      <c r="P24" s="12">
        <f t="shared" si="1"/>
        <v>4.0220000000000002</v>
      </c>
      <c r="Q24" s="12">
        <f t="shared" si="2"/>
        <v>4.0199999999999996</v>
      </c>
      <c r="R24" s="12">
        <f t="shared" si="3"/>
        <v>4.1719999999999997</v>
      </c>
      <c r="S24" s="28">
        <f>IFERROR(INDEX('Clean Gamification Data'!$B:$B,MATCH($B24,'Clean Gamification Data'!$A:$A,0)),"Not Found")</f>
        <v>84.404177259999997</v>
      </c>
      <c r="T24" s="28">
        <f>IFERROR(INDEX('Clean Gamification Data'!$C:$C,MATCH($B24,'Clean Gamification Data'!$A:$A,0)),"Not Found")</f>
        <v>62.822724460000003</v>
      </c>
      <c r="U24" s="28">
        <f>IFERROR(INDEX('Clean Gamification Data'!$D:$D,MATCH($B24,'Clean Gamification Data'!$A:$A,0)),"Not Found")</f>
        <v>73.330048149999996</v>
      </c>
      <c r="V24" s="28">
        <f>IFERROR(INDEX('Clean Gamification Data'!$E:$E,MATCH($B24,'Clean Gamification Data'!$A:$A,0)),"Not Found")</f>
        <v>64.651730029999996</v>
      </c>
      <c r="W24" s="28">
        <f>IFERROR(INDEX('Clean Gamification Data'!$F:$F,MATCH($B24,'Clean Gamification Data'!$A:$A,0)),"Not Found")</f>
        <v>99.255977329999993</v>
      </c>
      <c r="X24" s="28">
        <f>IFERROR(INDEX('Clean Gamification Data'!$G:$G,MATCH($B24,'Clean Gamification Data'!$A:$A,0)),"Not Found")</f>
        <v>69.438640079999999</v>
      </c>
      <c r="Y24" s="28">
        <f>IFERROR(INDEX('Clean Gamification Data'!$H:$H,MATCH($B24,'Clean Gamification Data'!$A:$A,0)),"Not Found")</f>
        <v>71.378401859999997</v>
      </c>
      <c r="Z24" s="28">
        <f>IFERROR(INDEX('Clean Gamification Data'!$I:$I,MATCH($B24,'Clean Gamification Data'!$A:$A,0)),"Not Found")</f>
        <v>50</v>
      </c>
      <c r="AA24" s="28">
        <f>Table1[[#This Row],[Engagement (Gamification %)]]-Table1[[#This Row],[Engagement (Non-Gamification %)]]</f>
        <v>21.581452799999994</v>
      </c>
      <c r="AB24" s="28">
        <f>Table1[[#This Row],[Motivation (Gamification %)]]-Table1[[#This Row],[Motivation (Non-Gamification %)]]</f>
        <v>8.6783181200000001</v>
      </c>
      <c r="AC24" s="28">
        <f>Table1[[#This Row],[Participation (Gamification %)]]-Table1[[#This Row],[Participation (Non-Gamification %)]]</f>
        <v>29.817337249999994</v>
      </c>
      <c r="AD24" s="28">
        <f>Table1[[#This Row],[Learning Outcomes (Gamification %)]]-Table1[[#This Row],[Learning Outcomes (Non-Gamification %)]]</f>
        <v>21.378401859999997</v>
      </c>
      <c r="AE24" s="44" t="str">
        <f>IF(Table1[[#This Row],[Overall Effectiveness]]&lt;3.9,"Low",IF(Table1[[#This Row],[Overall Effectiveness]]&lt;4.2,"Medium","High"))</f>
        <v>Medium</v>
      </c>
      <c r="AF24" s="30" t="str">
        <f t="shared" si="4"/>
        <v>Experiments</v>
      </c>
      <c r="AG24" s="30" t="str">
        <f t="shared" si="5"/>
        <v>Online Tutorials</v>
      </c>
      <c r="AH24" s="27">
        <f>COUNTIF(Teacher_Master!$D$2:$D$16,AF24)</f>
        <v>3</v>
      </c>
      <c r="AI24" s="30" t="str">
        <f>INDEX(Teacher_Master!$B$2:$B$16,MATCH(AF24,Teacher_Master!$D$2:$D$16,0))</f>
        <v>Prof. Rahul Singh</v>
      </c>
    </row>
    <row r="25" spans="1:35" ht="14.25" customHeight="1" x14ac:dyDescent="0.3">
      <c r="A25" s="31" t="s">
        <v>60</v>
      </c>
      <c r="B25" s="31" t="s">
        <v>2110</v>
      </c>
      <c r="C25" s="31" t="s">
        <v>2881</v>
      </c>
      <c r="D25" s="12">
        <f t="shared" ca="1" si="0"/>
        <v>23</v>
      </c>
      <c r="E25" s="12" t="str">
        <f ca="1">IF(Table1[[#This Row],[Age]]&lt;=22,"20-22",IF(Table1[[#This Row],[Age]]&lt;=25,"23-25",IF(Table1[[#This Row],[Age]]&lt;=28,"26-28","29-30")))</f>
        <v>23-25</v>
      </c>
      <c r="F25" s="12">
        <v>3.85</v>
      </c>
      <c r="G25" s="12">
        <v>3.7</v>
      </c>
      <c r="H25" s="12">
        <v>4.1900000000000004</v>
      </c>
      <c r="I25" s="12">
        <v>3.99</v>
      </c>
      <c r="J25" s="12">
        <v>4.2300000000000004</v>
      </c>
      <c r="K25" s="12">
        <v>3.88</v>
      </c>
      <c r="L25" s="12">
        <v>4.46</v>
      </c>
      <c r="M25" s="12" t="s">
        <v>211</v>
      </c>
      <c r="N25" s="12">
        <v>4.2</v>
      </c>
      <c r="O25" s="12">
        <v>4.2699999999999996</v>
      </c>
      <c r="P25" s="12">
        <f t="shared" si="1"/>
        <v>3.992</v>
      </c>
      <c r="Q25" s="12">
        <f t="shared" si="2"/>
        <v>3.99</v>
      </c>
      <c r="R25" s="12">
        <f t="shared" si="3"/>
        <v>4.2024999999999997</v>
      </c>
      <c r="S25" s="28">
        <f>IFERROR(INDEX('Clean Gamification Data'!$B:$B,MATCH($B25,'Clean Gamification Data'!$A:$A,0)),"Not Found")</f>
        <v>85.768657259999998</v>
      </c>
      <c r="T25" s="28">
        <f>IFERROR(INDEX('Clean Gamification Data'!$C:$C,MATCH($B25,'Clean Gamification Data'!$A:$A,0)),"Not Found")</f>
        <v>73.651689039999994</v>
      </c>
      <c r="U25" s="28">
        <f>IFERROR(INDEX('Clean Gamification Data'!$D:$D,MATCH($B25,'Clean Gamification Data'!$A:$A,0)),"Not Found")</f>
        <v>76.950234440000003</v>
      </c>
      <c r="V25" s="28">
        <f>IFERROR(INDEX('Clean Gamification Data'!$E:$E,MATCH($B25,'Clean Gamification Data'!$A:$A,0)),"Not Found")</f>
        <v>69.501881119999993</v>
      </c>
      <c r="W25" s="28">
        <f>IFERROR(INDEX('Clean Gamification Data'!$F:$F,MATCH($B25,'Clean Gamification Data'!$A:$A,0)),"Not Found")</f>
        <v>82.095925100000002</v>
      </c>
      <c r="X25" s="28">
        <f>IFERROR(INDEX('Clean Gamification Data'!$G:$G,MATCH($B25,'Clean Gamification Data'!$A:$A,0)),"Not Found")</f>
        <v>81.816794290000004</v>
      </c>
      <c r="Y25" s="28">
        <f>IFERROR(INDEX('Clean Gamification Data'!$H:$H,MATCH($B25,'Clean Gamification Data'!$A:$A,0)),"Not Found")</f>
        <v>66.827223250000003</v>
      </c>
      <c r="Z25" s="28">
        <f>IFERROR(INDEX('Clean Gamification Data'!$I:$I,MATCH($B25,'Clean Gamification Data'!$A:$A,0)),"Not Found")</f>
        <v>58.502323740000001</v>
      </c>
      <c r="AA25" s="28">
        <f>Table1[[#This Row],[Engagement (Gamification %)]]-Table1[[#This Row],[Engagement (Non-Gamification %)]]</f>
        <v>12.116968220000004</v>
      </c>
      <c r="AB25" s="28">
        <f>Table1[[#This Row],[Motivation (Gamification %)]]-Table1[[#This Row],[Motivation (Non-Gamification %)]]</f>
        <v>7.4483533200000096</v>
      </c>
      <c r="AC25" s="28">
        <f>Table1[[#This Row],[Participation (Gamification %)]]-Table1[[#This Row],[Participation (Non-Gamification %)]]</f>
        <v>0.27913080999999806</v>
      </c>
      <c r="AD25" s="28">
        <f>Table1[[#This Row],[Learning Outcomes (Gamification %)]]-Table1[[#This Row],[Learning Outcomes (Non-Gamification %)]]</f>
        <v>8.3248995100000016</v>
      </c>
      <c r="AE25" s="44" t="str">
        <f>IF(Table1[[#This Row],[Overall Effectiveness]]&lt;3.9,"Low",IF(Table1[[#This Row],[Overall Effectiveness]]&lt;4.2,"Medium","High"))</f>
        <v>Medium</v>
      </c>
      <c r="AF25" s="30" t="str">
        <f t="shared" si="4"/>
        <v>Online Tutorials</v>
      </c>
      <c r="AG25" s="30" t="str">
        <f t="shared" si="5"/>
        <v>Case Studies</v>
      </c>
      <c r="AH25" s="27">
        <f>COUNTIF(Teacher_Master!$D$2:$D$16,AF25)</f>
        <v>3</v>
      </c>
      <c r="AI25" s="30" t="str">
        <f>INDEX(Teacher_Master!$B$2:$B$16,MATCH(AF25,Teacher_Master!$D$2:$D$16,0))</f>
        <v>Prof. Kavita Rao</v>
      </c>
    </row>
    <row r="26" spans="1:35" ht="14.25" customHeight="1" x14ac:dyDescent="0.3">
      <c r="A26" s="31" t="s">
        <v>62</v>
      </c>
      <c r="B26" s="31" t="s">
        <v>63</v>
      </c>
      <c r="C26" s="31" t="s">
        <v>2882</v>
      </c>
      <c r="D26" s="12">
        <f t="shared" ca="1" si="0"/>
        <v>26</v>
      </c>
      <c r="E26" s="12" t="str">
        <f ca="1">IF(Table1[[#This Row],[Age]]&lt;=22,"20-22",IF(Table1[[#This Row],[Age]]&lt;=25,"23-25",IF(Table1[[#This Row],[Age]]&lt;=28,"26-28","29-30")))</f>
        <v>26-28</v>
      </c>
      <c r="F26" s="12">
        <v>4.18</v>
      </c>
      <c r="G26" s="12">
        <v>4.4800000000000004</v>
      </c>
      <c r="H26" s="12">
        <v>4.0199999999999996</v>
      </c>
      <c r="I26" s="12">
        <v>4.42</v>
      </c>
      <c r="J26" s="12">
        <v>4.5599999999999996</v>
      </c>
      <c r="K26" s="12">
        <v>3.7</v>
      </c>
      <c r="L26" s="12">
        <v>4.33</v>
      </c>
      <c r="M26" s="12">
        <v>4.2300000000000004</v>
      </c>
      <c r="N26" s="12">
        <v>4.05</v>
      </c>
      <c r="O26" s="12">
        <v>4.08</v>
      </c>
      <c r="P26" s="12">
        <f t="shared" si="1"/>
        <v>4.3319999999999999</v>
      </c>
      <c r="Q26" s="12">
        <f t="shared" si="2"/>
        <v>4.33</v>
      </c>
      <c r="R26" s="12">
        <f t="shared" si="3"/>
        <v>4.0780000000000003</v>
      </c>
      <c r="S26" s="28">
        <f>IFERROR(INDEX('Clean Gamification Data'!$B:$B,MATCH($B26,'Clean Gamification Data'!$A:$A,0)),"Not Found")</f>
        <v>85.890560269999995</v>
      </c>
      <c r="T26" s="28">
        <f>IFERROR(INDEX('Clean Gamification Data'!$C:$C,MATCH($B26,'Clean Gamification Data'!$A:$A,0)),"Not Found")</f>
        <v>60</v>
      </c>
      <c r="U26" s="28">
        <f>IFERROR(INDEX('Clean Gamification Data'!$D:$D,MATCH($B26,'Clean Gamification Data'!$A:$A,0)),"Not Found")</f>
        <v>80.665877519999995</v>
      </c>
      <c r="V26" s="28">
        <f>IFERROR(INDEX('Clean Gamification Data'!$E:$E,MATCH($B26,'Clean Gamification Data'!$A:$A,0)),"Not Found")</f>
        <v>73.938607200000007</v>
      </c>
      <c r="W26" s="28">
        <f>IFERROR(INDEX('Clean Gamification Data'!$F:$F,MATCH($B26,'Clean Gamification Data'!$A:$A,0)),"Not Found")</f>
        <v>91.269685910000007</v>
      </c>
      <c r="X26" s="28">
        <f>IFERROR(INDEX('Clean Gamification Data'!$G:$G,MATCH($B26,'Clean Gamification Data'!$A:$A,0)),"Not Found")</f>
        <v>84.105181090000002</v>
      </c>
      <c r="Y26" s="28">
        <f>IFERROR(INDEX('Clean Gamification Data'!$H:$H,MATCH($B26,'Clean Gamification Data'!$A:$A,0)),"Not Found")</f>
        <v>78.74034872</v>
      </c>
      <c r="Z26" s="28">
        <f>IFERROR(INDEX('Clean Gamification Data'!$I:$I,MATCH($B26,'Clean Gamification Data'!$A:$A,0)),"Not Found")</f>
        <v>61.033969290000002</v>
      </c>
      <c r="AA26" s="28">
        <f>Table1[[#This Row],[Engagement (Gamification %)]]-Table1[[#This Row],[Engagement (Non-Gamification %)]]</f>
        <v>25.890560269999995</v>
      </c>
      <c r="AB26" s="28">
        <f>Table1[[#This Row],[Motivation (Gamification %)]]-Table1[[#This Row],[Motivation (Non-Gamification %)]]</f>
        <v>6.7272703199999881</v>
      </c>
      <c r="AC26" s="28">
        <f>Table1[[#This Row],[Participation (Gamification %)]]-Table1[[#This Row],[Participation (Non-Gamification %)]]</f>
        <v>7.1645048200000048</v>
      </c>
      <c r="AD26" s="28">
        <f>Table1[[#This Row],[Learning Outcomes (Gamification %)]]-Table1[[#This Row],[Learning Outcomes (Non-Gamification %)]]</f>
        <v>17.706379429999998</v>
      </c>
      <c r="AE26" s="44" t="str">
        <f>IF(Table1[[#This Row],[Overall Effectiveness]]&lt;3.9,"Low",IF(Table1[[#This Row],[Overall Effectiveness]]&lt;4.2,"Medium","High"))</f>
        <v>High</v>
      </c>
      <c r="AF26" s="30" t="str">
        <f t="shared" si="4"/>
        <v>Online Tutorials</v>
      </c>
      <c r="AG26" s="30" t="str">
        <f t="shared" si="5"/>
        <v>Case Studies</v>
      </c>
      <c r="AH26" s="27">
        <f>COUNTIF(Teacher_Master!$D$2:$D$16,AF26)</f>
        <v>3</v>
      </c>
      <c r="AI26" s="30" t="str">
        <f>INDEX(Teacher_Master!$B$2:$B$16,MATCH(AF26,Teacher_Master!$D$2:$D$16,0))</f>
        <v>Prof. Kavita Rao</v>
      </c>
    </row>
    <row r="27" spans="1:35" ht="14.25" customHeight="1" x14ac:dyDescent="0.3">
      <c r="A27" s="31" t="s">
        <v>64</v>
      </c>
      <c r="B27" s="31" t="s">
        <v>2111</v>
      </c>
      <c r="C27" s="31" t="s">
        <v>2881</v>
      </c>
      <c r="D27" s="12">
        <f t="shared" ca="1" si="0"/>
        <v>22</v>
      </c>
      <c r="E27" s="12" t="str">
        <f ca="1">IF(Table1[[#This Row],[Age]]&lt;=22,"20-22",IF(Table1[[#This Row],[Age]]&lt;=25,"23-25",IF(Table1[[#This Row],[Age]]&lt;=28,"26-28","29-30")))</f>
        <v>20-22</v>
      </c>
      <c r="F27" s="12">
        <v>4.2300000000000004</v>
      </c>
      <c r="G27" s="12">
        <v>4.34</v>
      </c>
      <c r="H27" s="12">
        <v>3.94</v>
      </c>
      <c r="I27" s="12">
        <v>3.66</v>
      </c>
      <c r="J27" s="12">
        <v>4.6399999999999997</v>
      </c>
      <c r="K27" s="12">
        <v>4.55</v>
      </c>
      <c r="L27" s="12">
        <v>3.98</v>
      </c>
      <c r="M27" s="12">
        <v>3.88</v>
      </c>
      <c r="N27" s="12">
        <v>4.3499999999999996</v>
      </c>
      <c r="O27" s="12">
        <v>4.12</v>
      </c>
      <c r="P27" s="12">
        <f t="shared" si="1"/>
        <v>4.1620000000000008</v>
      </c>
      <c r="Q27" s="12">
        <f t="shared" si="2"/>
        <v>4.16</v>
      </c>
      <c r="R27" s="12">
        <f t="shared" si="3"/>
        <v>4.1760000000000002</v>
      </c>
      <c r="S27" s="28">
        <f>IFERROR(INDEX('Clean Gamification Data'!$B:$B,MATCH($B27,'Clean Gamification Data'!$A:$A,0)),"Not Found")</f>
        <v>78.016351999999998</v>
      </c>
      <c r="T27" s="28">
        <f>IFERROR(INDEX('Clean Gamification Data'!$C:$C,MATCH($B27,'Clean Gamification Data'!$A:$A,0)),"Not Found")</f>
        <v>63.744302220000002</v>
      </c>
      <c r="U27" s="28">
        <f>IFERROR(INDEX('Clean Gamification Data'!$D:$D,MATCH($B27,'Clean Gamification Data'!$A:$A,0)),"Not Found")</f>
        <v>70.803684070000003</v>
      </c>
      <c r="V27" s="28">
        <f>IFERROR(INDEX('Clean Gamification Data'!$E:$E,MATCH($B27,'Clean Gamification Data'!$A:$A,0)),"Not Found")</f>
        <v>59.628201850000004</v>
      </c>
      <c r="W27" s="28">
        <f>IFERROR(INDEX('Clean Gamification Data'!$F:$F,MATCH($B27,'Clean Gamification Data'!$A:$A,0)),"Not Found")</f>
        <v>81.564761469999993</v>
      </c>
      <c r="X27" s="28">
        <f>IFERROR(INDEX('Clean Gamification Data'!$G:$G,MATCH($B27,'Clean Gamification Data'!$A:$A,0)),"Not Found")</f>
        <v>84.558017879999994</v>
      </c>
      <c r="Y27" s="28">
        <f>IFERROR(INDEX('Clean Gamification Data'!$H:$H,MATCH($B27,'Clean Gamification Data'!$A:$A,0)),"Not Found")</f>
        <v>75.848272159999993</v>
      </c>
      <c r="Z27" s="28">
        <f>IFERROR(INDEX('Clean Gamification Data'!$I:$I,MATCH($B27,'Clean Gamification Data'!$A:$A,0)),"Not Found")</f>
        <v>55.060473999999999</v>
      </c>
      <c r="AA27" s="28">
        <f>Table1[[#This Row],[Engagement (Gamification %)]]-Table1[[#This Row],[Engagement (Non-Gamification %)]]</f>
        <v>14.272049779999996</v>
      </c>
      <c r="AB27" s="28">
        <f>Table1[[#This Row],[Motivation (Gamification %)]]-Table1[[#This Row],[Motivation (Non-Gamification %)]]</f>
        <v>11.175482219999999</v>
      </c>
      <c r="AC27" s="28">
        <f>Table1[[#This Row],[Participation (Gamification %)]]-Table1[[#This Row],[Participation (Non-Gamification %)]]</f>
        <v>-2.9932564100000008</v>
      </c>
      <c r="AD27" s="28">
        <f>Table1[[#This Row],[Learning Outcomes (Gamification %)]]-Table1[[#This Row],[Learning Outcomes (Non-Gamification %)]]</f>
        <v>20.787798159999994</v>
      </c>
      <c r="AE27" s="44" t="str">
        <f>IF(Table1[[#This Row],[Overall Effectiveness]]&lt;3.9,"Low",IF(Table1[[#This Row],[Overall Effectiveness]]&lt;4.2,"Medium","High"))</f>
        <v>Medium</v>
      </c>
      <c r="AF27" s="30" t="str">
        <f t="shared" si="4"/>
        <v>Online Tutorials</v>
      </c>
      <c r="AG27" s="30" t="str">
        <f t="shared" si="5"/>
        <v>Lectures</v>
      </c>
      <c r="AH27" s="27">
        <f>COUNTIF(Teacher_Master!$D$2:$D$16,AF27)</f>
        <v>3</v>
      </c>
      <c r="AI27" s="30" t="str">
        <f>INDEX(Teacher_Master!$B$2:$B$16,MATCH(AF27,Teacher_Master!$D$2:$D$16,0))</f>
        <v>Prof. Kavita Rao</v>
      </c>
    </row>
    <row r="28" spans="1:35" ht="14.25" customHeight="1" x14ac:dyDescent="0.3">
      <c r="A28" s="31" t="s">
        <v>66</v>
      </c>
      <c r="B28" s="31" t="s">
        <v>2112</v>
      </c>
      <c r="C28" s="31" t="s">
        <v>2882</v>
      </c>
      <c r="D28" s="12">
        <f t="shared" ca="1" si="0"/>
        <v>30</v>
      </c>
      <c r="E28" s="12" t="str">
        <f ca="1">IF(Table1[[#This Row],[Age]]&lt;=22,"20-22",IF(Table1[[#This Row],[Age]]&lt;=25,"23-25",IF(Table1[[#This Row],[Age]]&lt;=28,"26-28","29-30")))</f>
        <v>29-30</v>
      </c>
      <c r="F28" s="12">
        <v>3.97</v>
      </c>
      <c r="G28" s="12">
        <v>4.09</v>
      </c>
      <c r="H28" s="12">
        <v>3.56</v>
      </c>
      <c r="I28" s="12">
        <v>4.6100000000000003</v>
      </c>
      <c r="J28" s="12">
        <v>4.1399999999999997</v>
      </c>
      <c r="K28" s="12">
        <v>4.03</v>
      </c>
      <c r="L28" s="12">
        <v>3.75</v>
      </c>
      <c r="M28" s="12">
        <v>4.43</v>
      </c>
      <c r="N28" s="12">
        <v>3.9</v>
      </c>
      <c r="O28" s="12">
        <v>3.79</v>
      </c>
      <c r="P28" s="12">
        <f t="shared" si="1"/>
        <v>4.0739999999999998</v>
      </c>
      <c r="Q28" s="12">
        <f t="shared" si="2"/>
        <v>4.07</v>
      </c>
      <c r="R28" s="12">
        <f t="shared" si="3"/>
        <v>3.9799999999999995</v>
      </c>
      <c r="S28" s="28">
        <f>IFERROR(INDEX('Clean Gamification Data'!$B:$B,MATCH($B28,'Clean Gamification Data'!$A:$A,0)),"Not Found")</f>
        <v>80.531329229999997</v>
      </c>
      <c r="T28" s="28">
        <f>IFERROR(INDEX('Clean Gamification Data'!$C:$C,MATCH($B28,'Clean Gamification Data'!$A:$A,0)),"Not Found")</f>
        <v>69.548489349999997</v>
      </c>
      <c r="U28" s="28">
        <f>IFERROR(INDEX('Clean Gamification Data'!$D:$D,MATCH($B28,'Clean Gamification Data'!$A:$A,0)),"Not Found")</f>
        <v>77.2793736</v>
      </c>
      <c r="V28" s="28">
        <f>IFERROR(INDEX('Clean Gamification Data'!$E:$E,MATCH($B28,'Clean Gamification Data'!$A:$A,0)),"Not Found")</f>
        <v>66.641511350000002</v>
      </c>
      <c r="W28" s="28">
        <f>IFERROR(INDEX('Clean Gamification Data'!$F:$F,MATCH($B28,'Clean Gamification Data'!$A:$A,0)),"Not Found")</f>
        <v>80</v>
      </c>
      <c r="X28" s="28">
        <f>IFERROR(INDEX('Clean Gamification Data'!$G:$G,MATCH($B28,'Clean Gamification Data'!$A:$A,0)),"Not Found")</f>
        <v>79.635200879999999</v>
      </c>
      <c r="Y28" s="28">
        <f>IFERROR(INDEX('Clean Gamification Data'!$H:$H,MATCH($B28,'Clean Gamification Data'!$A:$A,0)),"Not Found")</f>
        <v>73.282151780000007</v>
      </c>
      <c r="Z28" s="28">
        <f>IFERROR(INDEX('Clean Gamification Data'!$I:$I,MATCH($B28,'Clean Gamification Data'!$A:$A,0)),"Not Found")</f>
        <v>53.409700749999999</v>
      </c>
      <c r="AA28" s="28">
        <f>Table1[[#This Row],[Engagement (Gamification %)]]-Table1[[#This Row],[Engagement (Non-Gamification %)]]</f>
        <v>10.98283988</v>
      </c>
      <c r="AB28" s="28">
        <f>Table1[[#This Row],[Motivation (Gamification %)]]-Table1[[#This Row],[Motivation (Non-Gamification %)]]</f>
        <v>10.637862249999998</v>
      </c>
      <c r="AC28" s="28">
        <f>Table1[[#This Row],[Participation (Gamification %)]]-Table1[[#This Row],[Participation (Non-Gamification %)]]</f>
        <v>0.3647991200000007</v>
      </c>
      <c r="AD28" s="28">
        <f>Table1[[#This Row],[Learning Outcomes (Gamification %)]]-Table1[[#This Row],[Learning Outcomes (Non-Gamification %)]]</f>
        <v>19.872451030000008</v>
      </c>
      <c r="AE28" s="44" t="str">
        <f>IF(Table1[[#This Row],[Overall Effectiveness]]&lt;3.9,"Low",IF(Table1[[#This Row],[Overall Effectiveness]]&lt;4.2,"Medium","High"))</f>
        <v>Medium</v>
      </c>
      <c r="AF28" s="30" t="str">
        <f t="shared" si="4"/>
        <v>Experiments</v>
      </c>
      <c r="AG28" s="30" t="str">
        <f t="shared" si="5"/>
        <v>Group Projects</v>
      </c>
      <c r="AH28" s="27">
        <f>COUNTIF(Teacher_Master!$D$2:$D$16,AF28)</f>
        <v>3</v>
      </c>
      <c r="AI28" s="30" t="str">
        <f>INDEX(Teacher_Master!$B$2:$B$16,MATCH(AF28,Teacher_Master!$D$2:$D$16,0))</f>
        <v>Prof. Rahul Singh</v>
      </c>
    </row>
    <row r="29" spans="1:35" ht="14.25" customHeight="1" x14ac:dyDescent="0.3">
      <c r="A29" s="31" t="s">
        <v>68</v>
      </c>
      <c r="B29" s="31" t="s">
        <v>2113</v>
      </c>
      <c r="C29" s="31" t="s">
        <v>2882</v>
      </c>
      <c r="D29" s="12">
        <f t="shared" ca="1" si="0"/>
        <v>22</v>
      </c>
      <c r="E29" s="12" t="str">
        <f ca="1">IF(Table1[[#This Row],[Age]]&lt;=22,"20-22",IF(Table1[[#This Row],[Age]]&lt;=25,"23-25",IF(Table1[[#This Row],[Age]]&lt;=28,"26-28","29-30")))</f>
        <v>20-22</v>
      </c>
      <c r="F29" s="12">
        <v>4.58</v>
      </c>
      <c r="G29" s="12">
        <v>3.96</v>
      </c>
      <c r="H29" s="12">
        <v>4.26</v>
      </c>
      <c r="I29" s="12">
        <v>3.94</v>
      </c>
      <c r="J29" s="12">
        <v>4.3499999999999996</v>
      </c>
      <c r="K29" s="12">
        <v>4.54</v>
      </c>
      <c r="L29" s="12">
        <v>4.2</v>
      </c>
      <c r="M29" s="12">
        <v>4.3499999999999996</v>
      </c>
      <c r="N29" s="12">
        <v>4.3600000000000003</v>
      </c>
      <c r="O29" s="12">
        <v>4.71</v>
      </c>
      <c r="P29" s="12">
        <f t="shared" si="1"/>
        <v>4.2179999999999991</v>
      </c>
      <c r="Q29" s="12">
        <f t="shared" si="2"/>
        <v>4.22</v>
      </c>
      <c r="R29" s="12">
        <f t="shared" si="3"/>
        <v>4.4320000000000004</v>
      </c>
      <c r="S29" s="28">
        <f>IFERROR(INDEX('Clean Gamification Data'!$B:$B,MATCH($B29,'Clean Gamification Data'!$A:$A,0)),"Not Found")</f>
        <v>86.069954929999994</v>
      </c>
      <c r="T29" s="28">
        <f>IFERROR(INDEX('Clean Gamification Data'!$C:$C,MATCH($B29,'Clean Gamification Data'!$A:$A,0)),"Not Found")</f>
        <v>73.541631539999997</v>
      </c>
      <c r="U29" s="28">
        <f>IFERROR(INDEX('Clean Gamification Data'!$D:$D,MATCH($B29,'Clean Gamification Data'!$A:$A,0)),"Not Found")</f>
        <v>70.436095390000006</v>
      </c>
      <c r="V29" s="28">
        <f>IFERROR(INDEX('Clean Gamification Data'!$E:$E,MATCH($B29,'Clean Gamification Data'!$A:$A,0)),"Not Found")</f>
        <v>66.054767850000005</v>
      </c>
      <c r="W29" s="28">
        <f>IFERROR(INDEX('Clean Gamification Data'!$F:$F,MATCH($B29,'Clean Gamification Data'!$A:$A,0)),"Not Found")</f>
        <v>98.806944029999997</v>
      </c>
      <c r="X29" s="28">
        <f>IFERROR(INDEX('Clean Gamification Data'!$G:$G,MATCH($B29,'Clean Gamification Data'!$A:$A,0)),"Not Found")</f>
        <v>83.058811599999999</v>
      </c>
      <c r="Y29" s="28">
        <f>IFERROR(INDEX('Clean Gamification Data'!$H:$H,MATCH($B29,'Clean Gamification Data'!$A:$A,0)),"Not Found")</f>
        <v>66.315981010000002</v>
      </c>
      <c r="Z29" s="28">
        <f>IFERROR(INDEX('Clean Gamification Data'!$I:$I,MATCH($B29,'Clean Gamification Data'!$A:$A,0)),"Not Found")</f>
        <v>62.650614400000002</v>
      </c>
      <c r="AA29" s="28">
        <f>Table1[[#This Row],[Engagement (Gamification %)]]-Table1[[#This Row],[Engagement (Non-Gamification %)]]</f>
        <v>12.528323389999997</v>
      </c>
      <c r="AB29" s="28">
        <f>Table1[[#This Row],[Motivation (Gamification %)]]-Table1[[#This Row],[Motivation (Non-Gamification %)]]</f>
        <v>4.3813275400000009</v>
      </c>
      <c r="AC29" s="28">
        <f>Table1[[#This Row],[Participation (Gamification %)]]-Table1[[#This Row],[Participation (Non-Gamification %)]]</f>
        <v>15.748132429999998</v>
      </c>
      <c r="AD29" s="28">
        <f>Table1[[#This Row],[Learning Outcomes (Gamification %)]]-Table1[[#This Row],[Learning Outcomes (Non-Gamification %)]]</f>
        <v>3.6653666099999995</v>
      </c>
      <c r="AE29" s="44" t="str">
        <f>IF(Table1[[#This Row],[Overall Effectiveness]]&lt;3.9,"Low",IF(Table1[[#This Row],[Overall Effectiveness]]&lt;4.2,"Medium","High"))</f>
        <v>High</v>
      </c>
      <c r="AF29" s="30" t="str">
        <f t="shared" si="4"/>
        <v>Lectures</v>
      </c>
      <c r="AG29" s="30" t="str">
        <f t="shared" si="5"/>
        <v>Online Tutorials</v>
      </c>
      <c r="AH29" s="27">
        <f>COUNTIF(Teacher_Master!$D$2:$D$16,AF29)</f>
        <v>3</v>
      </c>
      <c r="AI29" s="30" t="str">
        <f>INDEX(Teacher_Master!$B$2:$B$16,MATCH(AF29,Teacher_Master!$D$2:$D$16,0))</f>
        <v>Prof. Vikram Gupta</v>
      </c>
    </row>
    <row r="30" spans="1:35" ht="14.25" customHeight="1" x14ac:dyDescent="0.3">
      <c r="A30" s="31" t="s">
        <v>70</v>
      </c>
      <c r="B30" s="31" t="s">
        <v>2114</v>
      </c>
      <c r="C30" s="31" t="s">
        <v>2882</v>
      </c>
      <c r="D30" s="12">
        <f t="shared" ca="1" si="0"/>
        <v>21</v>
      </c>
      <c r="E30" s="12" t="str">
        <f ca="1">IF(Table1[[#This Row],[Age]]&lt;=22,"20-22",IF(Table1[[#This Row],[Age]]&lt;=25,"23-25",IF(Table1[[#This Row],[Age]]&lt;=28,"26-28","29-30")))</f>
        <v>20-22</v>
      </c>
      <c r="F30" s="12">
        <v>3.99</v>
      </c>
      <c r="G30" s="12">
        <v>4.6100000000000003</v>
      </c>
      <c r="H30" s="12" t="s">
        <v>211</v>
      </c>
      <c r="I30" s="12">
        <v>4.46</v>
      </c>
      <c r="J30" s="12" t="s">
        <v>211</v>
      </c>
      <c r="K30" s="12">
        <v>3.87</v>
      </c>
      <c r="L30" s="12">
        <v>4.1900000000000004</v>
      </c>
      <c r="M30" s="12">
        <v>3.73</v>
      </c>
      <c r="N30" s="12">
        <v>3.86</v>
      </c>
      <c r="O30" s="12">
        <v>4.59</v>
      </c>
      <c r="P30" s="12">
        <f t="shared" si="1"/>
        <v>4.3533333333333344</v>
      </c>
      <c r="Q30" s="12">
        <f t="shared" si="2"/>
        <v>4.3499999999999996</v>
      </c>
      <c r="R30" s="12">
        <f t="shared" si="3"/>
        <v>4.048</v>
      </c>
      <c r="S30" s="28">
        <f>IFERROR(INDEX('Clean Gamification Data'!$B:$B,MATCH($B30,'Clean Gamification Data'!$A:$A,0)),"Not Found")</f>
        <v>77.830275709999995</v>
      </c>
      <c r="T30" s="28">
        <f>IFERROR(INDEX('Clean Gamification Data'!$C:$C,MATCH($B30,'Clean Gamification Data'!$A:$A,0)),"Not Found")</f>
        <v>75.687532570000002</v>
      </c>
      <c r="U30" s="28">
        <f>IFERROR(INDEX('Clean Gamification Data'!$D:$D,MATCH($B30,'Clean Gamification Data'!$A:$A,0)),"Not Found")</f>
        <v>78.576517749999994</v>
      </c>
      <c r="V30" s="28">
        <f>IFERROR(INDEX('Clean Gamification Data'!$E:$E,MATCH($B30,'Clean Gamification Data'!$A:$A,0)),"Not Found")</f>
        <v>72.397237590000003</v>
      </c>
      <c r="W30" s="28">
        <f>IFERROR(INDEX('Clean Gamification Data'!$F:$F,MATCH($B30,'Clean Gamification Data'!$A:$A,0)),"Not Found")</f>
        <v>92.180650630000002</v>
      </c>
      <c r="X30" s="28">
        <f>IFERROR(INDEX('Clean Gamification Data'!$G:$G,MATCH($B30,'Clean Gamification Data'!$A:$A,0)),"Not Found")</f>
        <v>76.075625180000003</v>
      </c>
      <c r="Y30" s="28">
        <f>IFERROR(INDEX('Clean Gamification Data'!$H:$H,MATCH($B30,'Clean Gamification Data'!$A:$A,0)),"Not Found")</f>
        <v>73.901631230000007</v>
      </c>
      <c r="Z30" s="28">
        <f>IFERROR(INDEX('Clean Gamification Data'!$I:$I,MATCH($B30,'Clean Gamification Data'!$A:$A,0)),"Not Found")</f>
        <v>66.156974829999996</v>
      </c>
      <c r="AA30" s="28">
        <f>Table1[[#This Row],[Engagement (Gamification %)]]-Table1[[#This Row],[Engagement (Non-Gamification %)]]</f>
        <v>2.1427431399999932</v>
      </c>
      <c r="AB30" s="28">
        <f>Table1[[#This Row],[Motivation (Gamification %)]]-Table1[[#This Row],[Motivation (Non-Gamification %)]]</f>
        <v>6.1792801599999905</v>
      </c>
      <c r="AC30" s="28">
        <f>Table1[[#This Row],[Participation (Gamification %)]]-Table1[[#This Row],[Participation (Non-Gamification %)]]</f>
        <v>16.105025449999999</v>
      </c>
      <c r="AD30" s="28">
        <f>Table1[[#This Row],[Learning Outcomes (Gamification %)]]-Table1[[#This Row],[Learning Outcomes (Non-Gamification %)]]</f>
        <v>7.7446564000000109</v>
      </c>
      <c r="AE30" s="44" t="str">
        <f>IF(Table1[[#This Row],[Overall Effectiveness]]&lt;3.9,"Low",IF(Table1[[#This Row],[Overall Effectiveness]]&lt;4.2,"Medium","High"))</f>
        <v>High</v>
      </c>
      <c r="AF30" s="30" t="str">
        <f t="shared" si="4"/>
        <v>Case Studies</v>
      </c>
      <c r="AG30" s="30" t="str">
        <f t="shared" si="5"/>
        <v>Online Tutorials</v>
      </c>
      <c r="AH30" s="27">
        <f>COUNTIF(Teacher_Master!$D$2:$D$16,AF30)</f>
        <v>3</v>
      </c>
      <c r="AI30" s="30" t="str">
        <f>INDEX(Teacher_Master!$B$2:$B$16,MATCH(AF30,Teacher_Master!$D$2:$D$16,0))</f>
        <v>Prof. Rajesh Mukherjee</v>
      </c>
    </row>
    <row r="31" spans="1:35" ht="14.25" customHeight="1" x14ac:dyDescent="0.3">
      <c r="A31" s="31" t="s">
        <v>72</v>
      </c>
      <c r="B31" s="31" t="s">
        <v>73</v>
      </c>
      <c r="C31" s="31" t="s">
        <v>2881</v>
      </c>
      <c r="D31" s="12">
        <f t="shared" ca="1" si="0"/>
        <v>30</v>
      </c>
      <c r="E31" s="12" t="str">
        <f ca="1">IF(Table1[[#This Row],[Age]]&lt;=22,"20-22",IF(Table1[[#This Row],[Age]]&lt;=25,"23-25",IF(Table1[[#This Row],[Age]]&lt;=28,"26-28","29-30")))</f>
        <v>29-30</v>
      </c>
      <c r="F31" s="12">
        <v>4.26</v>
      </c>
      <c r="G31" s="12">
        <v>4.08</v>
      </c>
      <c r="H31" s="12">
        <v>3.75</v>
      </c>
      <c r="I31" s="12">
        <v>4.6100000000000003</v>
      </c>
      <c r="J31" s="12">
        <v>4.3</v>
      </c>
      <c r="K31" s="12">
        <v>4</v>
      </c>
      <c r="L31" s="12">
        <v>3.85</v>
      </c>
      <c r="M31" s="12">
        <v>3.8</v>
      </c>
      <c r="N31" s="12">
        <v>4.4400000000000004</v>
      </c>
      <c r="O31" s="12">
        <v>4</v>
      </c>
      <c r="P31" s="12">
        <f t="shared" si="1"/>
        <v>4.2</v>
      </c>
      <c r="Q31" s="12">
        <f t="shared" si="2"/>
        <v>4.2</v>
      </c>
      <c r="R31" s="12">
        <f t="shared" si="3"/>
        <v>4.0179999999999998</v>
      </c>
      <c r="S31" s="28">
        <f>IFERROR(INDEX('Clean Gamification Data'!$B:$B,MATCH($B31,'Clean Gamification Data'!$A:$A,0)),"Not Found")</f>
        <v>75</v>
      </c>
      <c r="T31" s="28">
        <f>IFERROR(INDEX('Clean Gamification Data'!$C:$C,MATCH($B31,'Clean Gamification Data'!$A:$A,0)),"Not Found")</f>
        <v>73.415563950000006</v>
      </c>
      <c r="U31" s="28">
        <f>IFERROR(INDEX('Clean Gamification Data'!$D:$D,MATCH($B31,'Clean Gamification Data'!$A:$A,0)),"Not Found")</f>
        <v>84.114769120000005</v>
      </c>
      <c r="V31" s="28">
        <f>IFERROR(INDEX('Clean Gamification Data'!$E:$E,MATCH($B31,'Clean Gamification Data'!$A:$A,0)),"Not Found")</f>
        <v>67.515852350000003</v>
      </c>
      <c r="W31" s="28">
        <f>IFERROR(INDEX('Clean Gamification Data'!$F:$F,MATCH($B31,'Clean Gamification Data'!$A:$A,0)),"Not Found")</f>
        <v>89.666777030000006</v>
      </c>
      <c r="X31" s="28">
        <f>IFERROR(INDEX('Clean Gamification Data'!$G:$G,MATCH($B31,'Clean Gamification Data'!$A:$A,0)),"Not Found")</f>
        <v>77.50044905</v>
      </c>
      <c r="Y31" s="28">
        <f>IFERROR(INDEX('Clean Gamification Data'!$H:$H,MATCH($B31,'Clean Gamification Data'!$A:$A,0)),"Not Found")</f>
        <v>70.095182070000007</v>
      </c>
      <c r="Z31" s="28">
        <f>IFERROR(INDEX('Clean Gamification Data'!$I:$I,MATCH($B31,'Clean Gamification Data'!$A:$A,0)),"Not Found")</f>
        <v>53.497259390000004</v>
      </c>
      <c r="AA31" s="28">
        <f>Table1[[#This Row],[Engagement (Gamification %)]]-Table1[[#This Row],[Engagement (Non-Gamification %)]]</f>
        <v>1.5844360499999937</v>
      </c>
      <c r="AB31" s="28">
        <f>Table1[[#This Row],[Motivation (Gamification %)]]-Table1[[#This Row],[Motivation (Non-Gamification %)]]</f>
        <v>16.598916770000002</v>
      </c>
      <c r="AC31" s="28">
        <f>Table1[[#This Row],[Participation (Gamification %)]]-Table1[[#This Row],[Participation (Non-Gamification %)]]</f>
        <v>12.166327980000005</v>
      </c>
      <c r="AD31" s="28">
        <f>Table1[[#This Row],[Learning Outcomes (Gamification %)]]-Table1[[#This Row],[Learning Outcomes (Non-Gamification %)]]</f>
        <v>16.597922680000003</v>
      </c>
      <c r="AE31" s="44" t="str">
        <f>IF(Table1[[#This Row],[Overall Effectiveness]]&lt;3.9,"Low",IF(Table1[[#This Row],[Overall Effectiveness]]&lt;4.2,"Medium","High"))</f>
        <v>High</v>
      </c>
      <c r="AF31" s="30" t="str">
        <f t="shared" si="4"/>
        <v>Experiments</v>
      </c>
      <c r="AG31" s="30" t="str">
        <f t="shared" si="5"/>
        <v>Experiments</v>
      </c>
      <c r="AH31" s="27">
        <f>COUNTIF(Teacher_Master!$D$2:$D$16,AF31)</f>
        <v>3</v>
      </c>
      <c r="AI31" s="30" t="str">
        <f>INDEX(Teacher_Master!$B$2:$B$16,MATCH(AF31,Teacher_Master!$D$2:$D$16,0))</f>
        <v>Prof. Rahul Singh</v>
      </c>
    </row>
    <row r="32" spans="1:35" ht="14.25" customHeight="1" x14ac:dyDescent="0.3">
      <c r="A32" s="31" t="s">
        <v>74</v>
      </c>
      <c r="B32" s="31" t="s">
        <v>2115</v>
      </c>
      <c r="C32" s="31" t="s">
        <v>2881</v>
      </c>
      <c r="D32" s="12">
        <f t="shared" ca="1" si="0"/>
        <v>26</v>
      </c>
      <c r="E32" s="12" t="str">
        <f ca="1">IF(Table1[[#This Row],[Age]]&lt;=22,"20-22",IF(Table1[[#This Row],[Age]]&lt;=25,"23-25",IF(Table1[[#This Row],[Age]]&lt;=28,"26-28","29-30")))</f>
        <v>26-28</v>
      </c>
      <c r="F32" s="12">
        <v>4.2300000000000004</v>
      </c>
      <c r="G32" s="12">
        <v>3.88</v>
      </c>
      <c r="H32" s="12">
        <v>3.25</v>
      </c>
      <c r="I32" s="12">
        <v>3.61</v>
      </c>
      <c r="J32" s="12">
        <v>4.47</v>
      </c>
      <c r="K32" s="12">
        <v>4.1500000000000004</v>
      </c>
      <c r="L32" s="12">
        <v>3.73</v>
      </c>
      <c r="M32" s="12">
        <v>4.51</v>
      </c>
      <c r="N32" s="12">
        <v>3.2</v>
      </c>
      <c r="O32" s="12">
        <v>4.41</v>
      </c>
      <c r="P32" s="12">
        <f t="shared" si="1"/>
        <v>3.8879999999999995</v>
      </c>
      <c r="Q32" s="12">
        <f t="shared" si="2"/>
        <v>3.89</v>
      </c>
      <c r="R32" s="12">
        <f t="shared" si="3"/>
        <v>4</v>
      </c>
      <c r="S32" s="28">
        <f>IFERROR(INDEX('Clean Gamification Data'!$B:$B,MATCH($B32,'Clean Gamification Data'!$A:$A,0)),"Not Found")</f>
        <v>94.822873599999994</v>
      </c>
      <c r="T32" s="28">
        <f>IFERROR(INDEX('Clean Gamification Data'!$C:$C,MATCH($B32,'Clean Gamification Data'!$A:$A,0)),"Not Found")</f>
        <v>78.176471000000006</v>
      </c>
      <c r="U32" s="28">
        <f>IFERROR(INDEX('Clean Gamification Data'!$D:$D,MATCH($B32,'Clean Gamification Data'!$A:$A,0)),"Not Found")</f>
        <v>76.858711189999994</v>
      </c>
      <c r="V32" s="28">
        <f>IFERROR(INDEX('Clean Gamification Data'!$E:$E,MATCH($B32,'Clean Gamification Data'!$A:$A,0)),"Not Found")</f>
        <v>68.459489750000003</v>
      </c>
      <c r="W32" s="28">
        <f>IFERROR(INDEX('Clean Gamification Data'!$F:$F,MATCH($B32,'Clean Gamification Data'!$A:$A,0)),"Not Found")</f>
        <v>87.552001369999999</v>
      </c>
      <c r="X32" s="28">
        <f>IFERROR(INDEX('Clean Gamification Data'!$G:$G,MATCH($B32,'Clean Gamification Data'!$A:$A,0)),"Not Found")</f>
        <v>78.827724040000007</v>
      </c>
      <c r="Y32" s="28">
        <f>IFERROR(INDEX('Clean Gamification Data'!$H:$H,MATCH($B32,'Clean Gamification Data'!$A:$A,0)),"Not Found")</f>
        <v>76.138774150000003</v>
      </c>
      <c r="Z32" s="28">
        <f>IFERROR(INDEX('Clean Gamification Data'!$I:$I,MATCH($B32,'Clean Gamification Data'!$A:$A,0)),"Not Found")</f>
        <v>64.53831701</v>
      </c>
      <c r="AA32" s="28">
        <f>Table1[[#This Row],[Engagement (Gamification %)]]-Table1[[#This Row],[Engagement (Non-Gamification %)]]</f>
        <v>16.646402599999988</v>
      </c>
      <c r="AB32" s="28">
        <f>Table1[[#This Row],[Motivation (Gamification %)]]-Table1[[#This Row],[Motivation (Non-Gamification %)]]</f>
        <v>8.3992214399999909</v>
      </c>
      <c r="AC32" s="28">
        <f>Table1[[#This Row],[Participation (Gamification %)]]-Table1[[#This Row],[Participation (Non-Gamification %)]]</f>
        <v>8.7242773299999925</v>
      </c>
      <c r="AD32" s="28">
        <f>Table1[[#This Row],[Learning Outcomes (Gamification %)]]-Table1[[#This Row],[Learning Outcomes (Non-Gamification %)]]</f>
        <v>11.600457140000003</v>
      </c>
      <c r="AE32" s="44" t="str">
        <f>IF(Table1[[#This Row],[Overall Effectiveness]]&lt;3.9,"Low",IF(Table1[[#This Row],[Overall Effectiveness]]&lt;4.2,"Medium","High"))</f>
        <v>Low</v>
      </c>
      <c r="AF32" s="30" t="str">
        <f t="shared" si="4"/>
        <v>Online Tutorials</v>
      </c>
      <c r="AG32" s="30" t="str">
        <f t="shared" si="5"/>
        <v>Group Projects</v>
      </c>
      <c r="AH32" s="27">
        <f>COUNTIF(Teacher_Master!$D$2:$D$16,AF32)</f>
        <v>3</v>
      </c>
      <c r="AI32" s="30" t="str">
        <f>INDEX(Teacher_Master!$B$2:$B$16,MATCH(AF32,Teacher_Master!$D$2:$D$16,0))</f>
        <v>Prof. Kavita Rao</v>
      </c>
    </row>
    <row r="33" spans="1:35" ht="14.25" customHeight="1" x14ac:dyDescent="0.3">
      <c r="A33" s="31" t="s">
        <v>76</v>
      </c>
      <c r="B33" s="31" t="s">
        <v>2116</v>
      </c>
      <c r="C33" s="31" t="s">
        <v>2882</v>
      </c>
      <c r="D33" s="12">
        <f t="shared" ca="1" si="0"/>
        <v>22</v>
      </c>
      <c r="E33" s="12" t="str">
        <f ca="1">IF(Table1[[#This Row],[Age]]&lt;=22,"20-22",IF(Table1[[#This Row],[Age]]&lt;=25,"23-25",IF(Table1[[#This Row],[Age]]&lt;=28,"26-28","29-30")))</f>
        <v>20-22</v>
      </c>
      <c r="F33" s="12">
        <v>4.22</v>
      </c>
      <c r="G33" s="12">
        <v>3.93</v>
      </c>
      <c r="H33" s="12">
        <v>4.38</v>
      </c>
      <c r="I33" s="12">
        <v>4.1399999999999997</v>
      </c>
      <c r="J33" s="12">
        <v>3.47</v>
      </c>
      <c r="K33" s="12">
        <v>3.98</v>
      </c>
      <c r="L33" s="12">
        <v>3.76</v>
      </c>
      <c r="M33" s="12">
        <v>3.35</v>
      </c>
      <c r="N33" s="12">
        <v>4.03</v>
      </c>
      <c r="O33" s="12">
        <v>3.84</v>
      </c>
      <c r="P33" s="12">
        <f t="shared" si="1"/>
        <v>4.0280000000000005</v>
      </c>
      <c r="Q33" s="12">
        <f t="shared" si="2"/>
        <v>4.03</v>
      </c>
      <c r="R33" s="12">
        <f t="shared" si="3"/>
        <v>3.7920000000000003</v>
      </c>
      <c r="S33" s="28">
        <f>IFERROR(INDEX('Clean Gamification Data'!$B:$B,MATCH($B33,'Clean Gamification Data'!$A:$A,0)),"Not Found")</f>
        <v>90.361917039999994</v>
      </c>
      <c r="T33" s="28">
        <f>IFERROR(INDEX('Clean Gamification Data'!$C:$C,MATCH($B33,'Clean Gamification Data'!$A:$A,0)),"Not Found")</f>
        <v>64.212671110000002</v>
      </c>
      <c r="U33" s="28">
        <f>IFERROR(INDEX('Clean Gamification Data'!$D:$D,MATCH($B33,'Clean Gamification Data'!$A:$A,0)),"Not Found")</f>
        <v>81.375180200000003</v>
      </c>
      <c r="V33" s="28">
        <f>IFERROR(INDEX('Clean Gamification Data'!$E:$E,MATCH($B33,'Clean Gamification Data'!$A:$A,0)),"Not Found")</f>
        <v>56.871590179999998</v>
      </c>
      <c r="W33" s="28">
        <f>IFERROR(INDEX('Clean Gamification Data'!$F:$F,MATCH($B33,'Clean Gamification Data'!$A:$A,0)),"Not Found")</f>
        <v>91.307878689999995</v>
      </c>
      <c r="X33" s="28">
        <f>IFERROR(INDEX('Clean Gamification Data'!$G:$G,MATCH($B33,'Clean Gamification Data'!$A:$A,0)),"Not Found")</f>
        <v>79.879860140000005</v>
      </c>
      <c r="Y33" s="28">
        <f>IFERROR(INDEX('Clean Gamification Data'!$H:$H,MATCH($B33,'Clean Gamification Data'!$A:$A,0)),"Not Found")</f>
        <v>72.683469130000006</v>
      </c>
      <c r="Z33" s="28">
        <f>IFERROR(INDEX('Clean Gamification Data'!$I:$I,MATCH($B33,'Clean Gamification Data'!$A:$A,0)),"Not Found")</f>
        <v>50</v>
      </c>
      <c r="AA33" s="28">
        <f>Table1[[#This Row],[Engagement (Gamification %)]]-Table1[[#This Row],[Engagement (Non-Gamification %)]]</f>
        <v>26.149245929999992</v>
      </c>
      <c r="AB33" s="28">
        <f>Table1[[#This Row],[Motivation (Gamification %)]]-Table1[[#This Row],[Motivation (Non-Gamification %)]]</f>
        <v>24.503590020000004</v>
      </c>
      <c r="AC33" s="28">
        <f>Table1[[#This Row],[Participation (Gamification %)]]-Table1[[#This Row],[Participation (Non-Gamification %)]]</f>
        <v>11.42801854999999</v>
      </c>
      <c r="AD33" s="28">
        <f>Table1[[#This Row],[Learning Outcomes (Gamification %)]]-Table1[[#This Row],[Learning Outcomes (Non-Gamification %)]]</f>
        <v>22.683469130000006</v>
      </c>
      <c r="AE33" s="44" t="str">
        <f>IF(Table1[[#This Row],[Overall Effectiveness]]&lt;3.9,"Low",IF(Table1[[#This Row],[Overall Effectiveness]]&lt;4.2,"Medium","High"))</f>
        <v>Medium</v>
      </c>
      <c r="AF33" s="30" t="str">
        <f t="shared" si="4"/>
        <v>Group Projects</v>
      </c>
      <c r="AG33" s="30" t="str">
        <f t="shared" si="5"/>
        <v>Experiments</v>
      </c>
      <c r="AH33" s="27">
        <f>COUNTIF(Teacher_Master!$D$2:$D$16,AF33)</f>
        <v>3</v>
      </c>
      <c r="AI33" s="30" t="str">
        <f>INDEX(Teacher_Master!$B$2:$B$16,MATCH(AF33,Teacher_Master!$D$2:$D$16,0))</f>
        <v>Dr. Rohan Dutta</v>
      </c>
    </row>
    <row r="34" spans="1:35" ht="14.25" customHeight="1" x14ac:dyDescent="0.3">
      <c r="A34" s="31" t="s">
        <v>78</v>
      </c>
      <c r="B34" s="31" t="s">
        <v>79</v>
      </c>
      <c r="C34" s="31" t="s">
        <v>2881</v>
      </c>
      <c r="D34" s="12">
        <f t="shared" ca="1" si="0"/>
        <v>22</v>
      </c>
      <c r="E34" s="12" t="str">
        <f ca="1">IF(Table1[[#This Row],[Age]]&lt;=22,"20-22",IF(Table1[[#This Row],[Age]]&lt;=25,"23-25",IF(Table1[[#This Row],[Age]]&lt;=28,"26-28","29-30")))</f>
        <v>20-22</v>
      </c>
      <c r="F34" s="12">
        <v>4.7300000000000004</v>
      </c>
      <c r="G34" s="12">
        <v>3.82</v>
      </c>
      <c r="H34" s="12">
        <v>3.71</v>
      </c>
      <c r="I34" s="12">
        <v>3.72</v>
      </c>
      <c r="J34" s="12">
        <v>4.54</v>
      </c>
      <c r="K34" s="12">
        <v>4.53</v>
      </c>
      <c r="L34" s="12">
        <v>3.58</v>
      </c>
      <c r="M34" s="12">
        <v>4.03</v>
      </c>
      <c r="N34" s="12">
        <v>3.82</v>
      </c>
      <c r="O34" s="12">
        <v>4.49</v>
      </c>
      <c r="P34" s="12">
        <f t="shared" si="1"/>
        <v>4.104000000000001</v>
      </c>
      <c r="Q34" s="12">
        <f t="shared" si="2"/>
        <v>4.0999999999999996</v>
      </c>
      <c r="R34" s="12">
        <f t="shared" si="3"/>
        <v>4.0900000000000007</v>
      </c>
      <c r="S34" s="28">
        <f>IFERROR(INDEX('Clean Gamification Data'!$B:$B,MATCH($B34,'Clean Gamification Data'!$A:$A,0)),"Not Found")</f>
        <v>86.028271000000004</v>
      </c>
      <c r="T34" s="28">
        <f>IFERROR(INDEX('Clean Gamification Data'!$C:$C,MATCH($B34,'Clean Gamification Data'!$A:$A,0)),"Not Found")</f>
        <v>62.513459599999997</v>
      </c>
      <c r="U34" s="28">
        <f>IFERROR(INDEX('Clean Gamification Data'!$D:$D,MATCH($B34,'Clean Gamification Data'!$A:$A,0)),"Not Found")</f>
        <v>73.315255239999999</v>
      </c>
      <c r="V34" s="28">
        <f>IFERROR(INDEX('Clean Gamification Data'!$E:$E,MATCH($B34,'Clean Gamification Data'!$A:$A,0)),"Not Found")</f>
        <v>67.23914714</v>
      </c>
      <c r="W34" s="28">
        <f>IFERROR(INDEX('Clean Gamification Data'!$F:$F,MATCH($B34,'Clean Gamification Data'!$A:$A,0)),"Not Found")</f>
        <v>87.620922030000003</v>
      </c>
      <c r="X34" s="28">
        <f>IFERROR(INDEX('Clean Gamification Data'!$G:$G,MATCH($B34,'Clean Gamification Data'!$A:$A,0)),"Not Found")</f>
        <v>73.734891869999998</v>
      </c>
      <c r="Y34" s="28">
        <f>IFERROR(INDEX('Clean Gamification Data'!$H:$H,MATCH($B34,'Clean Gamification Data'!$A:$A,0)),"Not Found")</f>
        <v>71.977678010000005</v>
      </c>
      <c r="Z34" s="28">
        <f>IFERROR(INDEX('Clean Gamification Data'!$I:$I,MATCH($B34,'Clean Gamification Data'!$A:$A,0)),"Not Found")</f>
        <v>55.807803300000003</v>
      </c>
      <c r="AA34" s="28">
        <f>Table1[[#This Row],[Engagement (Gamification %)]]-Table1[[#This Row],[Engagement (Non-Gamification %)]]</f>
        <v>23.514811400000006</v>
      </c>
      <c r="AB34" s="28">
        <f>Table1[[#This Row],[Motivation (Gamification %)]]-Table1[[#This Row],[Motivation (Non-Gamification %)]]</f>
        <v>6.076108099999999</v>
      </c>
      <c r="AC34" s="28">
        <f>Table1[[#This Row],[Participation (Gamification %)]]-Table1[[#This Row],[Participation (Non-Gamification %)]]</f>
        <v>13.886030160000004</v>
      </c>
      <c r="AD34" s="28">
        <f>Table1[[#This Row],[Learning Outcomes (Gamification %)]]-Table1[[#This Row],[Learning Outcomes (Non-Gamification %)]]</f>
        <v>16.169874710000002</v>
      </c>
      <c r="AE34" s="44" t="str">
        <f>IF(Table1[[#This Row],[Overall Effectiveness]]&lt;3.9,"Low",IF(Table1[[#This Row],[Overall Effectiveness]]&lt;4.2,"Medium","High"))</f>
        <v>Medium</v>
      </c>
      <c r="AF34" s="30" t="str">
        <f t="shared" si="4"/>
        <v>Lectures</v>
      </c>
      <c r="AG34" s="30" t="str">
        <f t="shared" si="5"/>
        <v>Lectures</v>
      </c>
      <c r="AH34" s="27">
        <f>COUNTIF(Teacher_Master!$D$2:$D$16,AF34)</f>
        <v>3</v>
      </c>
      <c r="AI34" s="30" t="str">
        <f>INDEX(Teacher_Master!$B$2:$B$16,MATCH(AF34,Teacher_Master!$D$2:$D$16,0))</f>
        <v>Prof. Vikram Gupta</v>
      </c>
    </row>
    <row r="35" spans="1:35" ht="14.25" customHeight="1" x14ac:dyDescent="0.3">
      <c r="A35" s="31" t="s">
        <v>80</v>
      </c>
      <c r="B35" s="31" t="s">
        <v>81</v>
      </c>
      <c r="C35" s="31" t="s">
        <v>2882</v>
      </c>
      <c r="D35" s="12">
        <f t="shared" ca="1" si="0"/>
        <v>30</v>
      </c>
      <c r="E35" s="12" t="str">
        <f ca="1">IF(Table1[[#This Row],[Age]]&lt;=22,"20-22",IF(Table1[[#This Row],[Age]]&lt;=25,"23-25",IF(Table1[[#This Row],[Age]]&lt;=28,"26-28","29-30")))</f>
        <v>29-30</v>
      </c>
      <c r="F35" s="12">
        <v>4.22</v>
      </c>
      <c r="G35" s="12">
        <v>4.49</v>
      </c>
      <c r="H35" s="12">
        <v>3.66</v>
      </c>
      <c r="I35" s="12">
        <v>4.42</v>
      </c>
      <c r="J35" s="12">
        <v>4.24</v>
      </c>
      <c r="K35" s="12">
        <v>4.42</v>
      </c>
      <c r="L35" s="12">
        <v>3.55</v>
      </c>
      <c r="M35" s="12">
        <v>4.3899999999999997</v>
      </c>
      <c r="N35" s="12">
        <v>3.98</v>
      </c>
      <c r="O35" s="12">
        <v>4.26</v>
      </c>
      <c r="P35" s="12">
        <f t="shared" si="1"/>
        <v>4.2060000000000004</v>
      </c>
      <c r="Q35" s="12">
        <f t="shared" si="2"/>
        <v>4.21</v>
      </c>
      <c r="R35" s="12">
        <f t="shared" si="3"/>
        <v>4.12</v>
      </c>
      <c r="S35" s="28">
        <f>IFERROR(INDEX('Clean Gamification Data'!$B:$B,MATCH($B35,'Clean Gamification Data'!$A:$A,0)),"Not Found")</f>
        <v>86.904041800000002</v>
      </c>
      <c r="T35" s="28">
        <f>IFERROR(INDEX('Clean Gamification Data'!$C:$C,MATCH($B35,'Clean Gamification Data'!$A:$A,0)),"Not Found")</f>
        <v>65.280095900000006</v>
      </c>
      <c r="U35" s="28">
        <f>IFERROR(INDEX('Clean Gamification Data'!$D:$D,MATCH($B35,'Clean Gamification Data'!$A:$A,0)),"Not Found")</f>
        <v>83.772282230000002</v>
      </c>
      <c r="V35" s="28">
        <f>IFERROR(INDEX('Clean Gamification Data'!$E:$E,MATCH($B35,'Clean Gamification Data'!$A:$A,0)),"Not Found")</f>
        <v>71.515390679999996</v>
      </c>
      <c r="W35" s="28">
        <f>IFERROR(INDEX('Clean Gamification Data'!$F:$F,MATCH($B35,'Clean Gamification Data'!$A:$A,0)),"Not Found")</f>
        <v>80.939950670000002</v>
      </c>
      <c r="X35" s="28">
        <f>IFERROR(INDEX('Clean Gamification Data'!$G:$G,MATCH($B35,'Clean Gamification Data'!$A:$A,0)),"Not Found")</f>
        <v>77.022811939999997</v>
      </c>
      <c r="Y35" s="28">
        <f>IFERROR(INDEX('Clean Gamification Data'!$H:$H,MATCH($B35,'Clean Gamification Data'!$A:$A,0)),"Not Found")</f>
        <v>69.866920809999996</v>
      </c>
      <c r="Z35" s="28">
        <f>IFERROR(INDEX('Clean Gamification Data'!$I:$I,MATCH($B35,'Clean Gamification Data'!$A:$A,0)),"Not Found")</f>
        <v>54.11724925</v>
      </c>
      <c r="AA35" s="28">
        <f>Table1[[#This Row],[Engagement (Gamification %)]]-Table1[[#This Row],[Engagement (Non-Gamification %)]]</f>
        <v>21.623945899999995</v>
      </c>
      <c r="AB35" s="28">
        <f>Table1[[#This Row],[Motivation (Gamification %)]]-Table1[[#This Row],[Motivation (Non-Gamification %)]]</f>
        <v>12.256891550000006</v>
      </c>
      <c r="AC35" s="28">
        <f>Table1[[#This Row],[Participation (Gamification %)]]-Table1[[#This Row],[Participation (Non-Gamification %)]]</f>
        <v>3.9171387300000049</v>
      </c>
      <c r="AD35" s="28">
        <f>Table1[[#This Row],[Learning Outcomes (Gamification %)]]-Table1[[#This Row],[Learning Outcomes (Non-Gamification %)]]</f>
        <v>15.749671559999996</v>
      </c>
      <c r="AE35" s="44" t="str">
        <f>IF(Table1[[#This Row],[Overall Effectiveness]]&lt;3.9,"Low",IF(Table1[[#This Row],[Overall Effectiveness]]&lt;4.2,"Medium","High"))</f>
        <v>High</v>
      </c>
      <c r="AF35" s="30" t="str">
        <f t="shared" si="4"/>
        <v>Case Studies</v>
      </c>
      <c r="AG35" s="30" t="str">
        <f t="shared" si="5"/>
        <v>Lectures</v>
      </c>
      <c r="AH35" s="27">
        <f>COUNTIF(Teacher_Master!$D$2:$D$16,AF35)</f>
        <v>3</v>
      </c>
      <c r="AI35" s="30" t="str">
        <f>INDEX(Teacher_Master!$B$2:$B$16,MATCH(AF35,Teacher_Master!$D$2:$D$16,0))</f>
        <v>Prof. Rajesh Mukherjee</v>
      </c>
    </row>
    <row r="36" spans="1:35" ht="14.25" customHeight="1" x14ac:dyDescent="0.3">
      <c r="A36" s="31" t="s">
        <v>82</v>
      </c>
      <c r="B36" s="31" t="s">
        <v>83</v>
      </c>
      <c r="C36" s="31" t="s">
        <v>2882</v>
      </c>
      <c r="D36" s="12">
        <f t="shared" ca="1" si="0"/>
        <v>30</v>
      </c>
      <c r="E36" s="12" t="str">
        <f ca="1">IF(Table1[[#This Row],[Age]]&lt;=22,"20-22",IF(Table1[[#This Row],[Age]]&lt;=25,"23-25",IF(Table1[[#This Row],[Age]]&lt;=28,"26-28","29-30")))</f>
        <v>29-30</v>
      </c>
      <c r="F36" s="12">
        <v>3.71</v>
      </c>
      <c r="G36" s="12">
        <v>4.13</v>
      </c>
      <c r="H36" s="12">
        <v>4.13</v>
      </c>
      <c r="I36" s="12">
        <v>4.4000000000000004</v>
      </c>
      <c r="J36" s="12">
        <v>4.51</v>
      </c>
      <c r="K36" s="12">
        <v>3.72</v>
      </c>
      <c r="L36" s="12">
        <v>4.12</v>
      </c>
      <c r="M36" s="12">
        <v>4.17</v>
      </c>
      <c r="N36" s="12">
        <v>3.6</v>
      </c>
      <c r="O36" s="12">
        <v>4.01</v>
      </c>
      <c r="P36" s="12">
        <f t="shared" si="1"/>
        <v>4.1759999999999993</v>
      </c>
      <c r="Q36" s="12">
        <f t="shared" si="2"/>
        <v>4.18</v>
      </c>
      <c r="R36" s="12">
        <f t="shared" si="3"/>
        <v>3.9239999999999995</v>
      </c>
      <c r="S36" s="28">
        <f>IFERROR(INDEX('Clean Gamification Data'!$B:$B,MATCH($B36,'Clean Gamification Data'!$A:$A,0)),"Not Found")</f>
        <v>86.081716249999999</v>
      </c>
      <c r="T36" s="28">
        <f>IFERROR(INDEX('Clean Gamification Data'!$C:$C,MATCH($B36,'Clean Gamification Data'!$A:$A,0)),"Not Found")</f>
        <v>69.868300840000003</v>
      </c>
      <c r="U36" s="28">
        <f>IFERROR(INDEX('Clean Gamification Data'!$D:$D,MATCH($B36,'Clean Gamification Data'!$A:$A,0)),"Not Found")</f>
        <v>79.433423570000002</v>
      </c>
      <c r="V36" s="28">
        <f>IFERROR(INDEX('Clean Gamification Data'!$E:$E,MATCH($B36,'Clean Gamification Data'!$A:$A,0)),"Not Found")</f>
        <v>71.062247310000004</v>
      </c>
      <c r="W36" s="28">
        <f>IFERROR(INDEX('Clean Gamification Data'!$F:$F,MATCH($B36,'Clean Gamification Data'!$A:$A,0)),"Not Found")</f>
        <v>83.676283060000003</v>
      </c>
      <c r="X36" s="28">
        <f>IFERROR(INDEX('Clean Gamification Data'!$G:$G,MATCH($B36,'Clean Gamification Data'!$A:$A,0)),"Not Found")</f>
        <v>74.725147609999993</v>
      </c>
      <c r="Y36" s="28">
        <f>IFERROR(INDEX('Clean Gamification Data'!$H:$H,MATCH($B36,'Clean Gamification Data'!$A:$A,0)),"Not Found")</f>
        <v>73.418354249999993</v>
      </c>
      <c r="Z36" s="28">
        <f>IFERROR(INDEX('Clean Gamification Data'!$I:$I,MATCH($B36,'Clean Gamification Data'!$A:$A,0)),"Not Found")</f>
        <v>57.569532189999997</v>
      </c>
      <c r="AA36" s="28">
        <f>Table1[[#This Row],[Engagement (Gamification %)]]-Table1[[#This Row],[Engagement (Non-Gamification %)]]</f>
        <v>16.213415409999996</v>
      </c>
      <c r="AB36" s="28">
        <f>Table1[[#This Row],[Motivation (Gamification %)]]-Table1[[#This Row],[Motivation (Non-Gamification %)]]</f>
        <v>8.3711762599999986</v>
      </c>
      <c r="AC36" s="28">
        <f>Table1[[#This Row],[Participation (Gamification %)]]-Table1[[#This Row],[Participation (Non-Gamification %)]]</f>
        <v>8.9511354500000095</v>
      </c>
      <c r="AD36" s="28">
        <f>Table1[[#This Row],[Learning Outcomes (Gamification %)]]-Table1[[#This Row],[Learning Outcomes (Non-Gamification %)]]</f>
        <v>15.848822059999996</v>
      </c>
      <c r="AE36" s="44" t="str">
        <f>IF(Table1[[#This Row],[Overall Effectiveness]]&lt;3.9,"Low",IF(Table1[[#This Row],[Overall Effectiveness]]&lt;4.2,"Medium","High"))</f>
        <v>Medium</v>
      </c>
      <c r="AF36" s="30" t="str">
        <f t="shared" si="4"/>
        <v>Online Tutorials</v>
      </c>
      <c r="AG36" s="30" t="str">
        <f t="shared" si="5"/>
        <v>Group Projects</v>
      </c>
      <c r="AH36" s="27">
        <f>COUNTIF(Teacher_Master!$D$2:$D$16,AF36)</f>
        <v>3</v>
      </c>
      <c r="AI36" s="30" t="str">
        <f>INDEX(Teacher_Master!$B$2:$B$16,MATCH(AF36,Teacher_Master!$D$2:$D$16,0))</f>
        <v>Prof. Kavita Rao</v>
      </c>
    </row>
    <row r="37" spans="1:35" ht="14.25" customHeight="1" x14ac:dyDescent="0.3">
      <c r="A37" s="31" t="s">
        <v>84</v>
      </c>
      <c r="B37" s="31" t="s">
        <v>2117</v>
      </c>
      <c r="C37" s="31" t="s">
        <v>2881</v>
      </c>
      <c r="D37" s="12">
        <f t="shared" ca="1" si="0"/>
        <v>27</v>
      </c>
      <c r="E37" s="12" t="str">
        <f ca="1">IF(Table1[[#This Row],[Age]]&lt;=22,"20-22",IF(Table1[[#This Row],[Age]]&lt;=25,"23-25",IF(Table1[[#This Row],[Age]]&lt;=28,"26-28","29-30")))</f>
        <v>26-28</v>
      </c>
      <c r="F37" s="12">
        <v>4.2699999999999996</v>
      </c>
      <c r="G37" s="12" t="s">
        <v>86</v>
      </c>
      <c r="H37" s="12">
        <v>3.94</v>
      </c>
      <c r="I37" s="12">
        <v>3.85</v>
      </c>
      <c r="J37" s="12">
        <v>4.07</v>
      </c>
      <c r="K37" s="12">
        <v>4.12</v>
      </c>
      <c r="L37" s="12">
        <v>4.0599999999999996</v>
      </c>
      <c r="M37" s="12">
        <v>4.41</v>
      </c>
      <c r="N37" s="12">
        <v>4.12</v>
      </c>
      <c r="O37" s="12">
        <v>3.95</v>
      </c>
      <c r="P37" s="12">
        <f t="shared" si="1"/>
        <v>4.0324999999999998</v>
      </c>
      <c r="Q37" s="12">
        <f t="shared" si="2"/>
        <v>4.03</v>
      </c>
      <c r="R37" s="12">
        <f t="shared" si="3"/>
        <v>4.1319999999999997</v>
      </c>
      <c r="S37" s="28">
        <f>IFERROR(INDEX('Clean Gamification Data'!$B:$B,MATCH($B37,'Clean Gamification Data'!$A:$A,0)),"Not Found")</f>
        <v>78.528705560000006</v>
      </c>
      <c r="T37" s="28">
        <f>IFERROR(INDEX('Clean Gamification Data'!$C:$C,MATCH($B37,'Clean Gamification Data'!$A:$A,0)),"Not Found")</f>
        <v>68.237020029999996</v>
      </c>
      <c r="U37" s="28">
        <f>IFERROR(INDEX('Clean Gamification Data'!$D:$D,MATCH($B37,'Clean Gamification Data'!$A:$A,0)),"Not Found")</f>
        <v>82.225165059999995</v>
      </c>
      <c r="V37" s="28">
        <f>IFERROR(INDEX('Clean Gamification Data'!$E:$E,MATCH($B37,'Clean Gamification Data'!$A:$A,0)),"Not Found")</f>
        <v>67.456678519999997</v>
      </c>
      <c r="W37" s="28">
        <f>IFERROR(INDEX('Clean Gamification Data'!$F:$F,MATCH($B37,'Clean Gamification Data'!$A:$A,0)),"Not Found")</f>
        <v>96.678157560000002</v>
      </c>
      <c r="X37" s="28">
        <f>IFERROR(INDEX('Clean Gamification Data'!$G:$G,MATCH($B37,'Clean Gamification Data'!$A:$A,0)),"Not Found")</f>
        <v>74.040904710000007</v>
      </c>
      <c r="Y37" s="28">
        <f>IFERROR(INDEX('Clean Gamification Data'!$H:$H,MATCH($B37,'Clean Gamification Data'!$A:$A,0)),"Not Found")</f>
        <v>71.25295362</v>
      </c>
      <c r="Z37" s="28">
        <f>IFERROR(INDEX('Clean Gamification Data'!$I:$I,MATCH($B37,'Clean Gamification Data'!$A:$A,0)),"Not Found")</f>
        <v>58.83731229</v>
      </c>
      <c r="AA37" s="28">
        <f>Table1[[#This Row],[Engagement (Gamification %)]]-Table1[[#This Row],[Engagement (Non-Gamification %)]]</f>
        <v>10.291685530000009</v>
      </c>
      <c r="AB37" s="28">
        <f>Table1[[#This Row],[Motivation (Gamification %)]]-Table1[[#This Row],[Motivation (Non-Gamification %)]]</f>
        <v>14.768486539999998</v>
      </c>
      <c r="AC37" s="28">
        <f>Table1[[#This Row],[Participation (Gamification %)]]-Table1[[#This Row],[Participation (Non-Gamification %)]]</f>
        <v>22.637252849999996</v>
      </c>
      <c r="AD37" s="28">
        <f>Table1[[#This Row],[Learning Outcomes (Gamification %)]]-Table1[[#This Row],[Learning Outcomes (Non-Gamification %)]]</f>
        <v>12.41564133</v>
      </c>
      <c r="AE37" s="44" t="str">
        <f>IF(Table1[[#This Row],[Overall Effectiveness]]&lt;3.9,"Low",IF(Table1[[#This Row],[Overall Effectiveness]]&lt;4.2,"Medium","High"))</f>
        <v>Medium</v>
      </c>
      <c r="AF37" s="30" t="str">
        <f t="shared" si="4"/>
        <v>Lectures</v>
      </c>
      <c r="AG37" s="30" t="str">
        <f t="shared" si="5"/>
        <v>Group Projects</v>
      </c>
      <c r="AH37" s="27">
        <f>COUNTIF(Teacher_Master!$D$2:$D$16,AF37)</f>
        <v>3</v>
      </c>
      <c r="AI37" s="30" t="str">
        <f>INDEX(Teacher_Master!$B$2:$B$16,MATCH(AF37,Teacher_Master!$D$2:$D$16,0))</f>
        <v>Prof. Vikram Gupta</v>
      </c>
    </row>
    <row r="38" spans="1:35" ht="14.25" customHeight="1" x14ac:dyDescent="0.3">
      <c r="A38" s="31" t="s">
        <v>87</v>
      </c>
      <c r="B38" s="31" t="s">
        <v>88</v>
      </c>
      <c r="C38" s="31" t="s">
        <v>2882</v>
      </c>
      <c r="D38" s="12">
        <f t="shared" ca="1" si="0"/>
        <v>25</v>
      </c>
      <c r="E38" s="12" t="str">
        <f ca="1">IF(Table1[[#This Row],[Age]]&lt;=22,"20-22",IF(Table1[[#This Row],[Age]]&lt;=25,"23-25",IF(Table1[[#This Row],[Age]]&lt;=28,"26-28","29-30")))</f>
        <v>23-25</v>
      </c>
      <c r="F38" s="12">
        <v>3.99</v>
      </c>
      <c r="G38" s="12">
        <v>3.74</v>
      </c>
      <c r="H38" s="12">
        <v>3.9</v>
      </c>
      <c r="I38" s="12">
        <v>4.16</v>
      </c>
      <c r="J38" s="12">
        <v>3.79</v>
      </c>
      <c r="K38" s="12">
        <v>3.43</v>
      </c>
      <c r="L38" s="12">
        <v>4.4800000000000004</v>
      </c>
      <c r="M38" s="12">
        <v>3.54</v>
      </c>
      <c r="N38" s="12">
        <v>4.09</v>
      </c>
      <c r="O38" s="12">
        <v>3.83</v>
      </c>
      <c r="P38" s="12">
        <f t="shared" si="1"/>
        <v>3.9160000000000004</v>
      </c>
      <c r="Q38" s="12">
        <f t="shared" si="2"/>
        <v>3.92</v>
      </c>
      <c r="R38" s="12">
        <f t="shared" si="3"/>
        <v>3.8739999999999997</v>
      </c>
      <c r="S38" s="28">
        <f>IFERROR(INDEX('Clean Gamification Data'!$B:$B,MATCH($B38,'Clean Gamification Data'!$A:$A,0)),"Not Found")</f>
        <v>87.852590890000002</v>
      </c>
      <c r="T38" s="28">
        <f>IFERROR(INDEX('Clean Gamification Data'!$C:$C,MATCH($B38,'Clean Gamification Data'!$A:$A,0)),"Not Found")</f>
        <v>71.484289430000004</v>
      </c>
      <c r="U38" s="28">
        <f>IFERROR(INDEX('Clean Gamification Data'!$D:$D,MATCH($B38,'Clean Gamification Data'!$A:$A,0)),"Not Found")</f>
        <v>79.510799039999995</v>
      </c>
      <c r="V38" s="28">
        <f>IFERROR(INDEX('Clean Gamification Data'!$E:$E,MATCH($B38,'Clean Gamification Data'!$A:$A,0)),"Not Found")</f>
        <v>63.737842430000001</v>
      </c>
      <c r="W38" s="28">
        <f>IFERROR(INDEX('Clean Gamification Data'!$F:$F,MATCH($B38,'Clean Gamification Data'!$A:$A,0)),"Not Found")</f>
        <v>87.059123009999993</v>
      </c>
      <c r="X38" s="28">
        <f>IFERROR(INDEX('Clean Gamification Data'!$G:$G,MATCH($B38,'Clean Gamification Data'!$A:$A,0)),"Not Found")</f>
        <v>67.632326950000007</v>
      </c>
      <c r="Y38" s="28">
        <f>IFERROR(INDEX('Clean Gamification Data'!$H:$H,MATCH($B38,'Clean Gamification Data'!$A:$A,0)),"Not Found")</f>
        <v>71.282053700000006</v>
      </c>
      <c r="Z38" s="28">
        <f>IFERROR(INDEX('Clean Gamification Data'!$I:$I,MATCH($B38,'Clean Gamification Data'!$A:$A,0)),"Not Found")</f>
        <v>70</v>
      </c>
      <c r="AA38" s="28">
        <f>Table1[[#This Row],[Engagement (Gamification %)]]-Table1[[#This Row],[Engagement (Non-Gamification %)]]</f>
        <v>16.368301459999998</v>
      </c>
      <c r="AB38" s="28">
        <f>Table1[[#This Row],[Motivation (Gamification %)]]-Table1[[#This Row],[Motivation (Non-Gamification %)]]</f>
        <v>15.772956609999994</v>
      </c>
      <c r="AC38" s="28">
        <f>Table1[[#This Row],[Participation (Gamification %)]]-Table1[[#This Row],[Participation (Non-Gamification %)]]</f>
        <v>19.426796059999987</v>
      </c>
      <c r="AD38" s="28">
        <f>Table1[[#This Row],[Learning Outcomes (Gamification %)]]-Table1[[#This Row],[Learning Outcomes (Non-Gamification %)]]</f>
        <v>1.2820537000000058</v>
      </c>
      <c r="AE38" s="44" t="str">
        <f>IF(Table1[[#This Row],[Overall Effectiveness]]&lt;3.9,"Low",IF(Table1[[#This Row],[Overall Effectiveness]]&lt;4.2,"Medium","High"))</f>
        <v>Medium</v>
      </c>
      <c r="AF38" s="30" t="str">
        <f t="shared" si="4"/>
        <v>Experiments</v>
      </c>
      <c r="AG38" s="30" t="str">
        <f t="shared" si="5"/>
        <v>Case Studies</v>
      </c>
      <c r="AH38" s="27">
        <f>COUNTIF(Teacher_Master!$D$2:$D$16,AF38)</f>
        <v>3</v>
      </c>
      <c r="AI38" s="30" t="str">
        <f>INDEX(Teacher_Master!$B$2:$B$16,MATCH(AF38,Teacher_Master!$D$2:$D$16,0))</f>
        <v>Prof. Rahul Singh</v>
      </c>
    </row>
    <row r="39" spans="1:35" ht="14.25" customHeight="1" x14ac:dyDescent="0.3">
      <c r="A39" s="31" t="s">
        <v>89</v>
      </c>
      <c r="B39" s="31" t="s">
        <v>2118</v>
      </c>
      <c r="C39" s="31" t="s">
        <v>2881</v>
      </c>
      <c r="D39" s="12">
        <f t="shared" ca="1" si="0"/>
        <v>21</v>
      </c>
      <c r="E39" s="12" t="str">
        <f ca="1">IF(Table1[[#This Row],[Age]]&lt;=22,"20-22",IF(Table1[[#This Row],[Age]]&lt;=25,"23-25",IF(Table1[[#This Row],[Age]]&lt;=28,"26-28","29-30")))</f>
        <v>20-22</v>
      </c>
      <c r="F39" s="12">
        <v>4.28</v>
      </c>
      <c r="G39" s="12">
        <v>4.13</v>
      </c>
      <c r="H39" s="12">
        <v>4.25</v>
      </c>
      <c r="I39" s="12">
        <v>3.76</v>
      </c>
      <c r="J39" s="12">
        <v>4.2</v>
      </c>
      <c r="K39" s="12">
        <v>3.6</v>
      </c>
      <c r="L39" s="12">
        <v>4.4800000000000004</v>
      </c>
      <c r="M39" s="12">
        <v>4.0199999999999996</v>
      </c>
      <c r="N39" s="12">
        <v>4.6900000000000004</v>
      </c>
      <c r="O39" s="12">
        <v>3.84</v>
      </c>
      <c r="P39" s="12">
        <f t="shared" si="1"/>
        <v>4.1240000000000006</v>
      </c>
      <c r="Q39" s="12">
        <f t="shared" si="2"/>
        <v>4.12</v>
      </c>
      <c r="R39" s="12">
        <f t="shared" si="3"/>
        <v>4.1259999999999994</v>
      </c>
      <c r="S39" s="28">
        <f>IFERROR(INDEX('Clean Gamification Data'!$B:$B,MATCH($B39,'Clean Gamification Data'!$A:$A,0)),"Not Found")</f>
        <v>86.524516890000001</v>
      </c>
      <c r="T39" s="28">
        <f>IFERROR(INDEX('Clean Gamification Data'!$C:$C,MATCH($B39,'Clean Gamification Data'!$A:$A,0)),"Not Found")</f>
        <v>61.020121099999997</v>
      </c>
      <c r="U39" s="28">
        <f>IFERROR(INDEX('Clean Gamification Data'!$D:$D,MATCH($B39,'Clean Gamification Data'!$A:$A,0)),"Not Found")</f>
        <v>70</v>
      </c>
      <c r="V39" s="28">
        <f>IFERROR(INDEX('Clean Gamification Data'!$E:$E,MATCH($B39,'Clean Gamification Data'!$A:$A,0)),"Not Found")</f>
        <v>74.282686389999995</v>
      </c>
      <c r="W39" s="28">
        <f>IFERROR(INDEX('Clean Gamification Data'!$F:$F,MATCH($B39,'Clean Gamification Data'!$A:$A,0)),"Not Found")</f>
        <v>87.878844150000006</v>
      </c>
      <c r="X39" s="28">
        <f>IFERROR(INDEX('Clean Gamification Data'!$G:$G,MATCH($B39,'Clean Gamification Data'!$A:$A,0)),"Not Found")</f>
        <v>74.149972570000003</v>
      </c>
      <c r="Y39" s="28">
        <f>IFERROR(INDEX('Clean Gamification Data'!$H:$H,MATCH($B39,'Clean Gamification Data'!$A:$A,0)),"Not Found")</f>
        <v>68.332400449999994</v>
      </c>
      <c r="Z39" s="28">
        <f>IFERROR(INDEX('Clean Gamification Data'!$I:$I,MATCH($B39,'Clean Gamification Data'!$A:$A,0)),"Not Found")</f>
        <v>55.99698137</v>
      </c>
      <c r="AA39" s="28">
        <f>Table1[[#This Row],[Engagement (Gamification %)]]-Table1[[#This Row],[Engagement (Non-Gamification %)]]</f>
        <v>25.504395790000004</v>
      </c>
      <c r="AB39" s="28">
        <f>Table1[[#This Row],[Motivation (Gamification %)]]-Table1[[#This Row],[Motivation (Non-Gamification %)]]</f>
        <v>-4.282686389999995</v>
      </c>
      <c r="AC39" s="28">
        <f>Table1[[#This Row],[Participation (Gamification %)]]-Table1[[#This Row],[Participation (Non-Gamification %)]]</f>
        <v>13.728871580000003</v>
      </c>
      <c r="AD39" s="28">
        <f>Table1[[#This Row],[Learning Outcomes (Gamification %)]]-Table1[[#This Row],[Learning Outcomes (Non-Gamification %)]]</f>
        <v>12.335419079999994</v>
      </c>
      <c r="AE39" s="44" t="str">
        <f>IF(Table1[[#This Row],[Overall Effectiveness]]&lt;3.9,"Low",IF(Table1[[#This Row],[Overall Effectiveness]]&lt;4.2,"Medium","High"))</f>
        <v>Medium</v>
      </c>
      <c r="AF39" s="30" t="str">
        <f t="shared" si="4"/>
        <v>Lectures</v>
      </c>
      <c r="AG39" s="30" t="str">
        <f t="shared" si="5"/>
        <v>Experiments</v>
      </c>
      <c r="AH39" s="27">
        <f>COUNTIF(Teacher_Master!$D$2:$D$16,AF39)</f>
        <v>3</v>
      </c>
      <c r="AI39" s="30" t="str">
        <f>INDEX(Teacher_Master!$B$2:$B$16,MATCH(AF39,Teacher_Master!$D$2:$D$16,0))</f>
        <v>Prof. Vikram Gupta</v>
      </c>
    </row>
    <row r="40" spans="1:35" ht="14.25" customHeight="1" x14ac:dyDescent="0.3">
      <c r="A40" s="31" t="s">
        <v>91</v>
      </c>
      <c r="B40" s="31" t="s">
        <v>2119</v>
      </c>
      <c r="C40" s="31" t="s">
        <v>2881</v>
      </c>
      <c r="D40" s="12">
        <f t="shared" ca="1" si="0"/>
        <v>25</v>
      </c>
      <c r="E40" s="12" t="str">
        <f ca="1">IF(Table1[[#This Row],[Age]]&lt;=22,"20-22",IF(Table1[[#This Row],[Age]]&lt;=25,"23-25",IF(Table1[[#This Row],[Age]]&lt;=28,"26-28","29-30")))</f>
        <v>23-25</v>
      </c>
      <c r="F40" s="12">
        <v>3.43</v>
      </c>
      <c r="G40" s="12">
        <v>4.3600000000000003</v>
      </c>
      <c r="H40" s="12">
        <v>3.87</v>
      </c>
      <c r="I40" s="12">
        <v>4.1100000000000003</v>
      </c>
      <c r="J40" s="12">
        <v>4.28</v>
      </c>
      <c r="K40" s="12">
        <v>3.78</v>
      </c>
      <c r="L40" s="12">
        <v>4.0599999999999996</v>
      </c>
      <c r="M40" s="12">
        <v>3.44</v>
      </c>
      <c r="N40" s="12">
        <v>3.96</v>
      </c>
      <c r="O40" s="12">
        <v>4.5999999999999996</v>
      </c>
      <c r="P40" s="12">
        <f t="shared" si="1"/>
        <v>4.01</v>
      </c>
      <c r="Q40" s="12">
        <f t="shared" si="2"/>
        <v>4.01</v>
      </c>
      <c r="R40" s="12">
        <f t="shared" si="3"/>
        <v>3.9679999999999991</v>
      </c>
      <c r="S40" s="28">
        <f>IFERROR(INDEX('Clean Gamification Data'!$B:$B,MATCH($B40,'Clean Gamification Data'!$A:$A,0)),"Not Found")</f>
        <v>99.9</v>
      </c>
      <c r="T40" s="28">
        <f>IFERROR(INDEX('Clean Gamification Data'!$C:$C,MATCH($B40,'Clean Gamification Data'!$A:$A,0)),"Not Found")</f>
        <v>62.542192960000001</v>
      </c>
      <c r="U40" s="28">
        <f>IFERROR(INDEX('Clean Gamification Data'!$D:$D,MATCH($B40,'Clean Gamification Data'!$A:$A,0)),"Not Found")</f>
        <v>84.37815028</v>
      </c>
      <c r="V40" s="28">
        <f>IFERROR(INDEX('Clean Gamification Data'!$E:$E,MATCH($B40,'Clean Gamification Data'!$A:$A,0)),"Not Found")</f>
        <v>75</v>
      </c>
      <c r="W40" s="28">
        <f>IFERROR(INDEX('Clean Gamification Data'!$F:$F,MATCH($B40,'Clean Gamification Data'!$A:$A,0)),"Not Found")</f>
        <v>89.667792840000004</v>
      </c>
      <c r="X40" s="28">
        <f>IFERROR(INDEX('Clean Gamification Data'!$G:$G,MATCH($B40,'Clean Gamification Data'!$A:$A,0)),"Not Found")</f>
        <v>77.486759070000005</v>
      </c>
      <c r="Y40" s="28">
        <f>IFERROR(INDEX('Clean Gamification Data'!$H:$H,MATCH($B40,'Clean Gamification Data'!$A:$A,0)),"Not Found")</f>
        <v>74.178111119999997</v>
      </c>
      <c r="Z40" s="28">
        <f>IFERROR(INDEX('Clean Gamification Data'!$I:$I,MATCH($B40,'Clean Gamification Data'!$A:$A,0)),"Not Found")</f>
        <v>62.470672100000002</v>
      </c>
      <c r="AA40" s="28">
        <f>Table1[[#This Row],[Engagement (Gamification %)]]-Table1[[#This Row],[Engagement (Non-Gamification %)]]</f>
        <v>37.357807040000004</v>
      </c>
      <c r="AB40" s="28">
        <f>Table1[[#This Row],[Motivation (Gamification %)]]-Table1[[#This Row],[Motivation (Non-Gamification %)]]</f>
        <v>9.3781502799999998</v>
      </c>
      <c r="AC40" s="28">
        <f>Table1[[#This Row],[Participation (Gamification %)]]-Table1[[#This Row],[Participation (Non-Gamification %)]]</f>
        <v>12.181033769999999</v>
      </c>
      <c r="AD40" s="28">
        <f>Table1[[#This Row],[Learning Outcomes (Gamification %)]]-Table1[[#This Row],[Learning Outcomes (Non-Gamification %)]]</f>
        <v>11.707439019999995</v>
      </c>
      <c r="AE40" s="44" t="str">
        <f>IF(Table1[[#This Row],[Overall Effectiveness]]&lt;3.9,"Low",IF(Table1[[#This Row],[Overall Effectiveness]]&lt;4.2,"Medium","High"))</f>
        <v>Medium</v>
      </c>
      <c r="AF40" s="30" t="str">
        <f t="shared" si="4"/>
        <v>Case Studies</v>
      </c>
      <c r="AG40" s="30" t="str">
        <f t="shared" si="5"/>
        <v>Online Tutorials</v>
      </c>
      <c r="AH40" s="27">
        <f>COUNTIF(Teacher_Master!$D$2:$D$16,AF40)</f>
        <v>3</v>
      </c>
      <c r="AI40" s="30" t="str">
        <f>INDEX(Teacher_Master!$B$2:$B$16,MATCH(AF40,Teacher_Master!$D$2:$D$16,0))</f>
        <v>Prof. Rajesh Mukherjee</v>
      </c>
    </row>
    <row r="41" spans="1:35" ht="14.25" customHeight="1" x14ac:dyDescent="0.3">
      <c r="A41" s="31" t="s">
        <v>93</v>
      </c>
      <c r="B41" s="31" t="s">
        <v>94</v>
      </c>
      <c r="C41" s="31" t="s">
        <v>2882</v>
      </c>
      <c r="D41" s="12">
        <f t="shared" ca="1" si="0"/>
        <v>26</v>
      </c>
      <c r="E41" s="12" t="str">
        <f ca="1">IF(Table1[[#This Row],[Age]]&lt;=22,"20-22",IF(Table1[[#This Row],[Age]]&lt;=25,"23-25",IF(Table1[[#This Row],[Age]]&lt;=28,"26-28","29-30")))</f>
        <v>26-28</v>
      </c>
      <c r="F41" s="12">
        <v>4.03</v>
      </c>
      <c r="G41" s="12">
        <v>4.18</v>
      </c>
      <c r="H41" s="12">
        <v>3.99</v>
      </c>
      <c r="I41" s="12">
        <v>4.3</v>
      </c>
      <c r="J41" s="12">
        <v>3.88</v>
      </c>
      <c r="K41" s="12">
        <v>4.41</v>
      </c>
      <c r="L41" s="12">
        <v>4.2</v>
      </c>
      <c r="M41" s="12">
        <v>4.2300000000000004</v>
      </c>
      <c r="N41" s="12">
        <v>3.88</v>
      </c>
      <c r="O41" s="12">
        <v>3.58</v>
      </c>
      <c r="P41" s="12">
        <f t="shared" si="1"/>
        <v>4.0759999999999996</v>
      </c>
      <c r="Q41" s="12">
        <f t="shared" si="2"/>
        <v>4.08</v>
      </c>
      <c r="R41" s="12">
        <f t="shared" si="3"/>
        <v>4.0599999999999996</v>
      </c>
      <c r="S41" s="28">
        <f>IFERROR(INDEX('Clean Gamification Data'!$B:$B,MATCH($B41,'Clean Gamification Data'!$A:$A,0)),"Not Found")</f>
        <v>87.065629380000004</v>
      </c>
      <c r="T41" s="28">
        <f>IFERROR(INDEX('Clean Gamification Data'!$C:$C,MATCH($B41,'Clean Gamification Data'!$A:$A,0)),"Not Found")</f>
        <v>74.430480700000004</v>
      </c>
      <c r="U41" s="28">
        <f>IFERROR(INDEX('Clean Gamification Data'!$D:$D,MATCH($B41,'Clean Gamification Data'!$A:$A,0)),"Not Found")</f>
        <v>73.820604680000002</v>
      </c>
      <c r="V41" s="28">
        <f>IFERROR(INDEX('Clean Gamification Data'!$E:$E,MATCH($B41,'Clean Gamification Data'!$A:$A,0)),"Not Found")</f>
        <v>64.461986749999994</v>
      </c>
      <c r="W41" s="28">
        <f>IFERROR(INDEX('Clean Gamification Data'!$F:$F,MATCH($B41,'Clean Gamification Data'!$A:$A,0)),"Not Found")</f>
        <v>99.9</v>
      </c>
      <c r="X41" s="28">
        <f>IFERROR(INDEX('Clean Gamification Data'!$G:$G,MATCH($B41,'Clean Gamification Data'!$A:$A,0)),"Not Found")</f>
        <v>83.296212130000001</v>
      </c>
      <c r="Y41" s="28">
        <f>IFERROR(INDEX('Clean Gamification Data'!$H:$H,MATCH($B41,'Clean Gamification Data'!$A:$A,0)),"Not Found")</f>
        <v>72.309090260000005</v>
      </c>
      <c r="Z41" s="28">
        <f>IFERROR(INDEX('Clean Gamification Data'!$I:$I,MATCH($B41,'Clean Gamification Data'!$A:$A,0)),"Not Found")</f>
        <v>52.408817020000001</v>
      </c>
      <c r="AA41" s="28">
        <f>Table1[[#This Row],[Engagement (Gamification %)]]-Table1[[#This Row],[Engagement (Non-Gamification %)]]</f>
        <v>12.63514868</v>
      </c>
      <c r="AB41" s="28">
        <f>Table1[[#This Row],[Motivation (Gamification %)]]-Table1[[#This Row],[Motivation (Non-Gamification %)]]</f>
        <v>9.3586179300000083</v>
      </c>
      <c r="AC41" s="28">
        <f>Table1[[#This Row],[Participation (Gamification %)]]-Table1[[#This Row],[Participation (Non-Gamification %)]]</f>
        <v>16.603787870000005</v>
      </c>
      <c r="AD41" s="28">
        <f>Table1[[#This Row],[Learning Outcomes (Gamification %)]]-Table1[[#This Row],[Learning Outcomes (Non-Gamification %)]]</f>
        <v>19.900273240000004</v>
      </c>
      <c r="AE41" s="44" t="str">
        <f>IF(Table1[[#This Row],[Overall Effectiveness]]&lt;3.9,"Low",IF(Table1[[#This Row],[Overall Effectiveness]]&lt;4.2,"Medium","High"))</f>
        <v>Medium</v>
      </c>
      <c r="AF41" s="30" t="str">
        <f t="shared" si="4"/>
        <v>Experiments</v>
      </c>
      <c r="AG41" s="30" t="str">
        <f t="shared" si="5"/>
        <v>Lectures</v>
      </c>
      <c r="AH41" s="27">
        <f>COUNTIF(Teacher_Master!$D$2:$D$16,AF41)</f>
        <v>3</v>
      </c>
      <c r="AI41" s="30" t="str">
        <f>INDEX(Teacher_Master!$B$2:$B$16,MATCH(AF41,Teacher_Master!$D$2:$D$16,0))</f>
        <v>Prof. Rahul Singh</v>
      </c>
    </row>
    <row r="42" spans="1:35" ht="14.25" customHeight="1" x14ac:dyDescent="0.3">
      <c r="A42" s="31" t="s">
        <v>95</v>
      </c>
      <c r="B42" s="31" t="s">
        <v>2120</v>
      </c>
      <c r="C42" s="31" t="s">
        <v>2882</v>
      </c>
      <c r="D42" s="12">
        <f t="shared" ca="1" si="0"/>
        <v>25</v>
      </c>
      <c r="E42" s="12" t="str">
        <f ca="1">IF(Table1[[#This Row],[Age]]&lt;=22,"20-22",IF(Table1[[#This Row],[Age]]&lt;=25,"23-25",IF(Table1[[#This Row],[Age]]&lt;=28,"26-28","29-30")))</f>
        <v>23-25</v>
      </c>
      <c r="F42" s="12">
        <v>3.72</v>
      </c>
      <c r="G42" s="12">
        <v>4.2699999999999996</v>
      </c>
      <c r="H42" s="12">
        <v>3.86</v>
      </c>
      <c r="I42" s="12">
        <v>4.16</v>
      </c>
      <c r="J42" s="12">
        <v>3.44</v>
      </c>
      <c r="K42" s="12">
        <v>4.38</v>
      </c>
      <c r="L42" s="12">
        <v>3.62</v>
      </c>
      <c r="M42" s="12">
        <v>3.8</v>
      </c>
      <c r="N42" s="12">
        <v>4.3899999999999997</v>
      </c>
      <c r="O42" s="12">
        <v>3.62</v>
      </c>
      <c r="P42" s="12">
        <f t="shared" si="1"/>
        <v>3.8899999999999997</v>
      </c>
      <c r="Q42" s="12">
        <f t="shared" si="2"/>
        <v>3.89</v>
      </c>
      <c r="R42" s="12">
        <f t="shared" si="3"/>
        <v>3.9620000000000006</v>
      </c>
      <c r="S42" s="28">
        <f>IFERROR(INDEX('Clean Gamification Data'!$B:$B,MATCH($B42,'Clean Gamification Data'!$A:$A,0)),"Not Found")</f>
        <v>86.819791109999997</v>
      </c>
      <c r="T42" s="28">
        <f>IFERROR(INDEX('Clean Gamification Data'!$C:$C,MATCH($B42,'Clean Gamification Data'!$A:$A,0)),"Not Found")</f>
        <v>70.773139889999996</v>
      </c>
      <c r="U42" s="28">
        <f>IFERROR(INDEX('Clean Gamification Data'!$D:$D,MATCH($B42,'Clean Gamification Data'!$A:$A,0)),"Not Found")</f>
        <v>71.401748519999998</v>
      </c>
      <c r="V42" s="28">
        <f>IFERROR(INDEX('Clean Gamification Data'!$E:$E,MATCH($B42,'Clean Gamification Data'!$A:$A,0)),"Not Found")</f>
        <v>62.753369399999997</v>
      </c>
      <c r="W42" s="28">
        <f>IFERROR(INDEX('Clean Gamification Data'!$F:$F,MATCH($B42,'Clean Gamification Data'!$A:$A,0)),"Not Found")</f>
        <v>98.326877109999998</v>
      </c>
      <c r="X42" s="28">
        <f>IFERROR(INDEX('Clean Gamification Data'!$G:$G,MATCH($B42,'Clean Gamification Data'!$A:$A,0)),"Not Found")</f>
        <v>75.026828640000005</v>
      </c>
      <c r="Y42" s="28">
        <f>IFERROR(INDEX('Clean Gamification Data'!$H:$H,MATCH($B42,'Clean Gamification Data'!$A:$A,0)),"Not Found")</f>
        <v>66.864579989999996</v>
      </c>
      <c r="Z42" s="28">
        <f>IFERROR(INDEX('Clean Gamification Data'!$I:$I,MATCH($B42,'Clean Gamification Data'!$A:$A,0)),"Not Found")</f>
        <v>52.060562519999998</v>
      </c>
      <c r="AA42" s="28">
        <f>Table1[[#This Row],[Engagement (Gamification %)]]-Table1[[#This Row],[Engagement (Non-Gamification %)]]</f>
        <v>16.046651220000001</v>
      </c>
      <c r="AB42" s="28">
        <f>Table1[[#This Row],[Motivation (Gamification %)]]-Table1[[#This Row],[Motivation (Non-Gamification %)]]</f>
        <v>8.6483791200000013</v>
      </c>
      <c r="AC42" s="28">
        <f>Table1[[#This Row],[Participation (Gamification %)]]-Table1[[#This Row],[Participation (Non-Gamification %)]]</f>
        <v>23.300048469999993</v>
      </c>
      <c r="AD42" s="28">
        <f>Table1[[#This Row],[Learning Outcomes (Gamification %)]]-Table1[[#This Row],[Learning Outcomes (Non-Gamification %)]]</f>
        <v>14.804017469999998</v>
      </c>
      <c r="AE42" s="44" t="str">
        <f>IF(Table1[[#This Row],[Overall Effectiveness]]&lt;3.9,"Low",IF(Table1[[#This Row],[Overall Effectiveness]]&lt;4.2,"Medium","High"))</f>
        <v>Low</v>
      </c>
      <c r="AF42" s="30" t="str">
        <f t="shared" si="4"/>
        <v>Case Studies</v>
      </c>
      <c r="AG42" s="30" t="str">
        <f t="shared" si="5"/>
        <v>Experiments</v>
      </c>
      <c r="AH42" s="27">
        <f>COUNTIF(Teacher_Master!$D$2:$D$16,AF42)</f>
        <v>3</v>
      </c>
      <c r="AI42" s="30" t="str">
        <f>INDEX(Teacher_Master!$B$2:$B$16,MATCH(AF42,Teacher_Master!$D$2:$D$16,0))</f>
        <v>Prof. Rajesh Mukherjee</v>
      </c>
    </row>
    <row r="43" spans="1:35" ht="14.25" customHeight="1" x14ac:dyDescent="0.3">
      <c r="A43" s="31" t="s">
        <v>97</v>
      </c>
      <c r="B43" s="31" t="s">
        <v>98</v>
      </c>
      <c r="C43" s="31" t="s">
        <v>2881</v>
      </c>
      <c r="D43" s="12">
        <f t="shared" ca="1" si="0"/>
        <v>21</v>
      </c>
      <c r="E43" s="12" t="str">
        <f ca="1">IF(Table1[[#This Row],[Age]]&lt;=22,"20-22",IF(Table1[[#This Row],[Age]]&lt;=25,"23-25",IF(Table1[[#This Row],[Age]]&lt;=28,"26-28","29-30")))</f>
        <v>20-22</v>
      </c>
      <c r="F43" s="12">
        <v>4.3499999999999996</v>
      </c>
      <c r="G43" s="12">
        <v>4.0599999999999996</v>
      </c>
      <c r="H43" s="12">
        <v>4.0599999999999996</v>
      </c>
      <c r="I43" s="12">
        <v>3.42</v>
      </c>
      <c r="J43" s="12">
        <v>4.37</v>
      </c>
      <c r="K43" s="12">
        <v>3.95</v>
      </c>
      <c r="L43" s="12">
        <v>4.04</v>
      </c>
      <c r="M43" s="12">
        <v>3.65</v>
      </c>
      <c r="N43" s="12">
        <v>3.87</v>
      </c>
      <c r="O43" s="12">
        <v>3.91</v>
      </c>
      <c r="P43" s="12">
        <f t="shared" si="1"/>
        <v>4.0519999999999996</v>
      </c>
      <c r="Q43" s="12">
        <f t="shared" si="2"/>
        <v>4.05</v>
      </c>
      <c r="R43" s="12">
        <f t="shared" si="3"/>
        <v>3.8840000000000003</v>
      </c>
      <c r="S43" s="28">
        <f>IFERROR(INDEX('Clean Gamification Data'!$B:$B,MATCH($B43,'Clean Gamification Data'!$A:$A,0)),"Not Found")</f>
        <v>86.148160649999994</v>
      </c>
      <c r="T43" s="28">
        <f>IFERROR(INDEX('Clean Gamification Data'!$C:$C,MATCH($B43,'Clean Gamification Data'!$A:$A,0)),"Not Found")</f>
        <v>64.885632529999995</v>
      </c>
      <c r="U43" s="28">
        <f>IFERROR(INDEX('Clean Gamification Data'!$D:$D,MATCH($B43,'Clean Gamification Data'!$A:$A,0)),"Not Found")</f>
        <v>82.370762369999994</v>
      </c>
      <c r="V43" s="28">
        <f>IFERROR(INDEX('Clean Gamification Data'!$E:$E,MATCH($B43,'Clean Gamification Data'!$A:$A,0)),"Not Found")</f>
        <v>67.296148610000003</v>
      </c>
      <c r="W43" s="28">
        <f>IFERROR(INDEX('Clean Gamification Data'!$F:$F,MATCH($B43,'Clean Gamification Data'!$A:$A,0)),"Not Found")</f>
        <v>88.946745089999993</v>
      </c>
      <c r="X43" s="28">
        <f>IFERROR(INDEX('Clean Gamification Data'!$G:$G,MATCH($B43,'Clean Gamification Data'!$A:$A,0)),"Not Found")</f>
        <v>74.990346349999996</v>
      </c>
      <c r="Y43" s="28">
        <f>IFERROR(INDEX('Clean Gamification Data'!$H:$H,MATCH($B43,'Clean Gamification Data'!$A:$A,0)),"Not Found")</f>
        <v>76.062193339999993</v>
      </c>
      <c r="Z43" s="28">
        <f>IFERROR(INDEX('Clean Gamification Data'!$I:$I,MATCH($B43,'Clean Gamification Data'!$A:$A,0)),"Not Found")</f>
        <v>50</v>
      </c>
      <c r="AA43" s="28">
        <f>Table1[[#This Row],[Engagement (Gamification %)]]-Table1[[#This Row],[Engagement (Non-Gamification %)]]</f>
        <v>21.262528119999999</v>
      </c>
      <c r="AB43" s="28">
        <f>Table1[[#This Row],[Motivation (Gamification %)]]-Table1[[#This Row],[Motivation (Non-Gamification %)]]</f>
        <v>15.074613759999991</v>
      </c>
      <c r="AC43" s="28">
        <f>Table1[[#This Row],[Participation (Gamification %)]]-Table1[[#This Row],[Participation (Non-Gamification %)]]</f>
        <v>13.956398739999997</v>
      </c>
      <c r="AD43" s="28">
        <f>Table1[[#This Row],[Learning Outcomes (Gamification %)]]-Table1[[#This Row],[Learning Outcomes (Non-Gamification %)]]</f>
        <v>26.062193339999993</v>
      </c>
      <c r="AE43" s="44" t="str">
        <f>IF(Table1[[#This Row],[Overall Effectiveness]]&lt;3.9,"Low",IF(Table1[[#This Row],[Overall Effectiveness]]&lt;4.2,"Medium","High"))</f>
        <v>Medium</v>
      </c>
      <c r="AF43" s="30" t="str">
        <f t="shared" si="4"/>
        <v>Online Tutorials</v>
      </c>
      <c r="AG43" s="30" t="str">
        <f t="shared" si="5"/>
        <v>Case Studies</v>
      </c>
      <c r="AH43" s="27">
        <f>COUNTIF(Teacher_Master!$D$2:$D$16,AF43)</f>
        <v>3</v>
      </c>
      <c r="AI43" s="30" t="str">
        <f>INDEX(Teacher_Master!$B$2:$B$16,MATCH(AF43,Teacher_Master!$D$2:$D$16,0))</f>
        <v>Prof. Kavita Rao</v>
      </c>
    </row>
    <row r="44" spans="1:35" ht="14.25" customHeight="1" x14ac:dyDescent="0.3">
      <c r="A44" s="31" t="s">
        <v>99</v>
      </c>
      <c r="B44" s="31" t="s">
        <v>2121</v>
      </c>
      <c r="C44" s="31" t="s">
        <v>2881</v>
      </c>
      <c r="D44" s="12">
        <f t="shared" ca="1" si="0"/>
        <v>26</v>
      </c>
      <c r="E44" s="12" t="str">
        <f ca="1">IF(Table1[[#This Row],[Age]]&lt;=22,"20-22",IF(Table1[[#This Row],[Age]]&lt;=25,"23-25",IF(Table1[[#This Row],[Age]]&lt;=28,"26-28","29-30")))</f>
        <v>26-28</v>
      </c>
      <c r="F44" s="12">
        <v>3.98</v>
      </c>
      <c r="G44" s="12">
        <v>4.08</v>
      </c>
      <c r="H44" s="12">
        <v>3.8</v>
      </c>
      <c r="I44" s="12">
        <v>4.46</v>
      </c>
      <c r="J44" s="12">
        <v>3.89</v>
      </c>
      <c r="K44" s="12">
        <v>4.16</v>
      </c>
      <c r="L44" s="12">
        <v>3.89</v>
      </c>
      <c r="M44" s="12">
        <v>4.08</v>
      </c>
      <c r="N44" s="12">
        <v>4</v>
      </c>
      <c r="O44" s="12">
        <v>4</v>
      </c>
      <c r="P44" s="12">
        <f t="shared" si="1"/>
        <v>4.0419999999999998</v>
      </c>
      <c r="Q44" s="12">
        <f t="shared" si="2"/>
        <v>4.04</v>
      </c>
      <c r="R44" s="12">
        <f t="shared" si="3"/>
        <v>4.0260000000000007</v>
      </c>
      <c r="S44" s="28">
        <f>IFERROR(INDEX('Clean Gamification Data'!$B:$B,MATCH($B44,'Clean Gamification Data'!$A:$A,0)),"Not Found")</f>
        <v>84.039018859999999</v>
      </c>
      <c r="T44" s="28">
        <f>IFERROR(INDEX('Clean Gamification Data'!$C:$C,MATCH($B44,'Clean Gamification Data'!$A:$A,0)),"Not Found")</f>
        <v>64.410989060000006</v>
      </c>
      <c r="U44" s="28">
        <f>IFERROR(INDEX('Clean Gamification Data'!$D:$D,MATCH($B44,'Clean Gamification Data'!$A:$A,0)),"Not Found")</f>
        <v>76.055999720000003</v>
      </c>
      <c r="V44" s="28">
        <f>IFERROR(INDEX('Clean Gamification Data'!$E:$E,MATCH($B44,'Clean Gamification Data'!$A:$A,0)),"Not Found")</f>
        <v>66.309070439999999</v>
      </c>
      <c r="W44" s="28">
        <f>IFERROR(INDEX('Clean Gamification Data'!$F:$F,MATCH($B44,'Clean Gamification Data'!$A:$A,0)),"Not Found")</f>
        <v>80</v>
      </c>
      <c r="X44" s="28">
        <f>IFERROR(INDEX('Clean Gamification Data'!$G:$G,MATCH($B44,'Clean Gamification Data'!$A:$A,0)),"Not Found")</f>
        <v>80.458758169999996</v>
      </c>
      <c r="Y44" s="28">
        <f>IFERROR(INDEX('Clean Gamification Data'!$H:$H,MATCH($B44,'Clean Gamification Data'!$A:$A,0)),"Not Found")</f>
        <v>69.538645500000001</v>
      </c>
      <c r="Z44" s="28">
        <f>IFERROR(INDEX('Clean Gamification Data'!$I:$I,MATCH($B44,'Clean Gamification Data'!$A:$A,0)),"Not Found")</f>
        <v>53.650755109999999</v>
      </c>
      <c r="AA44" s="28">
        <f>Table1[[#This Row],[Engagement (Gamification %)]]-Table1[[#This Row],[Engagement (Non-Gamification %)]]</f>
        <v>19.628029799999993</v>
      </c>
      <c r="AB44" s="28">
        <f>Table1[[#This Row],[Motivation (Gamification %)]]-Table1[[#This Row],[Motivation (Non-Gamification %)]]</f>
        <v>9.7469292800000034</v>
      </c>
      <c r="AC44" s="28">
        <f>Table1[[#This Row],[Participation (Gamification %)]]-Table1[[#This Row],[Participation (Non-Gamification %)]]</f>
        <v>-0.45875816999999586</v>
      </c>
      <c r="AD44" s="28">
        <f>Table1[[#This Row],[Learning Outcomes (Gamification %)]]-Table1[[#This Row],[Learning Outcomes (Non-Gamification %)]]</f>
        <v>15.887890390000003</v>
      </c>
      <c r="AE44" s="44" t="str">
        <f>IF(Table1[[#This Row],[Overall Effectiveness]]&lt;3.9,"Low",IF(Table1[[#This Row],[Overall Effectiveness]]&lt;4.2,"Medium","High"))</f>
        <v>Medium</v>
      </c>
      <c r="AF44" s="30" t="str">
        <f t="shared" si="4"/>
        <v>Experiments</v>
      </c>
      <c r="AG44" s="30" t="str">
        <f t="shared" si="5"/>
        <v>Lectures</v>
      </c>
      <c r="AH44" s="27">
        <f>COUNTIF(Teacher_Master!$D$2:$D$16,AF44)</f>
        <v>3</v>
      </c>
      <c r="AI44" s="30" t="str">
        <f>INDEX(Teacher_Master!$B$2:$B$16,MATCH(AF44,Teacher_Master!$D$2:$D$16,0))</f>
        <v>Prof. Rahul Singh</v>
      </c>
    </row>
    <row r="45" spans="1:35" ht="14.25" customHeight="1" x14ac:dyDescent="0.3">
      <c r="A45" s="31" t="s">
        <v>101</v>
      </c>
      <c r="B45" s="31" t="s">
        <v>2122</v>
      </c>
      <c r="C45" s="31" t="s">
        <v>2882</v>
      </c>
      <c r="D45" s="12">
        <f t="shared" ca="1" si="0"/>
        <v>21</v>
      </c>
      <c r="E45" s="12" t="str">
        <f ca="1">IF(Table1[[#This Row],[Age]]&lt;=22,"20-22",IF(Table1[[#This Row],[Age]]&lt;=25,"23-25",IF(Table1[[#This Row],[Age]]&lt;=28,"26-28","29-30")))</f>
        <v>20-22</v>
      </c>
      <c r="F45" s="12">
        <v>4.34</v>
      </c>
      <c r="G45" s="12" t="s">
        <v>211</v>
      </c>
      <c r="H45" s="12">
        <v>4.1900000000000004</v>
      </c>
      <c r="I45" s="12">
        <v>3.9</v>
      </c>
      <c r="J45" s="12">
        <v>4.03</v>
      </c>
      <c r="K45" s="12">
        <v>4.33</v>
      </c>
      <c r="L45" s="12">
        <v>3.77</v>
      </c>
      <c r="M45" s="12">
        <v>4.13</v>
      </c>
      <c r="N45" s="12">
        <v>4.24</v>
      </c>
      <c r="O45" s="12">
        <v>3.87</v>
      </c>
      <c r="P45" s="12">
        <f t="shared" si="1"/>
        <v>4.1150000000000002</v>
      </c>
      <c r="Q45" s="12">
        <f t="shared" si="2"/>
        <v>4.12</v>
      </c>
      <c r="R45" s="12">
        <f t="shared" si="3"/>
        <v>4.0679999999999996</v>
      </c>
      <c r="S45" s="28">
        <f>IFERROR(INDEX('Clean Gamification Data'!$B:$B,MATCH($B45,'Clean Gamification Data'!$A:$A,0)),"Not Found")</f>
        <v>93.484336099999993</v>
      </c>
      <c r="T45" s="28">
        <f>IFERROR(INDEX('Clean Gamification Data'!$C:$C,MATCH($B45,'Clean Gamification Data'!$A:$A,0)),"Not Found")</f>
        <v>71.639472839999996</v>
      </c>
      <c r="U45" s="28">
        <f>IFERROR(INDEX('Clean Gamification Data'!$D:$D,MATCH($B45,'Clean Gamification Data'!$A:$A,0)),"Not Found")</f>
        <v>70</v>
      </c>
      <c r="V45" s="28">
        <f>IFERROR(INDEX('Clean Gamification Data'!$E:$E,MATCH($B45,'Clean Gamification Data'!$A:$A,0)),"Not Found")</f>
        <v>74.684443999999999</v>
      </c>
      <c r="W45" s="28">
        <f>IFERROR(INDEX('Clean Gamification Data'!$F:$F,MATCH($B45,'Clean Gamification Data'!$A:$A,0)),"Not Found")</f>
        <v>87.768307100000001</v>
      </c>
      <c r="X45" s="28">
        <f>IFERROR(INDEX('Clean Gamification Data'!$G:$G,MATCH($B45,'Clean Gamification Data'!$A:$A,0)),"Not Found")</f>
        <v>73.930160040000004</v>
      </c>
      <c r="Y45" s="28">
        <f>IFERROR(INDEX('Clean Gamification Data'!$H:$H,MATCH($B45,'Clean Gamification Data'!$A:$A,0)),"Not Found")</f>
        <v>72.489525810000004</v>
      </c>
      <c r="Z45" s="28">
        <f>IFERROR(INDEX('Clean Gamification Data'!$I:$I,MATCH($B45,'Clean Gamification Data'!$A:$A,0)),"Not Found")</f>
        <v>58.888346749999997</v>
      </c>
      <c r="AA45" s="28">
        <f>Table1[[#This Row],[Engagement (Gamification %)]]-Table1[[#This Row],[Engagement (Non-Gamification %)]]</f>
        <v>21.844863259999997</v>
      </c>
      <c r="AB45" s="28">
        <f>Table1[[#This Row],[Motivation (Gamification %)]]-Table1[[#This Row],[Motivation (Non-Gamification %)]]</f>
        <v>-4.6844439999999992</v>
      </c>
      <c r="AC45" s="28">
        <f>Table1[[#This Row],[Participation (Gamification %)]]-Table1[[#This Row],[Participation (Non-Gamification %)]]</f>
        <v>13.838147059999997</v>
      </c>
      <c r="AD45" s="28">
        <f>Table1[[#This Row],[Learning Outcomes (Gamification %)]]-Table1[[#This Row],[Learning Outcomes (Non-Gamification %)]]</f>
        <v>13.601179060000007</v>
      </c>
      <c r="AE45" s="44" t="str">
        <f>IF(Table1[[#This Row],[Overall Effectiveness]]&lt;3.9,"Low",IF(Table1[[#This Row],[Overall Effectiveness]]&lt;4.2,"Medium","High"))</f>
        <v>Medium</v>
      </c>
      <c r="AF45" s="30" t="str">
        <f t="shared" si="4"/>
        <v>Lectures</v>
      </c>
      <c r="AG45" s="30" t="str">
        <f t="shared" si="5"/>
        <v>Lectures</v>
      </c>
      <c r="AH45" s="27">
        <f>COUNTIF(Teacher_Master!$D$2:$D$16,AF45)</f>
        <v>3</v>
      </c>
      <c r="AI45" s="30" t="str">
        <f>INDEX(Teacher_Master!$B$2:$B$16,MATCH(AF45,Teacher_Master!$D$2:$D$16,0))</f>
        <v>Prof. Vikram Gupta</v>
      </c>
    </row>
    <row r="46" spans="1:35" ht="14.25" customHeight="1" x14ac:dyDescent="0.3">
      <c r="A46" s="31" t="s">
        <v>103</v>
      </c>
      <c r="B46" s="31" t="s">
        <v>104</v>
      </c>
      <c r="C46" s="31" t="s">
        <v>2882</v>
      </c>
      <c r="D46" s="12">
        <f t="shared" ca="1" si="0"/>
        <v>22</v>
      </c>
      <c r="E46" s="12" t="str">
        <f ca="1">IF(Table1[[#This Row],[Age]]&lt;=22,"20-22",IF(Table1[[#This Row],[Age]]&lt;=25,"23-25",IF(Table1[[#This Row],[Age]]&lt;=28,"26-28","29-30")))</f>
        <v>20-22</v>
      </c>
      <c r="F46" s="12">
        <v>4.2300000000000004</v>
      </c>
      <c r="G46" s="12">
        <v>3.74</v>
      </c>
      <c r="H46" s="12">
        <v>4.05</v>
      </c>
      <c r="I46" s="12">
        <v>3.95</v>
      </c>
      <c r="J46" s="12">
        <v>4.2699999999999996</v>
      </c>
      <c r="K46" s="12">
        <v>3.98</v>
      </c>
      <c r="L46" s="12">
        <v>4.78</v>
      </c>
      <c r="M46" s="12">
        <v>4.3899999999999997</v>
      </c>
      <c r="N46" s="12" t="s">
        <v>211</v>
      </c>
      <c r="O46" s="12">
        <v>4.07</v>
      </c>
      <c r="P46" s="12">
        <f t="shared" si="1"/>
        <v>4.048</v>
      </c>
      <c r="Q46" s="12">
        <f t="shared" si="2"/>
        <v>4.05</v>
      </c>
      <c r="R46" s="12">
        <f t="shared" si="3"/>
        <v>4.3049999999999997</v>
      </c>
      <c r="S46" s="28">
        <f>IFERROR(INDEX('Clean Gamification Data'!$B:$B,MATCH($B46,'Clean Gamification Data'!$A:$A,0)),"Not Found")</f>
        <v>87.436674580000002</v>
      </c>
      <c r="T46" s="28">
        <f>IFERROR(INDEX('Clean Gamification Data'!$C:$C,MATCH($B46,'Clean Gamification Data'!$A:$A,0)),"Not Found")</f>
        <v>67.814593209999998</v>
      </c>
      <c r="U46" s="28">
        <f>IFERROR(INDEX('Clean Gamification Data'!$D:$D,MATCH($B46,'Clean Gamification Data'!$A:$A,0)),"Not Found")</f>
        <v>78.551042640000006</v>
      </c>
      <c r="V46" s="28">
        <f>IFERROR(INDEX('Clean Gamification Data'!$E:$E,MATCH($B46,'Clean Gamification Data'!$A:$A,0)),"Not Found")</f>
        <v>60.167187300000002</v>
      </c>
      <c r="W46" s="28">
        <f>IFERROR(INDEX('Clean Gamification Data'!$F:$F,MATCH($B46,'Clean Gamification Data'!$A:$A,0)),"Not Found")</f>
        <v>88.196512659999996</v>
      </c>
      <c r="X46" s="28">
        <f>IFERROR(INDEX('Clean Gamification Data'!$G:$G,MATCH($B46,'Clean Gamification Data'!$A:$A,0)),"Not Found")</f>
        <v>81.935166080000002</v>
      </c>
      <c r="Y46" s="28">
        <f>IFERROR(INDEX('Clean Gamification Data'!$H:$H,MATCH($B46,'Clean Gamification Data'!$A:$A,0)),"Not Found")</f>
        <v>72.541781349999994</v>
      </c>
      <c r="Z46" s="28">
        <f>IFERROR(INDEX('Clean Gamification Data'!$I:$I,MATCH($B46,'Clean Gamification Data'!$A:$A,0)),"Not Found")</f>
        <v>69.989938370000004</v>
      </c>
      <c r="AA46" s="28">
        <f>Table1[[#This Row],[Engagement (Gamification %)]]-Table1[[#This Row],[Engagement (Non-Gamification %)]]</f>
        <v>19.622081370000004</v>
      </c>
      <c r="AB46" s="28">
        <f>Table1[[#This Row],[Motivation (Gamification %)]]-Table1[[#This Row],[Motivation (Non-Gamification %)]]</f>
        <v>18.383855340000004</v>
      </c>
      <c r="AC46" s="28">
        <f>Table1[[#This Row],[Participation (Gamification %)]]-Table1[[#This Row],[Participation (Non-Gamification %)]]</f>
        <v>6.2613465799999943</v>
      </c>
      <c r="AD46" s="28">
        <f>Table1[[#This Row],[Learning Outcomes (Gamification %)]]-Table1[[#This Row],[Learning Outcomes (Non-Gamification %)]]</f>
        <v>2.5518429799999893</v>
      </c>
      <c r="AE46" s="44" t="str">
        <f>IF(Table1[[#This Row],[Overall Effectiveness]]&lt;3.9,"Low",IF(Table1[[#This Row],[Overall Effectiveness]]&lt;4.2,"Medium","High"))</f>
        <v>Medium</v>
      </c>
      <c r="AF46" s="30" t="str">
        <f t="shared" si="4"/>
        <v>Online Tutorials</v>
      </c>
      <c r="AG46" s="30" t="str">
        <f t="shared" si="5"/>
        <v>Case Studies</v>
      </c>
      <c r="AH46" s="27">
        <f>COUNTIF(Teacher_Master!$D$2:$D$16,AF46)</f>
        <v>3</v>
      </c>
      <c r="AI46" s="30" t="str">
        <f>INDEX(Teacher_Master!$B$2:$B$16,MATCH(AF46,Teacher_Master!$D$2:$D$16,0))</f>
        <v>Prof. Kavita Rao</v>
      </c>
    </row>
    <row r="47" spans="1:35" ht="14.25" customHeight="1" x14ac:dyDescent="0.3">
      <c r="A47" s="31" t="s">
        <v>105</v>
      </c>
      <c r="B47" s="31" t="s">
        <v>2123</v>
      </c>
      <c r="C47" s="31" t="s">
        <v>2882</v>
      </c>
      <c r="D47" s="12">
        <f t="shared" ca="1" si="0"/>
        <v>22</v>
      </c>
      <c r="E47" s="12" t="str">
        <f ca="1">IF(Table1[[#This Row],[Age]]&lt;=22,"20-22",IF(Table1[[#This Row],[Age]]&lt;=25,"23-25",IF(Table1[[#This Row],[Age]]&lt;=28,"26-28","29-30")))</f>
        <v>20-22</v>
      </c>
      <c r="F47" s="12">
        <v>4.29</v>
      </c>
      <c r="G47" s="12">
        <v>3.67</v>
      </c>
      <c r="H47" s="12">
        <v>4.08</v>
      </c>
      <c r="I47" s="12">
        <v>4.41</v>
      </c>
      <c r="J47" s="12">
        <v>4.6399999999999997</v>
      </c>
      <c r="K47" s="12">
        <v>4.5599999999999996</v>
      </c>
      <c r="L47" s="12">
        <v>3.81</v>
      </c>
      <c r="M47" s="12">
        <v>4.0999999999999996</v>
      </c>
      <c r="N47" s="12">
        <v>3.75</v>
      </c>
      <c r="O47" s="12">
        <v>4.37</v>
      </c>
      <c r="P47" s="12">
        <f t="shared" si="1"/>
        <v>4.218</v>
      </c>
      <c r="Q47" s="12">
        <f t="shared" si="2"/>
        <v>4.22</v>
      </c>
      <c r="R47" s="12">
        <f t="shared" si="3"/>
        <v>4.1180000000000003</v>
      </c>
      <c r="S47" s="28">
        <f>IFERROR(INDEX('Clean Gamification Data'!$B:$B,MATCH($B47,'Clean Gamification Data'!$A:$A,0)),"Not Found")</f>
        <v>80.510269100000002</v>
      </c>
      <c r="T47" s="28">
        <f>IFERROR(INDEX('Clean Gamification Data'!$C:$C,MATCH($B47,'Clean Gamification Data'!$A:$A,0)),"Not Found")</f>
        <v>67.732183079999999</v>
      </c>
      <c r="U47" s="28">
        <f>IFERROR(INDEX('Clean Gamification Data'!$D:$D,MATCH($B47,'Clean Gamification Data'!$A:$A,0)),"Not Found")</f>
        <v>78.418237020000007</v>
      </c>
      <c r="V47" s="28">
        <f>IFERROR(INDEX('Clean Gamification Data'!$E:$E,MATCH($B47,'Clean Gamification Data'!$A:$A,0)),"Not Found")</f>
        <v>59.116166139999997</v>
      </c>
      <c r="W47" s="28">
        <f>IFERROR(INDEX('Clean Gamification Data'!$F:$F,MATCH($B47,'Clean Gamification Data'!$A:$A,0)),"Not Found")</f>
        <v>92.778458000000001</v>
      </c>
      <c r="X47" s="28">
        <f>IFERROR(INDEX('Clean Gamification Data'!$G:$G,MATCH($B47,'Clean Gamification Data'!$A:$A,0)),"Not Found")</f>
        <v>76.384545579999994</v>
      </c>
      <c r="Y47" s="28">
        <f>IFERROR(INDEX('Clean Gamification Data'!$H:$H,MATCH($B47,'Clean Gamification Data'!$A:$A,0)),"Not Found")</f>
        <v>70.786566120000003</v>
      </c>
      <c r="Z47" s="28">
        <f>IFERROR(INDEX('Clean Gamification Data'!$I:$I,MATCH($B47,'Clean Gamification Data'!$A:$A,0)),"Not Found")</f>
        <v>56.92335783</v>
      </c>
      <c r="AA47" s="28">
        <f>Table1[[#This Row],[Engagement (Gamification %)]]-Table1[[#This Row],[Engagement (Non-Gamification %)]]</f>
        <v>12.778086020000003</v>
      </c>
      <c r="AB47" s="28">
        <f>Table1[[#This Row],[Motivation (Gamification %)]]-Table1[[#This Row],[Motivation (Non-Gamification %)]]</f>
        <v>19.302070880000009</v>
      </c>
      <c r="AC47" s="28">
        <f>Table1[[#This Row],[Participation (Gamification %)]]-Table1[[#This Row],[Participation (Non-Gamification %)]]</f>
        <v>16.393912420000007</v>
      </c>
      <c r="AD47" s="28">
        <f>Table1[[#This Row],[Learning Outcomes (Gamification %)]]-Table1[[#This Row],[Learning Outcomes (Non-Gamification %)]]</f>
        <v>13.863208290000003</v>
      </c>
      <c r="AE47" s="44" t="str">
        <f>IF(Table1[[#This Row],[Overall Effectiveness]]&lt;3.9,"Low",IF(Table1[[#This Row],[Overall Effectiveness]]&lt;4.2,"Medium","High"))</f>
        <v>High</v>
      </c>
      <c r="AF47" s="30" t="str">
        <f t="shared" si="4"/>
        <v>Online Tutorials</v>
      </c>
      <c r="AG47" s="30" t="str">
        <f t="shared" si="5"/>
        <v>Lectures</v>
      </c>
      <c r="AH47" s="27">
        <f>COUNTIF(Teacher_Master!$D$2:$D$16,AF47)</f>
        <v>3</v>
      </c>
      <c r="AI47" s="30" t="str">
        <f>INDEX(Teacher_Master!$B$2:$B$16,MATCH(AF47,Teacher_Master!$D$2:$D$16,0))</f>
        <v>Prof. Kavita Rao</v>
      </c>
    </row>
    <row r="48" spans="1:35" ht="14.25" customHeight="1" x14ac:dyDescent="0.3">
      <c r="A48" s="31" t="s">
        <v>107</v>
      </c>
      <c r="B48" s="31" t="s">
        <v>2124</v>
      </c>
      <c r="C48" s="31" t="s">
        <v>2882</v>
      </c>
      <c r="D48" s="12">
        <f t="shared" ca="1" si="0"/>
        <v>23</v>
      </c>
      <c r="E48" s="12" t="str">
        <f ca="1">IF(Table1[[#This Row],[Age]]&lt;=22,"20-22",IF(Table1[[#This Row],[Age]]&lt;=25,"23-25",IF(Table1[[#This Row],[Age]]&lt;=28,"26-28","29-30")))</f>
        <v>23-25</v>
      </c>
      <c r="F48" s="12">
        <v>4.2</v>
      </c>
      <c r="G48" s="12">
        <v>4.0199999999999996</v>
      </c>
      <c r="H48" s="12">
        <v>4.32</v>
      </c>
      <c r="I48" s="12">
        <v>4.09</v>
      </c>
      <c r="J48" s="12">
        <v>3.69</v>
      </c>
      <c r="K48" s="12">
        <v>3.33</v>
      </c>
      <c r="L48" s="12">
        <v>3.65</v>
      </c>
      <c r="M48" s="12">
        <v>4.3600000000000003</v>
      </c>
      <c r="N48" s="12">
        <v>4.49</v>
      </c>
      <c r="O48" s="12">
        <v>4.28</v>
      </c>
      <c r="P48" s="12">
        <f t="shared" si="1"/>
        <v>4.0640000000000001</v>
      </c>
      <c r="Q48" s="12">
        <f t="shared" si="2"/>
        <v>4.0599999999999996</v>
      </c>
      <c r="R48" s="12">
        <f t="shared" si="3"/>
        <v>4.0220000000000002</v>
      </c>
      <c r="S48" s="28">
        <f>IFERROR(INDEX('Clean Gamification Data'!$B:$B,MATCH($B48,'Clean Gamification Data'!$A:$A,0)),"Not Found")</f>
        <v>81.486248200000006</v>
      </c>
      <c r="T48" s="28">
        <f>IFERROR(INDEX('Clean Gamification Data'!$C:$C,MATCH($B48,'Clean Gamification Data'!$A:$A,0)),"Not Found")</f>
        <v>61.726329880000002</v>
      </c>
      <c r="U48" s="28">
        <f>IFERROR(INDEX('Clean Gamification Data'!$D:$D,MATCH($B48,'Clean Gamification Data'!$A:$A,0)),"Not Found")</f>
        <v>72.710268720000002</v>
      </c>
      <c r="V48" s="28">
        <f>IFERROR(INDEX('Clean Gamification Data'!$E:$E,MATCH($B48,'Clean Gamification Data'!$A:$A,0)),"Not Found")</f>
        <v>69.009967329999995</v>
      </c>
      <c r="W48" s="28">
        <f>IFERROR(INDEX('Clean Gamification Data'!$F:$F,MATCH($B48,'Clean Gamification Data'!$A:$A,0)),"Not Found")</f>
        <v>96.183340169999994</v>
      </c>
      <c r="X48" s="28">
        <f>IFERROR(INDEX('Clean Gamification Data'!$G:$G,MATCH($B48,'Clean Gamification Data'!$A:$A,0)),"Not Found")</f>
        <v>83.993429019999994</v>
      </c>
      <c r="Y48" s="28">
        <f>IFERROR(INDEX('Clean Gamification Data'!$H:$H,MATCH($B48,'Clean Gamification Data'!$A:$A,0)),"Not Found")</f>
        <v>65</v>
      </c>
      <c r="Z48" s="28">
        <f>IFERROR(INDEX('Clean Gamification Data'!$I:$I,MATCH($B48,'Clean Gamification Data'!$A:$A,0)),"Not Found")</f>
        <v>56.827854309999999</v>
      </c>
      <c r="AA48" s="28">
        <f>Table1[[#This Row],[Engagement (Gamification %)]]-Table1[[#This Row],[Engagement (Non-Gamification %)]]</f>
        <v>19.759918320000004</v>
      </c>
      <c r="AB48" s="28">
        <f>Table1[[#This Row],[Motivation (Gamification %)]]-Table1[[#This Row],[Motivation (Non-Gamification %)]]</f>
        <v>3.700301390000007</v>
      </c>
      <c r="AC48" s="28">
        <f>Table1[[#This Row],[Participation (Gamification %)]]-Table1[[#This Row],[Participation (Non-Gamification %)]]</f>
        <v>12.18991115</v>
      </c>
      <c r="AD48" s="28">
        <f>Table1[[#This Row],[Learning Outcomes (Gamification %)]]-Table1[[#This Row],[Learning Outcomes (Non-Gamification %)]]</f>
        <v>8.1721456900000007</v>
      </c>
      <c r="AE48" s="44" t="str">
        <f>IF(Table1[[#This Row],[Overall Effectiveness]]&lt;3.9,"Low",IF(Table1[[#This Row],[Overall Effectiveness]]&lt;4.2,"Medium","High"))</f>
        <v>Medium</v>
      </c>
      <c r="AF48" s="30" t="str">
        <f t="shared" si="4"/>
        <v>Group Projects</v>
      </c>
      <c r="AG48" s="30" t="str">
        <f t="shared" si="5"/>
        <v>Experiments</v>
      </c>
      <c r="AH48" s="27">
        <f>COUNTIF(Teacher_Master!$D$2:$D$16,AF48)</f>
        <v>3</v>
      </c>
      <c r="AI48" s="30" t="str">
        <f>INDEX(Teacher_Master!$B$2:$B$16,MATCH(AF48,Teacher_Master!$D$2:$D$16,0))</f>
        <v>Dr. Rohan Dutta</v>
      </c>
    </row>
    <row r="49" spans="1:35" ht="14.25" customHeight="1" x14ac:dyDescent="0.3">
      <c r="A49" s="31" t="s">
        <v>109</v>
      </c>
      <c r="B49" s="31" t="s">
        <v>2125</v>
      </c>
      <c r="C49" s="31" t="s">
        <v>2882</v>
      </c>
      <c r="D49" s="12">
        <f t="shared" ca="1" si="0"/>
        <v>22</v>
      </c>
      <c r="E49" s="12" t="str">
        <f ca="1">IF(Table1[[#This Row],[Age]]&lt;=22,"20-22",IF(Table1[[#This Row],[Age]]&lt;=25,"23-25",IF(Table1[[#This Row],[Age]]&lt;=28,"26-28","29-30")))</f>
        <v>20-22</v>
      </c>
      <c r="F49" s="12">
        <v>3.96</v>
      </c>
      <c r="G49" s="12">
        <v>3.79</v>
      </c>
      <c r="H49" s="12">
        <v>3.82</v>
      </c>
      <c r="I49" s="12">
        <v>3.52</v>
      </c>
      <c r="J49" s="12">
        <v>4.17</v>
      </c>
      <c r="K49" s="12">
        <v>3.65</v>
      </c>
      <c r="L49" s="12">
        <v>4.43</v>
      </c>
      <c r="M49" s="12">
        <v>4.1500000000000004</v>
      </c>
      <c r="N49" s="12" t="s">
        <v>211</v>
      </c>
      <c r="O49" s="12">
        <v>3.95</v>
      </c>
      <c r="P49" s="12">
        <f t="shared" si="1"/>
        <v>3.8519999999999994</v>
      </c>
      <c r="Q49" s="12">
        <f t="shared" si="2"/>
        <v>3.85</v>
      </c>
      <c r="R49" s="12">
        <f t="shared" si="3"/>
        <v>4.0449999999999999</v>
      </c>
      <c r="S49" s="28">
        <f>IFERROR(INDEX('Clean Gamification Data'!$B:$B,MATCH($B49,'Clean Gamification Data'!$A:$A,0)),"Not Found")</f>
        <v>91.113290820000003</v>
      </c>
      <c r="T49" s="28">
        <f>IFERROR(INDEX('Clean Gamification Data'!$C:$C,MATCH($B49,'Clean Gamification Data'!$A:$A,0)),"Not Found")</f>
        <v>68.983937909999995</v>
      </c>
      <c r="U49" s="28">
        <f>IFERROR(INDEX('Clean Gamification Data'!$D:$D,MATCH($B49,'Clean Gamification Data'!$A:$A,0)),"Not Found")</f>
        <v>78.801563950000002</v>
      </c>
      <c r="V49" s="28">
        <f>IFERROR(INDEX('Clean Gamification Data'!$E:$E,MATCH($B49,'Clean Gamification Data'!$A:$A,0)),"Not Found")</f>
        <v>62.374892619999997</v>
      </c>
      <c r="W49" s="28">
        <f>IFERROR(INDEX('Clean Gamification Data'!$F:$F,MATCH($B49,'Clean Gamification Data'!$A:$A,0)),"Not Found")</f>
        <v>87.847807270000004</v>
      </c>
      <c r="X49" s="28">
        <f>IFERROR(INDEX('Clean Gamification Data'!$G:$G,MATCH($B49,'Clean Gamification Data'!$A:$A,0)),"Not Found")</f>
        <v>80.821265049999994</v>
      </c>
      <c r="Y49" s="28">
        <f>IFERROR(INDEX('Clean Gamification Data'!$H:$H,MATCH($B49,'Clean Gamification Data'!$A:$A,0)),"Not Found")</f>
        <v>78.562931930000005</v>
      </c>
      <c r="Z49" s="28">
        <f>IFERROR(INDEX('Clean Gamification Data'!$I:$I,MATCH($B49,'Clean Gamification Data'!$A:$A,0)),"Not Found")</f>
        <v>56.262502789999999</v>
      </c>
      <c r="AA49" s="28">
        <f>Table1[[#This Row],[Engagement (Gamification %)]]-Table1[[#This Row],[Engagement (Non-Gamification %)]]</f>
        <v>22.129352910000009</v>
      </c>
      <c r="AB49" s="28">
        <f>Table1[[#This Row],[Motivation (Gamification %)]]-Table1[[#This Row],[Motivation (Non-Gamification %)]]</f>
        <v>16.426671330000005</v>
      </c>
      <c r="AC49" s="28">
        <f>Table1[[#This Row],[Participation (Gamification %)]]-Table1[[#This Row],[Participation (Non-Gamification %)]]</f>
        <v>7.0265422200000103</v>
      </c>
      <c r="AD49" s="28">
        <f>Table1[[#This Row],[Learning Outcomes (Gamification %)]]-Table1[[#This Row],[Learning Outcomes (Non-Gamification %)]]</f>
        <v>22.300429140000006</v>
      </c>
      <c r="AE49" s="44" t="str">
        <f>IF(Table1[[#This Row],[Overall Effectiveness]]&lt;3.9,"Low",IF(Table1[[#This Row],[Overall Effectiveness]]&lt;4.2,"Medium","High"))</f>
        <v>Low</v>
      </c>
      <c r="AF49" s="30" t="str">
        <f t="shared" si="4"/>
        <v>Online Tutorials</v>
      </c>
      <c r="AG49" s="30" t="str">
        <f t="shared" si="5"/>
        <v>Case Studies</v>
      </c>
      <c r="AH49" s="27">
        <f>COUNTIF(Teacher_Master!$D$2:$D$16,AF49)</f>
        <v>3</v>
      </c>
      <c r="AI49" s="30" t="str">
        <f>INDEX(Teacher_Master!$B$2:$B$16,MATCH(AF49,Teacher_Master!$D$2:$D$16,0))</f>
        <v>Prof. Kavita Rao</v>
      </c>
    </row>
    <row r="50" spans="1:35" ht="14.25" customHeight="1" x14ac:dyDescent="0.3">
      <c r="A50" s="31" t="s">
        <v>111</v>
      </c>
      <c r="B50" s="31" t="s">
        <v>112</v>
      </c>
      <c r="C50" s="31" t="s">
        <v>2882</v>
      </c>
      <c r="D50" s="12">
        <f t="shared" ca="1" si="0"/>
        <v>26</v>
      </c>
      <c r="E50" s="12" t="str">
        <f ca="1">IF(Table1[[#This Row],[Age]]&lt;=22,"20-22",IF(Table1[[#This Row],[Age]]&lt;=25,"23-25",IF(Table1[[#This Row],[Age]]&lt;=28,"26-28","29-30")))</f>
        <v>26-28</v>
      </c>
      <c r="F50" s="12">
        <v>4.4000000000000004</v>
      </c>
      <c r="G50" s="12">
        <v>3.57</v>
      </c>
      <c r="H50" s="12">
        <v>4.6900000000000004</v>
      </c>
      <c r="I50" s="12">
        <v>4.55</v>
      </c>
      <c r="J50" s="12">
        <v>3.65</v>
      </c>
      <c r="K50" s="12">
        <v>3.6</v>
      </c>
      <c r="L50" s="12">
        <v>3.96</v>
      </c>
      <c r="M50" s="12">
        <v>3.72</v>
      </c>
      <c r="N50" s="12">
        <v>3.97</v>
      </c>
      <c r="O50" s="12">
        <v>3.22</v>
      </c>
      <c r="P50" s="12">
        <f t="shared" si="1"/>
        <v>4.1719999999999997</v>
      </c>
      <c r="Q50" s="12">
        <f t="shared" si="2"/>
        <v>4.17</v>
      </c>
      <c r="R50" s="12">
        <f t="shared" si="3"/>
        <v>3.6940000000000004</v>
      </c>
      <c r="S50" s="28">
        <f>IFERROR(INDEX('Clean Gamification Data'!$B:$B,MATCH($B50,'Clean Gamification Data'!$A:$A,0)),"Not Found")</f>
        <v>82.054217159999993</v>
      </c>
      <c r="T50" s="28">
        <f>IFERROR(INDEX('Clean Gamification Data'!$C:$C,MATCH($B50,'Clean Gamification Data'!$A:$A,0)),"Not Found")</f>
        <v>67.440007420000001</v>
      </c>
      <c r="U50" s="28">
        <f>IFERROR(INDEX('Clean Gamification Data'!$D:$D,MATCH($B50,'Clean Gamification Data'!$A:$A,0)),"Not Found")</f>
        <v>81.12432742</v>
      </c>
      <c r="V50" s="28">
        <f>IFERROR(INDEX('Clean Gamification Data'!$E:$E,MATCH($B50,'Clean Gamification Data'!$A:$A,0)),"Not Found")</f>
        <v>66.108572480000007</v>
      </c>
      <c r="W50" s="28">
        <f>IFERROR(INDEX('Clean Gamification Data'!$F:$F,MATCH($B50,'Clean Gamification Data'!$A:$A,0)),"Not Found")</f>
        <v>87.422110040000007</v>
      </c>
      <c r="X50" s="28">
        <f>IFERROR(INDEX('Clean Gamification Data'!$G:$G,MATCH($B50,'Clean Gamification Data'!$A:$A,0)),"Not Found")</f>
        <v>72.453875150000002</v>
      </c>
      <c r="Y50" s="28">
        <f>IFERROR(INDEX('Clean Gamification Data'!$H:$H,MATCH($B50,'Clean Gamification Data'!$A:$A,0)),"Not Found")</f>
        <v>69.965875740000001</v>
      </c>
      <c r="Z50" s="28">
        <f>IFERROR(INDEX('Clean Gamification Data'!$I:$I,MATCH($B50,'Clean Gamification Data'!$A:$A,0)),"Not Found")</f>
        <v>66.242100100000002</v>
      </c>
      <c r="AA50" s="28">
        <f>Table1[[#This Row],[Engagement (Gamification %)]]-Table1[[#This Row],[Engagement (Non-Gamification %)]]</f>
        <v>14.614209739999993</v>
      </c>
      <c r="AB50" s="28">
        <f>Table1[[#This Row],[Motivation (Gamification %)]]-Table1[[#This Row],[Motivation (Non-Gamification %)]]</f>
        <v>15.015754939999994</v>
      </c>
      <c r="AC50" s="28">
        <f>Table1[[#This Row],[Participation (Gamification %)]]-Table1[[#This Row],[Participation (Non-Gamification %)]]</f>
        <v>14.968234890000005</v>
      </c>
      <c r="AD50" s="28">
        <f>Table1[[#This Row],[Learning Outcomes (Gamification %)]]-Table1[[#This Row],[Learning Outcomes (Non-Gamification %)]]</f>
        <v>3.7237756399999995</v>
      </c>
      <c r="AE50" s="44" t="str">
        <f>IF(Table1[[#This Row],[Overall Effectiveness]]&lt;3.9,"Low",IF(Table1[[#This Row],[Overall Effectiveness]]&lt;4.2,"Medium","High"))</f>
        <v>Medium</v>
      </c>
      <c r="AF50" s="30" t="str">
        <f t="shared" si="4"/>
        <v>Group Projects</v>
      </c>
      <c r="AG50" s="30" t="str">
        <f t="shared" si="5"/>
        <v>Experiments</v>
      </c>
      <c r="AH50" s="27">
        <f>COUNTIF(Teacher_Master!$D$2:$D$16,AF50)</f>
        <v>3</v>
      </c>
      <c r="AI50" s="30" t="str">
        <f>INDEX(Teacher_Master!$B$2:$B$16,MATCH(AF50,Teacher_Master!$D$2:$D$16,0))</f>
        <v>Dr. Rohan Dutta</v>
      </c>
    </row>
    <row r="51" spans="1:35" ht="14.25" customHeight="1" x14ac:dyDescent="0.3">
      <c r="A51" s="31" t="s">
        <v>113</v>
      </c>
      <c r="B51" s="31" t="s">
        <v>2126</v>
      </c>
      <c r="C51" s="31" t="s">
        <v>2882</v>
      </c>
      <c r="D51" s="12">
        <f t="shared" ca="1" si="0"/>
        <v>30</v>
      </c>
      <c r="E51" s="12" t="str">
        <f ca="1">IF(Table1[[#This Row],[Age]]&lt;=22,"20-22",IF(Table1[[#This Row],[Age]]&lt;=25,"23-25",IF(Table1[[#This Row],[Age]]&lt;=28,"26-28","29-30")))</f>
        <v>29-30</v>
      </c>
      <c r="F51" s="12">
        <v>4.1100000000000003</v>
      </c>
      <c r="G51" s="12">
        <v>3.7</v>
      </c>
      <c r="H51" s="12">
        <v>4.25</v>
      </c>
      <c r="I51" s="12">
        <v>3.67</v>
      </c>
      <c r="J51" s="12">
        <v>3.94</v>
      </c>
      <c r="K51" s="12">
        <v>4.2699999999999996</v>
      </c>
      <c r="L51" s="12">
        <v>4.29</v>
      </c>
      <c r="M51" s="12">
        <v>3.95</v>
      </c>
      <c r="N51" s="12">
        <v>3.54</v>
      </c>
      <c r="O51" s="12">
        <v>4.21</v>
      </c>
      <c r="P51" s="12">
        <f t="shared" si="1"/>
        <v>3.9340000000000002</v>
      </c>
      <c r="Q51" s="12">
        <f t="shared" si="2"/>
        <v>3.93</v>
      </c>
      <c r="R51" s="12">
        <f t="shared" si="3"/>
        <v>4.0519999999999996</v>
      </c>
      <c r="S51" s="28">
        <f>IFERROR(INDEX('Clean Gamification Data'!$B:$B,MATCH($B51,'Clean Gamification Data'!$A:$A,0)),"Not Found")</f>
        <v>83.904247420000004</v>
      </c>
      <c r="T51" s="28">
        <f>IFERROR(INDEX('Clean Gamification Data'!$C:$C,MATCH($B51,'Clean Gamification Data'!$A:$A,0)),"Not Found")</f>
        <v>70.290253849999999</v>
      </c>
      <c r="U51" s="28">
        <f>IFERROR(INDEX('Clean Gamification Data'!$D:$D,MATCH($B51,'Clean Gamification Data'!$A:$A,0)),"Not Found")</f>
        <v>79.483993839999997</v>
      </c>
      <c r="V51" s="28">
        <f>IFERROR(INDEX('Clean Gamification Data'!$E:$E,MATCH($B51,'Clean Gamification Data'!$A:$A,0)),"Not Found")</f>
        <v>61.226161390000001</v>
      </c>
      <c r="W51" s="28">
        <f>IFERROR(INDEX('Clean Gamification Data'!$F:$F,MATCH($B51,'Clean Gamification Data'!$A:$A,0)),"Not Found")</f>
        <v>88.559779610000007</v>
      </c>
      <c r="X51" s="28">
        <f>IFERROR(INDEX('Clean Gamification Data'!$G:$G,MATCH($B51,'Clean Gamification Data'!$A:$A,0)),"Not Found")</f>
        <v>73.872914539999996</v>
      </c>
      <c r="Y51" s="28">
        <f>IFERROR(INDEX('Clean Gamification Data'!$H:$H,MATCH($B51,'Clean Gamification Data'!$A:$A,0)),"Not Found")</f>
        <v>66.926739100000006</v>
      </c>
      <c r="Z51" s="28">
        <f>IFERROR(INDEX('Clean Gamification Data'!$I:$I,MATCH($B51,'Clean Gamification Data'!$A:$A,0)),"Not Found")</f>
        <v>62.41410621</v>
      </c>
      <c r="AA51" s="28">
        <f>Table1[[#This Row],[Engagement (Gamification %)]]-Table1[[#This Row],[Engagement (Non-Gamification %)]]</f>
        <v>13.613993570000005</v>
      </c>
      <c r="AB51" s="28">
        <f>Table1[[#This Row],[Motivation (Gamification %)]]-Table1[[#This Row],[Motivation (Non-Gamification %)]]</f>
        <v>18.257832449999995</v>
      </c>
      <c r="AC51" s="28">
        <f>Table1[[#This Row],[Participation (Gamification %)]]-Table1[[#This Row],[Participation (Non-Gamification %)]]</f>
        <v>14.68686507000001</v>
      </c>
      <c r="AD51" s="28">
        <f>Table1[[#This Row],[Learning Outcomes (Gamification %)]]-Table1[[#This Row],[Learning Outcomes (Non-Gamification %)]]</f>
        <v>4.5126328900000061</v>
      </c>
      <c r="AE51" s="44" t="str">
        <f>IF(Table1[[#This Row],[Overall Effectiveness]]&lt;3.9,"Low",IF(Table1[[#This Row],[Overall Effectiveness]]&lt;4.2,"Medium","High"))</f>
        <v>Medium</v>
      </c>
      <c r="AF51" s="30" t="str">
        <f t="shared" si="4"/>
        <v>Group Projects</v>
      </c>
      <c r="AG51" s="30" t="str">
        <f t="shared" si="5"/>
        <v>Case Studies</v>
      </c>
      <c r="AH51" s="27">
        <f>COUNTIF(Teacher_Master!$D$2:$D$16,AF51)</f>
        <v>3</v>
      </c>
      <c r="AI51" s="30" t="str">
        <f>INDEX(Teacher_Master!$B$2:$B$16,MATCH(AF51,Teacher_Master!$D$2:$D$16,0))</f>
        <v>Dr. Rohan Dutta</v>
      </c>
    </row>
    <row r="52" spans="1:35" ht="14.25" customHeight="1" x14ac:dyDescent="0.3">
      <c r="A52" s="31" t="s">
        <v>115</v>
      </c>
      <c r="B52" s="31" t="s">
        <v>116</v>
      </c>
      <c r="C52" s="31" t="s">
        <v>2882</v>
      </c>
      <c r="D52" s="12">
        <f t="shared" ca="1" si="0"/>
        <v>24</v>
      </c>
      <c r="E52" s="12" t="str">
        <f ca="1">IF(Table1[[#This Row],[Age]]&lt;=22,"20-22",IF(Table1[[#This Row],[Age]]&lt;=25,"23-25",IF(Table1[[#This Row],[Age]]&lt;=28,"26-28","29-30")))</f>
        <v>23-25</v>
      </c>
      <c r="F52" s="12">
        <v>3.86</v>
      </c>
      <c r="G52" s="12">
        <v>4.37</v>
      </c>
      <c r="H52" s="12">
        <v>3.88</v>
      </c>
      <c r="I52" s="12">
        <v>4.38</v>
      </c>
      <c r="J52" s="12">
        <v>3.9</v>
      </c>
      <c r="K52" s="12">
        <v>4.25</v>
      </c>
      <c r="L52" s="12">
        <v>3.97</v>
      </c>
      <c r="M52" s="12">
        <v>4.47</v>
      </c>
      <c r="N52" s="12">
        <v>4.3499999999999996</v>
      </c>
      <c r="O52" s="12">
        <v>3.77</v>
      </c>
      <c r="P52" s="12">
        <f t="shared" si="1"/>
        <v>4.0779999999999994</v>
      </c>
      <c r="Q52" s="12">
        <f t="shared" si="2"/>
        <v>4.08</v>
      </c>
      <c r="R52" s="12">
        <f t="shared" si="3"/>
        <v>4.1619999999999999</v>
      </c>
      <c r="S52" s="28">
        <f>IFERROR(INDEX('Clean Gamification Data'!$B:$B,MATCH($B52,'Clean Gamification Data'!$A:$A,0)),"Not Found")</f>
        <v>75.528219660000005</v>
      </c>
      <c r="T52" s="28">
        <f>IFERROR(INDEX('Clean Gamification Data'!$C:$C,MATCH($B52,'Clean Gamification Data'!$A:$A,0)),"Not Found")</f>
        <v>65.433492999999999</v>
      </c>
      <c r="U52" s="28">
        <f>IFERROR(INDEX('Clean Gamification Data'!$D:$D,MATCH($B52,'Clean Gamification Data'!$A:$A,0)),"Not Found")</f>
        <v>80.448598169999997</v>
      </c>
      <c r="V52" s="28">
        <f>IFERROR(INDEX('Clean Gamification Data'!$E:$E,MATCH($B52,'Clean Gamification Data'!$A:$A,0)),"Not Found")</f>
        <v>67.222315649999999</v>
      </c>
      <c r="W52" s="28">
        <f>IFERROR(INDEX('Clean Gamification Data'!$F:$F,MATCH($B52,'Clean Gamification Data'!$A:$A,0)),"Not Found")</f>
        <v>97.825954370000005</v>
      </c>
      <c r="X52" s="28">
        <f>IFERROR(INDEX('Clean Gamification Data'!$G:$G,MATCH($B52,'Clean Gamification Data'!$A:$A,0)),"Not Found")</f>
        <v>78.924018239999995</v>
      </c>
      <c r="Y52" s="28">
        <f>IFERROR(INDEX('Clean Gamification Data'!$H:$H,MATCH($B52,'Clean Gamification Data'!$A:$A,0)),"Not Found")</f>
        <v>74.554995149999996</v>
      </c>
      <c r="Z52" s="28">
        <f>IFERROR(INDEX('Clean Gamification Data'!$I:$I,MATCH($B52,'Clean Gamification Data'!$A:$A,0)),"Not Found")</f>
        <v>63.098733279999998</v>
      </c>
      <c r="AA52" s="28">
        <f>Table1[[#This Row],[Engagement (Gamification %)]]-Table1[[#This Row],[Engagement (Non-Gamification %)]]</f>
        <v>10.094726660000006</v>
      </c>
      <c r="AB52" s="28">
        <f>Table1[[#This Row],[Motivation (Gamification %)]]-Table1[[#This Row],[Motivation (Non-Gamification %)]]</f>
        <v>13.226282519999998</v>
      </c>
      <c r="AC52" s="28">
        <f>Table1[[#This Row],[Participation (Gamification %)]]-Table1[[#This Row],[Participation (Non-Gamification %)]]</f>
        <v>18.90193613000001</v>
      </c>
      <c r="AD52" s="28">
        <f>Table1[[#This Row],[Learning Outcomes (Gamification %)]]-Table1[[#This Row],[Learning Outcomes (Non-Gamification %)]]</f>
        <v>11.456261869999999</v>
      </c>
      <c r="AE52" s="44" t="str">
        <f>IF(Table1[[#This Row],[Overall Effectiveness]]&lt;3.9,"Low",IF(Table1[[#This Row],[Overall Effectiveness]]&lt;4.2,"Medium","High"))</f>
        <v>Medium</v>
      </c>
      <c r="AF52" s="30" t="str">
        <f t="shared" si="4"/>
        <v>Experiments</v>
      </c>
      <c r="AG52" s="30" t="str">
        <f t="shared" si="5"/>
        <v>Group Projects</v>
      </c>
      <c r="AH52" s="27">
        <f>COUNTIF(Teacher_Master!$D$2:$D$16,AF52)</f>
        <v>3</v>
      </c>
      <c r="AI52" s="30" t="str">
        <f>INDEX(Teacher_Master!$B$2:$B$16,MATCH(AF52,Teacher_Master!$D$2:$D$16,0))</f>
        <v>Prof. Rahul Singh</v>
      </c>
    </row>
    <row r="53" spans="1:35" ht="14.25" customHeight="1" x14ac:dyDescent="0.3">
      <c r="A53" s="31" t="s">
        <v>117</v>
      </c>
      <c r="B53" s="31" t="s">
        <v>2127</v>
      </c>
      <c r="C53" s="31" t="s">
        <v>2881</v>
      </c>
      <c r="D53" s="12">
        <f t="shared" ca="1" si="0"/>
        <v>29</v>
      </c>
      <c r="E53" s="12" t="str">
        <f ca="1">IF(Table1[[#This Row],[Age]]&lt;=22,"20-22",IF(Table1[[#This Row],[Age]]&lt;=25,"23-25",IF(Table1[[#This Row],[Age]]&lt;=28,"26-28","29-30")))</f>
        <v>29-30</v>
      </c>
      <c r="F53" s="12">
        <v>4.49</v>
      </c>
      <c r="G53" s="12">
        <v>4.3099999999999996</v>
      </c>
      <c r="H53" s="12">
        <v>3.51</v>
      </c>
      <c r="I53" s="12">
        <v>4.09</v>
      </c>
      <c r="J53" s="12">
        <v>3.88</v>
      </c>
      <c r="K53" s="12">
        <v>3.62</v>
      </c>
      <c r="L53" s="12">
        <v>3.48</v>
      </c>
      <c r="M53" s="12">
        <v>4.08</v>
      </c>
      <c r="N53" s="12">
        <v>4.24</v>
      </c>
      <c r="O53" s="12">
        <v>4.18</v>
      </c>
      <c r="P53" s="12">
        <f t="shared" si="1"/>
        <v>4.0559999999999992</v>
      </c>
      <c r="Q53" s="12">
        <f t="shared" si="2"/>
        <v>4.0599999999999996</v>
      </c>
      <c r="R53" s="12">
        <f t="shared" si="3"/>
        <v>3.9200000000000004</v>
      </c>
      <c r="S53" s="28">
        <f>IFERROR(INDEX('Clean Gamification Data'!$B:$B,MATCH($B53,'Clean Gamification Data'!$A:$A,0)),"Not Found")</f>
        <v>82.152879690000006</v>
      </c>
      <c r="T53" s="28">
        <f>IFERROR(INDEX('Clean Gamification Data'!$C:$C,MATCH($B53,'Clean Gamification Data'!$A:$A,0)),"Not Found")</f>
        <v>66.241278660000006</v>
      </c>
      <c r="U53" s="28">
        <f>IFERROR(INDEX('Clean Gamification Data'!$D:$D,MATCH($B53,'Clean Gamification Data'!$A:$A,0)),"Not Found")</f>
        <v>70</v>
      </c>
      <c r="V53" s="28">
        <f>IFERROR(INDEX('Clean Gamification Data'!$E:$E,MATCH($B53,'Clean Gamification Data'!$A:$A,0)),"Not Found")</f>
        <v>73.364003569999994</v>
      </c>
      <c r="W53" s="28">
        <f>IFERROR(INDEX('Clean Gamification Data'!$F:$F,MATCH($B53,'Clean Gamification Data'!$A:$A,0)),"Not Found")</f>
        <v>91.468118419999996</v>
      </c>
      <c r="X53" s="28">
        <f>IFERROR(INDEX('Clean Gamification Data'!$G:$G,MATCH($B53,'Clean Gamification Data'!$A:$A,0)),"Not Found")</f>
        <v>76.60530799</v>
      </c>
      <c r="Y53" s="28">
        <f>IFERROR(INDEX('Clean Gamification Data'!$H:$H,MATCH($B53,'Clean Gamification Data'!$A:$A,0)),"Not Found")</f>
        <v>72.715040939999994</v>
      </c>
      <c r="Z53" s="28">
        <f>IFERROR(INDEX('Clean Gamification Data'!$I:$I,MATCH($B53,'Clean Gamification Data'!$A:$A,0)),"Not Found")</f>
        <v>62.583030970000003</v>
      </c>
      <c r="AA53" s="28">
        <f>Table1[[#This Row],[Engagement (Gamification %)]]-Table1[[#This Row],[Engagement (Non-Gamification %)]]</f>
        <v>15.91160103</v>
      </c>
      <c r="AB53" s="28">
        <f>Table1[[#This Row],[Motivation (Gamification %)]]-Table1[[#This Row],[Motivation (Non-Gamification %)]]</f>
        <v>-3.3640035699999942</v>
      </c>
      <c r="AC53" s="28">
        <f>Table1[[#This Row],[Participation (Gamification %)]]-Table1[[#This Row],[Participation (Non-Gamification %)]]</f>
        <v>14.862810429999996</v>
      </c>
      <c r="AD53" s="28">
        <f>Table1[[#This Row],[Learning Outcomes (Gamification %)]]-Table1[[#This Row],[Learning Outcomes (Non-Gamification %)]]</f>
        <v>10.132009969999991</v>
      </c>
      <c r="AE53" s="44" t="str">
        <f>IF(Table1[[#This Row],[Overall Effectiveness]]&lt;3.9,"Low",IF(Table1[[#This Row],[Overall Effectiveness]]&lt;4.2,"Medium","High"))</f>
        <v>Medium</v>
      </c>
      <c r="AF53" s="30" t="str">
        <f t="shared" si="4"/>
        <v>Lectures</v>
      </c>
      <c r="AG53" s="30" t="str">
        <f t="shared" si="5"/>
        <v>Experiments</v>
      </c>
      <c r="AH53" s="27">
        <f>COUNTIF(Teacher_Master!$D$2:$D$16,AF53)</f>
        <v>3</v>
      </c>
      <c r="AI53" s="30" t="str">
        <f>INDEX(Teacher_Master!$B$2:$B$16,MATCH(AF53,Teacher_Master!$D$2:$D$16,0))</f>
        <v>Prof. Vikram Gupta</v>
      </c>
    </row>
    <row r="54" spans="1:35" ht="14.25" customHeight="1" x14ac:dyDescent="0.3">
      <c r="A54" s="31" t="s">
        <v>119</v>
      </c>
      <c r="B54" s="31" t="s">
        <v>2128</v>
      </c>
      <c r="C54" s="31" t="s">
        <v>2882</v>
      </c>
      <c r="D54" s="12">
        <f t="shared" ca="1" si="0"/>
        <v>22</v>
      </c>
      <c r="E54" s="12" t="str">
        <f ca="1">IF(Table1[[#This Row],[Age]]&lt;=22,"20-22",IF(Table1[[#This Row],[Age]]&lt;=25,"23-25",IF(Table1[[#This Row],[Age]]&lt;=28,"26-28","29-30")))</f>
        <v>20-22</v>
      </c>
      <c r="F54" s="12">
        <v>3.89</v>
      </c>
      <c r="G54" s="12">
        <v>3.79</v>
      </c>
      <c r="H54" s="12">
        <v>3.77</v>
      </c>
      <c r="I54" s="12">
        <v>3.95</v>
      </c>
      <c r="J54" s="12">
        <v>4.45</v>
      </c>
      <c r="K54" s="12">
        <v>4.04</v>
      </c>
      <c r="L54" s="12">
        <v>3.84</v>
      </c>
      <c r="M54" s="12">
        <v>4.33</v>
      </c>
      <c r="N54" s="12">
        <v>3.97</v>
      </c>
      <c r="O54" s="12">
        <v>4.2699999999999996</v>
      </c>
      <c r="P54" s="12">
        <f t="shared" si="1"/>
        <v>3.9699999999999998</v>
      </c>
      <c r="Q54" s="12">
        <f t="shared" si="2"/>
        <v>3.97</v>
      </c>
      <c r="R54" s="12">
        <f t="shared" si="3"/>
        <v>4.09</v>
      </c>
      <c r="S54" s="28">
        <f>IFERROR(INDEX('Clean Gamification Data'!$B:$B,MATCH($B54,'Clean Gamification Data'!$A:$A,0)),"Not Found")</f>
        <v>85.498718940000003</v>
      </c>
      <c r="T54" s="28">
        <f>IFERROR(INDEX('Clean Gamification Data'!$C:$C,MATCH($B54,'Clean Gamification Data'!$A:$A,0)),"Not Found")</f>
        <v>60</v>
      </c>
      <c r="U54" s="28">
        <f>IFERROR(INDEX('Clean Gamification Data'!$D:$D,MATCH($B54,'Clean Gamification Data'!$A:$A,0)),"Not Found")</f>
        <v>70</v>
      </c>
      <c r="V54" s="28">
        <f>IFERROR(INDEX('Clean Gamification Data'!$E:$E,MATCH($B54,'Clean Gamification Data'!$A:$A,0)),"Not Found")</f>
        <v>60.334076039999999</v>
      </c>
      <c r="W54" s="28">
        <f>IFERROR(INDEX('Clean Gamification Data'!$F:$F,MATCH($B54,'Clean Gamification Data'!$A:$A,0)),"Not Found")</f>
        <v>87.590461910000002</v>
      </c>
      <c r="X54" s="28">
        <f>IFERROR(INDEX('Clean Gamification Data'!$G:$G,MATCH($B54,'Clean Gamification Data'!$A:$A,0)),"Not Found")</f>
        <v>85</v>
      </c>
      <c r="Y54" s="28">
        <f>IFERROR(INDEX('Clean Gamification Data'!$H:$H,MATCH($B54,'Clean Gamification Data'!$A:$A,0)),"Not Found")</f>
        <v>70.686306110000004</v>
      </c>
      <c r="Z54" s="28">
        <f>IFERROR(INDEX('Clean Gamification Data'!$I:$I,MATCH($B54,'Clean Gamification Data'!$A:$A,0)),"Not Found")</f>
        <v>54.414958310000003</v>
      </c>
      <c r="AA54" s="28">
        <f>Table1[[#This Row],[Engagement (Gamification %)]]-Table1[[#This Row],[Engagement (Non-Gamification %)]]</f>
        <v>25.498718940000003</v>
      </c>
      <c r="AB54" s="28">
        <f>Table1[[#This Row],[Motivation (Gamification %)]]-Table1[[#This Row],[Motivation (Non-Gamification %)]]</f>
        <v>9.6659239600000006</v>
      </c>
      <c r="AC54" s="28">
        <f>Table1[[#This Row],[Participation (Gamification %)]]-Table1[[#This Row],[Participation (Non-Gamification %)]]</f>
        <v>2.5904619100000019</v>
      </c>
      <c r="AD54" s="28">
        <f>Table1[[#This Row],[Learning Outcomes (Gamification %)]]-Table1[[#This Row],[Learning Outcomes (Non-Gamification %)]]</f>
        <v>16.271347800000001</v>
      </c>
      <c r="AE54" s="44" t="str">
        <f>IF(Table1[[#This Row],[Overall Effectiveness]]&lt;3.9,"Low",IF(Table1[[#This Row],[Overall Effectiveness]]&lt;4.2,"Medium","High"))</f>
        <v>Medium</v>
      </c>
      <c r="AF54" s="30" t="str">
        <f t="shared" si="4"/>
        <v>Online Tutorials</v>
      </c>
      <c r="AG54" s="30" t="str">
        <f t="shared" si="5"/>
        <v>Group Projects</v>
      </c>
      <c r="AH54" s="27">
        <f>COUNTIF(Teacher_Master!$D$2:$D$16,AF54)</f>
        <v>3</v>
      </c>
      <c r="AI54" s="30" t="str">
        <f>INDEX(Teacher_Master!$B$2:$B$16,MATCH(AF54,Teacher_Master!$D$2:$D$16,0))</f>
        <v>Prof. Kavita Rao</v>
      </c>
    </row>
    <row r="55" spans="1:35" ht="14.25" customHeight="1" x14ac:dyDescent="0.3">
      <c r="A55" s="31" t="s">
        <v>121</v>
      </c>
      <c r="B55" s="31" t="s">
        <v>2129</v>
      </c>
      <c r="C55" s="31" t="s">
        <v>2882</v>
      </c>
      <c r="D55" s="12">
        <f t="shared" ca="1" si="0"/>
        <v>20</v>
      </c>
      <c r="E55" s="12" t="str">
        <f ca="1">IF(Table1[[#This Row],[Age]]&lt;=22,"20-22",IF(Table1[[#This Row],[Age]]&lt;=25,"23-25",IF(Table1[[#This Row],[Age]]&lt;=28,"26-28","29-30")))</f>
        <v>20-22</v>
      </c>
      <c r="F55" s="12">
        <v>4.34</v>
      </c>
      <c r="G55" s="12">
        <v>4.32</v>
      </c>
      <c r="H55" s="12">
        <v>4.07</v>
      </c>
      <c r="I55" s="12">
        <v>3.85</v>
      </c>
      <c r="J55" s="12">
        <v>4.13</v>
      </c>
      <c r="K55" s="12">
        <v>4.41</v>
      </c>
      <c r="L55" s="12">
        <v>3.91</v>
      </c>
      <c r="M55" s="12">
        <v>3.18</v>
      </c>
      <c r="N55" s="12">
        <v>3.79</v>
      </c>
      <c r="O55" s="12">
        <v>4.01</v>
      </c>
      <c r="P55" s="12">
        <f t="shared" si="1"/>
        <v>4.1420000000000003</v>
      </c>
      <c r="Q55" s="12">
        <f t="shared" si="2"/>
        <v>4.1399999999999997</v>
      </c>
      <c r="R55" s="12">
        <f t="shared" si="3"/>
        <v>3.8599999999999994</v>
      </c>
      <c r="S55" s="28">
        <f>IFERROR(INDEX('Clean Gamification Data'!$B:$B,MATCH($B55,'Clean Gamification Data'!$A:$A,0)),"Not Found")</f>
        <v>77.998938100000004</v>
      </c>
      <c r="T55" s="28">
        <f>IFERROR(INDEX('Clean Gamification Data'!$C:$C,MATCH($B55,'Clean Gamification Data'!$A:$A,0)),"Not Found")</f>
        <v>72.784214719999994</v>
      </c>
      <c r="U55" s="28">
        <f>IFERROR(INDEX('Clean Gamification Data'!$D:$D,MATCH($B55,'Clean Gamification Data'!$A:$A,0)),"Not Found")</f>
        <v>70</v>
      </c>
      <c r="V55" s="28">
        <f>IFERROR(INDEX('Clean Gamification Data'!$E:$E,MATCH($B55,'Clean Gamification Data'!$A:$A,0)),"Not Found")</f>
        <v>68.66334698</v>
      </c>
      <c r="W55" s="28">
        <f>IFERROR(INDEX('Clean Gamification Data'!$F:$F,MATCH($B55,'Clean Gamification Data'!$A:$A,0)),"Not Found")</f>
        <v>90.970167480000001</v>
      </c>
      <c r="X55" s="28">
        <f>IFERROR(INDEX('Clean Gamification Data'!$G:$G,MATCH($B55,'Clean Gamification Data'!$A:$A,0)),"Not Found")</f>
        <v>76.932413359999998</v>
      </c>
      <c r="Y55" s="28">
        <f>IFERROR(INDEX('Clean Gamification Data'!$H:$H,MATCH($B55,'Clean Gamification Data'!$A:$A,0)),"Not Found")</f>
        <v>69.228959399999994</v>
      </c>
      <c r="Z55" s="28">
        <f>IFERROR(INDEX('Clean Gamification Data'!$I:$I,MATCH($B55,'Clean Gamification Data'!$A:$A,0)),"Not Found")</f>
        <v>57.362748250000003</v>
      </c>
      <c r="AA55" s="28">
        <f>Table1[[#This Row],[Engagement (Gamification %)]]-Table1[[#This Row],[Engagement (Non-Gamification %)]]</f>
        <v>5.2147233800000095</v>
      </c>
      <c r="AB55" s="28">
        <f>Table1[[#This Row],[Motivation (Gamification %)]]-Table1[[#This Row],[Motivation (Non-Gamification %)]]</f>
        <v>1.33665302</v>
      </c>
      <c r="AC55" s="28">
        <f>Table1[[#This Row],[Participation (Gamification %)]]-Table1[[#This Row],[Participation (Non-Gamification %)]]</f>
        <v>14.037754120000002</v>
      </c>
      <c r="AD55" s="28">
        <f>Table1[[#This Row],[Learning Outcomes (Gamification %)]]-Table1[[#This Row],[Learning Outcomes (Non-Gamification %)]]</f>
        <v>11.866211149999991</v>
      </c>
      <c r="AE55" s="44" t="str">
        <f>IF(Table1[[#This Row],[Overall Effectiveness]]&lt;3.9,"Low",IF(Table1[[#This Row],[Overall Effectiveness]]&lt;4.2,"Medium","High"))</f>
        <v>Medium</v>
      </c>
      <c r="AF55" s="30" t="str">
        <f t="shared" si="4"/>
        <v>Lectures</v>
      </c>
      <c r="AG55" s="30" t="str">
        <f t="shared" si="5"/>
        <v>Lectures</v>
      </c>
      <c r="AH55" s="27">
        <f>COUNTIF(Teacher_Master!$D$2:$D$16,AF55)</f>
        <v>3</v>
      </c>
      <c r="AI55" s="30" t="str">
        <f>INDEX(Teacher_Master!$B$2:$B$16,MATCH(AF55,Teacher_Master!$D$2:$D$16,0))</f>
        <v>Prof. Vikram Gupta</v>
      </c>
    </row>
    <row r="56" spans="1:35" ht="14.25" customHeight="1" x14ac:dyDescent="0.3">
      <c r="A56" s="31" t="s">
        <v>123</v>
      </c>
      <c r="B56" s="31" t="s">
        <v>2130</v>
      </c>
      <c r="C56" s="31" t="s">
        <v>2882</v>
      </c>
      <c r="D56" s="12">
        <f t="shared" ca="1" si="0"/>
        <v>23</v>
      </c>
      <c r="E56" s="12" t="str">
        <f ca="1">IF(Table1[[#This Row],[Age]]&lt;=22,"20-22",IF(Table1[[#This Row],[Age]]&lt;=25,"23-25",IF(Table1[[#This Row],[Age]]&lt;=28,"26-28","29-30")))</f>
        <v>23-25</v>
      </c>
      <c r="F56" s="12">
        <v>3.96</v>
      </c>
      <c r="G56" s="12">
        <v>4.34</v>
      </c>
      <c r="H56" s="12">
        <v>3.89</v>
      </c>
      <c r="I56" s="12">
        <v>4.53</v>
      </c>
      <c r="J56" s="12">
        <v>4.12</v>
      </c>
      <c r="K56" s="12">
        <v>4.12</v>
      </c>
      <c r="L56" s="12">
        <v>4.3</v>
      </c>
      <c r="M56" s="12">
        <v>4.1399999999999997</v>
      </c>
      <c r="N56" s="12">
        <v>4.4800000000000004</v>
      </c>
      <c r="O56" s="12">
        <v>3.89</v>
      </c>
      <c r="P56" s="12">
        <f t="shared" si="1"/>
        <v>4.168000000000001</v>
      </c>
      <c r="Q56" s="12">
        <f t="shared" si="2"/>
        <v>4.17</v>
      </c>
      <c r="R56" s="12">
        <f t="shared" si="3"/>
        <v>4.1859999999999999</v>
      </c>
      <c r="S56" s="28">
        <f>IFERROR(INDEX('Clean Gamification Data'!$B:$B,MATCH($B56,'Clean Gamification Data'!$A:$A,0)),"Not Found")</f>
        <v>84.963885149999996</v>
      </c>
      <c r="T56" s="28">
        <f>IFERROR(INDEX('Clean Gamification Data'!$C:$C,MATCH($B56,'Clean Gamification Data'!$A:$A,0)),"Not Found")</f>
        <v>65.080778640000005</v>
      </c>
      <c r="U56" s="28">
        <f>IFERROR(INDEX('Clean Gamification Data'!$D:$D,MATCH($B56,'Clean Gamification Data'!$A:$A,0)),"Not Found")</f>
        <v>82.128057609999999</v>
      </c>
      <c r="V56" s="28">
        <f>IFERROR(INDEX('Clean Gamification Data'!$E:$E,MATCH($B56,'Clean Gamification Data'!$A:$A,0)),"Not Found")</f>
        <v>74.491400339999998</v>
      </c>
      <c r="W56" s="28">
        <f>IFERROR(INDEX('Clean Gamification Data'!$F:$F,MATCH($B56,'Clean Gamification Data'!$A:$A,0)),"Not Found")</f>
        <v>83.801138230000007</v>
      </c>
      <c r="X56" s="28">
        <f>IFERROR(INDEX('Clean Gamification Data'!$G:$G,MATCH($B56,'Clean Gamification Data'!$A:$A,0)),"Not Found")</f>
        <v>77.477000959999998</v>
      </c>
      <c r="Y56" s="28">
        <f>IFERROR(INDEX('Clean Gamification Data'!$H:$H,MATCH($B56,'Clean Gamification Data'!$A:$A,0)),"Not Found")</f>
        <v>69.607568200000003</v>
      </c>
      <c r="Z56" s="28">
        <f>IFERROR(INDEX('Clean Gamification Data'!$I:$I,MATCH($B56,'Clean Gamification Data'!$A:$A,0)),"Not Found")</f>
        <v>58.296394300000003</v>
      </c>
      <c r="AA56" s="28">
        <f>Table1[[#This Row],[Engagement (Gamification %)]]-Table1[[#This Row],[Engagement (Non-Gamification %)]]</f>
        <v>19.88310650999999</v>
      </c>
      <c r="AB56" s="28">
        <f>Table1[[#This Row],[Motivation (Gamification %)]]-Table1[[#This Row],[Motivation (Non-Gamification %)]]</f>
        <v>7.6366572700000006</v>
      </c>
      <c r="AC56" s="28">
        <f>Table1[[#This Row],[Participation (Gamification %)]]-Table1[[#This Row],[Participation (Non-Gamification %)]]</f>
        <v>6.3241372700000085</v>
      </c>
      <c r="AD56" s="28">
        <f>Table1[[#This Row],[Learning Outcomes (Gamification %)]]-Table1[[#This Row],[Learning Outcomes (Non-Gamification %)]]</f>
        <v>11.3111739</v>
      </c>
      <c r="AE56" s="44" t="str">
        <f>IF(Table1[[#This Row],[Overall Effectiveness]]&lt;3.9,"Low",IF(Table1[[#This Row],[Overall Effectiveness]]&lt;4.2,"Medium","High"))</f>
        <v>Medium</v>
      </c>
      <c r="AF56" s="30" t="str">
        <f t="shared" si="4"/>
        <v>Experiments</v>
      </c>
      <c r="AG56" s="30" t="str">
        <f t="shared" si="5"/>
        <v>Experiments</v>
      </c>
      <c r="AH56" s="27">
        <f>COUNTIF(Teacher_Master!$D$2:$D$16,AF56)</f>
        <v>3</v>
      </c>
      <c r="AI56" s="30" t="str">
        <f>INDEX(Teacher_Master!$B$2:$B$16,MATCH(AF56,Teacher_Master!$D$2:$D$16,0))</f>
        <v>Prof. Rahul Singh</v>
      </c>
    </row>
    <row r="57" spans="1:35" ht="14.25" customHeight="1" x14ac:dyDescent="0.3">
      <c r="A57" s="31" t="s">
        <v>125</v>
      </c>
      <c r="B57" s="31" t="s">
        <v>126</v>
      </c>
      <c r="C57" s="31" t="s">
        <v>2882</v>
      </c>
      <c r="D57" s="12">
        <f t="shared" ca="1" si="0"/>
        <v>21</v>
      </c>
      <c r="E57" s="12" t="str">
        <f ca="1">IF(Table1[[#This Row],[Age]]&lt;=22,"20-22",IF(Table1[[#This Row],[Age]]&lt;=25,"23-25",IF(Table1[[#This Row],[Age]]&lt;=28,"26-28","29-30")))</f>
        <v>20-22</v>
      </c>
      <c r="F57" s="12">
        <v>4.34</v>
      </c>
      <c r="G57" s="12">
        <v>3.75</v>
      </c>
      <c r="H57" s="12">
        <v>3.71</v>
      </c>
      <c r="I57" s="12">
        <v>4.12</v>
      </c>
      <c r="J57" s="12">
        <v>4.09</v>
      </c>
      <c r="K57" s="12">
        <v>4.1500000000000004</v>
      </c>
      <c r="L57" s="12">
        <v>4.3899999999999997</v>
      </c>
      <c r="M57" s="12">
        <v>3.92</v>
      </c>
      <c r="N57" s="12">
        <v>4.1900000000000004</v>
      </c>
      <c r="O57" s="12">
        <v>3.76</v>
      </c>
      <c r="P57" s="12">
        <f t="shared" si="1"/>
        <v>4.0020000000000007</v>
      </c>
      <c r="Q57" s="12">
        <f t="shared" si="2"/>
        <v>4</v>
      </c>
      <c r="R57" s="12">
        <f t="shared" si="3"/>
        <v>4.081999999999999</v>
      </c>
      <c r="S57" s="28">
        <f>IFERROR(INDEX('Clean Gamification Data'!$B:$B,MATCH($B57,'Clean Gamification Data'!$A:$A,0)),"Not Found")</f>
        <v>88.756395359999999</v>
      </c>
      <c r="T57" s="28">
        <f>IFERROR(INDEX('Clean Gamification Data'!$C:$C,MATCH($B57,'Clean Gamification Data'!$A:$A,0)),"Not Found")</f>
        <v>68.753352500000005</v>
      </c>
      <c r="U57" s="28">
        <f>IFERROR(INDEX('Clean Gamification Data'!$D:$D,MATCH($B57,'Clean Gamification Data'!$A:$A,0)),"Not Found")</f>
        <v>71.29835362</v>
      </c>
      <c r="V57" s="28">
        <f>IFERROR(INDEX('Clean Gamification Data'!$E:$E,MATCH($B57,'Clean Gamification Data'!$A:$A,0)),"Not Found")</f>
        <v>59.557335109999997</v>
      </c>
      <c r="W57" s="28">
        <f>IFERROR(INDEX('Clean Gamification Data'!$F:$F,MATCH($B57,'Clean Gamification Data'!$A:$A,0)),"Not Found")</f>
        <v>87.734711610000005</v>
      </c>
      <c r="X57" s="28">
        <f>IFERROR(INDEX('Clean Gamification Data'!$G:$G,MATCH($B57,'Clean Gamification Data'!$A:$A,0)),"Not Found")</f>
        <v>75.773467839999995</v>
      </c>
      <c r="Y57" s="28">
        <f>IFERROR(INDEX('Clean Gamification Data'!$H:$H,MATCH($B57,'Clean Gamification Data'!$A:$A,0)),"Not Found")</f>
        <v>71.013021910000006</v>
      </c>
      <c r="Z57" s="28">
        <f>IFERROR(INDEX('Clean Gamification Data'!$I:$I,MATCH($B57,'Clean Gamification Data'!$A:$A,0)),"Not Found")</f>
        <v>50.724176970000002</v>
      </c>
      <c r="AA57" s="28">
        <f>Table1[[#This Row],[Engagement (Gamification %)]]-Table1[[#This Row],[Engagement (Non-Gamification %)]]</f>
        <v>20.003042859999994</v>
      </c>
      <c r="AB57" s="28">
        <f>Table1[[#This Row],[Motivation (Gamification %)]]-Table1[[#This Row],[Motivation (Non-Gamification %)]]</f>
        <v>11.741018510000004</v>
      </c>
      <c r="AC57" s="28">
        <f>Table1[[#This Row],[Participation (Gamification %)]]-Table1[[#This Row],[Participation (Non-Gamification %)]]</f>
        <v>11.96124377000001</v>
      </c>
      <c r="AD57" s="28">
        <f>Table1[[#This Row],[Learning Outcomes (Gamification %)]]-Table1[[#This Row],[Learning Outcomes (Non-Gamification %)]]</f>
        <v>20.288844940000004</v>
      </c>
      <c r="AE57" s="44" t="str">
        <f>IF(Table1[[#This Row],[Overall Effectiveness]]&lt;3.9,"Low",IF(Table1[[#This Row],[Overall Effectiveness]]&lt;4.2,"Medium","High"))</f>
        <v>Medium</v>
      </c>
      <c r="AF57" s="30" t="str">
        <f t="shared" si="4"/>
        <v>Lectures</v>
      </c>
      <c r="AG57" s="30" t="str">
        <f t="shared" si="5"/>
        <v>Case Studies</v>
      </c>
      <c r="AH57" s="27">
        <f>COUNTIF(Teacher_Master!$D$2:$D$16,AF57)</f>
        <v>3</v>
      </c>
      <c r="AI57" s="30" t="str">
        <f>INDEX(Teacher_Master!$B$2:$B$16,MATCH(AF57,Teacher_Master!$D$2:$D$16,0))</f>
        <v>Prof. Vikram Gupta</v>
      </c>
    </row>
    <row r="58" spans="1:35" ht="14.25" customHeight="1" x14ac:dyDescent="0.3">
      <c r="A58" s="31" t="s">
        <v>127</v>
      </c>
      <c r="B58" s="31" t="s">
        <v>2131</v>
      </c>
      <c r="C58" s="31" t="s">
        <v>2882</v>
      </c>
      <c r="D58" s="12">
        <f t="shared" ca="1" si="0"/>
        <v>27</v>
      </c>
      <c r="E58" s="12" t="str">
        <f ca="1">IF(Table1[[#This Row],[Age]]&lt;=22,"20-22",IF(Table1[[#This Row],[Age]]&lt;=25,"23-25",IF(Table1[[#This Row],[Age]]&lt;=28,"26-28","29-30")))</f>
        <v>26-28</v>
      </c>
      <c r="F58" s="12">
        <v>4.3899999999999997</v>
      </c>
      <c r="G58" s="12">
        <v>4.53</v>
      </c>
      <c r="H58" s="12">
        <v>4.18</v>
      </c>
      <c r="I58" s="12">
        <v>4.01</v>
      </c>
      <c r="J58" s="12">
        <v>4.05</v>
      </c>
      <c r="K58" s="12">
        <v>4.46</v>
      </c>
      <c r="L58" s="12">
        <v>3.68</v>
      </c>
      <c r="M58" s="12">
        <v>4.2699999999999996</v>
      </c>
      <c r="N58" s="12">
        <v>3.64</v>
      </c>
      <c r="O58" s="12">
        <v>3.68</v>
      </c>
      <c r="P58" s="12">
        <f t="shared" si="1"/>
        <v>4.2320000000000002</v>
      </c>
      <c r="Q58" s="12">
        <f t="shared" si="2"/>
        <v>4.2300000000000004</v>
      </c>
      <c r="R58" s="12">
        <f t="shared" si="3"/>
        <v>3.9460000000000002</v>
      </c>
      <c r="S58" s="28">
        <f>IFERROR(INDEX('Clean Gamification Data'!$B:$B,MATCH($B58,'Clean Gamification Data'!$A:$A,0)),"Not Found")</f>
        <v>84.420705620000007</v>
      </c>
      <c r="T58" s="28">
        <f>IFERROR(INDEX('Clean Gamification Data'!$C:$C,MATCH($B58,'Clean Gamification Data'!$A:$A,0)),"Not Found")</f>
        <v>64.832089310000001</v>
      </c>
      <c r="U58" s="28">
        <f>IFERROR(INDEX('Clean Gamification Data'!$D:$D,MATCH($B58,'Clean Gamification Data'!$A:$A,0)),"Not Found")</f>
        <v>74.765103730000007</v>
      </c>
      <c r="V58" s="28">
        <f>IFERROR(INDEX('Clean Gamification Data'!$E:$E,MATCH($B58,'Clean Gamification Data'!$A:$A,0)),"Not Found")</f>
        <v>62.860506489999999</v>
      </c>
      <c r="W58" s="28">
        <f>IFERROR(INDEX('Clean Gamification Data'!$F:$F,MATCH($B58,'Clean Gamification Data'!$A:$A,0)),"Not Found")</f>
        <v>91.428688399999999</v>
      </c>
      <c r="X58" s="28">
        <f>IFERROR(INDEX('Clean Gamification Data'!$G:$G,MATCH($B58,'Clean Gamification Data'!$A:$A,0)),"Not Found")</f>
        <v>81.518074010000007</v>
      </c>
      <c r="Y58" s="28">
        <f>IFERROR(INDEX('Clean Gamification Data'!$H:$H,MATCH($B58,'Clean Gamification Data'!$A:$A,0)),"Not Found")</f>
        <v>65</v>
      </c>
      <c r="Z58" s="28">
        <f>IFERROR(INDEX('Clean Gamification Data'!$I:$I,MATCH($B58,'Clean Gamification Data'!$A:$A,0)),"Not Found")</f>
        <v>56.847077749999997</v>
      </c>
      <c r="AA58" s="28">
        <f>Table1[[#This Row],[Engagement (Gamification %)]]-Table1[[#This Row],[Engagement (Non-Gamification %)]]</f>
        <v>19.588616310000006</v>
      </c>
      <c r="AB58" s="28">
        <f>Table1[[#This Row],[Motivation (Gamification %)]]-Table1[[#This Row],[Motivation (Non-Gamification %)]]</f>
        <v>11.904597240000008</v>
      </c>
      <c r="AC58" s="28">
        <f>Table1[[#This Row],[Participation (Gamification %)]]-Table1[[#This Row],[Participation (Non-Gamification %)]]</f>
        <v>9.9106143899999921</v>
      </c>
      <c r="AD58" s="28">
        <f>Table1[[#This Row],[Learning Outcomes (Gamification %)]]-Table1[[#This Row],[Learning Outcomes (Non-Gamification %)]]</f>
        <v>8.1529222500000031</v>
      </c>
      <c r="AE58" s="44" t="str">
        <f>IF(Table1[[#This Row],[Overall Effectiveness]]&lt;3.9,"Low",IF(Table1[[#This Row],[Overall Effectiveness]]&lt;4.2,"Medium","High"))</f>
        <v>High</v>
      </c>
      <c r="AF58" s="30" t="str">
        <f t="shared" si="4"/>
        <v>Case Studies</v>
      </c>
      <c r="AG58" s="30" t="str">
        <f t="shared" si="5"/>
        <v>Lectures</v>
      </c>
      <c r="AH58" s="27">
        <f>COUNTIF(Teacher_Master!$D$2:$D$16,AF58)</f>
        <v>3</v>
      </c>
      <c r="AI58" s="30" t="str">
        <f>INDEX(Teacher_Master!$B$2:$B$16,MATCH(AF58,Teacher_Master!$D$2:$D$16,0))</f>
        <v>Prof. Rajesh Mukherjee</v>
      </c>
    </row>
    <row r="59" spans="1:35" ht="14.25" customHeight="1" x14ac:dyDescent="0.3">
      <c r="A59" s="31" t="s">
        <v>129</v>
      </c>
      <c r="B59" s="31" t="s">
        <v>2132</v>
      </c>
      <c r="C59" s="31" t="s">
        <v>2881</v>
      </c>
      <c r="D59" s="12">
        <f t="shared" ca="1" si="0"/>
        <v>25</v>
      </c>
      <c r="E59" s="12" t="str">
        <f ca="1">IF(Table1[[#This Row],[Age]]&lt;=22,"20-22",IF(Table1[[#This Row],[Age]]&lt;=25,"23-25",IF(Table1[[#This Row],[Age]]&lt;=28,"26-28","29-30")))</f>
        <v>23-25</v>
      </c>
      <c r="F59" s="12">
        <v>4.28</v>
      </c>
      <c r="G59" s="12">
        <v>3.9</v>
      </c>
      <c r="H59" s="12">
        <v>3.76</v>
      </c>
      <c r="I59" s="12">
        <v>3.87</v>
      </c>
      <c r="J59" s="12">
        <v>3.95</v>
      </c>
      <c r="K59" s="12">
        <v>4</v>
      </c>
      <c r="L59" s="12">
        <v>4.1900000000000004</v>
      </c>
      <c r="M59" s="12">
        <v>4.01</v>
      </c>
      <c r="N59" s="12">
        <v>4.09</v>
      </c>
      <c r="O59" s="12">
        <v>3.6</v>
      </c>
      <c r="P59" s="12">
        <f t="shared" si="1"/>
        <v>3.9519999999999995</v>
      </c>
      <c r="Q59" s="12">
        <f t="shared" si="2"/>
        <v>3.95</v>
      </c>
      <c r="R59" s="12">
        <f t="shared" si="3"/>
        <v>3.9780000000000002</v>
      </c>
      <c r="S59" s="28">
        <f>IFERROR(INDEX('Clean Gamification Data'!$B:$B,MATCH($B59,'Clean Gamification Data'!$A:$A,0)),"Not Found")</f>
        <v>88.180918430000006</v>
      </c>
      <c r="T59" s="28">
        <f>IFERROR(INDEX('Clean Gamification Data'!$C:$C,MATCH($B59,'Clean Gamification Data'!$A:$A,0)),"Not Found")</f>
        <v>70.899862690000006</v>
      </c>
      <c r="U59" s="28">
        <f>IFERROR(INDEX('Clean Gamification Data'!$D:$D,MATCH($B59,'Clean Gamification Data'!$A:$A,0)),"Not Found")</f>
        <v>76.905058870000005</v>
      </c>
      <c r="V59" s="28">
        <f>IFERROR(INDEX('Clean Gamification Data'!$E:$E,MATCH($B59,'Clean Gamification Data'!$A:$A,0)),"Not Found")</f>
        <v>67.81233297</v>
      </c>
      <c r="W59" s="28">
        <f>IFERROR(INDEX('Clean Gamification Data'!$F:$F,MATCH($B59,'Clean Gamification Data'!$A:$A,0)),"Not Found")</f>
        <v>94.459757100000004</v>
      </c>
      <c r="X59" s="28">
        <f>IFERROR(INDEX('Clean Gamification Data'!$G:$G,MATCH($B59,'Clean Gamification Data'!$A:$A,0)),"Not Found")</f>
        <v>79.208640040000006</v>
      </c>
      <c r="Y59" s="28">
        <f>IFERROR(INDEX('Clean Gamification Data'!$H:$H,MATCH($B59,'Clean Gamification Data'!$A:$A,0)),"Not Found")</f>
        <v>71.156047700000002</v>
      </c>
      <c r="Z59" s="28">
        <f>IFERROR(INDEX('Clean Gamification Data'!$I:$I,MATCH($B59,'Clean Gamification Data'!$A:$A,0)),"Not Found")</f>
        <v>53.613749400000003</v>
      </c>
      <c r="AA59" s="28">
        <f>Table1[[#This Row],[Engagement (Gamification %)]]-Table1[[#This Row],[Engagement (Non-Gamification %)]]</f>
        <v>17.281055739999999</v>
      </c>
      <c r="AB59" s="28">
        <f>Table1[[#This Row],[Motivation (Gamification %)]]-Table1[[#This Row],[Motivation (Non-Gamification %)]]</f>
        <v>9.0927259000000049</v>
      </c>
      <c r="AC59" s="28">
        <f>Table1[[#This Row],[Participation (Gamification %)]]-Table1[[#This Row],[Participation (Non-Gamification %)]]</f>
        <v>15.251117059999999</v>
      </c>
      <c r="AD59" s="28">
        <f>Table1[[#This Row],[Learning Outcomes (Gamification %)]]-Table1[[#This Row],[Learning Outcomes (Non-Gamification %)]]</f>
        <v>17.542298299999999</v>
      </c>
      <c r="AE59" s="44" t="str">
        <f>IF(Table1[[#This Row],[Overall Effectiveness]]&lt;3.9,"Low",IF(Table1[[#This Row],[Overall Effectiveness]]&lt;4.2,"Medium","High"))</f>
        <v>Medium</v>
      </c>
      <c r="AF59" s="30" t="str">
        <f t="shared" si="4"/>
        <v>Lectures</v>
      </c>
      <c r="AG59" s="30" t="str">
        <f t="shared" si="5"/>
        <v>Case Studies</v>
      </c>
      <c r="AH59" s="27">
        <f>COUNTIF(Teacher_Master!$D$2:$D$16,AF59)</f>
        <v>3</v>
      </c>
      <c r="AI59" s="30" t="str">
        <f>INDEX(Teacher_Master!$B$2:$B$16,MATCH(AF59,Teacher_Master!$D$2:$D$16,0))</f>
        <v>Prof. Vikram Gupta</v>
      </c>
    </row>
    <row r="60" spans="1:35" ht="14.25" customHeight="1" x14ac:dyDescent="0.3">
      <c r="A60" s="31" t="s">
        <v>131</v>
      </c>
      <c r="B60" s="31" t="s">
        <v>2133</v>
      </c>
      <c r="C60" s="31" t="s">
        <v>2882</v>
      </c>
      <c r="D60" s="12">
        <f t="shared" ca="1" si="0"/>
        <v>26</v>
      </c>
      <c r="E60" s="12" t="str">
        <f ca="1">IF(Table1[[#This Row],[Age]]&lt;=22,"20-22",IF(Table1[[#This Row],[Age]]&lt;=25,"23-25",IF(Table1[[#This Row],[Age]]&lt;=28,"26-28","29-30")))</f>
        <v>26-28</v>
      </c>
      <c r="F60" s="12">
        <v>4.16</v>
      </c>
      <c r="G60" s="12">
        <v>4.21</v>
      </c>
      <c r="H60" s="12" t="s">
        <v>211</v>
      </c>
      <c r="I60" s="12" t="s">
        <v>211</v>
      </c>
      <c r="J60" s="12">
        <v>3.64</v>
      </c>
      <c r="K60" s="12">
        <v>4.18</v>
      </c>
      <c r="L60" s="12">
        <v>3.99</v>
      </c>
      <c r="M60" s="12">
        <v>4.2699999999999996</v>
      </c>
      <c r="N60" s="12">
        <v>3.92</v>
      </c>
      <c r="O60" s="12">
        <v>3.57</v>
      </c>
      <c r="P60" s="12">
        <f t="shared" si="1"/>
        <v>4.0033333333333339</v>
      </c>
      <c r="Q60" s="12">
        <f t="shared" si="2"/>
        <v>4</v>
      </c>
      <c r="R60" s="12">
        <f t="shared" si="3"/>
        <v>3.9859999999999998</v>
      </c>
      <c r="S60" s="28">
        <f>IFERROR(INDEX('Clean Gamification Data'!$B:$B,MATCH($B60,'Clean Gamification Data'!$A:$A,0)),"Not Found")</f>
        <v>93.914913560000002</v>
      </c>
      <c r="T60" s="28">
        <f>IFERROR(INDEX('Clean Gamification Data'!$C:$C,MATCH($B60,'Clean Gamification Data'!$A:$A,0)),"Not Found")</f>
        <v>74.920639140000006</v>
      </c>
      <c r="U60" s="28">
        <f>IFERROR(INDEX('Clean Gamification Data'!$D:$D,MATCH($B60,'Clean Gamification Data'!$A:$A,0)),"Not Found")</f>
        <v>85.018022430000002</v>
      </c>
      <c r="V60" s="28">
        <f>IFERROR(INDEX('Clean Gamification Data'!$E:$E,MATCH($B60,'Clean Gamification Data'!$A:$A,0)),"Not Found")</f>
        <v>58.364017169999997</v>
      </c>
      <c r="W60" s="28">
        <f>IFERROR(INDEX('Clean Gamification Data'!$F:$F,MATCH($B60,'Clean Gamification Data'!$A:$A,0)),"Not Found")</f>
        <v>90.459137569999996</v>
      </c>
      <c r="X60" s="28">
        <f>IFERROR(INDEX('Clean Gamification Data'!$G:$G,MATCH($B60,'Clean Gamification Data'!$A:$A,0)),"Not Found")</f>
        <v>74.571905810000004</v>
      </c>
      <c r="Y60" s="28">
        <f>IFERROR(INDEX('Clean Gamification Data'!$H:$H,MATCH($B60,'Clean Gamification Data'!$A:$A,0)),"Not Found")</f>
        <v>70.773818660000003</v>
      </c>
      <c r="Z60" s="28">
        <f>IFERROR(INDEX('Clean Gamification Data'!$I:$I,MATCH($B60,'Clean Gamification Data'!$A:$A,0)),"Not Found")</f>
        <v>60.229879740000001</v>
      </c>
      <c r="AA60" s="28">
        <f>Table1[[#This Row],[Engagement (Gamification %)]]-Table1[[#This Row],[Engagement (Non-Gamification %)]]</f>
        <v>18.994274419999996</v>
      </c>
      <c r="AB60" s="28">
        <f>Table1[[#This Row],[Motivation (Gamification %)]]-Table1[[#This Row],[Motivation (Non-Gamification %)]]</f>
        <v>26.654005260000005</v>
      </c>
      <c r="AC60" s="28">
        <f>Table1[[#This Row],[Participation (Gamification %)]]-Table1[[#This Row],[Participation (Non-Gamification %)]]</f>
        <v>15.887231759999992</v>
      </c>
      <c r="AD60" s="28">
        <f>Table1[[#This Row],[Learning Outcomes (Gamification %)]]-Table1[[#This Row],[Learning Outcomes (Non-Gamification %)]]</f>
        <v>10.543938920000002</v>
      </c>
      <c r="AE60" s="44" t="str">
        <f>IF(Table1[[#This Row],[Overall Effectiveness]]&lt;3.9,"Low",IF(Table1[[#This Row],[Overall Effectiveness]]&lt;4.2,"Medium","High"))</f>
        <v>Medium</v>
      </c>
      <c r="AF60" s="30" t="str">
        <f t="shared" si="4"/>
        <v>Case Studies</v>
      </c>
      <c r="AG60" s="30" t="str">
        <f t="shared" si="5"/>
        <v>Group Projects</v>
      </c>
      <c r="AH60" s="27">
        <f>COUNTIF(Teacher_Master!$D$2:$D$16,AF60)</f>
        <v>3</v>
      </c>
      <c r="AI60" s="30" t="str">
        <f>INDEX(Teacher_Master!$B$2:$B$16,MATCH(AF60,Teacher_Master!$D$2:$D$16,0))</f>
        <v>Prof. Rajesh Mukherjee</v>
      </c>
    </row>
    <row r="61" spans="1:35" ht="14.25" customHeight="1" x14ac:dyDescent="0.3">
      <c r="A61" s="31" t="s">
        <v>133</v>
      </c>
      <c r="B61" s="31" t="s">
        <v>2134</v>
      </c>
      <c r="C61" s="31" t="s">
        <v>2881</v>
      </c>
      <c r="D61" s="12">
        <f t="shared" ca="1" si="0"/>
        <v>30</v>
      </c>
      <c r="E61" s="12" t="str">
        <f ca="1">IF(Table1[[#This Row],[Age]]&lt;=22,"20-22",IF(Table1[[#This Row],[Age]]&lt;=25,"23-25",IF(Table1[[#This Row],[Age]]&lt;=28,"26-28","29-30")))</f>
        <v>29-30</v>
      </c>
      <c r="F61" s="12">
        <v>3.77</v>
      </c>
      <c r="G61" s="12">
        <v>3.38</v>
      </c>
      <c r="H61" s="12">
        <v>4.16</v>
      </c>
      <c r="I61" s="12">
        <v>3.61</v>
      </c>
      <c r="J61" s="12">
        <v>3.66</v>
      </c>
      <c r="K61" s="12">
        <v>3.42</v>
      </c>
      <c r="L61" s="12">
        <v>3.69</v>
      </c>
      <c r="M61" s="12">
        <v>4.2300000000000004</v>
      </c>
      <c r="N61" s="12">
        <v>3.63</v>
      </c>
      <c r="O61" s="12">
        <v>3.49</v>
      </c>
      <c r="P61" s="12">
        <f t="shared" si="1"/>
        <v>3.7159999999999997</v>
      </c>
      <c r="Q61" s="12">
        <f t="shared" si="2"/>
        <v>3.72</v>
      </c>
      <c r="R61" s="12">
        <f t="shared" si="3"/>
        <v>3.6920000000000002</v>
      </c>
      <c r="S61" s="28">
        <f>IFERROR(INDEX('Clean Gamification Data'!$B:$B,MATCH($B61,'Clean Gamification Data'!$A:$A,0)),"Not Found")</f>
        <v>92.891452020000003</v>
      </c>
      <c r="T61" s="28">
        <f>IFERROR(INDEX('Clean Gamification Data'!$C:$C,MATCH($B61,'Clean Gamification Data'!$A:$A,0)),"Not Found")</f>
        <v>65.308723060000005</v>
      </c>
      <c r="U61" s="28">
        <f>IFERROR(INDEX('Clean Gamification Data'!$D:$D,MATCH($B61,'Clean Gamification Data'!$A:$A,0)),"Not Found")</f>
        <v>80.390400369999995</v>
      </c>
      <c r="V61" s="28">
        <f>IFERROR(INDEX('Clean Gamification Data'!$E:$E,MATCH($B61,'Clean Gamification Data'!$A:$A,0)),"Not Found")</f>
        <v>56.306195600000002</v>
      </c>
      <c r="W61" s="28">
        <f>IFERROR(INDEX('Clean Gamification Data'!$F:$F,MATCH($B61,'Clean Gamification Data'!$A:$A,0)),"Not Found")</f>
        <v>91.784682750000002</v>
      </c>
      <c r="X61" s="28">
        <f>IFERROR(INDEX('Clean Gamification Data'!$G:$G,MATCH($B61,'Clean Gamification Data'!$A:$A,0)),"Not Found")</f>
        <v>79.468379409999997</v>
      </c>
      <c r="Y61" s="28">
        <f>IFERROR(INDEX('Clean Gamification Data'!$H:$H,MATCH($B61,'Clean Gamification Data'!$A:$A,0)),"Not Found")</f>
        <v>78.111419900000001</v>
      </c>
      <c r="Z61" s="28">
        <f>IFERROR(INDEX('Clean Gamification Data'!$I:$I,MATCH($B61,'Clean Gamification Data'!$A:$A,0)),"Not Found")</f>
        <v>50</v>
      </c>
      <c r="AA61" s="28">
        <f>Table1[[#This Row],[Engagement (Gamification %)]]-Table1[[#This Row],[Engagement (Non-Gamification %)]]</f>
        <v>27.582728959999997</v>
      </c>
      <c r="AB61" s="28">
        <f>Table1[[#This Row],[Motivation (Gamification %)]]-Table1[[#This Row],[Motivation (Non-Gamification %)]]</f>
        <v>24.084204769999992</v>
      </c>
      <c r="AC61" s="28">
        <f>Table1[[#This Row],[Participation (Gamification %)]]-Table1[[#This Row],[Participation (Non-Gamification %)]]</f>
        <v>12.316303340000005</v>
      </c>
      <c r="AD61" s="28">
        <f>Table1[[#This Row],[Learning Outcomes (Gamification %)]]-Table1[[#This Row],[Learning Outcomes (Non-Gamification %)]]</f>
        <v>28.111419900000001</v>
      </c>
      <c r="AE61" s="44" t="str">
        <f>IF(Table1[[#This Row],[Overall Effectiveness]]&lt;3.9,"Low",IF(Table1[[#This Row],[Overall Effectiveness]]&lt;4.2,"Medium","High"))</f>
        <v>Low</v>
      </c>
      <c r="AF61" s="30" t="str">
        <f t="shared" si="4"/>
        <v>Group Projects</v>
      </c>
      <c r="AG61" s="30" t="str">
        <f t="shared" si="5"/>
        <v>Group Projects</v>
      </c>
      <c r="AH61" s="27">
        <f>COUNTIF(Teacher_Master!$D$2:$D$16,AF61)</f>
        <v>3</v>
      </c>
      <c r="AI61" s="30" t="str">
        <f>INDEX(Teacher_Master!$B$2:$B$16,MATCH(AF61,Teacher_Master!$D$2:$D$16,0))</f>
        <v>Dr. Rohan Dutta</v>
      </c>
    </row>
    <row r="62" spans="1:35" ht="14.25" customHeight="1" x14ac:dyDescent="0.3">
      <c r="A62" s="31" t="s">
        <v>135</v>
      </c>
      <c r="B62" s="31" t="s">
        <v>2135</v>
      </c>
      <c r="C62" s="31" t="s">
        <v>2881</v>
      </c>
      <c r="D62" s="12">
        <f t="shared" ca="1" si="0"/>
        <v>20</v>
      </c>
      <c r="E62" s="12" t="str">
        <f ca="1">IF(Table1[[#This Row],[Age]]&lt;=22,"20-22",IF(Table1[[#This Row],[Age]]&lt;=25,"23-25",IF(Table1[[#This Row],[Age]]&lt;=28,"26-28","29-30")))</f>
        <v>20-22</v>
      </c>
      <c r="F62" s="12">
        <v>4.58</v>
      </c>
      <c r="G62" s="12">
        <v>4.26</v>
      </c>
      <c r="H62" s="12">
        <v>3.56</v>
      </c>
      <c r="I62" s="12">
        <v>3.71</v>
      </c>
      <c r="J62" s="12">
        <v>4.3499999999999996</v>
      </c>
      <c r="K62" s="12">
        <v>3.89</v>
      </c>
      <c r="L62" s="12">
        <v>3.78</v>
      </c>
      <c r="M62" s="12">
        <v>4.0999999999999996</v>
      </c>
      <c r="N62" s="12">
        <v>3.84</v>
      </c>
      <c r="O62" s="12" t="s">
        <v>211</v>
      </c>
      <c r="P62" s="12">
        <f t="shared" si="1"/>
        <v>4.0920000000000005</v>
      </c>
      <c r="Q62" s="12">
        <f t="shared" si="2"/>
        <v>4.09</v>
      </c>
      <c r="R62" s="12">
        <f t="shared" si="3"/>
        <v>3.9024999999999999</v>
      </c>
      <c r="S62" s="28">
        <f>IFERROR(INDEX('Clean Gamification Data'!$B:$B,MATCH($B62,'Clean Gamification Data'!$A:$A,0)),"Not Found")</f>
        <v>94.97159954</v>
      </c>
      <c r="T62" s="28">
        <f>IFERROR(INDEX('Clean Gamification Data'!$C:$C,MATCH($B62,'Clean Gamification Data'!$A:$A,0)),"Not Found")</f>
        <v>62.645941350000001</v>
      </c>
      <c r="U62" s="28">
        <f>IFERROR(INDEX('Clean Gamification Data'!$D:$D,MATCH($B62,'Clean Gamification Data'!$A:$A,0)),"Not Found")</f>
        <v>70.831173370000002</v>
      </c>
      <c r="V62" s="28">
        <f>IFERROR(INDEX('Clean Gamification Data'!$E:$E,MATCH($B62,'Clean Gamification Data'!$A:$A,0)),"Not Found")</f>
        <v>60.341314969999999</v>
      </c>
      <c r="W62" s="28">
        <f>IFERROR(INDEX('Clean Gamification Data'!$F:$F,MATCH($B62,'Clean Gamification Data'!$A:$A,0)),"Not Found")</f>
        <v>91.749324729999998</v>
      </c>
      <c r="X62" s="28">
        <f>IFERROR(INDEX('Clean Gamification Data'!$G:$G,MATCH($B62,'Clean Gamification Data'!$A:$A,0)),"Not Found")</f>
        <v>67.882877879999995</v>
      </c>
      <c r="Y62" s="28">
        <f>IFERROR(INDEX('Clean Gamification Data'!$H:$H,MATCH($B62,'Clean Gamification Data'!$A:$A,0)),"Not Found")</f>
        <v>74.355155980000006</v>
      </c>
      <c r="Z62" s="28">
        <f>IFERROR(INDEX('Clean Gamification Data'!$I:$I,MATCH($B62,'Clean Gamification Data'!$A:$A,0)),"Not Found")</f>
        <v>64.023091359999995</v>
      </c>
      <c r="AA62" s="28">
        <f>Table1[[#This Row],[Engagement (Gamification %)]]-Table1[[#This Row],[Engagement (Non-Gamification %)]]</f>
        <v>32.325658189999999</v>
      </c>
      <c r="AB62" s="28">
        <f>Table1[[#This Row],[Motivation (Gamification %)]]-Table1[[#This Row],[Motivation (Non-Gamification %)]]</f>
        <v>10.489858400000003</v>
      </c>
      <c r="AC62" s="28">
        <f>Table1[[#This Row],[Participation (Gamification %)]]-Table1[[#This Row],[Participation (Non-Gamification %)]]</f>
        <v>23.866446850000003</v>
      </c>
      <c r="AD62" s="28">
        <f>Table1[[#This Row],[Learning Outcomes (Gamification %)]]-Table1[[#This Row],[Learning Outcomes (Non-Gamification %)]]</f>
        <v>10.332064620000011</v>
      </c>
      <c r="AE62" s="44" t="str">
        <f>IF(Table1[[#This Row],[Overall Effectiveness]]&lt;3.9,"Low",IF(Table1[[#This Row],[Overall Effectiveness]]&lt;4.2,"Medium","High"))</f>
        <v>Medium</v>
      </c>
      <c r="AF62" s="30" t="str">
        <f t="shared" si="4"/>
        <v>Lectures</v>
      </c>
      <c r="AG62" s="30" t="str">
        <f t="shared" si="5"/>
        <v>Group Projects</v>
      </c>
      <c r="AH62" s="27">
        <f>COUNTIF(Teacher_Master!$D$2:$D$16,AF62)</f>
        <v>3</v>
      </c>
      <c r="AI62" s="30" t="str">
        <f>INDEX(Teacher_Master!$B$2:$B$16,MATCH(AF62,Teacher_Master!$D$2:$D$16,0))</f>
        <v>Prof. Vikram Gupta</v>
      </c>
    </row>
    <row r="63" spans="1:35" ht="14.25" customHeight="1" x14ac:dyDescent="0.3">
      <c r="A63" s="31" t="s">
        <v>137</v>
      </c>
      <c r="B63" s="31" t="s">
        <v>2136</v>
      </c>
      <c r="C63" s="31" t="s">
        <v>2881</v>
      </c>
      <c r="D63" s="12">
        <f t="shared" ca="1" si="0"/>
        <v>22</v>
      </c>
      <c r="E63" s="12" t="str">
        <f ca="1">IF(Table1[[#This Row],[Age]]&lt;=22,"20-22",IF(Table1[[#This Row],[Age]]&lt;=25,"23-25",IF(Table1[[#This Row],[Age]]&lt;=28,"26-28","29-30")))</f>
        <v>20-22</v>
      </c>
      <c r="F63" s="12">
        <v>3.65</v>
      </c>
      <c r="G63" s="12">
        <v>4.21</v>
      </c>
      <c r="H63" s="12">
        <v>4.45</v>
      </c>
      <c r="I63" s="12">
        <v>3.72</v>
      </c>
      <c r="J63" s="12">
        <v>3.99</v>
      </c>
      <c r="K63" s="12">
        <v>4.01</v>
      </c>
      <c r="L63" s="12">
        <v>4.1100000000000003</v>
      </c>
      <c r="M63" s="12">
        <v>4.53</v>
      </c>
      <c r="N63" s="12">
        <v>4.32</v>
      </c>
      <c r="O63" s="12">
        <v>3.72</v>
      </c>
      <c r="P63" s="12">
        <f t="shared" si="1"/>
        <v>4.0039999999999996</v>
      </c>
      <c r="Q63" s="12">
        <f t="shared" si="2"/>
        <v>4</v>
      </c>
      <c r="R63" s="12">
        <f t="shared" si="3"/>
        <v>4.1379999999999999</v>
      </c>
      <c r="S63" s="28">
        <f>IFERROR(INDEX('Clean Gamification Data'!$B:$B,MATCH($B63,'Clean Gamification Data'!$A:$A,0)),"Not Found")</f>
        <v>78.997678219999997</v>
      </c>
      <c r="T63" s="28">
        <f>IFERROR(INDEX('Clean Gamification Data'!$C:$C,MATCH($B63,'Clean Gamification Data'!$A:$A,0)),"Not Found")</f>
        <v>60.891462490000002</v>
      </c>
      <c r="U63" s="28">
        <f>IFERROR(INDEX('Clean Gamification Data'!$D:$D,MATCH($B63,'Clean Gamification Data'!$A:$A,0)),"Not Found")</f>
        <v>82.253444689999995</v>
      </c>
      <c r="V63" s="28">
        <f>IFERROR(INDEX('Clean Gamification Data'!$E:$E,MATCH($B63,'Clean Gamification Data'!$A:$A,0)),"Not Found")</f>
        <v>69.533885499999997</v>
      </c>
      <c r="W63" s="28">
        <f>IFERROR(INDEX('Clean Gamification Data'!$F:$F,MATCH($B63,'Clean Gamification Data'!$A:$A,0)),"Not Found")</f>
        <v>90.632492450000001</v>
      </c>
      <c r="X63" s="28">
        <f>IFERROR(INDEX('Clean Gamification Data'!$G:$G,MATCH($B63,'Clean Gamification Data'!$A:$A,0)),"Not Found")</f>
        <v>70.421590780000002</v>
      </c>
      <c r="Y63" s="28">
        <f>IFERROR(INDEX('Clean Gamification Data'!$H:$H,MATCH($B63,'Clean Gamification Data'!$A:$A,0)),"Not Found")</f>
        <v>72.977603599999995</v>
      </c>
      <c r="Z63" s="28">
        <f>IFERROR(INDEX('Clean Gamification Data'!$I:$I,MATCH($B63,'Clean Gamification Data'!$A:$A,0)),"Not Found")</f>
        <v>50.789428839999999</v>
      </c>
      <c r="AA63" s="28">
        <f>Table1[[#This Row],[Engagement (Gamification %)]]-Table1[[#This Row],[Engagement (Non-Gamification %)]]</f>
        <v>18.106215729999995</v>
      </c>
      <c r="AB63" s="28">
        <f>Table1[[#This Row],[Motivation (Gamification %)]]-Table1[[#This Row],[Motivation (Non-Gamification %)]]</f>
        <v>12.719559189999998</v>
      </c>
      <c r="AC63" s="28">
        <f>Table1[[#This Row],[Participation (Gamification %)]]-Table1[[#This Row],[Participation (Non-Gamification %)]]</f>
        <v>20.210901669999998</v>
      </c>
      <c r="AD63" s="28">
        <f>Table1[[#This Row],[Learning Outcomes (Gamification %)]]-Table1[[#This Row],[Learning Outcomes (Non-Gamification %)]]</f>
        <v>22.188174759999995</v>
      </c>
      <c r="AE63" s="44" t="str">
        <f>IF(Table1[[#This Row],[Overall Effectiveness]]&lt;3.9,"Low",IF(Table1[[#This Row],[Overall Effectiveness]]&lt;4.2,"Medium","High"))</f>
        <v>Medium</v>
      </c>
      <c r="AF63" s="30" t="str">
        <f t="shared" si="4"/>
        <v>Group Projects</v>
      </c>
      <c r="AG63" s="30" t="str">
        <f t="shared" si="5"/>
        <v>Group Projects</v>
      </c>
      <c r="AH63" s="27">
        <f>COUNTIF(Teacher_Master!$D$2:$D$16,AF63)</f>
        <v>3</v>
      </c>
      <c r="AI63" s="30" t="str">
        <f>INDEX(Teacher_Master!$B$2:$B$16,MATCH(AF63,Teacher_Master!$D$2:$D$16,0))</f>
        <v>Dr. Rohan Dutta</v>
      </c>
    </row>
    <row r="64" spans="1:35" ht="14.25" customHeight="1" x14ac:dyDescent="0.3">
      <c r="A64" s="31" t="s">
        <v>139</v>
      </c>
      <c r="B64" s="31" t="s">
        <v>2137</v>
      </c>
      <c r="C64" s="31" t="s">
        <v>2881</v>
      </c>
      <c r="D64" s="12">
        <f t="shared" ca="1" si="0"/>
        <v>25</v>
      </c>
      <c r="E64" s="12" t="str">
        <f ca="1">IF(Table1[[#This Row],[Age]]&lt;=22,"20-22",IF(Table1[[#This Row],[Age]]&lt;=25,"23-25",IF(Table1[[#This Row],[Age]]&lt;=28,"26-28","29-30")))</f>
        <v>23-25</v>
      </c>
      <c r="F64" s="12">
        <v>3.57</v>
      </c>
      <c r="G64" s="12">
        <v>3.8</v>
      </c>
      <c r="H64" s="12">
        <v>4.2300000000000004</v>
      </c>
      <c r="I64" s="12">
        <v>4.4000000000000004</v>
      </c>
      <c r="J64" s="12" t="s">
        <v>211</v>
      </c>
      <c r="K64" s="12" t="s">
        <v>211</v>
      </c>
      <c r="L64" s="12">
        <v>4.3899999999999997</v>
      </c>
      <c r="M64" s="12">
        <v>4.04</v>
      </c>
      <c r="N64" s="12">
        <v>4.38</v>
      </c>
      <c r="O64" s="12">
        <v>3.27</v>
      </c>
      <c r="P64" s="12">
        <f t="shared" si="1"/>
        <v>4</v>
      </c>
      <c r="Q64" s="12">
        <f t="shared" si="2"/>
        <v>4</v>
      </c>
      <c r="R64" s="12">
        <f t="shared" si="3"/>
        <v>4.0199999999999996</v>
      </c>
      <c r="S64" s="28">
        <f>IFERROR(INDEX('Clean Gamification Data'!$B:$B,MATCH($B64,'Clean Gamification Data'!$A:$A,0)),"Not Found")</f>
        <v>81.935078300000001</v>
      </c>
      <c r="T64" s="28">
        <f>IFERROR(INDEX('Clean Gamification Data'!$C:$C,MATCH($B64,'Clean Gamification Data'!$A:$A,0)),"Not Found")</f>
        <v>66.754267519999999</v>
      </c>
      <c r="U64" s="28">
        <f>IFERROR(INDEX('Clean Gamification Data'!$D:$D,MATCH($B64,'Clean Gamification Data'!$A:$A,0)),"Not Found")</f>
        <v>70</v>
      </c>
      <c r="V64" s="28">
        <f>IFERROR(INDEX('Clean Gamification Data'!$E:$E,MATCH($B64,'Clean Gamification Data'!$A:$A,0)),"Not Found")</f>
        <v>69.876094499999994</v>
      </c>
      <c r="W64" s="28">
        <f>IFERROR(INDEX('Clean Gamification Data'!$F:$F,MATCH($B64,'Clean Gamification Data'!$A:$A,0)),"Not Found")</f>
        <v>89.886267970000006</v>
      </c>
      <c r="X64" s="28">
        <f>IFERROR(INDEX('Clean Gamification Data'!$G:$G,MATCH($B64,'Clean Gamification Data'!$A:$A,0)),"Not Found")</f>
        <v>79.540892249999999</v>
      </c>
      <c r="Y64" s="28">
        <f>IFERROR(INDEX('Clean Gamification Data'!$H:$H,MATCH($B64,'Clean Gamification Data'!$A:$A,0)),"Not Found")</f>
        <v>69.29349302</v>
      </c>
      <c r="Z64" s="28">
        <f>IFERROR(INDEX('Clean Gamification Data'!$I:$I,MATCH($B64,'Clean Gamification Data'!$A:$A,0)),"Not Found")</f>
        <v>55.019534700000001</v>
      </c>
      <c r="AA64" s="28">
        <f>Table1[[#This Row],[Engagement (Gamification %)]]-Table1[[#This Row],[Engagement (Non-Gamification %)]]</f>
        <v>15.180810780000002</v>
      </c>
      <c r="AB64" s="28">
        <f>Table1[[#This Row],[Motivation (Gamification %)]]-Table1[[#This Row],[Motivation (Non-Gamification %)]]</f>
        <v>0.12390550000000644</v>
      </c>
      <c r="AC64" s="28">
        <f>Table1[[#This Row],[Participation (Gamification %)]]-Table1[[#This Row],[Participation (Non-Gamification %)]]</f>
        <v>10.345375720000007</v>
      </c>
      <c r="AD64" s="28">
        <f>Table1[[#This Row],[Learning Outcomes (Gamification %)]]-Table1[[#This Row],[Learning Outcomes (Non-Gamification %)]]</f>
        <v>14.273958319999998</v>
      </c>
      <c r="AE64" s="44" t="str">
        <f>IF(Table1[[#This Row],[Overall Effectiveness]]&lt;3.9,"Low",IF(Table1[[#This Row],[Overall Effectiveness]]&lt;4.2,"Medium","High"))</f>
        <v>Medium</v>
      </c>
      <c r="AF64" s="30" t="str">
        <f t="shared" si="4"/>
        <v>Experiments</v>
      </c>
      <c r="AG64" s="30" t="str">
        <f t="shared" si="5"/>
        <v>Case Studies</v>
      </c>
      <c r="AH64" s="27">
        <f>COUNTIF(Teacher_Master!$D$2:$D$16,AF64)</f>
        <v>3</v>
      </c>
      <c r="AI64" s="30" t="str">
        <f>INDEX(Teacher_Master!$B$2:$B$16,MATCH(AF64,Teacher_Master!$D$2:$D$16,0))</f>
        <v>Prof. Rahul Singh</v>
      </c>
    </row>
    <row r="65" spans="1:35" ht="14.25" customHeight="1" x14ac:dyDescent="0.3">
      <c r="A65" s="31" t="s">
        <v>141</v>
      </c>
      <c r="B65" s="31" t="s">
        <v>142</v>
      </c>
      <c r="C65" s="31" t="s">
        <v>2882</v>
      </c>
      <c r="D65" s="12">
        <f t="shared" ca="1" si="0"/>
        <v>21</v>
      </c>
      <c r="E65" s="12" t="str">
        <f ca="1">IF(Table1[[#This Row],[Age]]&lt;=22,"20-22",IF(Table1[[#This Row],[Age]]&lt;=25,"23-25",IF(Table1[[#This Row],[Age]]&lt;=28,"26-28","29-30")))</f>
        <v>20-22</v>
      </c>
      <c r="F65" s="12">
        <v>3.81</v>
      </c>
      <c r="G65" s="12">
        <v>4.2</v>
      </c>
      <c r="H65" s="12">
        <v>4.2</v>
      </c>
      <c r="I65" s="12" t="s">
        <v>211</v>
      </c>
      <c r="J65" s="12">
        <v>3.73</v>
      </c>
      <c r="K65" s="12">
        <v>4.25</v>
      </c>
      <c r="L65" s="12">
        <v>3.88</v>
      </c>
      <c r="M65" s="12">
        <v>3.77</v>
      </c>
      <c r="N65" s="12">
        <v>4.0599999999999996</v>
      </c>
      <c r="O65" s="12">
        <v>3.96</v>
      </c>
      <c r="P65" s="12">
        <f t="shared" si="1"/>
        <v>3.9850000000000003</v>
      </c>
      <c r="Q65" s="12">
        <f t="shared" si="2"/>
        <v>3.99</v>
      </c>
      <c r="R65" s="12">
        <f t="shared" si="3"/>
        <v>3.9839999999999995</v>
      </c>
      <c r="S65" s="28">
        <f>IFERROR(INDEX('Clean Gamification Data'!$B:$B,MATCH($B65,'Clean Gamification Data'!$A:$A,0)),"Not Found")</f>
        <v>80.363971199999995</v>
      </c>
      <c r="T65" s="28">
        <f>IFERROR(INDEX('Clean Gamification Data'!$C:$C,MATCH($B65,'Clean Gamification Data'!$A:$A,0)),"Not Found")</f>
        <v>69.83375126</v>
      </c>
      <c r="U65" s="28">
        <f>IFERROR(INDEX('Clean Gamification Data'!$D:$D,MATCH($B65,'Clean Gamification Data'!$A:$A,0)),"Not Found")</f>
        <v>80.733785690000005</v>
      </c>
      <c r="V65" s="28">
        <f>IFERROR(INDEX('Clean Gamification Data'!$E:$E,MATCH($B65,'Clean Gamification Data'!$A:$A,0)),"Not Found")</f>
        <v>63.035432159999999</v>
      </c>
      <c r="W65" s="28">
        <f>IFERROR(INDEX('Clean Gamification Data'!$F:$F,MATCH($B65,'Clean Gamification Data'!$A:$A,0)),"Not Found")</f>
        <v>96.819542949999999</v>
      </c>
      <c r="X65" s="28">
        <f>IFERROR(INDEX('Clean Gamification Data'!$G:$G,MATCH($B65,'Clean Gamification Data'!$A:$A,0)),"Not Found")</f>
        <v>66.161941459999994</v>
      </c>
      <c r="Y65" s="28">
        <f>IFERROR(INDEX('Clean Gamification Data'!$H:$H,MATCH($B65,'Clean Gamification Data'!$A:$A,0)),"Not Found")</f>
        <v>69.371790669999996</v>
      </c>
      <c r="Z65" s="28">
        <f>IFERROR(INDEX('Clean Gamification Data'!$I:$I,MATCH($B65,'Clean Gamification Data'!$A:$A,0)),"Not Found")</f>
        <v>62.049484649999997</v>
      </c>
      <c r="AA65" s="28">
        <f>Table1[[#This Row],[Engagement (Gamification %)]]-Table1[[#This Row],[Engagement (Non-Gamification %)]]</f>
        <v>10.530219939999995</v>
      </c>
      <c r="AB65" s="28">
        <f>Table1[[#This Row],[Motivation (Gamification %)]]-Table1[[#This Row],[Motivation (Non-Gamification %)]]</f>
        <v>17.698353530000006</v>
      </c>
      <c r="AC65" s="28">
        <f>Table1[[#This Row],[Participation (Gamification %)]]-Table1[[#This Row],[Participation (Non-Gamification %)]]</f>
        <v>30.657601490000005</v>
      </c>
      <c r="AD65" s="28">
        <f>Table1[[#This Row],[Learning Outcomes (Gamification %)]]-Table1[[#This Row],[Learning Outcomes (Non-Gamification %)]]</f>
        <v>7.3223060199999992</v>
      </c>
      <c r="AE65" s="44" t="str">
        <f>IF(Table1[[#This Row],[Overall Effectiveness]]&lt;3.9,"Low",IF(Table1[[#This Row],[Overall Effectiveness]]&lt;4.2,"Medium","High"))</f>
        <v>Medium</v>
      </c>
      <c r="AF65" s="30" t="str">
        <f t="shared" si="4"/>
        <v>Case Studies</v>
      </c>
      <c r="AG65" s="30" t="str">
        <f t="shared" si="5"/>
        <v>Lectures</v>
      </c>
      <c r="AH65" s="27">
        <f>COUNTIF(Teacher_Master!$D$2:$D$16,AF65)</f>
        <v>3</v>
      </c>
      <c r="AI65" s="30" t="str">
        <f>INDEX(Teacher_Master!$B$2:$B$16,MATCH(AF65,Teacher_Master!$D$2:$D$16,0))</f>
        <v>Prof. Rajesh Mukherjee</v>
      </c>
    </row>
    <row r="66" spans="1:35" ht="14.25" customHeight="1" x14ac:dyDescent="0.3">
      <c r="A66" s="31" t="s">
        <v>143</v>
      </c>
      <c r="B66" s="31" t="s">
        <v>144</v>
      </c>
      <c r="C66" s="31" t="s">
        <v>2881</v>
      </c>
      <c r="D66" s="12">
        <f t="shared" ref="D66:D129" ca="1" si="6">RANDBETWEEN(20,30)</f>
        <v>22</v>
      </c>
      <c r="E66" s="12" t="str">
        <f ca="1">IF(Table1[[#This Row],[Age]]&lt;=22,"20-22",IF(Table1[[#This Row],[Age]]&lt;=25,"23-25",IF(Table1[[#This Row],[Age]]&lt;=28,"26-28","29-30")))</f>
        <v>20-22</v>
      </c>
      <c r="F66" s="12">
        <v>4.05</v>
      </c>
      <c r="G66" s="12">
        <v>4.21</v>
      </c>
      <c r="H66" s="12">
        <v>4.1399999999999997</v>
      </c>
      <c r="I66" s="12">
        <v>3.42</v>
      </c>
      <c r="J66" s="12">
        <v>4.0599999999999996</v>
      </c>
      <c r="K66" s="12">
        <v>4.04</v>
      </c>
      <c r="L66" s="12">
        <v>4.29</v>
      </c>
      <c r="M66" s="12">
        <v>3.79</v>
      </c>
      <c r="N66" s="12">
        <v>4.41</v>
      </c>
      <c r="O66" s="12">
        <v>4.18</v>
      </c>
      <c r="P66" s="12">
        <f t="shared" ref="P66:P129" si="7">AVERAGE(F66:J66)</f>
        <v>3.976</v>
      </c>
      <c r="Q66" s="12">
        <f t="shared" ref="Q66:Q129" si="8">ROUND(P66,2)</f>
        <v>3.98</v>
      </c>
      <c r="R66" s="12">
        <f t="shared" ref="R66:R129" si="9">AVERAGE(K66:O66)</f>
        <v>4.1420000000000003</v>
      </c>
      <c r="S66" s="28">
        <f>IFERROR(INDEX('Clean Gamification Data'!$B:$B,MATCH($B66,'Clean Gamification Data'!$A:$A,0)),"Not Found")</f>
        <v>80.995594100000005</v>
      </c>
      <c r="T66" s="28">
        <f>IFERROR(INDEX('Clean Gamification Data'!$C:$C,MATCH($B66,'Clean Gamification Data'!$A:$A,0)),"Not Found")</f>
        <v>74.412028969999994</v>
      </c>
      <c r="U66" s="28">
        <f>IFERROR(INDEX('Clean Gamification Data'!$D:$D,MATCH($B66,'Clean Gamification Data'!$A:$A,0)),"Not Found")</f>
        <v>76.065119069999994</v>
      </c>
      <c r="V66" s="28">
        <f>IFERROR(INDEX('Clean Gamification Data'!$E:$E,MATCH($B66,'Clean Gamification Data'!$A:$A,0)),"Not Found")</f>
        <v>66.523816569999994</v>
      </c>
      <c r="W66" s="28">
        <f>IFERROR(INDEX('Clean Gamification Data'!$F:$F,MATCH($B66,'Clean Gamification Data'!$A:$A,0)),"Not Found")</f>
        <v>83.919777830000001</v>
      </c>
      <c r="X66" s="28">
        <f>IFERROR(INDEX('Clean Gamification Data'!$G:$G,MATCH($B66,'Clean Gamification Data'!$A:$A,0)),"Not Found")</f>
        <v>77.535356989999997</v>
      </c>
      <c r="Y66" s="28">
        <f>IFERROR(INDEX('Clean Gamification Data'!$H:$H,MATCH($B66,'Clean Gamification Data'!$A:$A,0)),"Not Found")</f>
        <v>76.047177590000004</v>
      </c>
      <c r="Z66" s="28">
        <f>IFERROR(INDEX('Clean Gamification Data'!$I:$I,MATCH($B66,'Clean Gamification Data'!$A:$A,0)),"Not Found")</f>
        <v>64.584935779999995</v>
      </c>
      <c r="AA66" s="28">
        <f>Table1[[#This Row],[Engagement (Gamification %)]]-Table1[[#This Row],[Engagement (Non-Gamification %)]]</f>
        <v>6.5835651300000109</v>
      </c>
      <c r="AB66" s="28">
        <f>Table1[[#This Row],[Motivation (Gamification %)]]-Table1[[#This Row],[Motivation (Non-Gamification %)]]</f>
        <v>9.5413025000000005</v>
      </c>
      <c r="AC66" s="28">
        <f>Table1[[#This Row],[Participation (Gamification %)]]-Table1[[#This Row],[Participation (Non-Gamification %)]]</f>
        <v>6.3844208400000042</v>
      </c>
      <c r="AD66" s="28">
        <f>Table1[[#This Row],[Learning Outcomes (Gamification %)]]-Table1[[#This Row],[Learning Outcomes (Non-Gamification %)]]</f>
        <v>11.462241810000009</v>
      </c>
      <c r="AE66" s="44" t="str">
        <f>IF(Table1[[#This Row],[Overall Effectiveness]]&lt;3.9,"Low",IF(Table1[[#This Row],[Overall Effectiveness]]&lt;4.2,"Medium","High"))</f>
        <v>Medium</v>
      </c>
      <c r="AF66" s="30" t="str">
        <f t="shared" ref="AF66:AF129" si="10">CHOOSE(MATCH(MAX(F66:J66),F66:J66,0),"Lectures","Case Studies","Group Projects","Experiments","Online Tutorials")</f>
        <v>Case Studies</v>
      </c>
      <c r="AG66" s="30" t="str">
        <f t="shared" ref="AG66:AG129" si="11">CHOOSE(MATCH(MAX(K66:O66),K66:O66,0),"Lectures","Case Studies","Group Projects","Experiments","Online Tutorials")</f>
        <v>Experiments</v>
      </c>
      <c r="AH66" s="27">
        <f>COUNTIF(Teacher_Master!$D$2:$D$16,AF66)</f>
        <v>3</v>
      </c>
      <c r="AI66" s="30" t="str">
        <f>INDEX(Teacher_Master!$B$2:$B$16,MATCH(AF66,Teacher_Master!$D$2:$D$16,0))</f>
        <v>Prof. Rajesh Mukherjee</v>
      </c>
    </row>
    <row r="67" spans="1:35" ht="14.25" customHeight="1" x14ac:dyDescent="0.3">
      <c r="A67" s="31" t="s">
        <v>145</v>
      </c>
      <c r="B67" s="31" t="s">
        <v>146</v>
      </c>
      <c r="C67" s="31" t="s">
        <v>2882</v>
      </c>
      <c r="D67" s="12">
        <f t="shared" ca="1" si="6"/>
        <v>21</v>
      </c>
      <c r="E67" s="12" t="str">
        <f ca="1">IF(Table1[[#This Row],[Age]]&lt;=22,"20-22",IF(Table1[[#This Row],[Age]]&lt;=25,"23-25",IF(Table1[[#This Row],[Age]]&lt;=28,"26-28","29-30")))</f>
        <v>20-22</v>
      </c>
      <c r="F67" s="12">
        <v>3.67</v>
      </c>
      <c r="G67" s="12">
        <v>3.67</v>
      </c>
      <c r="H67" s="12">
        <v>4.17</v>
      </c>
      <c r="I67" s="12">
        <v>4.4400000000000004</v>
      </c>
      <c r="J67" s="12">
        <v>4.3600000000000003</v>
      </c>
      <c r="K67" s="12">
        <v>3.9</v>
      </c>
      <c r="L67" s="12">
        <v>4</v>
      </c>
      <c r="M67" s="12">
        <v>3.9</v>
      </c>
      <c r="N67" s="12">
        <v>4.4800000000000004</v>
      </c>
      <c r="O67" s="12">
        <v>3.98</v>
      </c>
      <c r="P67" s="12">
        <f t="shared" si="7"/>
        <v>4.0619999999999994</v>
      </c>
      <c r="Q67" s="12">
        <f t="shared" si="8"/>
        <v>4.0599999999999996</v>
      </c>
      <c r="R67" s="12">
        <f t="shared" si="9"/>
        <v>4.0520000000000005</v>
      </c>
      <c r="S67" s="28">
        <f>IFERROR(INDEX('Clean Gamification Data'!$B:$B,MATCH($B67,'Clean Gamification Data'!$A:$A,0)),"Not Found")</f>
        <v>75</v>
      </c>
      <c r="T67" s="28">
        <f>IFERROR(INDEX('Clean Gamification Data'!$C:$C,MATCH($B67,'Clean Gamification Data'!$A:$A,0)),"Not Found")</f>
        <v>69.078029749999999</v>
      </c>
      <c r="U67" s="28">
        <f>IFERROR(INDEX('Clean Gamification Data'!$D:$D,MATCH($B67,'Clean Gamification Data'!$A:$A,0)),"Not Found")</f>
        <v>87.73329536</v>
      </c>
      <c r="V67" s="28">
        <f>IFERROR(INDEX('Clean Gamification Data'!$E:$E,MATCH($B67,'Clean Gamification Data'!$A:$A,0)),"Not Found")</f>
        <v>63.479515990000003</v>
      </c>
      <c r="W67" s="28">
        <f>IFERROR(INDEX('Clean Gamification Data'!$F:$F,MATCH($B67,'Clean Gamification Data'!$A:$A,0)),"Not Found")</f>
        <v>89.758142379999995</v>
      </c>
      <c r="X67" s="28">
        <f>IFERROR(INDEX('Clean Gamification Data'!$G:$G,MATCH($B67,'Clean Gamification Data'!$A:$A,0)),"Not Found")</f>
        <v>85</v>
      </c>
      <c r="Y67" s="28">
        <f>IFERROR(INDEX('Clean Gamification Data'!$H:$H,MATCH($B67,'Clean Gamification Data'!$A:$A,0)),"Not Found")</f>
        <v>79.861566319999994</v>
      </c>
      <c r="Z67" s="28">
        <f>IFERROR(INDEX('Clean Gamification Data'!$I:$I,MATCH($B67,'Clean Gamification Data'!$A:$A,0)),"Not Found")</f>
        <v>61.683911520000002</v>
      </c>
      <c r="AA67" s="28">
        <f>Table1[[#This Row],[Engagement (Gamification %)]]-Table1[[#This Row],[Engagement (Non-Gamification %)]]</f>
        <v>5.9219702500000011</v>
      </c>
      <c r="AB67" s="28">
        <f>Table1[[#This Row],[Motivation (Gamification %)]]-Table1[[#This Row],[Motivation (Non-Gamification %)]]</f>
        <v>24.253779369999997</v>
      </c>
      <c r="AC67" s="28">
        <f>Table1[[#This Row],[Participation (Gamification %)]]-Table1[[#This Row],[Participation (Non-Gamification %)]]</f>
        <v>4.7581423799999953</v>
      </c>
      <c r="AD67" s="28">
        <f>Table1[[#This Row],[Learning Outcomes (Gamification %)]]-Table1[[#This Row],[Learning Outcomes (Non-Gamification %)]]</f>
        <v>18.177654799999992</v>
      </c>
      <c r="AE67" s="44" t="str">
        <f>IF(Table1[[#This Row],[Overall Effectiveness]]&lt;3.9,"Low",IF(Table1[[#This Row],[Overall Effectiveness]]&lt;4.2,"Medium","High"))</f>
        <v>Medium</v>
      </c>
      <c r="AF67" s="30" t="str">
        <f t="shared" si="10"/>
        <v>Experiments</v>
      </c>
      <c r="AG67" s="30" t="str">
        <f t="shared" si="11"/>
        <v>Experiments</v>
      </c>
      <c r="AH67" s="27">
        <f>COUNTIF(Teacher_Master!$D$2:$D$16,AF67)</f>
        <v>3</v>
      </c>
      <c r="AI67" s="30" t="str">
        <f>INDEX(Teacher_Master!$B$2:$B$16,MATCH(AF67,Teacher_Master!$D$2:$D$16,0))</f>
        <v>Prof. Rahul Singh</v>
      </c>
    </row>
    <row r="68" spans="1:35" ht="14.25" customHeight="1" x14ac:dyDescent="0.3">
      <c r="A68" s="31" t="s">
        <v>147</v>
      </c>
      <c r="B68" s="31" t="s">
        <v>2138</v>
      </c>
      <c r="C68" s="31" t="s">
        <v>2881</v>
      </c>
      <c r="D68" s="12">
        <f t="shared" ca="1" si="6"/>
        <v>24</v>
      </c>
      <c r="E68" s="12" t="str">
        <f ca="1">IF(Table1[[#This Row],[Age]]&lt;=22,"20-22",IF(Table1[[#This Row],[Age]]&lt;=25,"23-25",IF(Table1[[#This Row],[Age]]&lt;=28,"26-28","29-30")))</f>
        <v>23-25</v>
      </c>
      <c r="F68" s="12">
        <v>4.03</v>
      </c>
      <c r="G68" s="12">
        <v>4.0999999999999996</v>
      </c>
      <c r="H68" s="12">
        <v>3.86</v>
      </c>
      <c r="I68" s="12">
        <v>4.17</v>
      </c>
      <c r="J68" s="12">
        <v>4.1399999999999997</v>
      </c>
      <c r="K68" s="12">
        <v>3.92</v>
      </c>
      <c r="L68" s="12">
        <v>4.49</v>
      </c>
      <c r="M68" s="12">
        <v>3.9</v>
      </c>
      <c r="N68" s="12">
        <v>4.47</v>
      </c>
      <c r="O68" s="12">
        <v>4.66</v>
      </c>
      <c r="P68" s="12">
        <f t="shared" si="7"/>
        <v>4.0599999999999996</v>
      </c>
      <c r="Q68" s="12">
        <f t="shared" si="8"/>
        <v>4.0599999999999996</v>
      </c>
      <c r="R68" s="12">
        <f t="shared" si="9"/>
        <v>4.2880000000000003</v>
      </c>
      <c r="S68" s="28">
        <f>IFERROR(INDEX('Clean Gamification Data'!$B:$B,MATCH($B68,'Clean Gamification Data'!$A:$A,0)),"Not Found")</f>
        <v>77.010678920000004</v>
      </c>
      <c r="T68" s="28">
        <f>IFERROR(INDEX('Clean Gamification Data'!$C:$C,MATCH($B68,'Clean Gamification Data'!$A:$A,0)),"Not Found")</f>
        <v>72.195932810000002</v>
      </c>
      <c r="U68" s="28">
        <f>IFERROR(INDEX('Clean Gamification Data'!$D:$D,MATCH($B68,'Clean Gamification Data'!$A:$A,0)),"Not Found")</f>
        <v>76.654049540000003</v>
      </c>
      <c r="V68" s="28">
        <f>IFERROR(INDEX('Clean Gamification Data'!$E:$E,MATCH($B68,'Clean Gamification Data'!$A:$A,0)),"Not Found")</f>
        <v>75</v>
      </c>
      <c r="W68" s="28">
        <f>IFERROR(INDEX('Clean Gamification Data'!$F:$F,MATCH($B68,'Clean Gamification Data'!$A:$A,0)),"Not Found")</f>
        <v>90.301474749999997</v>
      </c>
      <c r="X68" s="28">
        <f>IFERROR(INDEX('Clean Gamification Data'!$G:$G,MATCH($B68,'Clean Gamification Data'!$A:$A,0)),"Not Found")</f>
        <v>78.791074989999998</v>
      </c>
      <c r="Y68" s="28">
        <f>IFERROR(INDEX('Clean Gamification Data'!$H:$H,MATCH($B68,'Clean Gamification Data'!$A:$A,0)),"Not Found")</f>
        <v>70.072312460000006</v>
      </c>
      <c r="Z68" s="28">
        <f>IFERROR(INDEX('Clean Gamification Data'!$I:$I,MATCH($B68,'Clean Gamification Data'!$A:$A,0)),"Not Found")</f>
        <v>67.300395019999996</v>
      </c>
      <c r="AA68" s="28">
        <f>Table1[[#This Row],[Engagement (Gamification %)]]-Table1[[#This Row],[Engagement (Non-Gamification %)]]</f>
        <v>4.8147461100000015</v>
      </c>
      <c r="AB68" s="28">
        <f>Table1[[#This Row],[Motivation (Gamification %)]]-Table1[[#This Row],[Motivation (Non-Gamification %)]]</f>
        <v>1.6540495400000026</v>
      </c>
      <c r="AC68" s="28">
        <f>Table1[[#This Row],[Participation (Gamification %)]]-Table1[[#This Row],[Participation (Non-Gamification %)]]</f>
        <v>11.510399759999999</v>
      </c>
      <c r="AD68" s="28">
        <f>Table1[[#This Row],[Learning Outcomes (Gamification %)]]-Table1[[#This Row],[Learning Outcomes (Non-Gamification %)]]</f>
        <v>2.7719174400000099</v>
      </c>
      <c r="AE68" s="44" t="str">
        <f>IF(Table1[[#This Row],[Overall Effectiveness]]&lt;3.9,"Low",IF(Table1[[#This Row],[Overall Effectiveness]]&lt;4.2,"Medium","High"))</f>
        <v>Medium</v>
      </c>
      <c r="AF68" s="30" t="str">
        <f t="shared" si="10"/>
        <v>Experiments</v>
      </c>
      <c r="AG68" s="30" t="str">
        <f t="shared" si="11"/>
        <v>Online Tutorials</v>
      </c>
      <c r="AH68" s="27">
        <f>COUNTIF(Teacher_Master!$D$2:$D$16,AF68)</f>
        <v>3</v>
      </c>
      <c r="AI68" s="30" t="str">
        <f>INDEX(Teacher_Master!$B$2:$B$16,MATCH(AF68,Teacher_Master!$D$2:$D$16,0))</f>
        <v>Prof. Rahul Singh</v>
      </c>
    </row>
    <row r="69" spans="1:35" ht="14.25" customHeight="1" x14ac:dyDescent="0.3">
      <c r="A69" s="31" t="s">
        <v>149</v>
      </c>
      <c r="B69" s="31" t="s">
        <v>2139</v>
      </c>
      <c r="C69" s="31" t="s">
        <v>2881</v>
      </c>
      <c r="D69" s="12">
        <f t="shared" ca="1" si="6"/>
        <v>22</v>
      </c>
      <c r="E69" s="12" t="str">
        <f ca="1">IF(Table1[[#This Row],[Age]]&lt;=22,"20-22",IF(Table1[[#This Row],[Age]]&lt;=25,"23-25",IF(Table1[[#This Row],[Age]]&lt;=28,"26-28","29-30")))</f>
        <v>20-22</v>
      </c>
      <c r="F69" s="12">
        <v>3.96</v>
      </c>
      <c r="G69" s="12">
        <v>3.73</v>
      </c>
      <c r="H69" s="12">
        <v>3.69</v>
      </c>
      <c r="I69" s="12">
        <v>4.09</v>
      </c>
      <c r="J69" s="12">
        <v>3.88</v>
      </c>
      <c r="K69" s="12">
        <v>4.0999999999999996</v>
      </c>
      <c r="L69" s="12">
        <v>4.21</v>
      </c>
      <c r="M69" s="12">
        <v>4.45</v>
      </c>
      <c r="N69" s="12">
        <v>4.05</v>
      </c>
      <c r="O69" s="12">
        <v>3.88</v>
      </c>
      <c r="P69" s="12">
        <f t="shared" si="7"/>
        <v>3.8699999999999997</v>
      </c>
      <c r="Q69" s="12">
        <f t="shared" si="8"/>
        <v>3.87</v>
      </c>
      <c r="R69" s="12">
        <f t="shared" si="9"/>
        <v>4.1379999999999999</v>
      </c>
      <c r="S69" s="28">
        <f>IFERROR(INDEX('Clean Gamification Data'!$B:$B,MATCH($B69,'Clean Gamification Data'!$A:$A,0)),"Not Found")</f>
        <v>88.602067779999999</v>
      </c>
      <c r="T69" s="28">
        <f>IFERROR(INDEX('Clean Gamification Data'!$C:$C,MATCH($B69,'Clean Gamification Data'!$A:$A,0)),"Not Found")</f>
        <v>60.388466510000001</v>
      </c>
      <c r="U69" s="28">
        <f>IFERROR(INDEX('Clean Gamification Data'!$D:$D,MATCH($B69,'Clean Gamification Data'!$A:$A,0)),"Not Found")</f>
        <v>79.565696119999998</v>
      </c>
      <c r="V69" s="28">
        <f>IFERROR(INDEX('Clean Gamification Data'!$E:$E,MATCH($B69,'Clean Gamification Data'!$A:$A,0)),"Not Found")</f>
        <v>55</v>
      </c>
      <c r="W69" s="28">
        <f>IFERROR(INDEX('Clean Gamification Data'!$F:$F,MATCH($B69,'Clean Gamification Data'!$A:$A,0)),"Not Found")</f>
        <v>92.8851674</v>
      </c>
      <c r="X69" s="28">
        <f>IFERROR(INDEX('Clean Gamification Data'!$G:$G,MATCH($B69,'Clean Gamification Data'!$A:$A,0)),"Not Found")</f>
        <v>79.137572379999995</v>
      </c>
      <c r="Y69" s="28">
        <f>IFERROR(INDEX('Clean Gamification Data'!$H:$H,MATCH($B69,'Clean Gamification Data'!$A:$A,0)),"Not Found")</f>
        <v>70.625473670000005</v>
      </c>
      <c r="Z69" s="28">
        <f>IFERROR(INDEX('Clean Gamification Data'!$I:$I,MATCH($B69,'Clean Gamification Data'!$A:$A,0)),"Not Found")</f>
        <v>61.52468829</v>
      </c>
      <c r="AA69" s="28">
        <f>Table1[[#This Row],[Engagement (Gamification %)]]-Table1[[#This Row],[Engagement (Non-Gamification %)]]</f>
        <v>28.213601269999998</v>
      </c>
      <c r="AB69" s="28">
        <f>Table1[[#This Row],[Motivation (Gamification %)]]-Table1[[#This Row],[Motivation (Non-Gamification %)]]</f>
        <v>24.565696119999998</v>
      </c>
      <c r="AC69" s="28">
        <f>Table1[[#This Row],[Participation (Gamification %)]]-Table1[[#This Row],[Participation (Non-Gamification %)]]</f>
        <v>13.747595020000006</v>
      </c>
      <c r="AD69" s="28">
        <f>Table1[[#This Row],[Learning Outcomes (Gamification %)]]-Table1[[#This Row],[Learning Outcomes (Non-Gamification %)]]</f>
        <v>9.1007853800000049</v>
      </c>
      <c r="AE69" s="44" t="str">
        <f>IF(Table1[[#This Row],[Overall Effectiveness]]&lt;3.9,"Low",IF(Table1[[#This Row],[Overall Effectiveness]]&lt;4.2,"Medium","High"))</f>
        <v>Low</v>
      </c>
      <c r="AF69" s="30" t="str">
        <f t="shared" si="10"/>
        <v>Experiments</v>
      </c>
      <c r="AG69" s="30" t="str">
        <f t="shared" si="11"/>
        <v>Group Projects</v>
      </c>
      <c r="AH69" s="27">
        <f>COUNTIF(Teacher_Master!$D$2:$D$16,AF69)</f>
        <v>3</v>
      </c>
      <c r="AI69" s="30" t="str">
        <f>INDEX(Teacher_Master!$B$2:$B$16,MATCH(AF69,Teacher_Master!$D$2:$D$16,0))</f>
        <v>Prof. Rahul Singh</v>
      </c>
    </row>
    <row r="70" spans="1:35" ht="14.25" customHeight="1" x14ac:dyDescent="0.3">
      <c r="A70" s="31" t="s">
        <v>151</v>
      </c>
      <c r="B70" s="31" t="s">
        <v>2140</v>
      </c>
      <c r="C70" s="31" t="s">
        <v>2881</v>
      </c>
      <c r="D70" s="12">
        <f t="shared" ca="1" si="6"/>
        <v>26</v>
      </c>
      <c r="E70" s="12" t="str">
        <f ca="1">IF(Table1[[#This Row],[Age]]&lt;=22,"20-22",IF(Table1[[#This Row],[Age]]&lt;=25,"23-25",IF(Table1[[#This Row],[Age]]&lt;=28,"26-28","29-30")))</f>
        <v>26-28</v>
      </c>
      <c r="F70" s="12">
        <v>4.1399999999999997</v>
      </c>
      <c r="G70" s="12">
        <v>3.43</v>
      </c>
      <c r="H70" s="12">
        <v>3.75</v>
      </c>
      <c r="I70" s="12" t="s">
        <v>211</v>
      </c>
      <c r="J70" s="12" t="s">
        <v>211</v>
      </c>
      <c r="K70" s="12">
        <v>4.07</v>
      </c>
      <c r="L70" s="12">
        <v>3.96</v>
      </c>
      <c r="M70" s="12">
        <v>3.45</v>
      </c>
      <c r="N70" s="12">
        <v>3.64</v>
      </c>
      <c r="O70" s="12">
        <v>3.82</v>
      </c>
      <c r="P70" s="12">
        <f t="shared" si="7"/>
        <v>3.7733333333333334</v>
      </c>
      <c r="Q70" s="12">
        <f t="shared" si="8"/>
        <v>3.77</v>
      </c>
      <c r="R70" s="12">
        <f t="shared" si="9"/>
        <v>3.7880000000000003</v>
      </c>
      <c r="S70" s="28">
        <f>IFERROR(INDEX('Clean Gamification Data'!$B:$B,MATCH($B70,'Clean Gamification Data'!$A:$A,0)),"Not Found")</f>
        <v>88.327443130000006</v>
      </c>
      <c r="T70" s="28">
        <f>IFERROR(INDEX('Clean Gamification Data'!$C:$C,MATCH($B70,'Clean Gamification Data'!$A:$A,0)),"Not Found")</f>
        <v>74.055900370000003</v>
      </c>
      <c r="U70" s="28">
        <f>IFERROR(INDEX('Clean Gamification Data'!$D:$D,MATCH($B70,'Clean Gamification Data'!$A:$A,0)),"Not Found")</f>
        <v>76.723352410000004</v>
      </c>
      <c r="V70" s="28">
        <f>IFERROR(INDEX('Clean Gamification Data'!$E:$E,MATCH($B70,'Clean Gamification Data'!$A:$A,0)),"Not Found")</f>
        <v>66.645394400000001</v>
      </c>
      <c r="W70" s="28">
        <f>IFERROR(INDEX('Clean Gamification Data'!$F:$F,MATCH($B70,'Clean Gamification Data'!$A:$A,0)),"Not Found")</f>
        <v>89.393448149999998</v>
      </c>
      <c r="X70" s="28">
        <f>IFERROR(INDEX('Clean Gamification Data'!$G:$G,MATCH($B70,'Clean Gamification Data'!$A:$A,0)),"Not Found")</f>
        <v>82.031214680000005</v>
      </c>
      <c r="Y70" s="28">
        <f>IFERROR(INDEX('Clean Gamification Data'!$H:$H,MATCH($B70,'Clean Gamification Data'!$A:$A,0)),"Not Found")</f>
        <v>67.390280579999995</v>
      </c>
      <c r="Z70" s="28">
        <f>IFERROR(INDEX('Clean Gamification Data'!$I:$I,MATCH($B70,'Clean Gamification Data'!$A:$A,0)),"Not Found")</f>
        <v>50</v>
      </c>
      <c r="AA70" s="28">
        <f>Table1[[#This Row],[Engagement (Gamification %)]]-Table1[[#This Row],[Engagement (Non-Gamification %)]]</f>
        <v>14.271542760000003</v>
      </c>
      <c r="AB70" s="28">
        <f>Table1[[#This Row],[Motivation (Gamification %)]]-Table1[[#This Row],[Motivation (Non-Gamification %)]]</f>
        <v>10.077958010000003</v>
      </c>
      <c r="AC70" s="28">
        <f>Table1[[#This Row],[Participation (Gamification %)]]-Table1[[#This Row],[Participation (Non-Gamification %)]]</f>
        <v>7.3622334699999925</v>
      </c>
      <c r="AD70" s="28">
        <f>Table1[[#This Row],[Learning Outcomes (Gamification %)]]-Table1[[#This Row],[Learning Outcomes (Non-Gamification %)]]</f>
        <v>17.390280579999995</v>
      </c>
      <c r="AE70" s="44" t="str">
        <f>IF(Table1[[#This Row],[Overall Effectiveness]]&lt;3.9,"Low",IF(Table1[[#This Row],[Overall Effectiveness]]&lt;4.2,"Medium","High"))</f>
        <v>Low</v>
      </c>
      <c r="AF70" s="30" t="str">
        <f t="shared" si="10"/>
        <v>Lectures</v>
      </c>
      <c r="AG70" s="30" t="str">
        <f t="shared" si="11"/>
        <v>Lectures</v>
      </c>
      <c r="AH70" s="27">
        <f>COUNTIF(Teacher_Master!$D$2:$D$16,AF70)</f>
        <v>3</v>
      </c>
      <c r="AI70" s="30" t="str">
        <f>INDEX(Teacher_Master!$B$2:$B$16,MATCH(AF70,Teacher_Master!$D$2:$D$16,0))</f>
        <v>Prof. Vikram Gupta</v>
      </c>
    </row>
    <row r="71" spans="1:35" ht="14.25" customHeight="1" x14ac:dyDescent="0.3">
      <c r="A71" s="31" t="s">
        <v>153</v>
      </c>
      <c r="B71" s="31" t="s">
        <v>2141</v>
      </c>
      <c r="C71" s="31" t="s">
        <v>2881</v>
      </c>
      <c r="D71" s="12">
        <f t="shared" ca="1" si="6"/>
        <v>23</v>
      </c>
      <c r="E71" s="12" t="str">
        <f ca="1">IF(Table1[[#This Row],[Age]]&lt;=22,"20-22",IF(Table1[[#This Row],[Age]]&lt;=25,"23-25",IF(Table1[[#This Row],[Age]]&lt;=28,"26-28","29-30")))</f>
        <v>23-25</v>
      </c>
      <c r="F71" s="12">
        <v>3.76</v>
      </c>
      <c r="G71" s="12">
        <v>3.98</v>
      </c>
      <c r="H71" s="12">
        <v>3.67</v>
      </c>
      <c r="I71" s="12">
        <v>3.92</v>
      </c>
      <c r="J71" s="12">
        <v>3.78</v>
      </c>
      <c r="K71" s="12">
        <v>4.13</v>
      </c>
      <c r="L71" s="12">
        <v>4.24</v>
      </c>
      <c r="M71" s="12">
        <v>4.51</v>
      </c>
      <c r="N71" s="12">
        <v>3.84</v>
      </c>
      <c r="O71" s="12">
        <v>3.95</v>
      </c>
      <c r="P71" s="12">
        <f t="shared" si="7"/>
        <v>3.8220000000000001</v>
      </c>
      <c r="Q71" s="12">
        <f t="shared" si="8"/>
        <v>3.82</v>
      </c>
      <c r="R71" s="12">
        <f t="shared" si="9"/>
        <v>4.1339999999999995</v>
      </c>
      <c r="S71" s="28">
        <f>IFERROR(INDEX('Clean Gamification Data'!$B:$B,MATCH($B71,'Clean Gamification Data'!$A:$A,0)),"Not Found")</f>
        <v>78.708773429999994</v>
      </c>
      <c r="T71" s="28">
        <f>IFERROR(INDEX('Clean Gamification Data'!$C:$C,MATCH($B71,'Clean Gamification Data'!$A:$A,0)),"Not Found")</f>
        <v>68.573515169999993</v>
      </c>
      <c r="U71" s="28">
        <f>IFERROR(INDEX('Clean Gamification Data'!$D:$D,MATCH($B71,'Clean Gamification Data'!$A:$A,0)),"Not Found")</f>
        <v>74.220830590000006</v>
      </c>
      <c r="V71" s="28">
        <f>IFERROR(INDEX('Clean Gamification Data'!$E:$E,MATCH($B71,'Clean Gamification Data'!$A:$A,0)),"Not Found")</f>
        <v>63.618805270000003</v>
      </c>
      <c r="W71" s="28">
        <f>IFERROR(INDEX('Clean Gamification Data'!$F:$F,MATCH($B71,'Clean Gamification Data'!$A:$A,0)),"Not Found")</f>
        <v>95.231104909999999</v>
      </c>
      <c r="X71" s="28">
        <f>IFERROR(INDEX('Clean Gamification Data'!$G:$G,MATCH($B71,'Clean Gamification Data'!$A:$A,0)),"Not Found")</f>
        <v>77.13362592</v>
      </c>
      <c r="Y71" s="28">
        <f>IFERROR(INDEX('Clean Gamification Data'!$H:$H,MATCH($B71,'Clean Gamification Data'!$A:$A,0)),"Not Found")</f>
        <v>67.761979679999996</v>
      </c>
      <c r="Z71" s="28">
        <f>IFERROR(INDEX('Clean Gamification Data'!$I:$I,MATCH($B71,'Clean Gamification Data'!$A:$A,0)),"Not Found")</f>
        <v>55.291787300000003</v>
      </c>
      <c r="AA71" s="28">
        <f>Table1[[#This Row],[Engagement (Gamification %)]]-Table1[[#This Row],[Engagement (Non-Gamification %)]]</f>
        <v>10.135258260000001</v>
      </c>
      <c r="AB71" s="28">
        <f>Table1[[#This Row],[Motivation (Gamification %)]]-Table1[[#This Row],[Motivation (Non-Gamification %)]]</f>
        <v>10.602025320000003</v>
      </c>
      <c r="AC71" s="28">
        <f>Table1[[#This Row],[Participation (Gamification %)]]-Table1[[#This Row],[Participation (Non-Gamification %)]]</f>
        <v>18.097478989999999</v>
      </c>
      <c r="AD71" s="28">
        <f>Table1[[#This Row],[Learning Outcomes (Gamification %)]]-Table1[[#This Row],[Learning Outcomes (Non-Gamification %)]]</f>
        <v>12.470192379999993</v>
      </c>
      <c r="AE71" s="44" t="str">
        <f>IF(Table1[[#This Row],[Overall Effectiveness]]&lt;3.9,"Low",IF(Table1[[#This Row],[Overall Effectiveness]]&lt;4.2,"Medium","High"))</f>
        <v>Low</v>
      </c>
      <c r="AF71" s="30" t="str">
        <f t="shared" si="10"/>
        <v>Case Studies</v>
      </c>
      <c r="AG71" s="30" t="str">
        <f t="shared" si="11"/>
        <v>Group Projects</v>
      </c>
      <c r="AH71" s="27">
        <f>COUNTIF(Teacher_Master!$D$2:$D$16,AF71)</f>
        <v>3</v>
      </c>
      <c r="AI71" s="30" t="str">
        <f>INDEX(Teacher_Master!$B$2:$B$16,MATCH(AF71,Teacher_Master!$D$2:$D$16,0))</f>
        <v>Prof. Rajesh Mukherjee</v>
      </c>
    </row>
    <row r="72" spans="1:35" ht="14.25" customHeight="1" x14ac:dyDescent="0.3">
      <c r="A72" s="31" t="s">
        <v>155</v>
      </c>
      <c r="B72" s="31" t="s">
        <v>156</v>
      </c>
      <c r="C72" s="31" t="s">
        <v>2882</v>
      </c>
      <c r="D72" s="12">
        <f t="shared" ca="1" si="6"/>
        <v>21</v>
      </c>
      <c r="E72" s="12" t="str">
        <f ca="1">IF(Table1[[#This Row],[Age]]&lt;=22,"20-22",IF(Table1[[#This Row],[Age]]&lt;=25,"23-25",IF(Table1[[#This Row],[Age]]&lt;=28,"26-28","29-30")))</f>
        <v>20-22</v>
      </c>
      <c r="F72" s="12">
        <v>3.9</v>
      </c>
      <c r="G72" s="12" t="s">
        <v>211</v>
      </c>
      <c r="H72" s="12">
        <v>4.32</v>
      </c>
      <c r="I72" s="12">
        <v>3.89</v>
      </c>
      <c r="J72" s="12">
        <v>4.62</v>
      </c>
      <c r="K72" s="12">
        <v>4.01</v>
      </c>
      <c r="L72" s="12">
        <v>3.94</v>
      </c>
      <c r="M72" s="12">
        <v>3.9</v>
      </c>
      <c r="N72" s="12">
        <v>4.21</v>
      </c>
      <c r="O72" s="12">
        <v>4.01</v>
      </c>
      <c r="P72" s="12">
        <f t="shared" si="7"/>
        <v>4.1825000000000001</v>
      </c>
      <c r="Q72" s="12">
        <f t="shared" si="8"/>
        <v>4.18</v>
      </c>
      <c r="R72" s="12">
        <f t="shared" si="9"/>
        <v>4.0140000000000002</v>
      </c>
      <c r="S72" s="28">
        <f>IFERROR(INDEX('Clean Gamification Data'!$B:$B,MATCH($B72,'Clean Gamification Data'!$A:$A,0)),"Not Found")</f>
        <v>78.769742600000001</v>
      </c>
      <c r="T72" s="28">
        <f>IFERROR(INDEX('Clean Gamification Data'!$C:$C,MATCH($B72,'Clean Gamification Data'!$A:$A,0)),"Not Found")</f>
        <v>60</v>
      </c>
      <c r="U72" s="28">
        <f>IFERROR(INDEX('Clean Gamification Data'!$D:$D,MATCH($B72,'Clean Gamification Data'!$A:$A,0)),"Not Found")</f>
        <v>70.537634409999995</v>
      </c>
      <c r="V72" s="28">
        <f>IFERROR(INDEX('Clean Gamification Data'!$E:$E,MATCH($B72,'Clean Gamification Data'!$A:$A,0)),"Not Found")</f>
        <v>68.846735480000007</v>
      </c>
      <c r="W72" s="28">
        <f>IFERROR(INDEX('Clean Gamification Data'!$F:$F,MATCH($B72,'Clean Gamification Data'!$A:$A,0)),"Not Found")</f>
        <v>99.9</v>
      </c>
      <c r="X72" s="28">
        <f>IFERROR(INDEX('Clean Gamification Data'!$G:$G,MATCH($B72,'Clean Gamification Data'!$A:$A,0)),"Not Found")</f>
        <v>84.894565450000002</v>
      </c>
      <c r="Y72" s="28">
        <f>IFERROR(INDEX('Clean Gamification Data'!$H:$H,MATCH($B72,'Clean Gamification Data'!$A:$A,0)),"Not Found")</f>
        <v>68.692248300000003</v>
      </c>
      <c r="Z72" s="28">
        <f>IFERROR(INDEX('Clean Gamification Data'!$I:$I,MATCH($B72,'Clean Gamification Data'!$A:$A,0)),"Not Found")</f>
        <v>62.792671720000001</v>
      </c>
      <c r="AA72" s="28">
        <f>Table1[[#This Row],[Engagement (Gamification %)]]-Table1[[#This Row],[Engagement (Non-Gamification %)]]</f>
        <v>18.769742600000001</v>
      </c>
      <c r="AB72" s="28">
        <f>Table1[[#This Row],[Motivation (Gamification %)]]-Table1[[#This Row],[Motivation (Non-Gamification %)]]</f>
        <v>1.6908989299999888</v>
      </c>
      <c r="AC72" s="28">
        <f>Table1[[#This Row],[Participation (Gamification %)]]-Table1[[#This Row],[Participation (Non-Gamification %)]]</f>
        <v>15.005434550000004</v>
      </c>
      <c r="AD72" s="28">
        <f>Table1[[#This Row],[Learning Outcomes (Gamification %)]]-Table1[[#This Row],[Learning Outcomes (Non-Gamification %)]]</f>
        <v>5.8995765800000015</v>
      </c>
      <c r="AE72" s="44" t="str">
        <f>IF(Table1[[#This Row],[Overall Effectiveness]]&lt;3.9,"Low",IF(Table1[[#This Row],[Overall Effectiveness]]&lt;4.2,"Medium","High"))</f>
        <v>Medium</v>
      </c>
      <c r="AF72" s="30" t="str">
        <f t="shared" si="10"/>
        <v>Online Tutorials</v>
      </c>
      <c r="AG72" s="30" t="str">
        <f t="shared" si="11"/>
        <v>Experiments</v>
      </c>
      <c r="AH72" s="27">
        <f>COUNTIF(Teacher_Master!$D$2:$D$16,AF72)</f>
        <v>3</v>
      </c>
      <c r="AI72" s="30" t="str">
        <f>INDEX(Teacher_Master!$B$2:$B$16,MATCH(AF72,Teacher_Master!$D$2:$D$16,0))</f>
        <v>Prof. Kavita Rao</v>
      </c>
    </row>
    <row r="73" spans="1:35" ht="14.25" customHeight="1" x14ac:dyDescent="0.3">
      <c r="A73" s="31" t="s">
        <v>157</v>
      </c>
      <c r="B73" s="31" t="s">
        <v>2142</v>
      </c>
      <c r="C73" s="31" t="s">
        <v>2881</v>
      </c>
      <c r="D73" s="12">
        <f t="shared" ca="1" si="6"/>
        <v>26</v>
      </c>
      <c r="E73" s="12" t="str">
        <f ca="1">IF(Table1[[#This Row],[Age]]&lt;=22,"20-22",IF(Table1[[#This Row],[Age]]&lt;=25,"23-25",IF(Table1[[#This Row],[Age]]&lt;=28,"26-28","29-30")))</f>
        <v>26-28</v>
      </c>
      <c r="F73" s="12">
        <v>4.5</v>
      </c>
      <c r="G73" s="12">
        <v>3.57</v>
      </c>
      <c r="H73" s="12">
        <v>3.69</v>
      </c>
      <c r="I73" s="12">
        <v>4.1900000000000004</v>
      </c>
      <c r="J73" s="12">
        <v>3.56</v>
      </c>
      <c r="K73" s="12">
        <v>4.1900000000000004</v>
      </c>
      <c r="L73" s="12">
        <v>3.66</v>
      </c>
      <c r="M73" s="12">
        <v>4.3</v>
      </c>
      <c r="N73" s="12">
        <v>4.25</v>
      </c>
      <c r="O73" s="12">
        <v>4.3499999999999996</v>
      </c>
      <c r="P73" s="12">
        <f t="shared" si="7"/>
        <v>3.9019999999999997</v>
      </c>
      <c r="Q73" s="12">
        <f t="shared" si="8"/>
        <v>3.9</v>
      </c>
      <c r="R73" s="12">
        <f t="shared" si="9"/>
        <v>4.1500000000000004</v>
      </c>
      <c r="S73" s="28">
        <f>IFERROR(INDEX('Clean Gamification Data'!$B:$B,MATCH($B73,'Clean Gamification Data'!$A:$A,0)),"Not Found")</f>
        <v>91.69913536</v>
      </c>
      <c r="T73" s="28">
        <f>IFERROR(INDEX('Clean Gamification Data'!$C:$C,MATCH($B73,'Clean Gamification Data'!$A:$A,0)),"Not Found")</f>
        <v>69.161639440000002</v>
      </c>
      <c r="U73" s="28">
        <f>IFERROR(INDEX('Clean Gamification Data'!$D:$D,MATCH($B73,'Clean Gamification Data'!$A:$A,0)),"Not Found")</f>
        <v>71.438795150000004</v>
      </c>
      <c r="V73" s="28">
        <f>IFERROR(INDEX('Clean Gamification Data'!$E:$E,MATCH($B73,'Clean Gamification Data'!$A:$A,0)),"Not Found")</f>
        <v>75</v>
      </c>
      <c r="W73" s="28">
        <f>IFERROR(INDEX('Clean Gamification Data'!$F:$F,MATCH($B73,'Clean Gamification Data'!$A:$A,0)),"Not Found")</f>
        <v>86.894176270000003</v>
      </c>
      <c r="X73" s="28">
        <f>IFERROR(INDEX('Clean Gamification Data'!$G:$G,MATCH($B73,'Clean Gamification Data'!$A:$A,0)),"Not Found")</f>
        <v>71.875031100000001</v>
      </c>
      <c r="Y73" s="28">
        <f>IFERROR(INDEX('Clean Gamification Data'!$H:$H,MATCH($B73,'Clean Gamification Data'!$A:$A,0)),"Not Found")</f>
        <v>68.783270759999994</v>
      </c>
      <c r="Z73" s="28">
        <f>IFERROR(INDEX('Clean Gamification Data'!$I:$I,MATCH($B73,'Clean Gamification Data'!$A:$A,0)),"Not Found")</f>
        <v>58.573415570000002</v>
      </c>
      <c r="AA73" s="28">
        <f>Table1[[#This Row],[Engagement (Gamification %)]]-Table1[[#This Row],[Engagement (Non-Gamification %)]]</f>
        <v>22.537495919999998</v>
      </c>
      <c r="AB73" s="28">
        <f>Table1[[#This Row],[Motivation (Gamification %)]]-Table1[[#This Row],[Motivation (Non-Gamification %)]]</f>
        <v>-3.5612048499999958</v>
      </c>
      <c r="AC73" s="28">
        <f>Table1[[#This Row],[Participation (Gamification %)]]-Table1[[#This Row],[Participation (Non-Gamification %)]]</f>
        <v>15.019145170000002</v>
      </c>
      <c r="AD73" s="28">
        <f>Table1[[#This Row],[Learning Outcomes (Gamification %)]]-Table1[[#This Row],[Learning Outcomes (Non-Gamification %)]]</f>
        <v>10.209855189999992</v>
      </c>
      <c r="AE73" s="44" t="str">
        <f>IF(Table1[[#This Row],[Overall Effectiveness]]&lt;3.9,"Low",IF(Table1[[#This Row],[Overall Effectiveness]]&lt;4.2,"Medium","High"))</f>
        <v>Medium</v>
      </c>
      <c r="AF73" s="30" t="str">
        <f t="shared" si="10"/>
        <v>Lectures</v>
      </c>
      <c r="AG73" s="30" t="str">
        <f t="shared" si="11"/>
        <v>Online Tutorials</v>
      </c>
      <c r="AH73" s="27">
        <f>COUNTIF(Teacher_Master!$D$2:$D$16,AF73)</f>
        <v>3</v>
      </c>
      <c r="AI73" s="30" t="str">
        <f>INDEX(Teacher_Master!$B$2:$B$16,MATCH(AF73,Teacher_Master!$D$2:$D$16,0))</f>
        <v>Prof. Vikram Gupta</v>
      </c>
    </row>
    <row r="74" spans="1:35" ht="14.25" customHeight="1" x14ac:dyDescent="0.3">
      <c r="A74" s="31" t="s">
        <v>159</v>
      </c>
      <c r="B74" s="31" t="s">
        <v>2143</v>
      </c>
      <c r="C74" s="31" t="s">
        <v>2882</v>
      </c>
      <c r="D74" s="12">
        <f t="shared" ca="1" si="6"/>
        <v>23</v>
      </c>
      <c r="E74" s="12" t="str">
        <f ca="1">IF(Table1[[#This Row],[Age]]&lt;=22,"20-22",IF(Table1[[#This Row],[Age]]&lt;=25,"23-25",IF(Table1[[#This Row],[Age]]&lt;=28,"26-28","29-30")))</f>
        <v>23-25</v>
      </c>
      <c r="F74" s="12">
        <v>3.82</v>
      </c>
      <c r="G74" s="12">
        <v>3.82</v>
      </c>
      <c r="H74" s="12">
        <v>4.3</v>
      </c>
      <c r="I74" s="12" t="s">
        <v>211</v>
      </c>
      <c r="J74" s="12">
        <v>3.87</v>
      </c>
      <c r="K74" s="12">
        <v>3.7</v>
      </c>
      <c r="L74" s="12">
        <v>4.4800000000000004</v>
      </c>
      <c r="M74" s="12">
        <v>3.92</v>
      </c>
      <c r="N74" s="12">
        <v>4.33</v>
      </c>
      <c r="O74" s="12">
        <v>3.81</v>
      </c>
      <c r="P74" s="12">
        <f t="shared" si="7"/>
        <v>3.9524999999999997</v>
      </c>
      <c r="Q74" s="12">
        <f t="shared" si="8"/>
        <v>3.95</v>
      </c>
      <c r="R74" s="12">
        <f t="shared" si="9"/>
        <v>4.048</v>
      </c>
      <c r="S74" s="28">
        <f>IFERROR(INDEX('Clean Gamification Data'!$B:$B,MATCH($B74,'Clean Gamification Data'!$A:$A,0)),"Not Found")</f>
        <v>83.147748050000004</v>
      </c>
      <c r="T74" s="28">
        <f>IFERROR(INDEX('Clean Gamification Data'!$C:$C,MATCH($B74,'Clean Gamification Data'!$A:$A,0)),"Not Found")</f>
        <v>60.275464309999997</v>
      </c>
      <c r="U74" s="28">
        <f>IFERROR(INDEX('Clean Gamification Data'!$D:$D,MATCH($B74,'Clean Gamification Data'!$A:$A,0)),"Not Found")</f>
        <v>77.158492390000006</v>
      </c>
      <c r="V74" s="28">
        <f>IFERROR(INDEX('Clean Gamification Data'!$E:$E,MATCH($B74,'Clean Gamification Data'!$A:$A,0)),"Not Found")</f>
        <v>61.349363320000002</v>
      </c>
      <c r="W74" s="28">
        <f>IFERROR(INDEX('Clean Gamification Data'!$F:$F,MATCH($B74,'Clean Gamification Data'!$A:$A,0)),"Not Found")</f>
        <v>80</v>
      </c>
      <c r="X74" s="28">
        <f>IFERROR(INDEX('Clean Gamification Data'!$G:$G,MATCH($B74,'Clean Gamification Data'!$A:$A,0)),"Not Found")</f>
        <v>70.354850639999995</v>
      </c>
      <c r="Y74" s="28">
        <f>IFERROR(INDEX('Clean Gamification Data'!$H:$H,MATCH($B74,'Clean Gamification Data'!$A:$A,0)),"Not Found")</f>
        <v>66.087244729999995</v>
      </c>
      <c r="Z74" s="28">
        <f>IFERROR(INDEX('Clean Gamification Data'!$I:$I,MATCH($B74,'Clean Gamification Data'!$A:$A,0)),"Not Found")</f>
        <v>55.034495679999999</v>
      </c>
      <c r="AA74" s="28">
        <f>Table1[[#This Row],[Engagement (Gamification %)]]-Table1[[#This Row],[Engagement (Non-Gamification %)]]</f>
        <v>22.872283740000007</v>
      </c>
      <c r="AB74" s="28">
        <f>Table1[[#This Row],[Motivation (Gamification %)]]-Table1[[#This Row],[Motivation (Non-Gamification %)]]</f>
        <v>15.809129070000004</v>
      </c>
      <c r="AC74" s="28">
        <f>Table1[[#This Row],[Participation (Gamification %)]]-Table1[[#This Row],[Participation (Non-Gamification %)]]</f>
        <v>9.6451493600000049</v>
      </c>
      <c r="AD74" s="28">
        <f>Table1[[#This Row],[Learning Outcomes (Gamification %)]]-Table1[[#This Row],[Learning Outcomes (Non-Gamification %)]]</f>
        <v>11.052749049999996</v>
      </c>
      <c r="AE74" s="44" t="str">
        <f>IF(Table1[[#This Row],[Overall Effectiveness]]&lt;3.9,"Low",IF(Table1[[#This Row],[Overall Effectiveness]]&lt;4.2,"Medium","High"))</f>
        <v>Medium</v>
      </c>
      <c r="AF74" s="30" t="str">
        <f t="shared" si="10"/>
        <v>Group Projects</v>
      </c>
      <c r="AG74" s="30" t="str">
        <f t="shared" si="11"/>
        <v>Case Studies</v>
      </c>
      <c r="AH74" s="27">
        <f>COUNTIF(Teacher_Master!$D$2:$D$16,AF74)</f>
        <v>3</v>
      </c>
      <c r="AI74" s="30" t="str">
        <f>INDEX(Teacher_Master!$B$2:$B$16,MATCH(AF74,Teacher_Master!$D$2:$D$16,0))</f>
        <v>Dr. Rohan Dutta</v>
      </c>
    </row>
    <row r="75" spans="1:35" ht="14.25" customHeight="1" x14ac:dyDescent="0.3">
      <c r="A75" s="31" t="s">
        <v>161</v>
      </c>
      <c r="B75" s="31" t="s">
        <v>162</v>
      </c>
      <c r="C75" s="31" t="s">
        <v>2881</v>
      </c>
      <c r="D75" s="12">
        <f t="shared" ca="1" si="6"/>
        <v>27</v>
      </c>
      <c r="E75" s="12" t="str">
        <f ca="1">IF(Table1[[#This Row],[Age]]&lt;=22,"20-22",IF(Table1[[#This Row],[Age]]&lt;=25,"23-25",IF(Table1[[#This Row],[Age]]&lt;=28,"26-28","29-30")))</f>
        <v>26-28</v>
      </c>
      <c r="F75" s="12">
        <v>3.88</v>
      </c>
      <c r="G75" s="12">
        <v>3.89</v>
      </c>
      <c r="H75" s="12">
        <v>3.94</v>
      </c>
      <c r="I75" s="12">
        <v>3.81</v>
      </c>
      <c r="J75" s="12">
        <v>4.07</v>
      </c>
      <c r="K75" s="12">
        <v>4.1900000000000004</v>
      </c>
      <c r="L75" s="12">
        <v>4.59</v>
      </c>
      <c r="M75" s="12">
        <v>3.98</v>
      </c>
      <c r="N75" s="12">
        <v>4.01</v>
      </c>
      <c r="O75" s="12">
        <v>3.91</v>
      </c>
      <c r="P75" s="12">
        <f t="shared" si="7"/>
        <v>3.9180000000000001</v>
      </c>
      <c r="Q75" s="12">
        <f t="shared" si="8"/>
        <v>3.92</v>
      </c>
      <c r="R75" s="12">
        <f t="shared" si="9"/>
        <v>4.136000000000001</v>
      </c>
      <c r="S75" s="28">
        <f>IFERROR(INDEX('Clean Gamification Data'!$B:$B,MATCH($B75,'Clean Gamification Data'!$A:$A,0)),"Not Found")</f>
        <v>85.264815769999998</v>
      </c>
      <c r="T75" s="28">
        <f>IFERROR(INDEX('Clean Gamification Data'!$C:$C,MATCH($B75,'Clean Gamification Data'!$A:$A,0)),"Not Found")</f>
        <v>61.952929040000001</v>
      </c>
      <c r="U75" s="28">
        <f>IFERROR(INDEX('Clean Gamification Data'!$D:$D,MATCH($B75,'Clean Gamification Data'!$A:$A,0)),"Not Found")</f>
        <v>76.48745169</v>
      </c>
      <c r="V75" s="28">
        <f>IFERROR(INDEX('Clean Gamification Data'!$E:$E,MATCH($B75,'Clean Gamification Data'!$A:$A,0)),"Not Found")</f>
        <v>75</v>
      </c>
      <c r="W75" s="28">
        <f>IFERROR(INDEX('Clean Gamification Data'!$F:$F,MATCH($B75,'Clean Gamification Data'!$A:$A,0)),"Not Found")</f>
        <v>94.750628509999999</v>
      </c>
      <c r="X75" s="28">
        <f>IFERROR(INDEX('Clean Gamification Data'!$G:$G,MATCH($B75,'Clean Gamification Data'!$A:$A,0)),"Not Found")</f>
        <v>73.117462470000007</v>
      </c>
      <c r="Y75" s="28">
        <f>IFERROR(INDEX('Clean Gamification Data'!$H:$H,MATCH($B75,'Clean Gamification Data'!$A:$A,0)),"Not Found")</f>
        <v>68.443154530000001</v>
      </c>
      <c r="Z75" s="28">
        <f>IFERROR(INDEX('Clean Gamification Data'!$I:$I,MATCH($B75,'Clean Gamification Data'!$A:$A,0)),"Not Found")</f>
        <v>59.037464219999997</v>
      </c>
      <c r="AA75" s="28">
        <f>Table1[[#This Row],[Engagement (Gamification %)]]-Table1[[#This Row],[Engagement (Non-Gamification %)]]</f>
        <v>23.311886729999998</v>
      </c>
      <c r="AB75" s="28">
        <f>Table1[[#This Row],[Motivation (Gamification %)]]-Table1[[#This Row],[Motivation (Non-Gamification %)]]</f>
        <v>1.4874516900000003</v>
      </c>
      <c r="AC75" s="28">
        <f>Table1[[#This Row],[Participation (Gamification %)]]-Table1[[#This Row],[Participation (Non-Gamification %)]]</f>
        <v>21.633166039999992</v>
      </c>
      <c r="AD75" s="28">
        <f>Table1[[#This Row],[Learning Outcomes (Gamification %)]]-Table1[[#This Row],[Learning Outcomes (Non-Gamification %)]]</f>
        <v>9.4056903100000042</v>
      </c>
      <c r="AE75" s="44" t="str">
        <f>IF(Table1[[#This Row],[Overall Effectiveness]]&lt;3.9,"Low",IF(Table1[[#This Row],[Overall Effectiveness]]&lt;4.2,"Medium","High"))</f>
        <v>Medium</v>
      </c>
      <c r="AF75" s="30" t="str">
        <f t="shared" si="10"/>
        <v>Online Tutorials</v>
      </c>
      <c r="AG75" s="30" t="str">
        <f t="shared" si="11"/>
        <v>Case Studies</v>
      </c>
      <c r="AH75" s="27">
        <f>COUNTIF(Teacher_Master!$D$2:$D$16,AF75)</f>
        <v>3</v>
      </c>
      <c r="AI75" s="30" t="str">
        <f>INDEX(Teacher_Master!$B$2:$B$16,MATCH(AF75,Teacher_Master!$D$2:$D$16,0))</f>
        <v>Prof. Kavita Rao</v>
      </c>
    </row>
    <row r="76" spans="1:35" ht="14.25" customHeight="1" x14ac:dyDescent="0.3">
      <c r="A76" s="31" t="s">
        <v>163</v>
      </c>
      <c r="B76" s="31" t="s">
        <v>164</v>
      </c>
      <c r="C76" s="31" t="s">
        <v>2881</v>
      </c>
      <c r="D76" s="12">
        <f t="shared" ca="1" si="6"/>
        <v>21</v>
      </c>
      <c r="E76" s="12" t="str">
        <f ca="1">IF(Table1[[#This Row],[Age]]&lt;=22,"20-22",IF(Table1[[#This Row],[Age]]&lt;=25,"23-25",IF(Table1[[#This Row],[Age]]&lt;=28,"26-28","29-30")))</f>
        <v>20-22</v>
      </c>
      <c r="F76" s="12">
        <v>4.13</v>
      </c>
      <c r="G76" s="12" t="s">
        <v>211</v>
      </c>
      <c r="H76" s="12">
        <v>4.13</v>
      </c>
      <c r="I76" s="12" t="s">
        <v>211</v>
      </c>
      <c r="J76" s="12">
        <v>3.92</v>
      </c>
      <c r="K76" s="12">
        <v>4.18</v>
      </c>
      <c r="L76" s="12">
        <v>3.64</v>
      </c>
      <c r="M76" s="12">
        <v>3.97</v>
      </c>
      <c r="N76" s="12" t="s">
        <v>211</v>
      </c>
      <c r="O76" s="12">
        <v>3.86</v>
      </c>
      <c r="P76" s="12">
        <f t="shared" si="7"/>
        <v>4.0599999999999996</v>
      </c>
      <c r="Q76" s="12">
        <f t="shared" si="8"/>
        <v>4.0599999999999996</v>
      </c>
      <c r="R76" s="12">
        <f t="shared" si="9"/>
        <v>3.9125000000000001</v>
      </c>
      <c r="S76" s="28">
        <f>IFERROR(INDEX('Clean Gamification Data'!$B:$B,MATCH($B76,'Clean Gamification Data'!$A:$A,0)),"Not Found")</f>
        <v>85.409182189999996</v>
      </c>
      <c r="T76" s="28">
        <f>IFERROR(INDEX('Clean Gamification Data'!$C:$C,MATCH($B76,'Clean Gamification Data'!$A:$A,0)),"Not Found")</f>
        <v>60</v>
      </c>
      <c r="U76" s="28">
        <f>IFERROR(INDEX('Clean Gamification Data'!$D:$D,MATCH($B76,'Clean Gamification Data'!$A:$A,0)),"Not Found")</f>
        <v>76.301867529999996</v>
      </c>
      <c r="V76" s="28">
        <f>IFERROR(INDEX('Clean Gamification Data'!$E:$E,MATCH($B76,'Clean Gamification Data'!$A:$A,0)),"Not Found")</f>
        <v>75</v>
      </c>
      <c r="W76" s="28">
        <f>IFERROR(INDEX('Clean Gamification Data'!$F:$F,MATCH($B76,'Clean Gamification Data'!$A:$A,0)),"Not Found")</f>
        <v>87.022648200000006</v>
      </c>
      <c r="X76" s="28">
        <f>IFERROR(INDEX('Clean Gamification Data'!$G:$G,MATCH($B76,'Clean Gamification Data'!$A:$A,0)),"Not Found")</f>
        <v>82.488243030000007</v>
      </c>
      <c r="Y76" s="28">
        <f>IFERROR(INDEX('Clean Gamification Data'!$H:$H,MATCH($B76,'Clean Gamification Data'!$A:$A,0)),"Not Found")</f>
        <v>65</v>
      </c>
      <c r="Z76" s="28">
        <f>IFERROR(INDEX('Clean Gamification Data'!$I:$I,MATCH($B76,'Clean Gamification Data'!$A:$A,0)),"Not Found")</f>
        <v>52.672248330000002</v>
      </c>
      <c r="AA76" s="28">
        <f>Table1[[#This Row],[Engagement (Gamification %)]]-Table1[[#This Row],[Engagement (Non-Gamification %)]]</f>
        <v>25.409182189999996</v>
      </c>
      <c r="AB76" s="28">
        <f>Table1[[#This Row],[Motivation (Gamification %)]]-Table1[[#This Row],[Motivation (Non-Gamification %)]]</f>
        <v>1.3018675299999956</v>
      </c>
      <c r="AC76" s="28">
        <f>Table1[[#This Row],[Participation (Gamification %)]]-Table1[[#This Row],[Participation (Non-Gamification %)]]</f>
        <v>4.5344051699999994</v>
      </c>
      <c r="AD76" s="28">
        <f>Table1[[#This Row],[Learning Outcomes (Gamification %)]]-Table1[[#This Row],[Learning Outcomes (Non-Gamification %)]]</f>
        <v>12.327751669999998</v>
      </c>
      <c r="AE76" s="44" t="str">
        <f>IF(Table1[[#This Row],[Overall Effectiveness]]&lt;3.9,"Low",IF(Table1[[#This Row],[Overall Effectiveness]]&lt;4.2,"Medium","High"))</f>
        <v>Medium</v>
      </c>
      <c r="AF76" s="30" t="str">
        <f t="shared" si="10"/>
        <v>Lectures</v>
      </c>
      <c r="AG76" s="30" t="str">
        <f t="shared" si="11"/>
        <v>Lectures</v>
      </c>
      <c r="AH76" s="27">
        <f>COUNTIF(Teacher_Master!$D$2:$D$16,AF76)</f>
        <v>3</v>
      </c>
      <c r="AI76" s="30" t="str">
        <f>INDEX(Teacher_Master!$B$2:$B$16,MATCH(AF76,Teacher_Master!$D$2:$D$16,0))</f>
        <v>Prof. Vikram Gupta</v>
      </c>
    </row>
    <row r="77" spans="1:35" ht="14.25" customHeight="1" x14ac:dyDescent="0.3">
      <c r="A77" s="31" t="s">
        <v>165</v>
      </c>
      <c r="B77" s="31" t="s">
        <v>2144</v>
      </c>
      <c r="C77" s="31" t="s">
        <v>2882</v>
      </c>
      <c r="D77" s="12">
        <f t="shared" ca="1" si="6"/>
        <v>28</v>
      </c>
      <c r="E77" s="12" t="str">
        <f ca="1">IF(Table1[[#This Row],[Age]]&lt;=22,"20-22",IF(Table1[[#This Row],[Age]]&lt;=25,"23-25",IF(Table1[[#This Row],[Age]]&lt;=28,"26-28","29-30")))</f>
        <v>26-28</v>
      </c>
      <c r="F77" s="12">
        <v>3.88</v>
      </c>
      <c r="G77" s="12">
        <v>3.89</v>
      </c>
      <c r="H77" s="12">
        <v>4.2</v>
      </c>
      <c r="I77" s="12">
        <v>3.96</v>
      </c>
      <c r="J77" s="12">
        <v>3.81</v>
      </c>
      <c r="K77" s="12">
        <v>4.1100000000000003</v>
      </c>
      <c r="L77" s="12">
        <v>4.05</v>
      </c>
      <c r="M77" s="12">
        <v>4.09</v>
      </c>
      <c r="N77" s="12">
        <v>4.28</v>
      </c>
      <c r="O77" s="12">
        <v>3.4</v>
      </c>
      <c r="P77" s="12">
        <f t="shared" si="7"/>
        <v>3.9479999999999995</v>
      </c>
      <c r="Q77" s="12">
        <f t="shared" si="8"/>
        <v>3.95</v>
      </c>
      <c r="R77" s="12">
        <f t="shared" si="9"/>
        <v>3.9859999999999998</v>
      </c>
      <c r="S77" s="28">
        <f>IFERROR(INDEX('Clean Gamification Data'!$B:$B,MATCH($B77,'Clean Gamification Data'!$A:$A,0)),"Not Found")</f>
        <v>78.043869790000002</v>
      </c>
      <c r="T77" s="28">
        <f>IFERROR(INDEX('Clean Gamification Data'!$C:$C,MATCH($B77,'Clean Gamification Data'!$A:$A,0)),"Not Found")</f>
        <v>67.481604050000001</v>
      </c>
      <c r="U77" s="28">
        <f>IFERROR(INDEX('Clean Gamification Data'!$D:$D,MATCH($B77,'Clean Gamification Data'!$A:$A,0)),"Not Found")</f>
        <v>70</v>
      </c>
      <c r="V77" s="28">
        <f>IFERROR(INDEX('Clean Gamification Data'!$E:$E,MATCH($B77,'Clean Gamification Data'!$A:$A,0)),"Not Found")</f>
        <v>75</v>
      </c>
      <c r="W77" s="28">
        <f>IFERROR(INDEX('Clean Gamification Data'!$F:$F,MATCH($B77,'Clean Gamification Data'!$A:$A,0)),"Not Found")</f>
        <v>84.059531640000003</v>
      </c>
      <c r="X77" s="28">
        <f>IFERROR(INDEX('Clean Gamification Data'!$G:$G,MATCH($B77,'Clean Gamification Data'!$A:$A,0)),"Not Found")</f>
        <v>80.380540150000002</v>
      </c>
      <c r="Y77" s="28">
        <f>IFERROR(INDEX('Clean Gamification Data'!$H:$H,MATCH($B77,'Clean Gamification Data'!$A:$A,0)),"Not Found")</f>
        <v>66.462426429999994</v>
      </c>
      <c r="Z77" s="28">
        <f>IFERROR(INDEX('Clean Gamification Data'!$I:$I,MATCH($B77,'Clean Gamification Data'!$A:$A,0)),"Not Found")</f>
        <v>53.93636678</v>
      </c>
      <c r="AA77" s="28">
        <f>Table1[[#This Row],[Engagement (Gamification %)]]-Table1[[#This Row],[Engagement (Non-Gamification %)]]</f>
        <v>10.562265740000001</v>
      </c>
      <c r="AB77" s="28">
        <f>Table1[[#This Row],[Motivation (Gamification %)]]-Table1[[#This Row],[Motivation (Non-Gamification %)]]</f>
        <v>-5</v>
      </c>
      <c r="AC77" s="28">
        <f>Table1[[#This Row],[Participation (Gamification %)]]-Table1[[#This Row],[Participation (Non-Gamification %)]]</f>
        <v>3.6789914900000014</v>
      </c>
      <c r="AD77" s="28">
        <f>Table1[[#This Row],[Learning Outcomes (Gamification %)]]-Table1[[#This Row],[Learning Outcomes (Non-Gamification %)]]</f>
        <v>12.526059649999993</v>
      </c>
      <c r="AE77" s="44" t="str">
        <f>IF(Table1[[#This Row],[Overall Effectiveness]]&lt;3.9,"Low",IF(Table1[[#This Row],[Overall Effectiveness]]&lt;4.2,"Medium","High"))</f>
        <v>Medium</v>
      </c>
      <c r="AF77" s="30" t="str">
        <f t="shared" si="10"/>
        <v>Group Projects</v>
      </c>
      <c r="AG77" s="30" t="str">
        <f t="shared" si="11"/>
        <v>Experiments</v>
      </c>
      <c r="AH77" s="27">
        <f>COUNTIF(Teacher_Master!$D$2:$D$16,AF77)</f>
        <v>3</v>
      </c>
      <c r="AI77" s="30" t="str">
        <f>INDEX(Teacher_Master!$B$2:$B$16,MATCH(AF77,Teacher_Master!$D$2:$D$16,0))</f>
        <v>Dr. Rohan Dutta</v>
      </c>
    </row>
    <row r="78" spans="1:35" ht="14.25" customHeight="1" x14ac:dyDescent="0.3">
      <c r="A78" s="31" t="s">
        <v>167</v>
      </c>
      <c r="B78" s="31" t="s">
        <v>168</v>
      </c>
      <c r="C78" s="31" t="s">
        <v>2881</v>
      </c>
      <c r="D78" s="12">
        <f t="shared" ca="1" si="6"/>
        <v>30</v>
      </c>
      <c r="E78" s="12" t="str">
        <f ca="1">IF(Table1[[#This Row],[Age]]&lt;=22,"20-22",IF(Table1[[#This Row],[Age]]&lt;=25,"23-25",IF(Table1[[#This Row],[Age]]&lt;=28,"26-28","29-30")))</f>
        <v>29-30</v>
      </c>
      <c r="F78" s="12">
        <v>4.74</v>
      </c>
      <c r="G78" s="12">
        <v>4.4000000000000004</v>
      </c>
      <c r="H78" s="12">
        <v>4.32</v>
      </c>
      <c r="I78" s="12">
        <v>4.03</v>
      </c>
      <c r="J78" s="12">
        <v>4.53</v>
      </c>
      <c r="K78" s="12">
        <v>3.93</v>
      </c>
      <c r="L78" s="12">
        <v>3.79</v>
      </c>
      <c r="M78" s="12">
        <v>4.12</v>
      </c>
      <c r="N78" s="12">
        <v>4.68</v>
      </c>
      <c r="O78" s="12">
        <v>4.05</v>
      </c>
      <c r="P78" s="12">
        <f t="shared" si="7"/>
        <v>4.4040000000000008</v>
      </c>
      <c r="Q78" s="12">
        <f t="shared" si="8"/>
        <v>4.4000000000000004</v>
      </c>
      <c r="R78" s="12">
        <f t="shared" si="9"/>
        <v>4.1139999999999999</v>
      </c>
      <c r="S78" s="28">
        <f>IFERROR(INDEX('Clean Gamification Data'!$B:$B,MATCH($B78,'Clean Gamification Data'!$A:$A,0)),"Not Found")</f>
        <v>75</v>
      </c>
      <c r="T78" s="28">
        <f>IFERROR(INDEX('Clean Gamification Data'!$C:$C,MATCH($B78,'Clean Gamification Data'!$A:$A,0)),"Not Found")</f>
        <v>70.153291519999996</v>
      </c>
      <c r="U78" s="28">
        <f>IFERROR(INDEX('Clean Gamification Data'!$D:$D,MATCH($B78,'Clean Gamification Data'!$A:$A,0)),"Not Found")</f>
        <v>77.102862880000004</v>
      </c>
      <c r="V78" s="28">
        <f>IFERROR(INDEX('Clean Gamification Data'!$E:$E,MATCH($B78,'Clean Gamification Data'!$A:$A,0)),"Not Found")</f>
        <v>57.609852429999997</v>
      </c>
      <c r="W78" s="28">
        <f>IFERROR(INDEX('Clean Gamification Data'!$F:$F,MATCH($B78,'Clean Gamification Data'!$A:$A,0)),"Not Found")</f>
        <v>87.15389442</v>
      </c>
      <c r="X78" s="28">
        <f>IFERROR(INDEX('Clean Gamification Data'!$G:$G,MATCH($B78,'Clean Gamification Data'!$A:$A,0)),"Not Found")</f>
        <v>77.81273582</v>
      </c>
      <c r="Y78" s="28">
        <f>IFERROR(INDEX('Clean Gamification Data'!$H:$H,MATCH($B78,'Clean Gamification Data'!$A:$A,0)),"Not Found")</f>
        <v>70.982307719999994</v>
      </c>
      <c r="Z78" s="28">
        <f>IFERROR(INDEX('Clean Gamification Data'!$I:$I,MATCH($B78,'Clean Gamification Data'!$A:$A,0)),"Not Found")</f>
        <v>57.649865699999999</v>
      </c>
      <c r="AA78" s="28">
        <f>Table1[[#This Row],[Engagement (Gamification %)]]-Table1[[#This Row],[Engagement (Non-Gamification %)]]</f>
        <v>4.8467084800000038</v>
      </c>
      <c r="AB78" s="28">
        <f>Table1[[#This Row],[Motivation (Gamification %)]]-Table1[[#This Row],[Motivation (Non-Gamification %)]]</f>
        <v>19.493010450000007</v>
      </c>
      <c r="AC78" s="28">
        <f>Table1[[#This Row],[Participation (Gamification %)]]-Table1[[#This Row],[Participation (Non-Gamification %)]]</f>
        <v>9.3411586</v>
      </c>
      <c r="AD78" s="28">
        <f>Table1[[#This Row],[Learning Outcomes (Gamification %)]]-Table1[[#This Row],[Learning Outcomes (Non-Gamification %)]]</f>
        <v>13.332442019999995</v>
      </c>
      <c r="AE78" s="44" t="str">
        <f>IF(Table1[[#This Row],[Overall Effectiveness]]&lt;3.9,"Low",IF(Table1[[#This Row],[Overall Effectiveness]]&lt;4.2,"Medium","High"))</f>
        <v>High</v>
      </c>
      <c r="AF78" s="30" t="str">
        <f t="shared" si="10"/>
        <v>Lectures</v>
      </c>
      <c r="AG78" s="30" t="str">
        <f t="shared" si="11"/>
        <v>Experiments</v>
      </c>
      <c r="AH78" s="27">
        <f>COUNTIF(Teacher_Master!$D$2:$D$16,AF78)</f>
        <v>3</v>
      </c>
      <c r="AI78" s="30" t="str">
        <f>INDEX(Teacher_Master!$B$2:$B$16,MATCH(AF78,Teacher_Master!$D$2:$D$16,0))</f>
        <v>Prof. Vikram Gupta</v>
      </c>
    </row>
    <row r="79" spans="1:35" ht="14.25" customHeight="1" x14ac:dyDescent="0.3">
      <c r="A79" s="31" t="s">
        <v>169</v>
      </c>
      <c r="B79" s="31" t="s">
        <v>170</v>
      </c>
      <c r="C79" s="31" t="s">
        <v>2882</v>
      </c>
      <c r="D79" s="12">
        <f t="shared" ca="1" si="6"/>
        <v>27</v>
      </c>
      <c r="E79" s="12" t="str">
        <f ca="1">IF(Table1[[#This Row],[Age]]&lt;=22,"20-22",IF(Table1[[#This Row],[Age]]&lt;=25,"23-25",IF(Table1[[#This Row],[Age]]&lt;=28,"26-28","29-30")))</f>
        <v>26-28</v>
      </c>
      <c r="F79" s="12">
        <v>3.83</v>
      </c>
      <c r="G79" s="12">
        <v>4.25</v>
      </c>
      <c r="H79" s="12">
        <v>3.91</v>
      </c>
      <c r="I79" s="12">
        <v>4.53</v>
      </c>
      <c r="J79" s="12">
        <v>4.6500000000000004</v>
      </c>
      <c r="K79" s="12">
        <v>4.13</v>
      </c>
      <c r="L79" s="12">
        <v>4.0199999999999996</v>
      </c>
      <c r="M79" s="12">
        <v>4.07</v>
      </c>
      <c r="N79" s="12">
        <v>4.42</v>
      </c>
      <c r="O79" s="12">
        <v>3.63</v>
      </c>
      <c r="P79" s="12">
        <f t="shared" si="7"/>
        <v>4.234</v>
      </c>
      <c r="Q79" s="12">
        <f t="shared" si="8"/>
        <v>4.2300000000000004</v>
      </c>
      <c r="R79" s="12">
        <f t="shared" si="9"/>
        <v>4.0540000000000003</v>
      </c>
      <c r="S79" s="28">
        <f>IFERROR(INDEX('Clean Gamification Data'!$B:$B,MATCH($B79,'Clean Gamification Data'!$A:$A,0)),"Not Found")</f>
        <v>80.122592190000006</v>
      </c>
      <c r="T79" s="28">
        <f>IFERROR(INDEX('Clean Gamification Data'!$C:$C,MATCH($B79,'Clean Gamification Data'!$A:$A,0)),"Not Found")</f>
        <v>68.794073470000001</v>
      </c>
      <c r="U79" s="28">
        <f>IFERROR(INDEX('Clean Gamification Data'!$D:$D,MATCH($B79,'Clean Gamification Data'!$A:$A,0)),"Not Found")</f>
        <v>76.942867809999996</v>
      </c>
      <c r="V79" s="28">
        <f>IFERROR(INDEX('Clean Gamification Data'!$E:$E,MATCH($B79,'Clean Gamification Data'!$A:$A,0)),"Not Found")</f>
        <v>66.287795079999995</v>
      </c>
      <c r="W79" s="28">
        <f>IFERROR(INDEX('Clean Gamification Data'!$F:$F,MATCH($B79,'Clean Gamification Data'!$A:$A,0)),"Not Found")</f>
        <v>90.453057270000002</v>
      </c>
      <c r="X79" s="28">
        <f>IFERROR(INDEX('Clean Gamification Data'!$G:$G,MATCH($B79,'Clean Gamification Data'!$A:$A,0)),"Not Found")</f>
        <v>76.551725739999995</v>
      </c>
      <c r="Y79" s="28">
        <f>IFERROR(INDEX('Clean Gamification Data'!$H:$H,MATCH($B79,'Clean Gamification Data'!$A:$A,0)),"Not Found")</f>
        <v>65</v>
      </c>
      <c r="Z79" s="28">
        <f>IFERROR(INDEX('Clean Gamification Data'!$I:$I,MATCH($B79,'Clean Gamification Data'!$A:$A,0)),"Not Found")</f>
        <v>50</v>
      </c>
      <c r="AA79" s="28">
        <f>Table1[[#This Row],[Engagement (Gamification %)]]-Table1[[#This Row],[Engagement (Non-Gamification %)]]</f>
        <v>11.328518720000005</v>
      </c>
      <c r="AB79" s="28">
        <f>Table1[[#This Row],[Motivation (Gamification %)]]-Table1[[#This Row],[Motivation (Non-Gamification %)]]</f>
        <v>10.655072730000001</v>
      </c>
      <c r="AC79" s="28">
        <f>Table1[[#This Row],[Participation (Gamification %)]]-Table1[[#This Row],[Participation (Non-Gamification %)]]</f>
        <v>13.901331530000007</v>
      </c>
      <c r="AD79" s="28">
        <f>Table1[[#This Row],[Learning Outcomes (Gamification %)]]-Table1[[#This Row],[Learning Outcomes (Non-Gamification %)]]</f>
        <v>15</v>
      </c>
      <c r="AE79" s="44" t="str">
        <f>IF(Table1[[#This Row],[Overall Effectiveness]]&lt;3.9,"Low",IF(Table1[[#This Row],[Overall Effectiveness]]&lt;4.2,"Medium","High"))</f>
        <v>High</v>
      </c>
      <c r="AF79" s="30" t="str">
        <f t="shared" si="10"/>
        <v>Online Tutorials</v>
      </c>
      <c r="AG79" s="30" t="str">
        <f t="shared" si="11"/>
        <v>Experiments</v>
      </c>
      <c r="AH79" s="27">
        <f>COUNTIF(Teacher_Master!$D$2:$D$16,AF79)</f>
        <v>3</v>
      </c>
      <c r="AI79" s="30" t="str">
        <f>INDEX(Teacher_Master!$B$2:$B$16,MATCH(AF79,Teacher_Master!$D$2:$D$16,0))</f>
        <v>Prof. Kavita Rao</v>
      </c>
    </row>
    <row r="80" spans="1:35" ht="14.25" customHeight="1" x14ac:dyDescent="0.3">
      <c r="A80" s="31" t="s">
        <v>171</v>
      </c>
      <c r="B80" s="31" t="s">
        <v>172</v>
      </c>
      <c r="C80" s="31" t="s">
        <v>2882</v>
      </c>
      <c r="D80" s="12">
        <f t="shared" ca="1" si="6"/>
        <v>25</v>
      </c>
      <c r="E80" s="12" t="str">
        <f ca="1">IF(Table1[[#This Row],[Age]]&lt;=22,"20-22",IF(Table1[[#This Row],[Age]]&lt;=25,"23-25",IF(Table1[[#This Row],[Age]]&lt;=28,"26-28","29-30")))</f>
        <v>23-25</v>
      </c>
      <c r="F80" s="12">
        <v>4.3899999999999997</v>
      </c>
      <c r="G80" s="12">
        <v>3.45</v>
      </c>
      <c r="H80" s="12">
        <v>4.09</v>
      </c>
      <c r="I80" s="12">
        <v>3.82</v>
      </c>
      <c r="J80" s="12">
        <v>4.12</v>
      </c>
      <c r="K80" s="12">
        <v>3.84</v>
      </c>
      <c r="L80" s="12">
        <v>4.1399999999999997</v>
      </c>
      <c r="M80" s="12">
        <v>4.28</v>
      </c>
      <c r="N80" s="12">
        <v>4.07</v>
      </c>
      <c r="O80" s="12">
        <v>3.5</v>
      </c>
      <c r="P80" s="12">
        <f t="shared" si="7"/>
        <v>3.9740000000000002</v>
      </c>
      <c r="Q80" s="12">
        <f t="shared" si="8"/>
        <v>3.97</v>
      </c>
      <c r="R80" s="12">
        <f t="shared" si="9"/>
        <v>3.9659999999999997</v>
      </c>
      <c r="S80" s="28">
        <f>IFERROR(INDEX('Clean Gamification Data'!$B:$B,MATCH($B80,'Clean Gamification Data'!$A:$A,0)),"Not Found")</f>
        <v>90.204115959999996</v>
      </c>
      <c r="T80" s="28">
        <f>IFERROR(INDEX('Clean Gamification Data'!$C:$C,MATCH($B80,'Clean Gamification Data'!$A:$A,0)),"Not Found")</f>
        <v>64.261713830000005</v>
      </c>
      <c r="U80" s="28">
        <f>IFERROR(INDEX('Clean Gamification Data'!$D:$D,MATCH($B80,'Clean Gamification Data'!$A:$A,0)),"Not Found")</f>
        <v>78.165766509999997</v>
      </c>
      <c r="V80" s="28">
        <f>IFERROR(INDEX('Clean Gamification Data'!$E:$E,MATCH($B80,'Clean Gamification Data'!$A:$A,0)),"Not Found")</f>
        <v>65.042364919999997</v>
      </c>
      <c r="W80" s="28">
        <f>IFERROR(INDEX('Clean Gamification Data'!$F:$F,MATCH($B80,'Clean Gamification Data'!$A:$A,0)),"Not Found")</f>
        <v>80</v>
      </c>
      <c r="X80" s="28">
        <f>IFERROR(INDEX('Clean Gamification Data'!$G:$G,MATCH($B80,'Clean Gamification Data'!$A:$A,0)),"Not Found")</f>
        <v>74.471553950000001</v>
      </c>
      <c r="Y80" s="28">
        <f>IFERROR(INDEX('Clean Gamification Data'!$H:$H,MATCH($B80,'Clean Gamification Data'!$A:$A,0)),"Not Found")</f>
        <v>65</v>
      </c>
      <c r="Z80" s="28">
        <f>IFERROR(INDEX('Clean Gamification Data'!$I:$I,MATCH($B80,'Clean Gamification Data'!$A:$A,0)),"Not Found")</f>
        <v>58.760234009999998</v>
      </c>
      <c r="AA80" s="28">
        <f>Table1[[#This Row],[Engagement (Gamification %)]]-Table1[[#This Row],[Engagement (Non-Gamification %)]]</f>
        <v>25.942402129999991</v>
      </c>
      <c r="AB80" s="28">
        <f>Table1[[#This Row],[Motivation (Gamification %)]]-Table1[[#This Row],[Motivation (Non-Gamification %)]]</f>
        <v>13.12340159</v>
      </c>
      <c r="AC80" s="28">
        <f>Table1[[#This Row],[Participation (Gamification %)]]-Table1[[#This Row],[Participation (Non-Gamification %)]]</f>
        <v>5.5284460499999994</v>
      </c>
      <c r="AD80" s="28">
        <f>Table1[[#This Row],[Learning Outcomes (Gamification %)]]-Table1[[#This Row],[Learning Outcomes (Non-Gamification %)]]</f>
        <v>6.2397659900000022</v>
      </c>
      <c r="AE80" s="44" t="str">
        <f>IF(Table1[[#This Row],[Overall Effectiveness]]&lt;3.9,"Low",IF(Table1[[#This Row],[Overall Effectiveness]]&lt;4.2,"Medium","High"))</f>
        <v>Medium</v>
      </c>
      <c r="AF80" s="30" t="str">
        <f t="shared" si="10"/>
        <v>Lectures</v>
      </c>
      <c r="AG80" s="30" t="str">
        <f t="shared" si="11"/>
        <v>Group Projects</v>
      </c>
      <c r="AH80" s="27">
        <f>COUNTIF(Teacher_Master!$D$2:$D$16,AF80)</f>
        <v>3</v>
      </c>
      <c r="AI80" s="30" t="str">
        <f>INDEX(Teacher_Master!$B$2:$B$16,MATCH(AF80,Teacher_Master!$D$2:$D$16,0))</f>
        <v>Prof. Vikram Gupta</v>
      </c>
    </row>
    <row r="81" spans="1:35" ht="14.25" customHeight="1" x14ac:dyDescent="0.3">
      <c r="A81" s="31" t="s">
        <v>173</v>
      </c>
      <c r="B81" s="31" t="s">
        <v>2145</v>
      </c>
      <c r="C81" s="31" t="s">
        <v>2882</v>
      </c>
      <c r="D81" s="12">
        <f t="shared" ca="1" si="6"/>
        <v>21</v>
      </c>
      <c r="E81" s="12" t="str">
        <f ca="1">IF(Table1[[#This Row],[Age]]&lt;=22,"20-22",IF(Table1[[#This Row],[Age]]&lt;=25,"23-25",IF(Table1[[#This Row],[Age]]&lt;=28,"26-28","29-30")))</f>
        <v>20-22</v>
      </c>
      <c r="F81" s="12">
        <v>4.43</v>
      </c>
      <c r="G81" s="12">
        <v>3.79</v>
      </c>
      <c r="H81" s="12">
        <v>3.93</v>
      </c>
      <c r="I81" s="12">
        <v>4.37</v>
      </c>
      <c r="J81" s="12">
        <v>3.59</v>
      </c>
      <c r="K81" s="12">
        <v>3.8</v>
      </c>
      <c r="L81" s="12">
        <v>4.28</v>
      </c>
      <c r="M81" s="12">
        <v>4.1900000000000004</v>
      </c>
      <c r="N81" s="12">
        <v>4.05</v>
      </c>
      <c r="O81" s="12">
        <v>3.85</v>
      </c>
      <c r="P81" s="12">
        <f t="shared" si="7"/>
        <v>4.0220000000000002</v>
      </c>
      <c r="Q81" s="12">
        <f t="shared" si="8"/>
        <v>4.0199999999999996</v>
      </c>
      <c r="R81" s="12">
        <f t="shared" si="9"/>
        <v>4.0340000000000007</v>
      </c>
      <c r="S81" s="28">
        <f>IFERROR(INDEX('Clean Gamification Data'!$B:$B,MATCH($B81,'Clean Gamification Data'!$A:$A,0)),"Not Found")</f>
        <v>76.284101629999995</v>
      </c>
      <c r="T81" s="28">
        <f>IFERROR(INDEX('Clean Gamification Data'!$C:$C,MATCH($B81,'Clean Gamification Data'!$A:$A,0)),"Not Found")</f>
        <v>69.330561070000002</v>
      </c>
      <c r="U81" s="28">
        <f>IFERROR(INDEX('Clean Gamification Data'!$D:$D,MATCH($B81,'Clean Gamification Data'!$A:$A,0)),"Not Found")</f>
        <v>82.775417230000002</v>
      </c>
      <c r="V81" s="28">
        <f>IFERROR(INDEX('Clean Gamification Data'!$E:$E,MATCH($B81,'Clean Gamification Data'!$A:$A,0)),"Not Found")</f>
        <v>60.543894459999997</v>
      </c>
      <c r="W81" s="28">
        <f>IFERROR(INDEX('Clean Gamification Data'!$F:$F,MATCH($B81,'Clean Gamification Data'!$A:$A,0)),"Not Found")</f>
        <v>94.389537099999998</v>
      </c>
      <c r="X81" s="28">
        <f>IFERROR(INDEX('Clean Gamification Data'!$G:$G,MATCH($B81,'Clean Gamification Data'!$A:$A,0)),"Not Found")</f>
        <v>79.157114649999997</v>
      </c>
      <c r="Y81" s="28">
        <f>IFERROR(INDEX('Clean Gamification Data'!$H:$H,MATCH($B81,'Clean Gamification Data'!$A:$A,0)),"Not Found")</f>
        <v>69.692409429999998</v>
      </c>
      <c r="Z81" s="28">
        <f>IFERROR(INDEX('Clean Gamification Data'!$I:$I,MATCH($B81,'Clean Gamification Data'!$A:$A,0)),"Not Found")</f>
        <v>56.333680700000002</v>
      </c>
      <c r="AA81" s="28">
        <f>Table1[[#This Row],[Engagement (Gamification %)]]-Table1[[#This Row],[Engagement (Non-Gamification %)]]</f>
        <v>6.9535405599999933</v>
      </c>
      <c r="AB81" s="28">
        <f>Table1[[#This Row],[Motivation (Gamification %)]]-Table1[[#This Row],[Motivation (Non-Gamification %)]]</f>
        <v>22.231522770000005</v>
      </c>
      <c r="AC81" s="28">
        <f>Table1[[#This Row],[Participation (Gamification %)]]-Table1[[#This Row],[Participation (Non-Gamification %)]]</f>
        <v>15.232422450000001</v>
      </c>
      <c r="AD81" s="28">
        <f>Table1[[#This Row],[Learning Outcomes (Gamification %)]]-Table1[[#This Row],[Learning Outcomes (Non-Gamification %)]]</f>
        <v>13.358728729999996</v>
      </c>
      <c r="AE81" s="44" t="str">
        <f>IF(Table1[[#This Row],[Overall Effectiveness]]&lt;3.9,"Low",IF(Table1[[#This Row],[Overall Effectiveness]]&lt;4.2,"Medium","High"))</f>
        <v>Medium</v>
      </c>
      <c r="AF81" s="30" t="str">
        <f t="shared" si="10"/>
        <v>Lectures</v>
      </c>
      <c r="AG81" s="30" t="str">
        <f t="shared" si="11"/>
        <v>Case Studies</v>
      </c>
      <c r="AH81" s="27">
        <f>COUNTIF(Teacher_Master!$D$2:$D$16,AF81)</f>
        <v>3</v>
      </c>
      <c r="AI81" s="30" t="str">
        <f>INDEX(Teacher_Master!$B$2:$B$16,MATCH(AF81,Teacher_Master!$D$2:$D$16,0))</f>
        <v>Prof. Vikram Gupta</v>
      </c>
    </row>
    <row r="82" spans="1:35" ht="14.25" customHeight="1" x14ac:dyDescent="0.3">
      <c r="A82" s="31" t="s">
        <v>175</v>
      </c>
      <c r="B82" s="31" t="s">
        <v>176</v>
      </c>
      <c r="C82" s="31" t="s">
        <v>2881</v>
      </c>
      <c r="D82" s="12">
        <f t="shared" ca="1" si="6"/>
        <v>27</v>
      </c>
      <c r="E82" s="12" t="str">
        <f ca="1">IF(Table1[[#This Row],[Age]]&lt;=22,"20-22",IF(Table1[[#This Row],[Age]]&lt;=25,"23-25",IF(Table1[[#This Row],[Age]]&lt;=28,"26-28","29-30")))</f>
        <v>26-28</v>
      </c>
      <c r="F82" s="12">
        <v>4.2699999999999996</v>
      </c>
      <c r="G82" s="12">
        <v>3.84</v>
      </c>
      <c r="H82" s="12">
        <v>3.79</v>
      </c>
      <c r="I82" s="12">
        <v>4.05</v>
      </c>
      <c r="J82" s="12">
        <v>4.41</v>
      </c>
      <c r="K82" s="12">
        <v>4.66</v>
      </c>
      <c r="L82" s="12">
        <v>4.84</v>
      </c>
      <c r="M82" s="12">
        <v>3.76</v>
      </c>
      <c r="N82" s="12">
        <v>3.87</v>
      </c>
      <c r="O82" s="12">
        <v>4.67</v>
      </c>
      <c r="P82" s="12">
        <f t="shared" si="7"/>
        <v>4.0720000000000001</v>
      </c>
      <c r="Q82" s="12">
        <f t="shared" si="8"/>
        <v>4.07</v>
      </c>
      <c r="R82" s="12">
        <f t="shared" si="9"/>
        <v>4.3599999999999994</v>
      </c>
      <c r="S82" s="28">
        <f>IFERROR(INDEX('Clean Gamification Data'!$B:$B,MATCH($B82,'Clean Gamification Data'!$A:$A,0)),"Not Found")</f>
        <v>75</v>
      </c>
      <c r="T82" s="28">
        <f>IFERROR(INDEX('Clean Gamification Data'!$C:$C,MATCH($B82,'Clean Gamification Data'!$A:$A,0)),"Not Found")</f>
        <v>67.998358179999997</v>
      </c>
      <c r="U82" s="28">
        <f>IFERROR(INDEX('Clean Gamification Data'!$D:$D,MATCH($B82,'Clean Gamification Data'!$A:$A,0)),"Not Found")</f>
        <v>82.458932630000007</v>
      </c>
      <c r="V82" s="28">
        <f>IFERROR(INDEX('Clean Gamification Data'!$E:$E,MATCH($B82,'Clean Gamification Data'!$A:$A,0)),"Not Found")</f>
        <v>58.102996470000001</v>
      </c>
      <c r="W82" s="28">
        <f>IFERROR(INDEX('Clean Gamification Data'!$F:$F,MATCH($B82,'Clean Gamification Data'!$A:$A,0)),"Not Found")</f>
        <v>85.489588179999998</v>
      </c>
      <c r="X82" s="28">
        <f>IFERROR(INDEX('Clean Gamification Data'!$G:$G,MATCH($B82,'Clean Gamification Data'!$A:$A,0)),"Not Found")</f>
        <v>79.931124690000004</v>
      </c>
      <c r="Y82" s="28">
        <f>IFERROR(INDEX('Clean Gamification Data'!$H:$H,MATCH($B82,'Clean Gamification Data'!$A:$A,0)),"Not Found")</f>
        <v>73.493302479999997</v>
      </c>
      <c r="Z82" s="28">
        <f>IFERROR(INDEX('Clean Gamification Data'!$I:$I,MATCH($B82,'Clean Gamification Data'!$A:$A,0)),"Not Found")</f>
        <v>60.079438189999998</v>
      </c>
      <c r="AA82" s="28">
        <f>Table1[[#This Row],[Engagement (Gamification %)]]-Table1[[#This Row],[Engagement (Non-Gamification %)]]</f>
        <v>7.0016418200000032</v>
      </c>
      <c r="AB82" s="28">
        <f>Table1[[#This Row],[Motivation (Gamification %)]]-Table1[[#This Row],[Motivation (Non-Gamification %)]]</f>
        <v>24.355936160000006</v>
      </c>
      <c r="AC82" s="28">
        <f>Table1[[#This Row],[Participation (Gamification %)]]-Table1[[#This Row],[Participation (Non-Gamification %)]]</f>
        <v>5.5584634899999941</v>
      </c>
      <c r="AD82" s="28">
        <f>Table1[[#This Row],[Learning Outcomes (Gamification %)]]-Table1[[#This Row],[Learning Outcomes (Non-Gamification %)]]</f>
        <v>13.413864289999999</v>
      </c>
      <c r="AE82" s="44" t="str">
        <f>IF(Table1[[#This Row],[Overall Effectiveness]]&lt;3.9,"Low",IF(Table1[[#This Row],[Overall Effectiveness]]&lt;4.2,"Medium","High"))</f>
        <v>Medium</v>
      </c>
      <c r="AF82" s="30" t="str">
        <f t="shared" si="10"/>
        <v>Online Tutorials</v>
      </c>
      <c r="AG82" s="30" t="str">
        <f t="shared" si="11"/>
        <v>Case Studies</v>
      </c>
      <c r="AH82" s="27">
        <f>COUNTIF(Teacher_Master!$D$2:$D$16,AF82)</f>
        <v>3</v>
      </c>
      <c r="AI82" s="30" t="str">
        <f>INDEX(Teacher_Master!$B$2:$B$16,MATCH(AF82,Teacher_Master!$D$2:$D$16,0))</f>
        <v>Prof. Kavita Rao</v>
      </c>
    </row>
    <row r="83" spans="1:35" ht="14.25" customHeight="1" x14ac:dyDescent="0.3">
      <c r="A83" s="31" t="s">
        <v>177</v>
      </c>
      <c r="B83" s="31" t="s">
        <v>178</v>
      </c>
      <c r="C83" s="31" t="s">
        <v>2882</v>
      </c>
      <c r="D83" s="12">
        <f t="shared" ca="1" si="6"/>
        <v>23</v>
      </c>
      <c r="E83" s="12" t="str">
        <f ca="1">IF(Table1[[#This Row],[Age]]&lt;=22,"20-22",IF(Table1[[#This Row],[Age]]&lt;=25,"23-25",IF(Table1[[#This Row],[Age]]&lt;=28,"26-28","29-30")))</f>
        <v>23-25</v>
      </c>
      <c r="F83" s="12">
        <v>4.22</v>
      </c>
      <c r="G83" s="12">
        <v>4.01</v>
      </c>
      <c r="H83" s="12">
        <v>4.67</v>
      </c>
      <c r="I83" s="12">
        <v>3.92</v>
      </c>
      <c r="J83" s="12">
        <v>3.91</v>
      </c>
      <c r="K83" s="12">
        <v>3.17</v>
      </c>
      <c r="L83" s="12">
        <v>4.62</v>
      </c>
      <c r="M83" s="12">
        <v>3.93</v>
      </c>
      <c r="N83" s="12">
        <v>3.67</v>
      </c>
      <c r="O83" s="12">
        <v>4.47</v>
      </c>
      <c r="P83" s="12">
        <f t="shared" si="7"/>
        <v>4.1459999999999999</v>
      </c>
      <c r="Q83" s="12">
        <f t="shared" si="8"/>
        <v>4.1500000000000004</v>
      </c>
      <c r="R83" s="12">
        <f t="shared" si="9"/>
        <v>3.972</v>
      </c>
      <c r="S83" s="28">
        <f>IFERROR(INDEX('Clean Gamification Data'!$B:$B,MATCH($B83,'Clean Gamification Data'!$A:$A,0)),"Not Found")</f>
        <v>75</v>
      </c>
      <c r="T83" s="28">
        <f>IFERROR(INDEX('Clean Gamification Data'!$C:$C,MATCH($B83,'Clean Gamification Data'!$A:$A,0)),"Not Found")</f>
        <v>69.698421550000006</v>
      </c>
      <c r="U83" s="28">
        <f>IFERROR(INDEX('Clean Gamification Data'!$D:$D,MATCH($B83,'Clean Gamification Data'!$A:$A,0)),"Not Found")</f>
        <v>72.11824421</v>
      </c>
      <c r="V83" s="28">
        <f>IFERROR(INDEX('Clean Gamification Data'!$E:$E,MATCH($B83,'Clean Gamification Data'!$A:$A,0)),"Not Found")</f>
        <v>73.763444120000003</v>
      </c>
      <c r="W83" s="28">
        <f>IFERROR(INDEX('Clean Gamification Data'!$F:$F,MATCH($B83,'Clean Gamification Data'!$A:$A,0)),"Not Found")</f>
        <v>85.931419399999996</v>
      </c>
      <c r="X83" s="28">
        <f>IFERROR(INDEX('Clean Gamification Data'!$G:$G,MATCH($B83,'Clean Gamification Data'!$A:$A,0)),"Not Found")</f>
        <v>77.295504219999998</v>
      </c>
      <c r="Y83" s="28">
        <f>IFERROR(INDEX('Clean Gamification Data'!$H:$H,MATCH($B83,'Clean Gamification Data'!$A:$A,0)),"Not Found")</f>
        <v>70.06065692</v>
      </c>
      <c r="Z83" s="28">
        <f>IFERROR(INDEX('Clean Gamification Data'!$I:$I,MATCH($B83,'Clean Gamification Data'!$A:$A,0)),"Not Found")</f>
        <v>50</v>
      </c>
      <c r="AA83" s="28">
        <f>Table1[[#This Row],[Engagement (Gamification %)]]-Table1[[#This Row],[Engagement (Non-Gamification %)]]</f>
        <v>5.3015784499999938</v>
      </c>
      <c r="AB83" s="28">
        <f>Table1[[#This Row],[Motivation (Gamification %)]]-Table1[[#This Row],[Motivation (Non-Gamification %)]]</f>
        <v>-1.6451999100000023</v>
      </c>
      <c r="AC83" s="28">
        <f>Table1[[#This Row],[Participation (Gamification %)]]-Table1[[#This Row],[Participation (Non-Gamification %)]]</f>
        <v>8.6359151799999978</v>
      </c>
      <c r="AD83" s="28">
        <f>Table1[[#This Row],[Learning Outcomes (Gamification %)]]-Table1[[#This Row],[Learning Outcomes (Non-Gamification %)]]</f>
        <v>20.06065692</v>
      </c>
      <c r="AE83" s="44" t="str">
        <f>IF(Table1[[#This Row],[Overall Effectiveness]]&lt;3.9,"Low",IF(Table1[[#This Row],[Overall Effectiveness]]&lt;4.2,"Medium","High"))</f>
        <v>Medium</v>
      </c>
      <c r="AF83" s="30" t="str">
        <f t="shared" si="10"/>
        <v>Group Projects</v>
      </c>
      <c r="AG83" s="30" t="str">
        <f t="shared" si="11"/>
        <v>Case Studies</v>
      </c>
      <c r="AH83" s="27">
        <f>COUNTIF(Teacher_Master!$D$2:$D$16,AF83)</f>
        <v>3</v>
      </c>
      <c r="AI83" s="30" t="str">
        <f>INDEX(Teacher_Master!$B$2:$B$16,MATCH(AF83,Teacher_Master!$D$2:$D$16,0))</f>
        <v>Dr. Rohan Dutta</v>
      </c>
    </row>
    <row r="84" spans="1:35" ht="14.25" customHeight="1" x14ac:dyDescent="0.3">
      <c r="A84" s="31" t="s">
        <v>179</v>
      </c>
      <c r="B84" s="31" t="s">
        <v>180</v>
      </c>
      <c r="C84" s="31" t="s">
        <v>2881</v>
      </c>
      <c r="D84" s="12">
        <f t="shared" ca="1" si="6"/>
        <v>27</v>
      </c>
      <c r="E84" s="12" t="str">
        <f ca="1">IF(Table1[[#This Row],[Age]]&lt;=22,"20-22",IF(Table1[[#This Row],[Age]]&lt;=25,"23-25",IF(Table1[[#This Row],[Age]]&lt;=28,"26-28","29-30")))</f>
        <v>26-28</v>
      </c>
      <c r="F84" s="12">
        <v>3.71</v>
      </c>
      <c r="G84" s="12">
        <v>3.97</v>
      </c>
      <c r="H84" s="12" t="s">
        <v>211</v>
      </c>
      <c r="I84" s="12" t="s">
        <v>211</v>
      </c>
      <c r="J84" s="12">
        <v>3.54</v>
      </c>
      <c r="K84" s="12">
        <v>3.75</v>
      </c>
      <c r="L84" s="12">
        <v>4.1900000000000004</v>
      </c>
      <c r="M84" s="12">
        <v>3.99</v>
      </c>
      <c r="N84" s="12">
        <v>4.0599999999999996</v>
      </c>
      <c r="O84" s="12">
        <v>4.12</v>
      </c>
      <c r="P84" s="12">
        <f t="shared" si="7"/>
        <v>3.7399999999999998</v>
      </c>
      <c r="Q84" s="12">
        <f t="shared" si="8"/>
        <v>3.74</v>
      </c>
      <c r="R84" s="12">
        <f t="shared" si="9"/>
        <v>4.0220000000000002</v>
      </c>
      <c r="S84" s="28">
        <f>IFERROR(INDEX('Clean Gamification Data'!$B:$B,MATCH($B84,'Clean Gamification Data'!$A:$A,0)),"Not Found")</f>
        <v>80.433093589999999</v>
      </c>
      <c r="T84" s="28">
        <f>IFERROR(INDEX('Clean Gamification Data'!$C:$C,MATCH($B84,'Clean Gamification Data'!$A:$A,0)),"Not Found")</f>
        <v>63.38311633</v>
      </c>
      <c r="U84" s="28">
        <f>IFERROR(INDEX('Clean Gamification Data'!$D:$D,MATCH($B84,'Clean Gamification Data'!$A:$A,0)),"Not Found")</f>
        <v>72.520845789999996</v>
      </c>
      <c r="V84" s="28">
        <f>IFERROR(INDEX('Clean Gamification Data'!$E:$E,MATCH($B84,'Clean Gamification Data'!$A:$A,0)),"Not Found")</f>
        <v>65.653037920000003</v>
      </c>
      <c r="W84" s="28">
        <f>IFERROR(INDEX('Clean Gamification Data'!$F:$F,MATCH($B84,'Clean Gamification Data'!$A:$A,0)),"Not Found")</f>
        <v>90.268743069999999</v>
      </c>
      <c r="X84" s="28">
        <f>IFERROR(INDEX('Clean Gamification Data'!$G:$G,MATCH($B84,'Clean Gamification Data'!$A:$A,0)),"Not Found")</f>
        <v>72.570810649999999</v>
      </c>
      <c r="Y84" s="28">
        <f>IFERROR(INDEX('Clean Gamification Data'!$H:$H,MATCH($B84,'Clean Gamification Data'!$A:$A,0)),"Not Found")</f>
        <v>67.801749459999996</v>
      </c>
      <c r="Z84" s="28">
        <f>IFERROR(INDEX('Clean Gamification Data'!$I:$I,MATCH($B84,'Clean Gamification Data'!$A:$A,0)),"Not Found")</f>
        <v>61.470168409999999</v>
      </c>
      <c r="AA84" s="28">
        <f>Table1[[#This Row],[Engagement (Gamification %)]]-Table1[[#This Row],[Engagement (Non-Gamification %)]]</f>
        <v>17.049977259999999</v>
      </c>
      <c r="AB84" s="28">
        <f>Table1[[#This Row],[Motivation (Gamification %)]]-Table1[[#This Row],[Motivation (Non-Gamification %)]]</f>
        <v>6.8678078699999929</v>
      </c>
      <c r="AC84" s="28">
        <f>Table1[[#This Row],[Participation (Gamification %)]]-Table1[[#This Row],[Participation (Non-Gamification %)]]</f>
        <v>17.697932420000001</v>
      </c>
      <c r="AD84" s="28">
        <f>Table1[[#This Row],[Learning Outcomes (Gamification %)]]-Table1[[#This Row],[Learning Outcomes (Non-Gamification %)]]</f>
        <v>6.3315810499999969</v>
      </c>
      <c r="AE84" s="44" t="str">
        <f>IF(Table1[[#This Row],[Overall Effectiveness]]&lt;3.9,"Low",IF(Table1[[#This Row],[Overall Effectiveness]]&lt;4.2,"Medium","High"))</f>
        <v>Low</v>
      </c>
      <c r="AF84" s="30" t="str">
        <f t="shared" si="10"/>
        <v>Case Studies</v>
      </c>
      <c r="AG84" s="30" t="str">
        <f t="shared" si="11"/>
        <v>Case Studies</v>
      </c>
      <c r="AH84" s="27">
        <f>COUNTIF(Teacher_Master!$D$2:$D$16,AF84)</f>
        <v>3</v>
      </c>
      <c r="AI84" s="30" t="str">
        <f>INDEX(Teacher_Master!$B$2:$B$16,MATCH(AF84,Teacher_Master!$D$2:$D$16,0))</f>
        <v>Prof. Rajesh Mukherjee</v>
      </c>
    </row>
    <row r="85" spans="1:35" ht="14.25" customHeight="1" x14ac:dyDescent="0.3">
      <c r="A85" s="31" t="s">
        <v>181</v>
      </c>
      <c r="B85" s="31" t="s">
        <v>2146</v>
      </c>
      <c r="C85" s="31" t="s">
        <v>2882</v>
      </c>
      <c r="D85" s="12">
        <f t="shared" ca="1" si="6"/>
        <v>29</v>
      </c>
      <c r="E85" s="12" t="str">
        <f ca="1">IF(Table1[[#This Row],[Age]]&lt;=22,"20-22",IF(Table1[[#This Row],[Age]]&lt;=25,"23-25",IF(Table1[[#This Row],[Age]]&lt;=28,"26-28","29-30")))</f>
        <v>29-30</v>
      </c>
      <c r="F85" s="12">
        <v>4.25</v>
      </c>
      <c r="G85" s="12">
        <v>3.94</v>
      </c>
      <c r="H85" s="12">
        <v>4.5999999999999996</v>
      </c>
      <c r="I85" s="12">
        <v>4.28</v>
      </c>
      <c r="J85" s="12">
        <v>4.28</v>
      </c>
      <c r="K85" s="12">
        <v>3.9</v>
      </c>
      <c r="L85" s="12">
        <v>3.9</v>
      </c>
      <c r="M85" s="12">
        <v>4.1500000000000004</v>
      </c>
      <c r="N85" s="12">
        <v>4.3099999999999996</v>
      </c>
      <c r="O85" s="12" t="s">
        <v>211</v>
      </c>
      <c r="P85" s="12">
        <f t="shared" si="7"/>
        <v>4.2700000000000005</v>
      </c>
      <c r="Q85" s="12">
        <f t="shared" si="8"/>
        <v>4.2699999999999996</v>
      </c>
      <c r="R85" s="12">
        <f t="shared" si="9"/>
        <v>4.0649999999999995</v>
      </c>
      <c r="S85" s="28">
        <f>IFERROR(INDEX('Clean Gamification Data'!$B:$B,MATCH($B85,'Clean Gamification Data'!$A:$A,0)),"Not Found")</f>
        <v>97.013962629999995</v>
      </c>
      <c r="T85" s="28">
        <f>IFERROR(INDEX('Clean Gamification Data'!$C:$C,MATCH($B85,'Clean Gamification Data'!$A:$A,0)),"Not Found")</f>
        <v>74.171056789999994</v>
      </c>
      <c r="U85" s="28">
        <f>IFERROR(INDEX('Clean Gamification Data'!$D:$D,MATCH($B85,'Clean Gamification Data'!$A:$A,0)),"Not Found")</f>
        <v>81.231958980000002</v>
      </c>
      <c r="V85" s="28">
        <f>IFERROR(INDEX('Clean Gamification Data'!$E:$E,MATCH($B85,'Clean Gamification Data'!$A:$A,0)),"Not Found")</f>
        <v>58.040417900000001</v>
      </c>
      <c r="W85" s="28">
        <f>IFERROR(INDEX('Clean Gamification Data'!$F:$F,MATCH($B85,'Clean Gamification Data'!$A:$A,0)),"Not Found")</f>
        <v>83.29725612</v>
      </c>
      <c r="X85" s="28">
        <f>IFERROR(INDEX('Clean Gamification Data'!$G:$G,MATCH($B85,'Clean Gamification Data'!$A:$A,0)),"Not Found")</f>
        <v>79.864202140000003</v>
      </c>
      <c r="Y85" s="28">
        <f>IFERROR(INDEX('Clean Gamification Data'!$H:$H,MATCH($B85,'Clean Gamification Data'!$A:$A,0)),"Not Found")</f>
        <v>71.595814660000002</v>
      </c>
      <c r="Z85" s="28">
        <f>IFERROR(INDEX('Clean Gamification Data'!$I:$I,MATCH($B85,'Clean Gamification Data'!$A:$A,0)),"Not Found")</f>
        <v>63.263308379999998</v>
      </c>
      <c r="AA85" s="28">
        <f>Table1[[#This Row],[Engagement (Gamification %)]]-Table1[[#This Row],[Engagement (Non-Gamification %)]]</f>
        <v>22.84290584</v>
      </c>
      <c r="AB85" s="28">
        <f>Table1[[#This Row],[Motivation (Gamification %)]]-Table1[[#This Row],[Motivation (Non-Gamification %)]]</f>
        <v>23.19154108</v>
      </c>
      <c r="AC85" s="28">
        <f>Table1[[#This Row],[Participation (Gamification %)]]-Table1[[#This Row],[Participation (Non-Gamification %)]]</f>
        <v>3.4330539799999968</v>
      </c>
      <c r="AD85" s="28">
        <f>Table1[[#This Row],[Learning Outcomes (Gamification %)]]-Table1[[#This Row],[Learning Outcomes (Non-Gamification %)]]</f>
        <v>8.332506280000004</v>
      </c>
      <c r="AE85" s="44" t="str">
        <f>IF(Table1[[#This Row],[Overall Effectiveness]]&lt;3.9,"Low",IF(Table1[[#This Row],[Overall Effectiveness]]&lt;4.2,"Medium","High"))</f>
        <v>High</v>
      </c>
      <c r="AF85" s="30" t="str">
        <f t="shared" si="10"/>
        <v>Group Projects</v>
      </c>
      <c r="AG85" s="30" t="str">
        <f t="shared" si="11"/>
        <v>Experiments</v>
      </c>
      <c r="AH85" s="27">
        <f>COUNTIF(Teacher_Master!$D$2:$D$16,AF85)</f>
        <v>3</v>
      </c>
      <c r="AI85" s="30" t="str">
        <f>INDEX(Teacher_Master!$B$2:$B$16,MATCH(AF85,Teacher_Master!$D$2:$D$16,0))</f>
        <v>Dr. Rohan Dutta</v>
      </c>
    </row>
    <row r="86" spans="1:35" ht="14.25" customHeight="1" x14ac:dyDescent="0.3">
      <c r="A86" s="31" t="s">
        <v>183</v>
      </c>
      <c r="B86" s="31" t="s">
        <v>2147</v>
      </c>
      <c r="C86" s="31" t="s">
        <v>2882</v>
      </c>
      <c r="D86" s="12">
        <f t="shared" ca="1" si="6"/>
        <v>26</v>
      </c>
      <c r="E86" s="12" t="str">
        <f ca="1">IF(Table1[[#This Row],[Age]]&lt;=22,"20-22",IF(Table1[[#This Row],[Age]]&lt;=25,"23-25",IF(Table1[[#This Row],[Age]]&lt;=28,"26-28","29-30")))</f>
        <v>26-28</v>
      </c>
      <c r="F86" s="12">
        <v>4.5999999999999996</v>
      </c>
      <c r="G86" s="12">
        <v>4.43</v>
      </c>
      <c r="H86" s="12">
        <v>4.28</v>
      </c>
      <c r="I86" s="12">
        <v>4.3099999999999996</v>
      </c>
      <c r="J86" s="12">
        <v>3.8</v>
      </c>
      <c r="K86" s="12">
        <v>3.59</v>
      </c>
      <c r="L86" s="12">
        <v>4.3600000000000003</v>
      </c>
      <c r="M86" s="12">
        <v>3.94</v>
      </c>
      <c r="N86" s="12">
        <v>4.04</v>
      </c>
      <c r="O86" s="12">
        <v>3.86</v>
      </c>
      <c r="P86" s="12">
        <f t="shared" si="7"/>
        <v>4.2839999999999998</v>
      </c>
      <c r="Q86" s="12">
        <f t="shared" si="8"/>
        <v>4.28</v>
      </c>
      <c r="R86" s="12">
        <f t="shared" si="9"/>
        <v>3.9579999999999997</v>
      </c>
      <c r="S86" s="28">
        <f>IFERROR(INDEX('Clean Gamification Data'!$B:$B,MATCH($B86,'Clean Gamification Data'!$A:$A,0)),"Not Found")</f>
        <v>99.9</v>
      </c>
      <c r="T86" s="28">
        <f>IFERROR(INDEX('Clean Gamification Data'!$C:$C,MATCH($B86,'Clean Gamification Data'!$A:$A,0)),"Not Found")</f>
        <v>69.952336040000006</v>
      </c>
      <c r="U86" s="28">
        <f>IFERROR(INDEX('Clean Gamification Data'!$D:$D,MATCH($B86,'Clean Gamification Data'!$A:$A,0)),"Not Found")</f>
        <v>81.80300269</v>
      </c>
      <c r="V86" s="28">
        <f>IFERROR(INDEX('Clean Gamification Data'!$E:$E,MATCH($B86,'Clean Gamification Data'!$A:$A,0)),"Not Found")</f>
        <v>75</v>
      </c>
      <c r="W86" s="28">
        <f>IFERROR(INDEX('Clean Gamification Data'!$F:$F,MATCH($B86,'Clean Gamification Data'!$A:$A,0)),"Not Found")</f>
        <v>99.9</v>
      </c>
      <c r="X86" s="28">
        <f>IFERROR(INDEX('Clean Gamification Data'!$G:$G,MATCH($B86,'Clean Gamification Data'!$A:$A,0)),"Not Found")</f>
        <v>74.144986939999995</v>
      </c>
      <c r="Y86" s="28">
        <f>IFERROR(INDEX('Clean Gamification Data'!$H:$H,MATCH($B86,'Clean Gamification Data'!$A:$A,0)),"Not Found")</f>
        <v>66.085497059999994</v>
      </c>
      <c r="Z86" s="28">
        <f>IFERROR(INDEX('Clean Gamification Data'!$I:$I,MATCH($B86,'Clean Gamification Data'!$A:$A,0)),"Not Found")</f>
        <v>52.548786720000003</v>
      </c>
      <c r="AA86" s="28">
        <f>Table1[[#This Row],[Engagement (Gamification %)]]-Table1[[#This Row],[Engagement (Non-Gamification %)]]</f>
        <v>29.94766396</v>
      </c>
      <c r="AB86" s="28">
        <f>Table1[[#This Row],[Motivation (Gamification %)]]-Table1[[#This Row],[Motivation (Non-Gamification %)]]</f>
        <v>6.8030026899999996</v>
      </c>
      <c r="AC86" s="28">
        <f>Table1[[#This Row],[Participation (Gamification %)]]-Table1[[#This Row],[Participation (Non-Gamification %)]]</f>
        <v>25.75501306000001</v>
      </c>
      <c r="AD86" s="28">
        <f>Table1[[#This Row],[Learning Outcomes (Gamification %)]]-Table1[[#This Row],[Learning Outcomes (Non-Gamification %)]]</f>
        <v>13.536710339999992</v>
      </c>
      <c r="AE86" s="44" t="str">
        <f>IF(Table1[[#This Row],[Overall Effectiveness]]&lt;3.9,"Low",IF(Table1[[#This Row],[Overall Effectiveness]]&lt;4.2,"Medium","High"))</f>
        <v>High</v>
      </c>
      <c r="AF86" s="30" t="str">
        <f t="shared" si="10"/>
        <v>Lectures</v>
      </c>
      <c r="AG86" s="30" t="str">
        <f t="shared" si="11"/>
        <v>Case Studies</v>
      </c>
      <c r="AH86" s="27">
        <f>COUNTIF(Teacher_Master!$D$2:$D$16,AF86)</f>
        <v>3</v>
      </c>
      <c r="AI86" s="30" t="str">
        <f>INDEX(Teacher_Master!$B$2:$B$16,MATCH(AF86,Teacher_Master!$D$2:$D$16,0))</f>
        <v>Prof. Vikram Gupta</v>
      </c>
    </row>
    <row r="87" spans="1:35" ht="14.25" customHeight="1" x14ac:dyDescent="0.3">
      <c r="A87" s="31" t="s">
        <v>185</v>
      </c>
      <c r="B87" s="31" t="s">
        <v>2148</v>
      </c>
      <c r="C87" s="31" t="s">
        <v>2882</v>
      </c>
      <c r="D87" s="12">
        <f t="shared" ca="1" si="6"/>
        <v>22</v>
      </c>
      <c r="E87" s="12" t="str">
        <f ca="1">IF(Table1[[#This Row],[Age]]&lt;=22,"20-22",IF(Table1[[#This Row],[Age]]&lt;=25,"23-25",IF(Table1[[#This Row],[Age]]&lt;=28,"26-28","29-30")))</f>
        <v>20-22</v>
      </c>
      <c r="F87" s="12">
        <v>4.2699999999999996</v>
      </c>
      <c r="G87" s="12">
        <v>3.67</v>
      </c>
      <c r="H87" s="12">
        <v>4.29</v>
      </c>
      <c r="I87" s="12">
        <v>3.95</v>
      </c>
      <c r="J87" s="12">
        <v>3.97</v>
      </c>
      <c r="K87" s="12">
        <v>3.84</v>
      </c>
      <c r="L87" s="12">
        <v>3.83</v>
      </c>
      <c r="M87" s="12">
        <v>4.13</v>
      </c>
      <c r="N87" s="12">
        <v>3.46</v>
      </c>
      <c r="O87" s="12" t="s">
        <v>211</v>
      </c>
      <c r="P87" s="12">
        <f t="shared" si="7"/>
        <v>4.0299999999999994</v>
      </c>
      <c r="Q87" s="12">
        <f t="shared" si="8"/>
        <v>4.03</v>
      </c>
      <c r="R87" s="12">
        <f t="shared" si="9"/>
        <v>3.8150000000000004</v>
      </c>
      <c r="S87" s="28">
        <f>IFERROR(INDEX('Clean Gamification Data'!$B:$B,MATCH($B87,'Clean Gamification Data'!$A:$A,0)),"Not Found")</f>
        <v>83.511167380000003</v>
      </c>
      <c r="T87" s="28">
        <f>IFERROR(INDEX('Clean Gamification Data'!$C:$C,MATCH($B87,'Clean Gamification Data'!$A:$A,0)),"Not Found")</f>
        <v>67.052209079999997</v>
      </c>
      <c r="U87" s="28">
        <f>IFERROR(INDEX('Clean Gamification Data'!$D:$D,MATCH($B87,'Clean Gamification Data'!$A:$A,0)),"Not Found")</f>
        <v>75.218729830000001</v>
      </c>
      <c r="V87" s="28">
        <f>IFERROR(INDEX('Clean Gamification Data'!$E:$E,MATCH($B87,'Clean Gamification Data'!$A:$A,0)),"Not Found")</f>
        <v>70.321547949999996</v>
      </c>
      <c r="W87" s="28">
        <f>IFERROR(INDEX('Clean Gamification Data'!$F:$F,MATCH($B87,'Clean Gamification Data'!$A:$A,0)),"Not Found")</f>
        <v>87.965677869999993</v>
      </c>
      <c r="X87" s="28">
        <f>IFERROR(INDEX('Clean Gamification Data'!$G:$G,MATCH($B87,'Clean Gamification Data'!$A:$A,0)),"Not Found")</f>
        <v>70.107767050000007</v>
      </c>
      <c r="Y87" s="28">
        <f>IFERROR(INDEX('Clean Gamification Data'!$H:$H,MATCH($B87,'Clean Gamification Data'!$A:$A,0)),"Not Found")</f>
        <v>73.058640150000002</v>
      </c>
      <c r="Z87" s="28">
        <f>IFERROR(INDEX('Clean Gamification Data'!$I:$I,MATCH($B87,'Clean Gamification Data'!$A:$A,0)),"Not Found")</f>
        <v>66.232228599999999</v>
      </c>
      <c r="AA87" s="28">
        <f>Table1[[#This Row],[Engagement (Gamification %)]]-Table1[[#This Row],[Engagement (Non-Gamification %)]]</f>
        <v>16.458958300000006</v>
      </c>
      <c r="AB87" s="28">
        <f>Table1[[#This Row],[Motivation (Gamification %)]]-Table1[[#This Row],[Motivation (Non-Gamification %)]]</f>
        <v>4.8971818800000051</v>
      </c>
      <c r="AC87" s="28">
        <f>Table1[[#This Row],[Participation (Gamification %)]]-Table1[[#This Row],[Participation (Non-Gamification %)]]</f>
        <v>17.857910819999987</v>
      </c>
      <c r="AD87" s="28">
        <f>Table1[[#This Row],[Learning Outcomes (Gamification %)]]-Table1[[#This Row],[Learning Outcomes (Non-Gamification %)]]</f>
        <v>6.8264115500000031</v>
      </c>
      <c r="AE87" s="44" t="str">
        <f>IF(Table1[[#This Row],[Overall Effectiveness]]&lt;3.9,"Low",IF(Table1[[#This Row],[Overall Effectiveness]]&lt;4.2,"Medium","High"))</f>
        <v>Medium</v>
      </c>
      <c r="AF87" s="30" t="str">
        <f t="shared" si="10"/>
        <v>Group Projects</v>
      </c>
      <c r="AG87" s="30" t="str">
        <f t="shared" si="11"/>
        <v>Group Projects</v>
      </c>
      <c r="AH87" s="27">
        <f>COUNTIF(Teacher_Master!$D$2:$D$16,AF87)</f>
        <v>3</v>
      </c>
      <c r="AI87" s="30" t="str">
        <f>INDEX(Teacher_Master!$B$2:$B$16,MATCH(AF87,Teacher_Master!$D$2:$D$16,0))</f>
        <v>Dr. Rohan Dutta</v>
      </c>
    </row>
    <row r="88" spans="1:35" ht="14.25" customHeight="1" x14ac:dyDescent="0.3">
      <c r="A88" s="31" t="s">
        <v>187</v>
      </c>
      <c r="B88" s="31" t="s">
        <v>2149</v>
      </c>
      <c r="C88" s="31" t="s">
        <v>2882</v>
      </c>
      <c r="D88" s="12">
        <f t="shared" ca="1" si="6"/>
        <v>28</v>
      </c>
      <c r="E88" s="12" t="str">
        <f ca="1">IF(Table1[[#This Row],[Age]]&lt;=22,"20-22",IF(Table1[[#This Row],[Age]]&lt;=25,"23-25",IF(Table1[[#This Row],[Age]]&lt;=28,"26-28","29-30")))</f>
        <v>26-28</v>
      </c>
      <c r="F88" s="12">
        <v>4.43</v>
      </c>
      <c r="G88" s="12">
        <v>3.78</v>
      </c>
      <c r="H88" s="12">
        <v>4.29</v>
      </c>
      <c r="I88" s="12">
        <v>4.1500000000000004</v>
      </c>
      <c r="J88" s="12" t="s">
        <v>211</v>
      </c>
      <c r="K88" s="12">
        <v>3.9</v>
      </c>
      <c r="L88" s="12">
        <v>4.1100000000000003</v>
      </c>
      <c r="M88" s="12">
        <v>3.92</v>
      </c>
      <c r="N88" s="12">
        <v>4.16</v>
      </c>
      <c r="O88" s="12">
        <v>4.49</v>
      </c>
      <c r="P88" s="12">
        <f t="shared" si="7"/>
        <v>4.1624999999999996</v>
      </c>
      <c r="Q88" s="12">
        <f t="shared" si="8"/>
        <v>4.16</v>
      </c>
      <c r="R88" s="12">
        <f t="shared" si="9"/>
        <v>4.1159999999999997</v>
      </c>
      <c r="S88" s="28">
        <f>IFERROR(INDEX('Clean Gamification Data'!$B:$B,MATCH($B88,'Clean Gamification Data'!$A:$A,0)),"Not Found")</f>
        <v>99.9</v>
      </c>
      <c r="T88" s="28">
        <f>IFERROR(INDEX('Clean Gamification Data'!$C:$C,MATCH($B88,'Clean Gamification Data'!$A:$A,0)),"Not Found")</f>
        <v>73.935320919999995</v>
      </c>
      <c r="U88" s="28">
        <f>IFERROR(INDEX('Clean Gamification Data'!$D:$D,MATCH($B88,'Clean Gamification Data'!$A:$A,0)),"Not Found")</f>
        <v>71.088720510000002</v>
      </c>
      <c r="V88" s="28">
        <f>IFERROR(INDEX('Clean Gamification Data'!$E:$E,MATCH($B88,'Clean Gamification Data'!$A:$A,0)),"Not Found")</f>
        <v>65.646588980000004</v>
      </c>
      <c r="W88" s="28">
        <f>IFERROR(INDEX('Clean Gamification Data'!$F:$F,MATCH($B88,'Clean Gamification Data'!$A:$A,0)),"Not Found")</f>
        <v>91.808935590000004</v>
      </c>
      <c r="X88" s="28">
        <f>IFERROR(INDEX('Clean Gamification Data'!$G:$G,MATCH($B88,'Clean Gamification Data'!$A:$A,0)),"Not Found")</f>
        <v>76.459147639999998</v>
      </c>
      <c r="Y88" s="28">
        <f>IFERROR(INDEX('Clean Gamification Data'!$H:$H,MATCH($B88,'Clean Gamification Data'!$A:$A,0)),"Not Found")</f>
        <v>67.941009269999995</v>
      </c>
      <c r="Z88" s="28">
        <f>IFERROR(INDEX('Clean Gamification Data'!$I:$I,MATCH($B88,'Clean Gamification Data'!$A:$A,0)),"Not Found")</f>
        <v>64.566891060000003</v>
      </c>
      <c r="AA88" s="28">
        <f>Table1[[#This Row],[Engagement (Gamification %)]]-Table1[[#This Row],[Engagement (Non-Gamification %)]]</f>
        <v>25.96467908000001</v>
      </c>
      <c r="AB88" s="28">
        <f>Table1[[#This Row],[Motivation (Gamification %)]]-Table1[[#This Row],[Motivation (Non-Gamification %)]]</f>
        <v>5.4421315299999975</v>
      </c>
      <c r="AC88" s="28">
        <f>Table1[[#This Row],[Participation (Gamification %)]]-Table1[[#This Row],[Participation (Non-Gamification %)]]</f>
        <v>15.349787950000007</v>
      </c>
      <c r="AD88" s="28">
        <f>Table1[[#This Row],[Learning Outcomes (Gamification %)]]-Table1[[#This Row],[Learning Outcomes (Non-Gamification %)]]</f>
        <v>3.3741182099999918</v>
      </c>
      <c r="AE88" s="44" t="str">
        <f>IF(Table1[[#This Row],[Overall Effectiveness]]&lt;3.9,"Low",IF(Table1[[#This Row],[Overall Effectiveness]]&lt;4.2,"Medium","High"))</f>
        <v>Medium</v>
      </c>
      <c r="AF88" s="30" t="str">
        <f t="shared" si="10"/>
        <v>Lectures</v>
      </c>
      <c r="AG88" s="30" t="str">
        <f t="shared" si="11"/>
        <v>Online Tutorials</v>
      </c>
      <c r="AH88" s="27">
        <f>COUNTIF(Teacher_Master!$D$2:$D$16,AF88)</f>
        <v>3</v>
      </c>
      <c r="AI88" s="30" t="str">
        <f>INDEX(Teacher_Master!$B$2:$B$16,MATCH(AF88,Teacher_Master!$D$2:$D$16,0))</f>
        <v>Prof. Vikram Gupta</v>
      </c>
    </row>
    <row r="89" spans="1:35" ht="14.25" customHeight="1" x14ac:dyDescent="0.3">
      <c r="A89" s="31" t="s">
        <v>189</v>
      </c>
      <c r="B89" s="31" t="s">
        <v>2150</v>
      </c>
      <c r="C89" s="31" t="s">
        <v>2881</v>
      </c>
      <c r="D89" s="12">
        <f t="shared" ca="1" si="6"/>
        <v>25</v>
      </c>
      <c r="E89" s="12" t="str">
        <f ca="1">IF(Table1[[#This Row],[Age]]&lt;=22,"20-22",IF(Table1[[#This Row],[Age]]&lt;=25,"23-25",IF(Table1[[#This Row],[Age]]&lt;=28,"26-28","29-30")))</f>
        <v>23-25</v>
      </c>
      <c r="F89" s="12">
        <v>4.0999999999999996</v>
      </c>
      <c r="G89" s="12">
        <v>3.82</v>
      </c>
      <c r="H89" s="12" t="s">
        <v>211</v>
      </c>
      <c r="I89" s="12">
        <v>4.34</v>
      </c>
      <c r="J89" s="12">
        <v>4.54</v>
      </c>
      <c r="K89" s="12">
        <v>4.28</v>
      </c>
      <c r="L89" s="12">
        <v>4.1100000000000003</v>
      </c>
      <c r="M89" s="12">
        <v>4.2699999999999996</v>
      </c>
      <c r="N89" s="12">
        <v>4.25</v>
      </c>
      <c r="O89" s="12">
        <v>3.84</v>
      </c>
      <c r="P89" s="12">
        <f t="shared" si="7"/>
        <v>4.2</v>
      </c>
      <c r="Q89" s="12">
        <f t="shared" si="8"/>
        <v>4.2</v>
      </c>
      <c r="R89" s="12">
        <f t="shared" si="9"/>
        <v>4.1500000000000004</v>
      </c>
      <c r="S89" s="28">
        <f>IFERROR(INDEX('Clean Gamification Data'!$B:$B,MATCH($B89,'Clean Gamification Data'!$A:$A,0)),"Not Found")</f>
        <v>81.551186639999997</v>
      </c>
      <c r="T89" s="28">
        <f>IFERROR(INDEX('Clean Gamification Data'!$C:$C,MATCH($B89,'Clean Gamification Data'!$A:$A,0)),"Not Found")</f>
        <v>67.937079760000003</v>
      </c>
      <c r="U89" s="28">
        <f>IFERROR(INDEX('Clean Gamification Data'!$D:$D,MATCH($B89,'Clean Gamification Data'!$A:$A,0)),"Not Found")</f>
        <v>70</v>
      </c>
      <c r="V89" s="28">
        <f>IFERROR(INDEX('Clean Gamification Data'!$E:$E,MATCH($B89,'Clean Gamification Data'!$A:$A,0)),"Not Found")</f>
        <v>68.923177589999995</v>
      </c>
      <c r="W89" s="28">
        <f>IFERROR(INDEX('Clean Gamification Data'!$F:$F,MATCH($B89,'Clean Gamification Data'!$A:$A,0)),"Not Found")</f>
        <v>80</v>
      </c>
      <c r="X89" s="28">
        <f>IFERROR(INDEX('Clean Gamification Data'!$G:$G,MATCH($B89,'Clean Gamification Data'!$A:$A,0)),"Not Found")</f>
        <v>69.219796130000006</v>
      </c>
      <c r="Y89" s="28">
        <f>IFERROR(INDEX('Clean Gamification Data'!$H:$H,MATCH($B89,'Clean Gamification Data'!$A:$A,0)),"Not Found")</f>
        <v>78.137538890000002</v>
      </c>
      <c r="Z89" s="28">
        <f>IFERROR(INDEX('Clean Gamification Data'!$I:$I,MATCH($B89,'Clean Gamification Data'!$A:$A,0)),"Not Found")</f>
        <v>55.203547069999999</v>
      </c>
      <c r="AA89" s="28">
        <f>Table1[[#This Row],[Engagement (Gamification %)]]-Table1[[#This Row],[Engagement (Non-Gamification %)]]</f>
        <v>13.614106879999994</v>
      </c>
      <c r="AB89" s="28">
        <f>Table1[[#This Row],[Motivation (Gamification %)]]-Table1[[#This Row],[Motivation (Non-Gamification %)]]</f>
        <v>1.0768224100000054</v>
      </c>
      <c r="AC89" s="28">
        <f>Table1[[#This Row],[Participation (Gamification %)]]-Table1[[#This Row],[Participation (Non-Gamification %)]]</f>
        <v>10.780203869999994</v>
      </c>
      <c r="AD89" s="28">
        <f>Table1[[#This Row],[Learning Outcomes (Gamification %)]]-Table1[[#This Row],[Learning Outcomes (Non-Gamification %)]]</f>
        <v>22.933991820000003</v>
      </c>
      <c r="AE89" s="44" t="str">
        <f>IF(Table1[[#This Row],[Overall Effectiveness]]&lt;3.9,"Low",IF(Table1[[#This Row],[Overall Effectiveness]]&lt;4.2,"Medium","High"))</f>
        <v>High</v>
      </c>
      <c r="AF89" s="30" t="str">
        <f t="shared" si="10"/>
        <v>Online Tutorials</v>
      </c>
      <c r="AG89" s="30" t="str">
        <f t="shared" si="11"/>
        <v>Lectures</v>
      </c>
      <c r="AH89" s="27">
        <f>COUNTIF(Teacher_Master!$D$2:$D$16,AF89)</f>
        <v>3</v>
      </c>
      <c r="AI89" s="30" t="str">
        <f>INDEX(Teacher_Master!$B$2:$B$16,MATCH(AF89,Teacher_Master!$D$2:$D$16,0))</f>
        <v>Prof. Kavita Rao</v>
      </c>
    </row>
    <row r="90" spans="1:35" ht="14.25" customHeight="1" x14ac:dyDescent="0.3">
      <c r="A90" s="31" t="s">
        <v>191</v>
      </c>
      <c r="B90" s="31" t="s">
        <v>192</v>
      </c>
      <c r="C90" s="31" t="s">
        <v>2882</v>
      </c>
      <c r="D90" s="12">
        <f t="shared" ca="1" si="6"/>
        <v>21</v>
      </c>
      <c r="E90" s="12" t="str">
        <f ca="1">IF(Table1[[#This Row],[Age]]&lt;=22,"20-22",IF(Table1[[#This Row],[Age]]&lt;=25,"23-25",IF(Table1[[#This Row],[Age]]&lt;=28,"26-28","29-30")))</f>
        <v>20-22</v>
      </c>
      <c r="F90" s="12">
        <v>3.89</v>
      </c>
      <c r="G90" s="12">
        <v>4.96</v>
      </c>
      <c r="H90" s="12">
        <v>4.45</v>
      </c>
      <c r="I90" s="12">
        <v>4.0199999999999996</v>
      </c>
      <c r="J90" s="12">
        <v>4.0999999999999996</v>
      </c>
      <c r="K90" s="12">
        <v>3.9</v>
      </c>
      <c r="L90" s="12" t="s">
        <v>211</v>
      </c>
      <c r="M90" s="12">
        <v>3.92</v>
      </c>
      <c r="N90" s="12">
        <v>3.7</v>
      </c>
      <c r="O90" s="12">
        <v>4.49</v>
      </c>
      <c r="P90" s="12">
        <f t="shared" si="7"/>
        <v>4.2840000000000007</v>
      </c>
      <c r="Q90" s="12">
        <f t="shared" si="8"/>
        <v>4.28</v>
      </c>
      <c r="R90" s="12">
        <f t="shared" si="9"/>
        <v>4.0024999999999995</v>
      </c>
      <c r="S90" s="28">
        <f>IFERROR(INDEX('Clean Gamification Data'!$B:$B,MATCH($B90,'Clean Gamification Data'!$A:$A,0)),"Not Found")</f>
        <v>87.665213559999998</v>
      </c>
      <c r="T90" s="28">
        <f>IFERROR(INDEX('Clean Gamification Data'!$C:$C,MATCH($B90,'Clean Gamification Data'!$A:$A,0)),"Not Found")</f>
        <v>61.763752709999999</v>
      </c>
      <c r="U90" s="28">
        <f>IFERROR(INDEX('Clean Gamification Data'!$D:$D,MATCH($B90,'Clean Gamification Data'!$A:$A,0)),"Not Found")</f>
        <v>70.620979399999996</v>
      </c>
      <c r="V90" s="28">
        <f>IFERROR(INDEX('Clean Gamification Data'!$E:$E,MATCH($B90,'Clean Gamification Data'!$A:$A,0)),"Not Found")</f>
        <v>63.547469120000002</v>
      </c>
      <c r="W90" s="28">
        <f>IFERROR(INDEX('Clean Gamification Data'!$F:$F,MATCH($B90,'Clean Gamification Data'!$A:$A,0)),"Not Found")</f>
        <v>93.686743879999995</v>
      </c>
      <c r="X90" s="28">
        <f>IFERROR(INDEX('Clean Gamification Data'!$G:$G,MATCH($B90,'Clean Gamification Data'!$A:$A,0)),"Not Found")</f>
        <v>85</v>
      </c>
      <c r="Y90" s="28">
        <f>IFERROR(INDEX('Clean Gamification Data'!$H:$H,MATCH($B90,'Clean Gamification Data'!$A:$A,0)),"Not Found")</f>
        <v>78.073006109999994</v>
      </c>
      <c r="Z90" s="28">
        <f>IFERROR(INDEX('Clean Gamification Data'!$I:$I,MATCH($B90,'Clean Gamification Data'!$A:$A,0)),"Not Found")</f>
        <v>51.535776949999999</v>
      </c>
      <c r="AA90" s="28">
        <f>Table1[[#This Row],[Engagement (Gamification %)]]-Table1[[#This Row],[Engagement (Non-Gamification %)]]</f>
        <v>25.901460849999999</v>
      </c>
      <c r="AB90" s="28">
        <f>Table1[[#This Row],[Motivation (Gamification %)]]-Table1[[#This Row],[Motivation (Non-Gamification %)]]</f>
        <v>7.0735102799999936</v>
      </c>
      <c r="AC90" s="28">
        <f>Table1[[#This Row],[Participation (Gamification %)]]-Table1[[#This Row],[Participation (Non-Gamification %)]]</f>
        <v>8.6867438799999945</v>
      </c>
      <c r="AD90" s="28">
        <f>Table1[[#This Row],[Learning Outcomes (Gamification %)]]-Table1[[#This Row],[Learning Outcomes (Non-Gamification %)]]</f>
        <v>26.537229159999995</v>
      </c>
      <c r="AE90" s="44" t="str">
        <f>IF(Table1[[#This Row],[Overall Effectiveness]]&lt;3.9,"Low",IF(Table1[[#This Row],[Overall Effectiveness]]&lt;4.2,"Medium","High"))</f>
        <v>High</v>
      </c>
      <c r="AF90" s="30" t="str">
        <f t="shared" si="10"/>
        <v>Case Studies</v>
      </c>
      <c r="AG90" s="30" t="str">
        <f t="shared" si="11"/>
        <v>Online Tutorials</v>
      </c>
      <c r="AH90" s="27">
        <f>COUNTIF(Teacher_Master!$D$2:$D$16,AF90)</f>
        <v>3</v>
      </c>
      <c r="AI90" s="30" t="str">
        <f>INDEX(Teacher_Master!$B$2:$B$16,MATCH(AF90,Teacher_Master!$D$2:$D$16,0))</f>
        <v>Prof. Rajesh Mukherjee</v>
      </c>
    </row>
    <row r="91" spans="1:35" ht="14.25" customHeight="1" x14ac:dyDescent="0.3">
      <c r="A91" s="31" t="s">
        <v>193</v>
      </c>
      <c r="B91" s="31" t="s">
        <v>194</v>
      </c>
      <c r="C91" s="31" t="s">
        <v>2882</v>
      </c>
      <c r="D91" s="12">
        <f t="shared" ca="1" si="6"/>
        <v>24</v>
      </c>
      <c r="E91" s="12" t="str">
        <f ca="1">IF(Table1[[#This Row],[Age]]&lt;=22,"20-22",IF(Table1[[#This Row],[Age]]&lt;=25,"23-25",IF(Table1[[#This Row],[Age]]&lt;=28,"26-28","29-30")))</f>
        <v>23-25</v>
      </c>
      <c r="F91" s="12">
        <v>4.3</v>
      </c>
      <c r="G91" s="12">
        <v>4.07</v>
      </c>
      <c r="H91" s="12">
        <v>4.28</v>
      </c>
      <c r="I91" s="12">
        <v>4.29</v>
      </c>
      <c r="J91" s="12">
        <v>4.1399999999999997</v>
      </c>
      <c r="K91" s="12">
        <v>4.13</v>
      </c>
      <c r="L91" s="12">
        <v>3.76</v>
      </c>
      <c r="M91" s="12">
        <v>4.1500000000000004</v>
      </c>
      <c r="N91" s="12">
        <v>3.76</v>
      </c>
      <c r="O91" s="12">
        <v>3.86</v>
      </c>
      <c r="P91" s="12">
        <f t="shared" si="7"/>
        <v>4.2160000000000002</v>
      </c>
      <c r="Q91" s="12">
        <f t="shared" si="8"/>
        <v>4.22</v>
      </c>
      <c r="R91" s="12">
        <f t="shared" si="9"/>
        <v>3.9319999999999999</v>
      </c>
      <c r="S91" s="28">
        <f>IFERROR(INDEX('Clean Gamification Data'!$B:$B,MATCH($B91,'Clean Gamification Data'!$A:$A,0)),"Not Found")</f>
        <v>79.530072200000006</v>
      </c>
      <c r="T91" s="28">
        <f>IFERROR(INDEX('Clean Gamification Data'!$C:$C,MATCH($B91,'Clean Gamification Data'!$A:$A,0)),"Not Found")</f>
        <v>65.577188199999995</v>
      </c>
      <c r="U91" s="28">
        <f>IFERROR(INDEX('Clean Gamification Data'!$D:$D,MATCH($B91,'Clean Gamification Data'!$A:$A,0)),"Not Found")</f>
        <v>90</v>
      </c>
      <c r="V91" s="28">
        <f>IFERROR(INDEX('Clean Gamification Data'!$E:$E,MATCH($B91,'Clean Gamification Data'!$A:$A,0)),"Not Found")</f>
        <v>61.721940930000002</v>
      </c>
      <c r="W91" s="28">
        <f>IFERROR(INDEX('Clean Gamification Data'!$F:$F,MATCH($B91,'Clean Gamification Data'!$A:$A,0)),"Not Found")</f>
        <v>93.827790460000003</v>
      </c>
      <c r="X91" s="28">
        <f>IFERROR(INDEX('Clean Gamification Data'!$G:$G,MATCH($B91,'Clean Gamification Data'!$A:$A,0)),"Not Found")</f>
        <v>76.732324629999994</v>
      </c>
      <c r="Y91" s="28">
        <f>IFERROR(INDEX('Clean Gamification Data'!$H:$H,MATCH($B91,'Clean Gamification Data'!$A:$A,0)),"Not Found")</f>
        <v>69.280088269999993</v>
      </c>
      <c r="Z91" s="28">
        <f>IFERROR(INDEX('Clean Gamification Data'!$I:$I,MATCH($B91,'Clean Gamification Data'!$A:$A,0)),"Not Found")</f>
        <v>64.31074993</v>
      </c>
      <c r="AA91" s="28">
        <f>Table1[[#This Row],[Engagement (Gamification %)]]-Table1[[#This Row],[Engagement (Non-Gamification %)]]</f>
        <v>13.952884000000012</v>
      </c>
      <c r="AB91" s="28">
        <f>Table1[[#This Row],[Motivation (Gamification %)]]-Table1[[#This Row],[Motivation (Non-Gamification %)]]</f>
        <v>28.278059069999998</v>
      </c>
      <c r="AC91" s="28">
        <f>Table1[[#This Row],[Participation (Gamification %)]]-Table1[[#This Row],[Participation (Non-Gamification %)]]</f>
        <v>17.095465830000009</v>
      </c>
      <c r="AD91" s="28">
        <f>Table1[[#This Row],[Learning Outcomes (Gamification %)]]-Table1[[#This Row],[Learning Outcomes (Non-Gamification %)]]</f>
        <v>4.9693383399999931</v>
      </c>
      <c r="AE91" s="44" t="str">
        <f>IF(Table1[[#This Row],[Overall Effectiveness]]&lt;3.9,"Low",IF(Table1[[#This Row],[Overall Effectiveness]]&lt;4.2,"Medium","High"))</f>
        <v>High</v>
      </c>
      <c r="AF91" s="30" t="str">
        <f t="shared" si="10"/>
        <v>Lectures</v>
      </c>
      <c r="AG91" s="30" t="str">
        <f t="shared" si="11"/>
        <v>Group Projects</v>
      </c>
      <c r="AH91" s="27">
        <f>COUNTIF(Teacher_Master!$D$2:$D$16,AF91)</f>
        <v>3</v>
      </c>
      <c r="AI91" s="30" t="str">
        <f>INDEX(Teacher_Master!$B$2:$B$16,MATCH(AF91,Teacher_Master!$D$2:$D$16,0))</f>
        <v>Prof. Vikram Gupta</v>
      </c>
    </row>
    <row r="92" spans="1:35" ht="14.25" customHeight="1" x14ac:dyDescent="0.3">
      <c r="A92" s="31" t="s">
        <v>195</v>
      </c>
      <c r="B92" s="31" t="s">
        <v>196</v>
      </c>
      <c r="C92" s="31" t="s">
        <v>2881</v>
      </c>
      <c r="D92" s="12">
        <f t="shared" ca="1" si="6"/>
        <v>30</v>
      </c>
      <c r="E92" s="12" t="str">
        <f ca="1">IF(Table1[[#This Row],[Age]]&lt;=22,"20-22",IF(Table1[[#This Row],[Age]]&lt;=25,"23-25",IF(Table1[[#This Row],[Age]]&lt;=28,"26-28","29-30")))</f>
        <v>29-30</v>
      </c>
      <c r="F92" s="12">
        <v>3.95</v>
      </c>
      <c r="G92" s="12">
        <v>3.36</v>
      </c>
      <c r="H92" s="12">
        <v>3.9</v>
      </c>
      <c r="I92" s="12">
        <v>3.82</v>
      </c>
      <c r="J92" s="12">
        <v>4</v>
      </c>
      <c r="K92" s="12">
        <v>3.99</v>
      </c>
      <c r="L92" s="12">
        <v>4.67</v>
      </c>
      <c r="M92" s="12">
        <v>4.04</v>
      </c>
      <c r="N92" s="12">
        <v>3.91</v>
      </c>
      <c r="O92" s="12">
        <v>4.12</v>
      </c>
      <c r="P92" s="12">
        <f t="shared" si="7"/>
        <v>3.806</v>
      </c>
      <c r="Q92" s="12">
        <f t="shared" si="8"/>
        <v>3.81</v>
      </c>
      <c r="R92" s="12">
        <f t="shared" si="9"/>
        <v>4.1459999999999999</v>
      </c>
      <c r="S92" s="28">
        <f>IFERROR(INDEX('Clean Gamification Data'!$B:$B,MATCH($B92,'Clean Gamification Data'!$A:$A,0)),"Not Found")</f>
        <v>84.741194419999999</v>
      </c>
      <c r="T92" s="28">
        <f>IFERROR(INDEX('Clean Gamification Data'!$C:$C,MATCH($B92,'Clean Gamification Data'!$A:$A,0)),"Not Found")</f>
        <v>66.628453359999995</v>
      </c>
      <c r="U92" s="28">
        <f>IFERROR(INDEX('Clean Gamification Data'!$D:$D,MATCH($B92,'Clean Gamification Data'!$A:$A,0)),"Not Found")</f>
        <v>76.19578765</v>
      </c>
      <c r="V92" s="28">
        <f>IFERROR(INDEX('Clean Gamification Data'!$E:$E,MATCH($B92,'Clean Gamification Data'!$A:$A,0)),"Not Found")</f>
        <v>63.489579089999999</v>
      </c>
      <c r="W92" s="28">
        <f>IFERROR(INDEX('Clean Gamification Data'!$F:$F,MATCH($B92,'Clean Gamification Data'!$A:$A,0)),"Not Found")</f>
        <v>89.207243239999997</v>
      </c>
      <c r="X92" s="28">
        <f>IFERROR(INDEX('Clean Gamification Data'!$G:$G,MATCH($B92,'Clean Gamification Data'!$A:$A,0)),"Not Found")</f>
        <v>75.603720429999996</v>
      </c>
      <c r="Y92" s="28">
        <f>IFERROR(INDEX('Clean Gamification Data'!$H:$H,MATCH($B92,'Clean Gamification Data'!$A:$A,0)),"Not Found")</f>
        <v>66.554182499999996</v>
      </c>
      <c r="Z92" s="28">
        <f>IFERROR(INDEX('Clean Gamification Data'!$I:$I,MATCH($B92,'Clean Gamification Data'!$A:$A,0)),"Not Found")</f>
        <v>63.381572949999999</v>
      </c>
      <c r="AA92" s="28">
        <f>Table1[[#This Row],[Engagement (Gamification %)]]-Table1[[#This Row],[Engagement (Non-Gamification %)]]</f>
        <v>18.112741060000005</v>
      </c>
      <c r="AB92" s="28">
        <f>Table1[[#This Row],[Motivation (Gamification %)]]-Table1[[#This Row],[Motivation (Non-Gamification %)]]</f>
        <v>12.70620856</v>
      </c>
      <c r="AC92" s="28">
        <f>Table1[[#This Row],[Participation (Gamification %)]]-Table1[[#This Row],[Participation (Non-Gamification %)]]</f>
        <v>13.603522810000001</v>
      </c>
      <c r="AD92" s="28">
        <f>Table1[[#This Row],[Learning Outcomes (Gamification %)]]-Table1[[#This Row],[Learning Outcomes (Non-Gamification %)]]</f>
        <v>3.1726095499999971</v>
      </c>
      <c r="AE92" s="44" t="str">
        <f>IF(Table1[[#This Row],[Overall Effectiveness]]&lt;3.9,"Low",IF(Table1[[#This Row],[Overall Effectiveness]]&lt;4.2,"Medium","High"))</f>
        <v>Low</v>
      </c>
      <c r="AF92" s="30" t="str">
        <f t="shared" si="10"/>
        <v>Online Tutorials</v>
      </c>
      <c r="AG92" s="30" t="str">
        <f t="shared" si="11"/>
        <v>Case Studies</v>
      </c>
      <c r="AH92" s="27">
        <f>COUNTIF(Teacher_Master!$D$2:$D$16,AF92)</f>
        <v>3</v>
      </c>
      <c r="AI92" s="30" t="str">
        <f>INDEX(Teacher_Master!$B$2:$B$16,MATCH(AF92,Teacher_Master!$D$2:$D$16,0))</f>
        <v>Prof. Kavita Rao</v>
      </c>
    </row>
    <row r="93" spans="1:35" ht="14.25" customHeight="1" x14ac:dyDescent="0.3">
      <c r="A93" s="31" t="s">
        <v>197</v>
      </c>
      <c r="B93" s="31" t="s">
        <v>2151</v>
      </c>
      <c r="C93" s="31" t="s">
        <v>2881</v>
      </c>
      <c r="D93" s="12">
        <f t="shared" ca="1" si="6"/>
        <v>22</v>
      </c>
      <c r="E93" s="12" t="str">
        <f ca="1">IF(Table1[[#This Row],[Age]]&lt;=22,"20-22",IF(Table1[[#This Row],[Age]]&lt;=25,"23-25",IF(Table1[[#This Row],[Age]]&lt;=28,"26-28","29-30")))</f>
        <v>20-22</v>
      </c>
      <c r="F93" s="12">
        <v>4.28</v>
      </c>
      <c r="G93" s="12">
        <v>3.88</v>
      </c>
      <c r="H93" s="12">
        <v>4.1500000000000004</v>
      </c>
      <c r="I93" s="12">
        <v>4.18</v>
      </c>
      <c r="J93" s="12" t="s">
        <v>211</v>
      </c>
      <c r="K93" s="12">
        <v>3.75</v>
      </c>
      <c r="L93" s="12">
        <v>3.98</v>
      </c>
      <c r="M93" s="12">
        <v>3.75</v>
      </c>
      <c r="N93" s="12">
        <v>3.83</v>
      </c>
      <c r="O93" s="12">
        <v>3.9</v>
      </c>
      <c r="P93" s="12">
        <f t="shared" si="7"/>
        <v>4.1225000000000005</v>
      </c>
      <c r="Q93" s="12">
        <f t="shared" si="8"/>
        <v>4.12</v>
      </c>
      <c r="R93" s="12">
        <f t="shared" si="9"/>
        <v>3.8420000000000001</v>
      </c>
      <c r="S93" s="28">
        <f>IFERROR(INDEX('Clean Gamification Data'!$B:$B,MATCH($B93,'Clean Gamification Data'!$A:$A,0)),"Not Found")</f>
        <v>87.702766199999999</v>
      </c>
      <c r="T93" s="28">
        <f>IFERROR(INDEX('Clean Gamification Data'!$C:$C,MATCH($B93,'Clean Gamification Data'!$A:$A,0)),"Not Found")</f>
        <v>80</v>
      </c>
      <c r="U93" s="28">
        <f>IFERROR(INDEX('Clean Gamification Data'!$D:$D,MATCH($B93,'Clean Gamification Data'!$A:$A,0)),"Not Found")</f>
        <v>79.521272310000001</v>
      </c>
      <c r="V93" s="28">
        <f>IFERROR(INDEX('Clean Gamification Data'!$E:$E,MATCH($B93,'Clean Gamification Data'!$A:$A,0)),"Not Found")</f>
        <v>61.56147696</v>
      </c>
      <c r="W93" s="28">
        <f>IFERROR(INDEX('Clean Gamification Data'!$F:$F,MATCH($B93,'Clean Gamification Data'!$A:$A,0)),"Not Found")</f>
        <v>90.141073390000003</v>
      </c>
      <c r="X93" s="28">
        <f>IFERROR(INDEX('Clean Gamification Data'!$G:$G,MATCH($B93,'Clean Gamification Data'!$A:$A,0)),"Not Found")</f>
        <v>84.904944229999998</v>
      </c>
      <c r="Y93" s="28">
        <f>IFERROR(INDEX('Clean Gamification Data'!$H:$H,MATCH($B93,'Clean Gamification Data'!$A:$A,0)),"Not Found")</f>
        <v>73.819191900000007</v>
      </c>
      <c r="Z93" s="28">
        <f>IFERROR(INDEX('Clean Gamification Data'!$I:$I,MATCH($B93,'Clean Gamification Data'!$A:$A,0)),"Not Found")</f>
        <v>61.549062040000003</v>
      </c>
      <c r="AA93" s="28">
        <f>Table1[[#This Row],[Engagement (Gamification %)]]-Table1[[#This Row],[Engagement (Non-Gamification %)]]</f>
        <v>7.7027661999999992</v>
      </c>
      <c r="AB93" s="28">
        <f>Table1[[#This Row],[Motivation (Gamification %)]]-Table1[[#This Row],[Motivation (Non-Gamification %)]]</f>
        <v>17.95979535</v>
      </c>
      <c r="AC93" s="28">
        <f>Table1[[#This Row],[Participation (Gamification %)]]-Table1[[#This Row],[Participation (Non-Gamification %)]]</f>
        <v>5.2361291600000044</v>
      </c>
      <c r="AD93" s="28">
        <f>Table1[[#This Row],[Learning Outcomes (Gamification %)]]-Table1[[#This Row],[Learning Outcomes (Non-Gamification %)]]</f>
        <v>12.270129860000004</v>
      </c>
      <c r="AE93" s="44" t="str">
        <f>IF(Table1[[#This Row],[Overall Effectiveness]]&lt;3.9,"Low",IF(Table1[[#This Row],[Overall Effectiveness]]&lt;4.2,"Medium","High"))</f>
        <v>Medium</v>
      </c>
      <c r="AF93" s="30" t="str">
        <f t="shared" si="10"/>
        <v>Lectures</v>
      </c>
      <c r="AG93" s="30" t="str">
        <f t="shared" si="11"/>
        <v>Case Studies</v>
      </c>
      <c r="AH93" s="27">
        <f>COUNTIF(Teacher_Master!$D$2:$D$16,AF93)</f>
        <v>3</v>
      </c>
      <c r="AI93" s="30" t="str">
        <f>INDEX(Teacher_Master!$B$2:$B$16,MATCH(AF93,Teacher_Master!$D$2:$D$16,0))</f>
        <v>Prof. Vikram Gupta</v>
      </c>
    </row>
    <row r="94" spans="1:35" ht="14.25" customHeight="1" x14ac:dyDescent="0.3">
      <c r="A94" s="31" t="s">
        <v>199</v>
      </c>
      <c r="B94" s="31" t="s">
        <v>2152</v>
      </c>
      <c r="C94" s="31" t="s">
        <v>2882</v>
      </c>
      <c r="D94" s="12">
        <f t="shared" ca="1" si="6"/>
        <v>29</v>
      </c>
      <c r="E94" s="12" t="str">
        <f ca="1">IF(Table1[[#This Row],[Age]]&lt;=22,"20-22",IF(Table1[[#This Row],[Age]]&lt;=25,"23-25",IF(Table1[[#This Row],[Age]]&lt;=28,"26-28","29-30")))</f>
        <v>29-30</v>
      </c>
      <c r="F94" s="12">
        <v>4.45</v>
      </c>
      <c r="G94" s="12">
        <v>4.34</v>
      </c>
      <c r="H94" s="12">
        <v>4.33</v>
      </c>
      <c r="I94" s="12">
        <v>3.68</v>
      </c>
      <c r="J94" s="12">
        <v>4.1100000000000003</v>
      </c>
      <c r="K94" s="12">
        <v>3.54</v>
      </c>
      <c r="L94" s="12">
        <v>4.13</v>
      </c>
      <c r="M94" s="12">
        <v>4.3899999999999997</v>
      </c>
      <c r="N94" s="12">
        <v>4.09</v>
      </c>
      <c r="O94" s="12">
        <v>4.34</v>
      </c>
      <c r="P94" s="12">
        <f t="shared" si="7"/>
        <v>4.1820000000000004</v>
      </c>
      <c r="Q94" s="12">
        <f t="shared" si="8"/>
        <v>4.18</v>
      </c>
      <c r="R94" s="12">
        <f t="shared" si="9"/>
        <v>4.0979999999999999</v>
      </c>
      <c r="S94" s="28">
        <f>IFERROR(INDEX('Clean Gamification Data'!$B:$B,MATCH($B94,'Clean Gamification Data'!$A:$A,0)),"Not Found")</f>
        <v>87.283196950000004</v>
      </c>
      <c r="T94" s="28">
        <f>IFERROR(INDEX('Clean Gamification Data'!$C:$C,MATCH($B94,'Clean Gamification Data'!$A:$A,0)),"Not Found")</f>
        <v>71.902798320000002</v>
      </c>
      <c r="U94" s="28">
        <f>IFERROR(INDEX('Clean Gamification Data'!$D:$D,MATCH($B94,'Clean Gamification Data'!$A:$A,0)),"Not Found")</f>
        <v>83.148344140000006</v>
      </c>
      <c r="V94" s="28">
        <f>IFERROR(INDEX('Clean Gamification Data'!$E:$E,MATCH($B94,'Clean Gamification Data'!$A:$A,0)),"Not Found")</f>
        <v>58.364104949999998</v>
      </c>
      <c r="W94" s="28">
        <f>IFERROR(INDEX('Clean Gamification Data'!$F:$F,MATCH($B94,'Clean Gamification Data'!$A:$A,0)),"Not Found")</f>
        <v>88.559232710000003</v>
      </c>
      <c r="X94" s="28">
        <f>IFERROR(INDEX('Clean Gamification Data'!$G:$G,MATCH($B94,'Clean Gamification Data'!$A:$A,0)),"Not Found")</f>
        <v>78.146097069999996</v>
      </c>
      <c r="Y94" s="28">
        <f>IFERROR(INDEX('Clean Gamification Data'!$H:$H,MATCH($B94,'Clean Gamification Data'!$A:$A,0)),"Not Found")</f>
        <v>69.881402899999998</v>
      </c>
      <c r="Z94" s="28">
        <f>IFERROR(INDEX('Clean Gamification Data'!$I:$I,MATCH($B94,'Clean Gamification Data'!$A:$A,0)),"Not Found")</f>
        <v>50</v>
      </c>
      <c r="AA94" s="28">
        <f>Table1[[#This Row],[Engagement (Gamification %)]]-Table1[[#This Row],[Engagement (Non-Gamification %)]]</f>
        <v>15.380398630000002</v>
      </c>
      <c r="AB94" s="28">
        <f>Table1[[#This Row],[Motivation (Gamification %)]]-Table1[[#This Row],[Motivation (Non-Gamification %)]]</f>
        <v>24.784239190000008</v>
      </c>
      <c r="AC94" s="28">
        <f>Table1[[#This Row],[Participation (Gamification %)]]-Table1[[#This Row],[Participation (Non-Gamification %)]]</f>
        <v>10.413135640000007</v>
      </c>
      <c r="AD94" s="28">
        <f>Table1[[#This Row],[Learning Outcomes (Gamification %)]]-Table1[[#This Row],[Learning Outcomes (Non-Gamification %)]]</f>
        <v>19.881402899999998</v>
      </c>
      <c r="AE94" s="44" t="str">
        <f>IF(Table1[[#This Row],[Overall Effectiveness]]&lt;3.9,"Low",IF(Table1[[#This Row],[Overall Effectiveness]]&lt;4.2,"Medium","High"))</f>
        <v>Medium</v>
      </c>
      <c r="AF94" s="30" t="str">
        <f t="shared" si="10"/>
        <v>Lectures</v>
      </c>
      <c r="AG94" s="30" t="str">
        <f t="shared" si="11"/>
        <v>Group Projects</v>
      </c>
      <c r="AH94" s="27">
        <f>COUNTIF(Teacher_Master!$D$2:$D$16,AF94)</f>
        <v>3</v>
      </c>
      <c r="AI94" s="30" t="str">
        <f>INDEX(Teacher_Master!$B$2:$B$16,MATCH(AF94,Teacher_Master!$D$2:$D$16,0))</f>
        <v>Prof. Vikram Gupta</v>
      </c>
    </row>
    <row r="95" spans="1:35" ht="14.25" customHeight="1" x14ac:dyDescent="0.3">
      <c r="A95" s="31" t="s">
        <v>201</v>
      </c>
      <c r="B95" s="31" t="s">
        <v>2153</v>
      </c>
      <c r="C95" s="31" t="s">
        <v>2881</v>
      </c>
      <c r="D95" s="12">
        <f t="shared" ca="1" si="6"/>
        <v>21</v>
      </c>
      <c r="E95" s="12" t="str">
        <f ca="1">IF(Table1[[#This Row],[Age]]&lt;=22,"20-22",IF(Table1[[#This Row],[Age]]&lt;=25,"23-25",IF(Table1[[#This Row],[Age]]&lt;=28,"26-28","29-30")))</f>
        <v>20-22</v>
      </c>
      <c r="F95" s="12">
        <v>3.93</v>
      </c>
      <c r="G95" s="12">
        <v>4.12</v>
      </c>
      <c r="H95" s="12">
        <v>3.63</v>
      </c>
      <c r="I95" s="12">
        <v>4.26</v>
      </c>
      <c r="J95" s="12">
        <v>3.92</v>
      </c>
      <c r="K95" s="12">
        <v>4.18</v>
      </c>
      <c r="L95" s="12">
        <v>4.16</v>
      </c>
      <c r="M95" s="12">
        <v>3.99</v>
      </c>
      <c r="N95" s="12">
        <v>4.12</v>
      </c>
      <c r="O95" s="12">
        <v>3.93</v>
      </c>
      <c r="P95" s="12">
        <f t="shared" si="7"/>
        <v>3.972</v>
      </c>
      <c r="Q95" s="12">
        <f t="shared" si="8"/>
        <v>3.97</v>
      </c>
      <c r="R95" s="12">
        <f t="shared" si="9"/>
        <v>4.0759999999999996</v>
      </c>
      <c r="S95" s="28">
        <f>IFERROR(INDEX('Clean Gamification Data'!$B:$B,MATCH($B95,'Clean Gamification Data'!$A:$A,0)),"Not Found")</f>
        <v>84.079311320000002</v>
      </c>
      <c r="T95" s="28">
        <f>IFERROR(INDEX('Clean Gamification Data'!$C:$C,MATCH($B95,'Clean Gamification Data'!$A:$A,0)),"Not Found")</f>
        <v>73.197278339999997</v>
      </c>
      <c r="U95" s="28">
        <f>IFERROR(INDEX('Clean Gamification Data'!$D:$D,MATCH($B95,'Clean Gamification Data'!$A:$A,0)),"Not Found")</f>
        <v>85.521745550000006</v>
      </c>
      <c r="V95" s="28">
        <f>IFERROR(INDEX('Clean Gamification Data'!$E:$E,MATCH($B95,'Clean Gamification Data'!$A:$A,0)),"Not Found")</f>
        <v>61.405052320000003</v>
      </c>
      <c r="W95" s="28">
        <f>IFERROR(INDEX('Clean Gamification Data'!$F:$F,MATCH($B95,'Clean Gamification Data'!$A:$A,0)),"Not Found")</f>
        <v>90.746474329999998</v>
      </c>
      <c r="X95" s="28">
        <f>IFERROR(INDEX('Clean Gamification Data'!$G:$G,MATCH($B95,'Clean Gamification Data'!$A:$A,0)),"Not Found")</f>
        <v>74.70661681</v>
      </c>
      <c r="Y95" s="28">
        <f>IFERROR(INDEX('Clean Gamification Data'!$H:$H,MATCH($B95,'Clean Gamification Data'!$A:$A,0)),"Not Found")</f>
        <v>74.090382149999996</v>
      </c>
      <c r="Z95" s="28">
        <f>IFERROR(INDEX('Clean Gamification Data'!$I:$I,MATCH($B95,'Clean Gamification Data'!$A:$A,0)),"Not Found")</f>
        <v>62.13442439</v>
      </c>
      <c r="AA95" s="28">
        <f>Table1[[#This Row],[Engagement (Gamification %)]]-Table1[[#This Row],[Engagement (Non-Gamification %)]]</f>
        <v>10.882032980000005</v>
      </c>
      <c r="AB95" s="28">
        <f>Table1[[#This Row],[Motivation (Gamification %)]]-Table1[[#This Row],[Motivation (Non-Gamification %)]]</f>
        <v>24.116693230000003</v>
      </c>
      <c r="AC95" s="28">
        <f>Table1[[#This Row],[Participation (Gamification %)]]-Table1[[#This Row],[Participation (Non-Gamification %)]]</f>
        <v>16.039857519999998</v>
      </c>
      <c r="AD95" s="28">
        <f>Table1[[#This Row],[Learning Outcomes (Gamification %)]]-Table1[[#This Row],[Learning Outcomes (Non-Gamification %)]]</f>
        <v>11.955957759999997</v>
      </c>
      <c r="AE95" s="44" t="str">
        <f>IF(Table1[[#This Row],[Overall Effectiveness]]&lt;3.9,"Low",IF(Table1[[#This Row],[Overall Effectiveness]]&lt;4.2,"Medium","High"))</f>
        <v>Medium</v>
      </c>
      <c r="AF95" s="30" t="str">
        <f t="shared" si="10"/>
        <v>Experiments</v>
      </c>
      <c r="AG95" s="30" t="str">
        <f t="shared" si="11"/>
        <v>Lectures</v>
      </c>
      <c r="AH95" s="27">
        <f>COUNTIF(Teacher_Master!$D$2:$D$16,AF95)</f>
        <v>3</v>
      </c>
      <c r="AI95" s="30" t="str">
        <f>INDEX(Teacher_Master!$B$2:$B$16,MATCH(AF95,Teacher_Master!$D$2:$D$16,0))</f>
        <v>Prof. Rahul Singh</v>
      </c>
    </row>
    <row r="96" spans="1:35" ht="14.25" customHeight="1" x14ac:dyDescent="0.3">
      <c r="A96" s="31" t="s">
        <v>203</v>
      </c>
      <c r="B96" s="31" t="s">
        <v>2154</v>
      </c>
      <c r="C96" s="31" t="s">
        <v>2882</v>
      </c>
      <c r="D96" s="12">
        <f t="shared" ca="1" si="6"/>
        <v>23</v>
      </c>
      <c r="E96" s="12" t="str">
        <f ca="1">IF(Table1[[#This Row],[Age]]&lt;=22,"20-22",IF(Table1[[#This Row],[Age]]&lt;=25,"23-25",IF(Table1[[#This Row],[Age]]&lt;=28,"26-28","29-30")))</f>
        <v>23-25</v>
      </c>
      <c r="F96" s="12">
        <v>4.2</v>
      </c>
      <c r="G96" s="12">
        <v>3.67</v>
      </c>
      <c r="H96" s="12">
        <v>3.7</v>
      </c>
      <c r="I96" s="12">
        <v>3.84</v>
      </c>
      <c r="J96" s="12">
        <v>3.97</v>
      </c>
      <c r="K96" s="12">
        <v>4.1900000000000004</v>
      </c>
      <c r="L96" s="12">
        <v>3.76</v>
      </c>
      <c r="M96" s="12">
        <v>4.43</v>
      </c>
      <c r="N96" s="12">
        <v>4.05</v>
      </c>
      <c r="O96" s="12">
        <v>3.41</v>
      </c>
      <c r="P96" s="12">
        <f t="shared" si="7"/>
        <v>3.8759999999999999</v>
      </c>
      <c r="Q96" s="12">
        <f t="shared" si="8"/>
        <v>3.88</v>
      </c>
      <c r="R96" s="12">
        <f t="shared" si="9"/>
        <v>3.968</v>
      </c>
      <c r="S96" s="28">
        <f>IFERROR(INDEX('Clean Gamification Data'!$B:$B,MATCH($B96,'Clean Gamification Data'!$A:$A,0)),"Not Found")</f>
        <v>85.083320839999999</v>
      </c>
      <c r="T96" s="28">
        <f>IFERROR(INDEX('Clean Gamification Data'!$C:$C,MATCH($B96,'Clean Gamification Data'!$A:$A,0)),"Not Found")</f>
        <v>72.332552590000006</v>
      </c>
      <c r="U96" s="28">
        <f>IFERROR(INDEX('Clean Gamification Data'!$D:$D,MATCH($B96,'Clean Gamification Data'!$A:$A,0)),"Not Found")</f>
        <v>79.329478629999997</v>
      </c>
      <c r="V96" s="28">
        <f>IFERROR(INDEX('Clean Gamification Data'!$E:$E,MATCH($B96,'Clean Gamification Data'!$A:$A,0)),"Not Found")</f>
        <v>71.754218890000004</v>
      </c>
      <c r="W96" s="28">
        <f>IFERROR(INDEX('Clean Gamification Data'!$F:$F,MATCH($B96,'Clean Gamification Data'!$A:$A,0)),"Not Found")</f>
        <v>82.093254549999997</v>
      </c>
      <c r="X96" s="28">
        <f>IFERROR(INDEX('Clean Gamification Data'!$G:$G,MATCH($B96,'Clean Gamification Data'!$A:$A,0)),"Not Found")</f>
        <v>79.940226789999997</v>
      </c>
      <c r="Y96" s="28">
        <f>IFERROR(INDEX('Clean Gamification Data'!$H:$H,MATCH($B96,'Clean Gamification Data'!$A:$A,0)),"Not Found")</f>
        <v>70.144217249999997</v>
      </c>
      <c r="Z96" s="28">
        <f>IFERROR(INDEX('Clean Gamification Data'!$I:$I,MATCH($B96,'Clean Gamification Data'!$A:$A,0)),"Not Found")</f>
        <v>55.772493740000002</v>
      </c>
      <c r="AA96" s="28">
        <f>Table1[[#This Row],[Engagement (Gamification %)]]-Table1[[#This Row],[Engagement (Non-Gamification %)]]</f>
        <v>12.750768249999993</v>
      </c>
      <c r="AB96" s="28">
        <f>Table1[[#This Row],[Motivation (Gamification %)]]-Table1[[#This Row],[Motivation (Non-Gamification %)]]</f>
        <v>7.5752597399999928</v>
      </c>
      <c r="AC96" s="28">
        <f>Table1[[#This Row],[Participation (Gamification %)]]-Table1[[#This Row],[Participation (Non-Gamification %)]]</f>
        <v>2.1530277600000005</v>
      </c>
      <c r="AD96" s="28">
        <f>Table1[[#This Row],[Learning Outcomes (Gamification %)]]-Table1[[#This Row],[Learning Outcomes (Non-Gamification %)]]</f>
        <v>14.371723509999995</v>
      </c>
      <c r="AE96" s="44" t="str">
        <f>IF(Table1[[#This Row],[Overall Effectiveness]]&lt;3.9,"Low",IF(Table1[[#This Row],[Overall Effectiveness]]&lt;4.2,"Medium","High"))</f>
        <v>Low</v>
      </c>
      <c r="AF96" s="30" t="str">
        <f t="shared" si="10"/>
        <v>Lectures</v>
      </c>
      <c r="AG96" s="30" t="str">
        <f t="shared" si="11"/>
        <v>Group Projects</v>
      </c>
      <c r="AH96" s="27">
        <f>COUNTIF(Teacher_Master!$D$2:$D$16,AF96)</f>
        <v>3</v>
      </c>
      <c r="AI96" s="30" t="str">
        <f>INDEX(Teacher_Master!$B$2:$B$16,MATCH(AF96,Teacher_Master!$D$2:$D$16,0))</f>
        <v>Prof. Vikram Gupta</v>
      </c>
    </row>
    <row r="97" spans="1:35" ht="14.25" customHeight="1" x14ac:dyDescent="0.3">
      <c r="A97" s="31" t="s">
        <v>205</v>
      </c>
      <c r="B97" s="31" t="s">
        <v>2155</v>
      </c>
      <c r="C97" s="31" t="s">
        <v>2882</v>
      </c>
      <c r="D97" s="12">
        <f t="shared" ca="1" si="6"/>
        <v>30</v>
      </c>
      <c r="E97" s="12" t="str">
        <f ca="1">IF(Table1[[#This Row],[Age]]&lt;=22,"20-22",IF(Table1[[#This Row],[Age]]&lt;=25,"23-25",IF(Table1[[#This Row],[Age]]&lt;=28,"26-28","29-30")))</f>
        <v>29-30</v>
      </c>
      <c r="F97" s="12">
        <v>3.81</v>
      </c>
      <c r="G97" s="12">
        <v>3.87</v>
      </c>
      <c r="H97" s="12">
        <v>3.85</v>
      </c>
      <c r="I97" s="12">
        <v>3.95</v>
      </c>
      <c r="J97" s="12">
        <v>3.92</v>
      </c>
      <c r="K97" s="12">
        <v>3.86</v>
      </c>
      <c r="L97" s="12">
        <v>4.53</v>
      </c>
      <c r="M97" s="12">
        <v>4.4400000000000004</v>
      </c>
      <c r="N97" s="12">
        <v>3.68</v>
      </c>
      <c r="O97" s="12">
        <v>4.45</v>
      </c>
      <c r="P97" s="12">
        <f t="shared" si="7"/>
        <v>3.88</v>
      </c>
      <c r="Q97" s="12">
        <f t="shared" si="8"/>
        <v>3.88</v>
      </c>
      <c r="R97" s="12">
        <f t="shared" si="9"/>
        <v>4.1920000000000002</v>
      </c>
      <c r="S97" s="28">
        <f>IFERROR(INDEX('Clean Gamification Data'!$B:$B,MATCH($B97,'Clean Gamification Data'!$A:$A,0)),"Not Found")</f>
        <v>79.673274559999996</v>
      </c>
      <c r="T97" s="28">
        <f>IFERROR(INDEX('Clean Gamification Data'!$C:$C,MATCH($B97,'Clean Gamification Data'!$A:$A,0)),"Not Found")</f>
        <v>62.108291360000003</v>
      </c>
      <c r="U97" s="28">
        <f>IFERROR(INDEX('Clean Gamification Data'!$D:$D,MATCH($B97,'Clean Gamification Data'!$A:$A,0)),"Not Found")</f>
        <v>79.730035849999993</v>
      </c>
      <c r="V97" s="28">
        <f>IFERROR(INDEX('Clean Gamification Data'!$E:$E,MATCH($B97,'Clean Gamification Data'!$A:$A,0)),"Not Found")</f>
        <v>60.487736720000001</v>
      </c>
      <c r="W97" s="28">
        <f>IFERROR(INDEX('Clean Gamification Data'!$F:$F,MATCH($B97,'Clean Gamification Data'!$A:$A,0)),"Not Found")</f>
        <v>96.775996550000002</v>
      </c>
      <c r="X97" s="28">
        <f>IFERROR(INDEX('Clean Gamification Data'!$G:$G,MATCH($B97,'Clean Gamification Data'!$A:$A,0)),"Not Found")</f>
        <v>75.974966190000004</v>
      </c>
      <c r="Y97" s="28">
        <f>IFERROR(INDEX('Clean Gamification Data'!$H:$H,MATCH($B97,'Clean Gamification Data'!$A:$A,0)),"Not Found")</f>
        <v>74.319503089999998</v>
      </c>
      <c r="Z97" s="28">
        <f>IFERROR(INDEX('Clean Gamification Data'!$I:$I,MATCH($B97,'Clean Gamification Data'!$A:$A,0)),"Not Found")</f>
        <v>55.165272389999998</v>
      </c>
      <c r="AA97" s="28">
        <f>Table1[[#This Row],[Engagement (Gamification %)]]-Table1[[#This Row],[Engagement (Non-Gamification %)]]</f>
        <v>17.564983199999993</v>
      </c>
      <c r="AB97" s="28">
        <f>Table1[[#This Row],[Motivation (Gamification %)]]-Table1[[#This Row],[Motivation (Non-Gamification %)]]</f>
        <v>19.242299129999992</v>
      </c>
      <c r="AC97" s="28">
        <f>Table1[[#This Row],[Participation (Gamification %)]]-Table1[[#This Row],[Participation (Non-Gamification %)]]</f>
        <v>20.801030359999999</v>
      </c>
      <c r="AD97" s="28">
        <f>Table1[[#This Row],[Learning Outcomes (Gamification %)]]-Table1[[#This Row],[Learning Outcomes (Non-Gamification %)]]</f>
        <v>19.154230699999999</v>
      </c>
      <c r="AE97" s="44" t="str">
        <f>IF(Table1[[#This Row],[Overall Effectiveness]]&lt;3.9,"Low",IF(Table1[[#This Row],[Overall Effectiveness]]&lt;4.2,"Medium","High"))</f>
        <v>Low</v>
      </c>
      <c r="AF97" s="30" t="str">
        <f t="shared" si="10"/>
        <v>Experiments</v>
      </c>
      <c r="AG97" s="30" t="str">
        <f t="shared" si="11"/>
        <v>Case Studies</v>
      </c>
      <c r="AH97" s="27">
        <f>COUNTIF(Teacher_Master!$D$2:$D$16,AF97)</f>
        <v>3</v>
      </c>
      <c r="AI97" s="30" t="str">
        <f>INDEX(Teacher_Master!$B$2:$B$16,MATCH(AF97,Teacher_Master!$D$2:$D$16,0))</f>
        <v>Prof. Rahul Singh</v>
      </c>
    </row>
    <row r="98" spans="1:35" ht="14.25" customHeight="1" x14ac:dyDescent="0.3">
      <c r="A98" s="31" t="s">
        <v>207</v>
      </c>
      <c r="B98" s="31" t="s">
        <v>208</v>
      </c>
      <c r="C98" s="31" t="s">
        <v>2882</v>
      </c>
      <c r="D98" s="12">
        <f t="shared" ca="1" si="6"/>
        <v>20</v>
      </c>
      <c r="E98" s="12" t="str">
        <f ca="1">IF(Table1[[#This Row],[Age]]&lt;=22,"20-22",IF(Table1[[#This Row],[Age]]&lt;=25,"23-25",IF(Table1[[#This Row],[Age]]&lt;=28,"26-28","29-30")))</f>
        <v>20-22</v>
      </c>
      <c r="F98" s="12">
        <v>4.2699999999999996</v>
      </c>
      <c r="G98" s="12">
        <v>3.47</v>
      </c>
      <c r="H98" s="12">
        <v>4.63</v>
      </c>
      <c r="I98" s="12">
        <v>3.96</v>
      </c>
      <c r="J98" s="12">
        <v>3.7</v>
      </c>
      <c r="K98" s="12" t="s">
        <v>211</v>
      </c>
      <c r="L98" s="12">
        <v>4.78</v>
      </c>
      <c r="M98" s="12">
        <v>4.17</v>
      </c>
      <c r="N98" s="12">
        <v>4.17</v>
      </c>
      <c r="O98" s="12">
        <v>3.83</v>
      </c>
      <c r="P98" s="12">
        <f t="shared" si="7"/>
        <v>4.0060000000000002</v>
      </c>
      <c r="Q98" s="12">
        <f t="shared" si="8"/>
        <v>4.01</v>
      </c>
      <c r="R98" s="12">
        <f t="shared" si="9"/>
        <v>4.2374999999999998</v>
      </c>
      <c r="S98" s="28">
        <f>IFERROR(INDEX('Clean Gamification Data'!$B:$B,MATCH($B98,'Clean Gamification Data'!$A:$A,0)),"Not Found")</f>
        <v>81.401309420000004</v>
      </c>
      <c r="T98" s="28">
        <f>IFERROR(INDEX('Clean Gamification Data'!$C:$C,MATCH($B98,'Clean Gamification Data'!$A:$A,0)),"Not Found")</f>
        <v>73.642970980000001</v>
      </c>
      <c r="U98" s="28">
        <f>IFERROR(INDEX('Clean Gamification Data'!$D:$D,MATCH($B98,'Clean Gamification Data'!$A:$A,0)),"Not Found")</f>
        <v>70</v>
      </c>
      <c r="V98" s="28">
        <f>IFERROR(INDEX('Clean Gamification Data'!$E:$E,MATCH($B98,'Clean Gamification Data'!$A:$A,0)),"Not Found")</f>
        <v>66.279692749999995</v>
      </c>
      <c r="W98" s="28">
        <f>IFERROR(INDEX('Clean Gamification Data'!$F:$F,MATCH($B98,'Clean Gamification Data'!$A:$A,0)),"Not Found")</f>
        <v>94.607816970000002</v>
      </c>
      <c r="X98" s="28">
        <f>IFERROR(INDEX('Clean Gamification Data'!$G:$G,MATCH($B98,'Clean Gamification Data'!$A:$A,0)),"Not Found")</f>
        <v>74.181024019999995</v>
      </c>
      <c r="Y98" s="28">
        <f>IFERROR(INDEX('Clean Gamification Data'!$H:$H,MATCH($B98,'Clean Gamification Data'!$A:$A,0)),"Not Found")</f>
        <v>77.844570039999994</v>
      </c>
      <c r="Z98" s="28">
        <f>IFERROR(INDEX('Clean Gamification Data'!$I:$I,MATCH($B98,'Clean Gamification Data'!$A:$A,0)),"Not Found")</f>
        <v>50</v>
      </c>
      <c r="AA98" s="28">
        <f>Table1[[#This Row],[Engagement (Gamification %)]]-Table1[[#This Row],[Engagement (Non-Gamification %)]]</f>
        <v>7.7583384400000028</v>
      </c>
      <c r="AB98" s="28">
        <f>Table1[[#This Row],[Motivation (Gamification %)]]-Table1[[#This Row],[Motivation (Non-Gamification %)]]</f>
        <v>3.7203072500000047</v>
      </c>
      <c r="AC98" s="28">
        <f>Table1[[#This Row],[Participation (Gamification %)]]-Table1[[#This Row],[Participation (Non-Gamification %)]]</f>
        <v>20.426792950000006</v>
      </c>
      <c r="AD98" s="28">
        <f>Table1[[#This Row],[Learning Outcomes (Gamification %)]]-Table1[[#This Row],[Learning Outcomes (Non-Gamification %)]]</f>
        <v>27.844570039999994</v>
      </c>
      <c r="AE98" s="44" t="str">
        <f>IF(Table1[[#This Row],[Overall Effectiveness]]&lt;3.9,"Low",IF(Table1[[#This Row],[Overall Effectiveness]]&lt;4.2,"Medium","High"))</f>
        <v>Medium</v>
      </c>
      <c r="AF98" s="30" t="str">
        <f t="shared" si="10"/>
        <v>Group Projects</v>
      </c>
      <c r="AG98" s="30" t="str">
        <f t="shared" si="11"/>
        <v>Case Studies</v>
      </c>
      <c r="AH98" s="27">
        <f>COUNTIF(Teacher_Master!$D$2:$D$16,AF98)</f>
        <v>3</v>
      </c>
      <c r="AI98" s="30" t="str">
        <f>INDEX(Teacher_Master!$B$2:$B$16,MATCH(AF98,Teacher_Master!$D$2:$D$16,0))</f>
        <v>Dr. Rohan Dutta</v>
      </c>
    </row>
    <row r="99" spans="1:35" ht="14.25" customHeight="1" x14ac:dyDescent="0.3">
      <c r="A99" s="31" t="s">
        <v>209</v>
      </c>
      <c r="B99" s="31" t="s">
        <v>2156</v>
      </c>
      <c r="C99" s="31" t="s">
        <v>2882</v>
      </c>
      <c r="D99" s="12">
        <f t="shared" ca="1" si="6"/>
        <v>27</v>
      </c>
      <c r="E99" s="12" t="str">
        <f ca="1">IF(Table1[[#This Row],[Age]]&lt;=22,"20-22",IF(Table1[[#This Row],[Age]]&lt;=25,"23-25",IF(Table1[[#This Row],[Age]]&lt;=28,"26-28","29-30")))</f>
        <v>26-28</v>
      </c>
      <c r="F99" s="12">
        <v>3.97</v>
      </c>
      <c r="G99" s="12">
        <v>3.79</v>
      </c>
      <c r="H99" s="12">
        <v>4.03</v>
      </c>
      <c r="I99" s="12">
        <v>4.08</v>
      </c>
      <c r="J99" s="12">
        <v>4.33</v>
      </c>
      <c r="K99" s="12">
        <v>3.75</v>
      </c>
      <c r="L99" s="12" t="s">
        <v>211</v>
      </c>
      <c r="M99" s="12">
        <v>4.1500000000000004</v>
      </c>
      <c r="N99" s="12">
        <v>4</v>
      </c>
      <c r="O99" s="12">
        <v>3.99</v>
      </c>
      <c r="P99" s="12">
        <f t="shared" si="7"/>
        <v>4.04</v>
      </c>
      <c r="Q99" s="12">
        <f t="shared" si="8"/>
        <v>4.04</v>
      </c>
      <c r="R99" s="12">
        <f t="shared" si="9"/>
        <v>3.9725000000000001</v>
      </c>
      <c r="S99" s="28">
        <f>IFERROR(INDEX('Clean Gamification Data'!$B:$B,MATCH($B99,'Clean Gamification Data'!$A:$A,0)),"Not Found")</f>
        <v>83.375007420000003</v>
      </c>
      <c r="T99" s="28">
        <f>IFERROR(INDEX('Clean Gamification Data'!$C:$C,MATCH($B99,'Clean Gamification Data'!$A:$A,0)),"Not Found")</f>
        <v>74.779325389999997</v>
      </c>
      <c r="U99" s="28">
        <f>IFERROR(INDEX('Clean Gamification Data'!$D:$D,MATCH($B99,'Clean Gamification Data'!$A:$A,0)),"Not Found")</f>
        <v>78.460337069999994</v>
      </c>
      <c r="V99" s="28">
        <f>IFERROR(INDEX('Clean Gamification Data'!$E:$E,MATCH($B99,'Clean Gamification Data'!$A:$A,0)),"Not Found")</f>
        <v>74.946423569999993</v>
      </c>
      <c r="W99" s="28">
        <f>IFERROR(INDEX('Clean Gamification Data'!$F:$F,MATCH($B99,'Clean Gamification Data'!$A:$A,0)),"Not Found")</f>
        <v>93.018851799999993</v>
      </c>
      <c r="X99" s="28">
        <f>IFERROR(INDEX('Clean Gamification Data'!$G:$G,MATCH($B99,'Clean Gamification Data'!$A:$A,0)),"Not Found")</f>
        <v>83.948619370000003</v>
      </c>
      <c r="Y99" s="28">
        <f>IFERROR(INDEX('Clean Gamification Data'!$H:$H,MATCH($B99,'Clean Gamification Data'!$A:$A,0)),"Not Found")</f>
        <v>73.603913649999996</v>
      </c>
      <c r="Z99" s="28">
        <f>IFERROR(INDEX('Clean Gamification Data'!$I:$I,MATCH($B99,'Clean Gamification Data'!$A:$A,0)),"Not Found")</f>
        <v>61.877733020000001</v>
      </c>
      <c r="AA99" s="28">
        <f>Table1[[#This Row],[Engagement (Gamification %)]]-Table1[[#This Row],[Engagement (Non-Gamification %)]]</f>
        <v>8.5956820300000061</v>
      </c>
      <c r="AB99" s="28">
        <f>Table1[[#This Row],[Motivation (Gamification %)]]-Table1[[#This Row],[Motivation (Non-Gamification %)]]</f>
        <v>3.513913500000001</v>
      </c>
      <c r="AC99" s="28">
        <f>Table1[[#This Row],[Participation (Gamification %)]]-Table1[[#This Row],[Participation (Non-Gamification %)]]</f>
        <v>9.0702324299999901</v>
      </c>
      <c r="AD99" s="28">
        <f>Table1[[#This Row],[Learning Outcomes (Gamification %)]]-Table1[[#This Row],[Learning Outcomes (Non-Gamification %)]]</f>
        <v>11.726180629999995</v>
      </c>
      <c r="AE99" s="44" t="str">
        <f>IF(Table1[[#This Row],[Overall Effectiveness]]&lt;3.9,"Low",IF(Table1[[#This Row],[Overall Effectiveness]]&lt;4.2,"Medium","High"))</f>
        <v>Medium</v>
      </c>
      <c r="AF99" s="30" t="str">
        <f t="shared" si="10"/>
        <v>Online Tutorials</v>
      </c>
      <c r="AG99" s="30" t="str">
        <f t="shared" si="11"/>
        <v>Group Projects</v>
      </c>
      <c r="AH99" s="27">
        <f>COUNTIF(Teacher_Master!$D$2:$D$16,AF99)</f>
        <v>3</v>
      </c>
      <c r="AI99" s="30" t="str">
        <f>INDEX(Teacher_Master!$B$2:$B$16,MATCH(AF99,Teacher_Master!$D$2:$D$16,0))</f>
        <v>Prof. Kavita Rao</v>
      </c>
    </row>
    <row r="100" spans="1:35" ht="14.25" customHeight="1" x14ac:dyDescent="0.3">
      <c r="A100" s="31" t="s">
        <v>212</v>
      </c>
      <c r="B100" s="31" t="s">
        <v>2157</v>
      </c>
      <c r="C100" s="31" t="s">
        <v>2881</v>
      </c>
      <c r="D100" s="12">
        <f t="shared" ca="1" si="6"/>
        <v>21</v>
      </c>
      <c r="E100" s="12" t="str">
        <f ca="1">IF(Table1[[#This Row],[Age]]&lt;=22,"20-22",IF(Table1[[#This Row],[Age]]&lt;=25,"23-25",IF(Table1[[#This Row],[Age]]&lt;=28,"26-28","29-30")))</f>
        <v>20-22</v>
      </c>
      <c r="F100" s="12">
        <v>3.8</v>
      </c>
      <c r="G100" s="12">
        <v>4.3</v>
      </c>
      <c r="H100" s="12">
        <v>4.2</v>
      </c>
      <c r="I100" s="12">
        <v>4.28</v>
      </c>
      <c r="J100" s="12">
        <v>3.71</v>
      </c>
      <c r="K100" s="12">
        <v>4.7300000000000004</v>
      </c>
      <c r="L100" s="12">
        <v>3.5</v>
      </c>
      <c r="M100" s="12">
        <v>3.67</v>
      </c>
      <c r="N100" s="12">
        <v>4.3499999999999996</v>
      </c>
      <c r="O100" s="12">
        <v>4.49</v>
      </c>
      <c r="P100" s="12">
        <f t="shared" si="7"/>
        <v>4.0580000000000007</v>
      </c>
      <c r="Q100" s="12">
        <f t="shared" si="8"/>
        <v>4.0599999999999996</v>
      </c>
      <c r="R100" s="12">
        <f t="shared" si="9"/>
        <v>4.1480000000000006</v>
      </c>
      <c r="S100" s="28">
        <f>IFERROR(INDEX('Clean Gamification Data'!$B:$B,MATCH($B100,'Clean Gamification Data'!$A:$A,0)),"Not Found")</f>
        <v>79.139252909999996</v>
      </c>
      <c r="T100" s="28">
        <f>IFERROR(INDEX('Clean Gamification Data'!$C:$C,MATCH($B100,'Clean Gamification Data'!$A:$A,0)),"Not Found")</f>
        <v>75.969781519999998</v>
      </c>
      <c r="U100" s="28">
        <f>IFERROR(INDEX('Clean Gamification Data'!$D:$D,MATCH($B100,'Clean Gamification Data'!$A:$A,0)),"Not Found")</f>
        <v>71.086762100000001</v>
      </c>
      <c r="V100" s="28">
        <f>IFERROR(INDEX('Clean Gamification Data'!$E:$E,MATCH($B100,'Clean Gamification Data'!$A:$A,0)),"Not Found")</f>
        <v>61.07474122</v>
      </c>
      <c r="W100" s="28">
        <f>IFERROR(INDEX('Clean Gamification Data'!$F:$F,MATCH($B100,'Clean Gamification Data'!$A:$A,0)),"Not Found")</f>
        <v>87.303813950000006</v>
      </c>
      <c r="X100" s="28">
        <f>IFERROR(INDEX('Clean Gamification Data'!$G:$G,MATCH($B100,'Clean Gamification Data'!$A:$A,0)),"Not Found")</f>
        <v>75.189164329999997</v>
      </c>
      <c r="Y100" s="28">
        <f>IFERROR(INDEX('Clean Gamification Data'!$H:$H,MATCH($B100,'Clean Gamification Data'!$A:$A,0)),"Not Found")</f>
        <v>67.840313269999996</v>
      </c>
      <c r="Z100" s="28">
        <f>IFERROR(INDEX('Clean Gamification Data'!$I:$I,MATCH($B100,'Clean Gamification Data'!$A:$A,0)),"Not Found")</f>
        <v>69.715055199999995</v>
      </c>
      <c r="AA100" s="28">
        <f>Table1[[#This Row],[Engagement (Gamification %)]]-Table1[[#This Row],[Engagement (Non-Gamification %)]]</f>
        <v>3.1694713899999982</v>
      </c>
      <c r="AB100" s="28">
        <f>Table1[[#This Row],[Motivation (Gamification %)]]-Table1[[#This Row],[Motivation (Non-Gamification %)]]</f>
        <v>10.012020880000001</v>
      </c>
      <c r="AC100" s="28">
        <f>Table1[[#This Row],[Participation (Gamification %)]]-Table1[[#This Row],[Participation (Non-Gamification %)]]</f>
        <v>12.114649620000009</v>
      </c>
      <c r="AD100" s="28">
        <f>Table1[[#This Row],[Learning Outcomes (Gamification %)]]-Table1[[#This Row],[Learning Outcomes (Non-Gamification %)]]</f>
        <v>-1.874741929999999</v>
      </c>
      <c r="AE100" s="44" t="str">
        <f>IF(Table1[[#This Row],[Overall Effectiveness]]&lt;3.9,"Low",IF(Table1[[#This Row],[Overall Effectiveness]]&lt;4.2,"Medium","High"))</f>
        <v>Medium</v>
      </c>
      <c r="AF100" s="30" t="str">
        <f t="shared" si="10"/>
        <v>Case Studies</v>
      </c>
      <c r="AG100" s="30" t="str">
        <f t="shared" si="11"/>
        <v>Lectures</v>
      </c>
      <c r="AH100" s="27">
        <f>COUNTIF(Teacher_Master!$D$2:$D$16,AF100)</f>
        <v>3</v>
      </c>
      <c r="AI100" s="30" t="str">
        <f>INDEX(Teacher_Master!$B$2:$B$16,MATCH(AF100,Teacher_Master!$D$2:$D$16,0))</f>
        <v>Prof. Rajesh Mukherjee</v>
      </c>
    </row>
    <row r="101" spans="1:35" ht="14.25" customHeight="1" x14ac:dyDescent="0.3">
      <c r="A101" s="31" t="s">
        <v>214</v>
      </c>
      <c r="B101" s="31" t="s">
        <v>2158</v>
      </c>
      <c r="C101" s="31" t="s">
        <v>2882</v>
      </c>
      <c r="D101" s="12">
        <f t="shared" ca="1" si="6"/>
        <v>21</v>
      </c>
      <c r="E101" s="12" t="str">
        <f ca="1">IF(Table1[[#This Row],[Age]]&lt;=22,"20-22",IF(Table1[[#This Row],[Age]]&lt;=25,"23-25",IF(Table1[[#This Row],[Age]]&lt;=28,"26-28","29-30")))</f>
        <v>20-22</v>
      </c>
      <c r="F101" s="12">
        <v>3.98</v>
      </c>
      <c r="G101" s="12">
        <v>4.5199999999999996</v>
      </c>
      <c r="H101" s="12">
        <v>3.71</v>
      </c>
      <c r="I101" s="12">
        <v>4.08</v>
      </c>
      <c r="J101" s="12">
        <v>3.97</v>
      </c>
      <c r="K101" s="12">
        <v>4.58</v>
      </c>
      <c r="L101" s="12">
        <v>4.3099999999999996</v>
      </c>
      <c r="M101" s="12">
        <v>4.2699999999999996</v>
      </c>
      <c r="N101" s="12">
        <v>3.95</v>
      </c>
      <c r="O101" s="12">
        <v>4.5199999999999996</v>
      </c>
      <c r="P101" s="12">
        <f t="shared" si="7"/>
        <v>4.0519999999999996</v>
      </c>
      <c r="Q101" s="12">
        <f t="shared" si="8"/>
        <v>4.05</v>
      </c>
      <c r="R101" s="12">
        <f t="shared" si="9"/>
        <v>4.3259999999999996</v>
      </c>
      <c r="S101" s="28">
        <f>IFERROR(INDEX('Clean Gamification Data'!$B:$B,MATCH($B101,'Clean Gamification Data'!$A:$A,0)),"Not Found")</f>
        <v>81.756660609999997</v>
      </c>
      <c r="T101" s="28">
        <f>IFERROR(INDEX('Clean Gamification Data'!$C:$C,MATCH($B101,'Clean Gamification Data'!$A:$A,0)),"Not Found")</f>
        <v>61.209392039999997</v>
      </c>
      <c r="U101" s="28">
        <f>IFERROR(INDEX('Clean Gamification Data'!$D:$D,MATCH($B101,'Clean Gamification Data'!$A:$A,0)),"Not Found")</f>
        <v>79.692439469999997</v>
      </c>
      <c r="V101" s="28">
        <f>IFERROR(INDEX('Clean Gamification Data'!$E:$E,MATCH($B101,'Clean Gamification Data'!$A:$A,0)),"Not Found")</f>
        <v>64.349131529999994</v>
      </c>
      <c r="W101" s="28">
        <f>IFERROR(INDEX('Clean Gamification Data'!$F:$F,MATCH($B101,'Clean Gamification Data'!$A:$A,0)),"Not Found")</f>
        <v>86.249097129999996</v>
      </c>
      <c r="X101" s="28">
        <f>IFERROR(INDEX('Clean Gamification Data'!$G:$G,MATCH($B101,'Clean Gamification Data'!$A:$A,0)),"Not Found")</f>
        <v>83.750592380000001</v>
      </c>
      <c r="Y101" s="28">
        <f>IFERROR(INDEX('Clean Gamification Data'!$H:$H,MATCH($B101,'Clean Gamification Data'!$A:$A,0)),"Not Found")</f>
        <v>69.673099129999997</v>
      </c>
      <c r="Z101" s="28">
        <f>IFERROR(INDEX('Clean Gamification Data'!$I:$I,MATCH($B101,'Clean Gamification Data'!$A:$A,0)),"Not Found")</f>
        <v>66.499358650000005</v>
      </c>
      <c r="AA101" s="28">
        <f>Table1[[#This Row],[Engagement (Gamification %)]]-Table1[[#This Row],[Engagement (Non-Gamification %)]]</f>
        <v>20.54726857</v>
      </c>
      <c r="AB101" s="28">
        <f>Table1[[#This Row],[Motivation (Gamification %)]]-Table1[[#This Row],[Motivation (Non-Gamification %)]]</f>
        <v>15.343307940000003</v>
      </c>
      <c r="AC101" s="28">
        <f>Table1[[#This Row],[Participation (Gamification %)]]-Table1[[#This Row],[Participation (Non-Gamification %)]]</f>
        <v>2.4985047499999951</v>
      </c>
      <c r="AD101" s="28">
        <f>Table1[[#This Row],[Learning Outcomes (Gamification %)]]-Table1[[#This Row],[Learning Outcomes (Non-Gamification %)]]</f>
        <v>3.1737404799999922</v>
      </c>
      <c r="AE101" s="44" t="str">
        <f>IF(Table1[[#This Row],[Overall Effectiveness]]&lt;3.9,"Low",IF(Table1[[#This Row],[Overall Effectiveness]]&lt;4.2,"Medium","High"))</f>
        <v>Medium</v>
      </c>
      <c r="AF101" s="30" t="str">
        <f t="shared" si="10"/>
        <v>Case Studies</v>
      </c>
      <c r="AG101" s="30" t="str">
        <f t="shared" si="11"/>
        <v>Lectures</v>
      </c>
      <c r="AH101" s="27">
        <f>COUNTIF(Teacher_Master!$D$2:$D$16,AF101)</f>
        <v>3</v>
      </c>
      <c r="AI101" s="30" t="str">
        <f>INDEX(Teacher_Master!$B$2:$B$16,MATCH(AF101,Teacher_Master!$D$2:$D$16,0))</f>
        <v>Prof. Rajesh Mukherjee</v>
      </c>
    </row>
    <row r="102" spans="1:35" ht="14.25" customHeight="1" x14ac:dyDescent="0.3">
      <c r="A102" s="31" t="s">
        <v>216</v>
      </c>
      <c r="B102" s="31" t="s">
        <v>2159</v>
      </c>
      <c r="C102" s="31" t="s">
        <v>2882</v>
      </c>
      <c r="D102" s="12">
        <f t="shared" ca="1" si="6"/>
        <v>29</v>
      </c>
      <c r="E102" s="12" t="str">
        <f ca="1">IF(Table1[[#This Row],[Age]]&lt;=22,"20-22",IF(Table1[[#This Row],[Age]]&lt;=25,"23-25",IF(Table1[[#This Row],[Age]]&lt;=28,"26-28","29-30")))</f>
        <v>29-30</v>
      </c>
      <c r="F102" s="12">
        <v>4</v>
      </c>
      <c r="G102" s="12">
        <v>3.97</v>
      </c>
      <c r="H102" s="12">
        <v>3.71</v>
      </c>
      <c r="I102" s="12" t="s">
        <v>218</v>
      </c>
      <c r="J102" s="12">
        <v>4.32</v>
      </c>
      <c r="K102" s="12">
        <v>4.0599999999999996</v>
      </c>
      <c r="L102" s="12">
        <v>4.09</v>
      </c>
      <c r="M102" s="12">
        <v>4.22</v>
      </c>
      <c r="N102" s="12">
        <v>4.04</v>
      </c>
      <c r="O102" s="12">
        <v>4.34</v>
      </c>
      <c r="P102" s="12">
        <f t="shared" si="7"/>
        <v>4</v>
      </c>
      <c r="Q102" s="12">
        <f t="shared" si="8"/>
        <v>4</v>
      </c>
      <c r="R102" s="12">
        <f t="shared" si="9"/>
        <v>4.1499999999999995</v>
      </c>
      <c r="S102" s="28">
        <f>IFERROR(INDEX('Clean Gamification Data'!$B:$B,MATCH($B102,'Clean Gamification Data'!$A:$A,0)),"Not Found")</f>
        <v>92.266531819999997</v>
      </c>
      <c r="T102" s="28">
        <f>IFERROR(INDEX('Clean Gamification Data'!$C:$C,MATCH($B102,'Clean Gamification Data'!$A:$A,0)),"Not Found")</f>
        <v>68.323577900000004</v>
      </c>
      <c r="U102" s="28">
        <f>IFERROR(INDEX('Clean Gamification Data'!$D:$D,MATCH($B102,'Clean Gamification Data'!$A:$A,0)),"Not Found")</f>
        <v>87.157744039999997</v>
      </c>
      <c r="V102" s="28">
        <f>IFERROR(INDEX('Clean Gamification Data'!$E:$E,MATCH($B102,'Clean Gamification Data'!$A:$A,0)),"Not Found")</f>
        <v>56.734073209999998</v>
      </c>
      <c r="W102" s="28">
        <f>IFERROR(INDEX('Clean Gamification Data'!$F:$F,MATCH($B102,'Clean Gamification Data'!$A:$A,0)),"Not Found")</f>
        <v>91.895896899999997</v>
      </c>
      <c r="X102" s="28">
        <f>IFERROR(INDEX('Clean Gamification Data'!$G:$G,MATCH($B102,'Clean Gamification Data'!$A:$A,0)),"Not Found")</f>
        <v>78.873114909999998</v>
      </c>
      <c r="Y102" s="28">
        <f>IFERROR(INDEX('Clean Gamification Data'!$H:$H,MATCH($B102,'Clean Gamification Data'!$A:$A,0)),"Not Found")</f>
        <v>69.029636229999994</v>
      </c>
      <c r="Z102" s="28">
        <f>IFERROR(INDEX('Clean Gamification Data'!$I:$I,MATCH($B102,'Clean Gamification Data'!$A:$A,0)),"Not Found")</f>
        <v>63.151932369999997</v>
      </c>
      <c r="AA102" s="28">
        <f>Table1[[#This Row],[Engagement (Gamification %)]]-Table1[[#This Row],[Engagement (Non-Gamification %)]]</f>
        <v>23.942953919999994</v>
      </c>
      <c r="AB102" s="28">
        <f>Table1[[#This Row],[Motivation (Gamification %)]]-Table1[[#This Row],[Motivation (Non-Gamification %)]]</f>
        <v>30.423670829999999</v>
      </c>
      <c r="AC102" s="28">
        <f>Table1[[#This Row],[Participation (Gamification %)]]-Table1[[#This Row],[Participation (Non-Gamification %)]]</f>
        <v>13.022781989999999</v>
      </c>
      <c r="AD102" s="28">
        <f>Table1[[#This Row],[Learning Outcomes (Gamification %)]]-Table1[[#This Row],[Learning Outcomes (Non-Gamification %)]]</f>
        <v>5.8777038599999969</v>
      </c>
      <c r="AE102" s="44" t="str">
        <f>IF(Table1[[#This Row],[Overall Effectiveness]]&lt;3.9,"Low",IF(Table1[[#This Row],[Overall Effectiveness]]&lt;4.2,"Medium","High"))</f>
        <v>Medium</v>
      </c>
      <c r="AF102" s="30" t="str">
        <f t="shared" si="10"/>
        <v>Online Tutorials</v>
      </c>
      <c r="AG102" s="30" t="str">
        <f t="shared" si="11"/>
        <v>Online Tutorials</v>
      </c>
      <c r="AH102" s="27">
        <f>COUNTIF(Teacher_Master!$D$2:$D$16,AF102)</f>
        <v>3</v>
      </c>
      <c r="AI102" s="30" t="str">
        <f>INDEX(Teacher_Master!$B$2:$B$16,MATCH(AF102,Teacher_Master!$D$2:$D$16,0))</f>
        <v>Prof. Kavita Rao</v>
      </c>
    </row>
    <row r="103" spans="1:35" ht="14.25" customHeight="1" x14ac:dyDescent="0.3">
      <c r="A103" s="31" t="s">
        <v>219</v>
      </c>
      <c r="B103" s="31" t="s">
        <v>2160</v>
      </c>
      <c r="C103" s="31" t="s">
        <v>2882</v>
      </c>
      <c r="D103" s="12">
        <f t="shared" ca="1" si="6"/>
        <v>23</v>
      </c>
      <c r="E103" s="12" t="str">
        <f ca="1">IF(Table1[[#This Row],[Age]]&lt;=22,"20-22",IF(Table1[[#This Row],[Age]]&lt;=25,"23-25",IF(Table1[[#This Row],[Age]]&lt;=28,"26-28","29-30")))</f>
        <v>23-25</v>
      </c>
      <c r="F103" s="12">
        <v>4.05</v>
      </c>
      <c r="G103" s="12">
        <v>3.85</v>
      </c>
      <c r="H103" s="12">
        <v>3.69</v>
      </c>
      <c r="I103" s="12">
        <v>4.3899999999999997</v>
      </c>
      <c r="J103" s="12">
        <v>3.44</v>
      </c>
      <c r="K103" s="12">
        <v>4.05</v>
      </c>
      <c r="L103" s="12">
        <v>4.09</v>
      </c>
      <c r="M103" s="12">
        <v>3.93</v>
      </c>
      <c r="N103" s="12">
        <v>4.1100000000000003</v>
      </c>
      <c r="O103" s="12">
        <v>3.98</v>
      </c>
      <c r="P103" s="12">
        <f t="shared" si="7"/>
        <v>3.8840000000000003</v>
      </c>
      <c r="Q103" s="12">
        <f t="shared" si="8"/>
        <v>3.88</v>
      </c>
      <c r="R103" s="12">
        <f t="shared" si="9"/>
        <v>4.032</v>
      </c>
      <c r="S103" s="28">
        <f>IFERROR(INDEX('Clean Gamification Data'!$B:$B,MATCH($B103,'Clean Gamification Data'!$A:$A,0)),"Not Found")</f>
        <v>90.779485809999997</v>
      </c>
      <c r="T103" s="28">
        <f>IFERROR(INDEX('Clean Gamification Data'!$C:$C,MATCH($B103,'Clean Gamification Data'!$A:$A,0)),"Not Found")</f>
        <v>75.455114969999997</v>
      </c>
      <c r="U103" s="28">
        <f>IFERROR(INDEX('Clean Gamification Data'!$D:$D,MATCH($B103,'Clean Gamification Data'!$A:$A,0)),"Not Found")</f>
        <v>83.667133120000003</v>
      </c>
      <c r="V103" s="28">
        <f>IFERROR(INDEX('Clean Gamification Data'!$E:$E,MATCH($B103,'Clean Gamification Data'!$A:$A,0)),"Not Found")</f>
        <v>70.634968639999997</v>
      </c>
      <c r="W103" s="28">
        <f>IFERROR(INDEX('Clean Gamification Data'!$F:$F,MATCH($B103,'Clean Gamification Data'!$A:$A,0)),"Not Found")</f>
        <v>83.515075330000002</v>
      </c>
      <c r="X103" s="28">
        <f>IFERROR(INDEX('Clean Gamification Data'!$G:$G,MATCH($B103,'Clean Gamification Data'!$A:$A,0)),"Not Found")</f>
        <v>75.462677720000002</v>
      </c>
      <c r="Y103" s="28">
        <f>IFERROR(INDEX('Clean Gamification Data'!$H:$H,MATCH($B103,'Clean Gamification Data'!$A:$A,0)),"Not Found")</f>
        <v>71.575505710000002</v>
      </c>
      <c r="Z103" s="28">
        <f>IFERROR(INDEX('Clean Gamification Data'!$I:$I,MATCH($B103,'Clean Gamification Data'!$A:$A,0)),"Not Found")</f>
        <v>60.940352169999997</v>
      </c>
      <c r="AA103" s="28">
        <f>Table1[[#This Row],[Engagement (Gamification %)]]-Table1[[#This Row],[Engagement (Non-Gamification %)]]</f>
        <v>15.32437084</v>
      </c>
      <c r="AB103" s="28">
        <f>Table1[[#This Row],[Motivation (Gamification %)]]-Table1[[#This Row],[Motivation (Non-Gamification %)]]</f>
        <v>13.032164480000006</v>
      </c>
      <c r="AC103" s="28">
        <f>Table1[[#This Row],[Participation (Gamification %)]]-Table1[[#This Row],[Participation (Non-Gamification %)]]</f>
        <v>8.0523976099999999</v>
      </c>
      <c r="AD103" s="28">
        <f>Table1[[#This Row],[Learning Outcomes (Gamification %)]]-Table1[[#This Row],[Learning Outcomes (Non-Gamification %)]]</f>
        <v>10.635153540000005</v>
      </c>
      <c r="AE103" s="44" t="str">
        <f>IF(Table1[[#This Row],[Overall Effectiveness]]&lt;3.9,"Low",IF(Table1[[#This Row],[Overall Effectiveness]]&lt;4.2,"Medium","High"))</f>
        <v>Low</v>
      </c>
      <c r="AF103" s="30" t="str">
        <f t="shared" si="10"/>
        <v>Experiments</v>
      </c>
      <c r="AG103" s="30" t="str">
        <f t="shared" si="11"/>
        <v>Experiments</v>
      </c>
      <c r="AH103" s="27">
        <f>COUNTIF(Teacher_Master!$D$2:$D$16,AF103)</f>
        <v>3</v>
      </c>
      <c r="AI103" s="30" t="str">
        <f>INDEX(Teacher_Master!$B$2:$B$16,MATCH(AF103,Teacher_Master!$D$2:$D$16,0))</f>
        <v>Prof. Rahul Singh</v>
      </c>
    </row>
    <row r="104" spans="1:35" ht="14.25" customHeight="1" x14ac:dyDescent="0.3">
      <c r="A104" s="31" t="s">
        <v>221</v>
      </c>
      <c r="B104" s="31" t="s">
        <v>2161</v>
      </c>
      <c r="C104" s="31" t="s">
        <v>2882</v>
      </c>
      <c r="D104" s="12">
        <f t="shared" ca="1" si="6"/>
        <v>28</v>
      </c>
      <c r="E104" s="12" t="str">
        <f ca="1">IF(Table1[[#This Row],[Age]]&lt;=22,"20-22",IF(Table1[[#This Row],[Age]]&lt;=25,"23-25",IF(Table1[[#This Row],[Age]]&lt;=28,"26-28","29-30")))</f>
        <v>26-28</v>
      </c>
      <c r="F104" s="12">
        <v>4.6100000000000003</v>
      </c>
      <c r="G104" s="12">
        <v>3.75</v>
      </c>
      <c r="H104" s="12">
        <v>3.68</v>
      </c>
      <c r="I104" s="12">
        <v>3.86</v>
      </c>
      <c r="J104" s="12">
        <v>3.97</v>
      </c>
      <c r="K104" s="12">
        <v>3.73</v>
      </c>
      <c r="L104" s="12">
        <v>4.0999999999999996</v>
      </c>
      <c r="M104" s="12">
        <v>4.09</v>
      </c>
      <c r="N104" s="12">
        <v>3.79</v>
      </c>
      <c r="O104" s="12">
        <v>4.5599999999999996</v>
      </c>
      <c r="P104" s="12">
        <f t="shared" si="7"/>
        <v>3.9739999999999993</v>
      </c>
      <c r="Q104" s="12">
        <f t="shared" si="8"/>
        <v>3.97</v>
      </c>
      <c r="R104" s="12">
        <f t="shared" si="9"/>
        <v>4.0540000000000003</v>
      </c>
      <c r="S104" s="28">
        <f>IFERROR(INDEX('Clean Gamification Data'!$B:$B,MATCH($B104,'Clean Gamification Data'!$A:$A,0)),"Not Found")</f>
        <v>83.871956519999998</v>
      </c>
      <c r="T104" s="28">
        <f>IFERROR(INDEX('Clean Gamification Data'!$C:$C,MATCH($B104,'Clean Gamification Data'!$A:$A,0)),"Not Found")</f>
        <v>70.623763350000004</v>
      </c>
      <c r="U104" s="28">
        <f>IFERROR(INDEX('Clean Gamification Data'!$D:$D,MATCH($B104,'Clean Gamification Data'!$A:$A,0)),"Not Found")</f>
        <v>77.039927120000002</v>
      </c>
      <c r="V104" s="28">
        <f>IFERROR(INDEX('Clean Gamification Data'!$E:$E,MATCH($B104,'Clean Gamification Data'!$A:$A,0)),"Not Found")</f>
        <v>69.520921099999995</v>
      </c>
      <c r="W104" s="28">
        <f>IFERROR(INDEX('Clean Gamification Data'!$F:$F,MATCH($B104,'Clean Gamification Data'!$A:$A,0)),"Not Found")</f>
        <v>80.380406629999996</v>
      </c>
      <c r="X104" s="28">
        <f>IFERROR(INDEX('Clean Gamification Data'!$G:$G,MATCH($B104,'Clean Gamification Data'!$A:$A,0)),"Not Found")</f>
        <v>77.400701850000004</v>
      </c>
      <c r="Y104" s="28">
        <f>IFERROR(INDEX('Clean Gamification Data'!$H:$H,MATCH($B104,'Clean Gamification Data'!$A:$A,0)),"Not Found")</f>
        <v>71.071759929999999</v>
      </c>
      <c r="Z104" s="28">
        <f>IFERROR(INDEX('Clean Gamification Data'!$I:$I,MATCH($B104,'Clean Gamification Data'!$A:$A,0)),"Not Found")</f>
        <v>64.641627720000002</v>
      </c>
      <c r="AA104" s="28">
        <f>Table1[[#This Row],[Engagement (Gamification %)]]-Table1[[#This Row],[Engagement (Non-Gamification %)]]</f>
        <v>13.248193169999993</v>
      </c>
      <c r="AB104" s="28">
        <f>Table1[[#This Row],[Motivation (Gamification %)]]-Table1[[#This Row],[Motivation (Non-Gamification %)]]</f>
        <v>7.5190060200000062</v>
      </c>
      <c r="AC104" s="28">
        <f>Table1[[#This Row],[Participation (Gamification %)]]-Table1[[#This Row],[Participation (Non-Gamification %)]]</f>
        <v>2.9797047799999916</v>
      </c>
      <c r="AD104" s="28">
        <f>Table1[[#This Row],[Learning Outcomes (Gamification %)]]-Table1[[#This Row],[Learning Outcomes (Non-Gamification %)]]</f>
        <v>6.4301322099999965</v>
      </c>
      <c r="AE104" s="44" t="str">
        <f>IF(Table1[[#This Row],[Overall Effectiveness]]&lt;3.9,"Low",IF(Table1[[#This Row],[Overall Effectiveness]]&lt;4.2,"Medium","High"))</f>
        <v>Medium</v>
      </c>
      <c r="AF104" s="30" t="str">
        <f t="shared" si="10"/>
        <v>Lectures</v>
      </c>
      <c r="AG104" s="30" t="str">
        <f t="shared" si="11"/>
        <v>Online Tutorials</v>
      </c>
      <c r="AH104" s="27">
        <f>COUNTIF(Teacher_Master!$D$2:$D$16,AF104)</f>
        <v>3</v>
      </c>
      <c r="AI104" s="30" t="str">
        <f>INDEX(Teacher_Master!$B$2:$B$16,MATCH(AF104,Teacher_Master!$D$2:$D$16,0))</f>
        <v>Prof. Vikram Gupta</v>
      </c>
    </row>
    <row r="105" spans="1:35" ht="14.25" customHeight="1" x14ac:dyDescent="0.3">
      <c r="A105" s="31" t="s">
        <v>223</v>
      </c>
      <c r="B105" s="31" t="s">
        <v>224</v>
      </c>
      <c r="C105" s="31" t="s">
        <v>2881</v>
      </c>
      <c r="D105" s="12">
        <f t="shared" ca="1" si="6"/>
        <v>21</v>
      </c>
      <c r="E105" s="12" t="str">
        <f ca="1">IF(Table1[[#This Row],[Age]]&lt;=22,"20-22",IF(Table1[[#This Row],[Age]]&lt;=25,"23-25",IF(Table1[[#This Row],[Age]]&lt;=28,"26-28","29-30")))</f>
        <v>20-22</v>
      </c>
      <c r="F105" s="12">
        <v>4.4000000000000004</v>
      </c>
      <c r="G105" s="12">
        <v>3.42</v>
      </c>
      <c r="H105" s="12">
        <v>4.58</v>
      </c>
      <c r="I105" s="12">
        <v>4.37</v>
      </c>
      <c r="J105" s="12">
        <v>4.07</v>
      </c>
      <c r="K105" s="12">
        <v>4.4800000000000004</v>
      </c>
      <c r="L105" s="12">
        <v>3.73</v>
      </c>
      <c r="M105" s="12">
        <v>4</v>
      </c>
      <c r="N105" s="12">
        <v>3.94</v>
      </c>
      <c r="O105" s="12">
        <v>4.32</v>
      </c>
      <c r="P105" s="12">
        <f t="shared" si="7"/>
        <v>4.1680000000000001</v>
      </c>
      <c r="Q105" s="12">
        <f t="shared" si="8"/>
        <v>4.17</v>
      </c>
      <c r="R105" s="12">
        <f t="shared" si="9"/>
        <v>4.0940000000000003</v>
      </c>
      <c r="S105" s="28">
        <f>IFERROR(INDEX('Clean Gamification Data'!$B:$B,MATCH($B105,'Clean Gamification Data'!$A:$A,0)),"Not Found")</f>
        <v>93.825192049999998</v>
      </c>
      <c r="T105" s="28">
        <f>IFERROR(INDEX('Clean Gamification Data'!$C:$C,MATCH($B105,'Clean Gamification Data'!$A:$A,0)),"Not Found")</f>
        <v>77.291070189999999</v>
      </c>
      <c r="U105" s="28">
        <f>IFERROR(INDEX('Clean Gamification Data'!$D:$D,MATCH($B105,'Clean Gamification Data'!$A:$A,0)),"Not Found")</f>
        <v>70.714188609999994</v>
      </c>
      <c r="V105" s="28">
        <f>IFERROR(INDEX('Clean Gamification Data'!$E:$E,MATCH($B105,'Clean Gamification Data'!$A:$A,0)),"Not Found")</f>
        <v>63.798457300000003</v>
      </c>
      <c r="W105" s="28">
        <f>IFERROR(INDEX('Clean Gamification Data'!$F:$F,MATCH($B105,'Clean Gamification Data'!$A:$A,0)),"Not Found")</f>
        <v>99.03176139</v>
      </c>
      <c r="X105" s="28">
        <f>IFERROR(INDEX('Clean Gamification Data'!$G:$G,MATCH($B105,'Clean Gamification Data'!$A:$A,0)),"Not Found")</f>
        <v>71.460718229999998</v>
      </c>
      <c r="Y105" s="28">
        <f>IFERROR(INDEX('Clean Gamification Data'!$H:$H,MATCH($B105,'Clean Gamification Data'!$A:$A,0)),"Not Found")</f>
        <v>72.485347739999995</v>
      </c>
      <c r="Z105" s="28">
        <f>IFERROR(INDEX('Clean Gamification Data'!$I:$I,MATCH($B105,'Clean Gamification Data'!$A:$A,0)),"Not Found")</f>
        <v>53.1673215</v>
      </c>
      <c r="AA105" s="28">
        <f>Table1[[#This Row],[Engagement (Gamification %)]]-Table1[[#This Row],[Engagement (Non-Gamification %)]]</f>
        <v>16.534121859999999</v>
      </c>
      <c r="AB105" s="28">
        <f>Table1[[#This Row],[Motivation (Gamification %)]]-Table1[[#This Row],[Motivation (Non-Gamification %)]]</f>
        <v>6.9157313099999911</v>
      </c>
      <c r="AC105" s="28">
        <f>Table1[[#This Row],[Participation (Gamification %)]]-Table1[[#This Row],[Participation (Non-Gamification %)]]</f>
        <v>27.571043160000002</v>
      </c>
      <c r="AD105" s="28">
        <f>Table1[[#This Row],[Learning Outcomes (Gamification %)]]-Table1[[#This Row],[Learning Outcomes (Non-Gamification %)]]</f>
        <v>19.318026239999995</v>
      </c>
      <c r="AE105" s="44" t="str">
        <f>IF(Table1[[#This Row],[Overall Effectiveness]]&lt;3.9,"Low",IF(Table1[[#This Row],[Overall Effectiveness]]&lt;4.2,"Medium","High"))</f>
        <v>Medium</v>
      </c>
      <c r="AF105" s="30" t="str">
        <f t="shared" si="10"/>
        <v>Group Projects</v>
      </c>
      <c r="AG105" s="30" t="str">
        <f t="shared" si="11"/>
        <v>Lectures</v>
      </c>
      <c r="AH105" s="27">
        <f>COUNTIF(Teacher_Master!$D$2:$D$16,AF105)</f>
        <v>3</v>
      </c>
      <c r="AI105" s="30" t="str">
        <f>INDEX(Teacher_Master!$B$2:$B$16,MATCH(AF105,Teacher_Master!$D$2:$D$16,0))</f>
        <v>Dr. Rohan Dutta</v>
      </c>
    </row>
    <row r="106" spans="1:35" ht="14.25" customHeight="1" x14ac:dyDescent="0.3">
      <c r="A106" s="31" t="s">
        <v>225</v>
      </c>
      <c r="B106" s="31" t="s">
        <v>226</v>
      </c>
      <c r="C106" s="31" t="s">
        <v>2882</v>
      </c>
      <c r="D106" s="12">
        <f t="shared" ca="1" si="6"/>
        <v>20</v>
      </c>
      <c r="E106" s="12" t="str">
        <f ca="1">IF(Table1[[#This Row],[Age]]&lt;=22,"20-22",IF(Table1[[#This Row],[Age]]&lt;=25,"23-25",IF(Table1[[#This Row],[Age]]&lt;=28,"26-28","29-30")))</f>
        <v>20-22</v>
      </c>
      <c r="F106" s="12" t="s">
        <v>211</v>
      </c>
      <c r="G106" s="12">
        <v>4.26</v>
      </c>
      <c r="H106" s="12">
        <v>3.84</v>
      </c>
      <c r="I106" s="12" t="s">
        <v>211</v>
      </c>
      <c r="J106" s="12">
        <v>4.0999999999999996</v>
      </c>
      <c r="K106" s="12" t="s">
        <v>211</v>
      </c>
      <c r="L106" s="12">
        <v>4.5</v>
      </c>
      <c r="M106" s="12">
        <v>3.93</v>
      </c>
      <c r="N106" s="12">
        <v>4.1399999999999997</v>
      </c>
      <c r="O106" s="12">
        <v>4.17</v>
      </c>
      <c r="P106" s="12">
        <f t="shared" si="7"/>
        <v>4.0666666666666664</v>
      </c>
      <c r="Q106" s="12">
        <f t="shared" si="8"/>
        <v>4.07</v>
      </c>
      <c r="R106" s="12">
        <f t="shared" si="9"/>
        <v>4.1850000000000005</v>
      </c>
      <c r="S106" s="28">
        <f>IFERROR(INDEX('Clean Gamification Data'!$B:$B,MATCH($B106,'Clean Gamification Data'!$A:$A,0)),"Not Found")</f>
        <v>75</v>
      </c>
      <c r="T106" s="28">
        <f>IFERROR(INDEX('Clean Gamification Data'!$C:$C,MATCH($B106,'Clean Gamification Data'!$A:$A,0)),"Not Found")</f>
        <v>67.107567360000004</v>
      </c>
      <c r="U106" s="28">
        <f>IFERROR(INDEX('Clean Gamification Data'!$D:$D,MATCH($B106,'Clean Gamification Data'!$A:$A,0)),"Not Found")</f>
        <v>83.479061700000003</v>
      </c>
      <c r="V106" s="28">
        <f>IFERROR(INDEX('Clean Gamification Data'!$E:$E,MATCH($B106,'Clean Gamification Data'!$A:$A,0)),"Not Found")</f>
        <v>63.039089240000003</v>
      </c>
      <c r="W106" s="28">
        <f>IFERROR(INDEX('Clean Gamification Data'!$F:$F,MATCH($B106,'Clean Gamification Data'!$A:$A,0)),"Not Found")</f>
        <v>97.740679959999994</v>
      </c>
      <c r="X106" s="28">
        <f>IFERROR(INDEX('Clean Gamification Data'!$G:$G,MATCH($B106,'Clean Gamification Data'!$A:$A,0)),"Not Found")</f>
        <v>83.325862479999998</v>
      </c>
      <c r="Y106" s="28">
        <f>IFERROR(INDEX('Clean Gamification Data'!$H:$H,MATCH($B106,'Clean Gamification Data'!$A:$A,0)),"Not Found")</f>
        <v>71.41395335</v>
      </c>
      <c r="Z106" s="28">
        <f>IFERROR(INDEX('Clean Gamification Data'!$I:$I,MATCH($B106,'Clean Gamification Data'!$A:$A,0)),"Not Found")</f>
        <v>58.978411280000003</v>
      </c>
      <c r="AA106" s="28">
        <f>Table1[[#This Row],[Engagement (Gamification %)]]-Table1[[#This Row],[Engagement (Non-Gamification %)]]</f>
        <v>7.8924326399999956</v>
      </c>
      <c r="AB106" s="28">
        <f>Table1[[#This Row],[Motivation (Gamification %)]]-Table1[[#This Row],[Motivation (Non-Gamification %)]]</f>
        <v>20.43997246</v>
      </c>
      <c r="AC106" s="28">
        <f>Table1[[#This Row],[Participation (Gamification %)]]-Table1[[#This Row],[Participation (Non-Gamification %)]]</f>
        <v>14.414817479999996</v>
      </c>
      <c r="AD106" s="28">
        <f>Table1[[#This Row],[Learning Outcomes (Gamification %)]]-Table1[[#This Row],[Learning Outcomes (Non-Gamification %)]]</f>
        <v>12.435542069999997</v>
      </c>
      <c r="AE106" s="44" t="str">
        <f>IF(Table1[[#This Row],[Overall Effectiveness]]&lt;3.9,"Low",IF(Table1[[#This Row],[Overall Effectiveness]]&lt;4.2,"Medium","High"))</f>
        <v>Medium</v>
      </c>
      <c r="AF106" s="30" t="str">
        <f t="shared" si="10"/>
        <v>Case Studies</v>
      </c>
      <c r="AG106" s="30" t="str">
        <f t="shared" si="11"/>
        <v>Case Studies</v>
      </c>
      <c r="AH106" s="27">
        <f>COUNTIF(Teacher_Master!$D$2:$D$16,AF106)</f>
        <v>3</v>
      </c>
      <c r="AI106" s="30" t="str">
        <f>INDEX(Teacher_Master!$B$2:$B$16,MATCH(AF106,Teacher_Master!$D$2:$D$16,0))</f>
        <v>Prof. Rajesh Mukherjee</v>
      </c>
    </row>
    <row r="107" spans="1:35" ht="14.25" customHeight="1" x14ac:dyDescent="0.3">
      <c r="A107" s="31" t="s">
        <v>227</v>
      </c>
      <c r="B107" s="31" t="s">
        <v>2162</v>
      </c>
      <c r="C107" s="31" t="s">
        <v>2881</v>
      </c>
      <c r="D107" s="12">
        <f t="shared" ca="1" si="6"/>
        <v>20</v>
      </c>
      <c r="E107" s="12" t="str">
        <f ca="1">IF(Table1[[#This Row],[Age]]&lt;=22,"20-22",IF(Table1[[#This Row],[Age]]&lt;=25,"23-25",IF(Table1[[#This Row],[Age]]&lt;=28,"26-28","29-30")))</f>
        <v>20-22</v>
      </c>
      <c r="F107" s="12">
        <v>4.1399999999999997</v>
      </c>
      <c r="G107" s="12">
        <v>4.21</v>
      </c>
      <c r="H107" s="12">
        <v>4.0599999999999996</v>
      </c>
      <c r="I107" s="12">
        <v>3.92</v>
      </c>
      <c r="J107" s="12">
        <v>4.4800000000000004</v>
      </c>
      <c r="K107" s="12">
        <v>3.91</v>
      </c>
      <c r="L107" s="12">
        <v>3.65</v>
      </c>
      <c r="M107" s="12">
        <v>4.1399999999999997</v>
      </c>
      <c r="N107" s="12">
        <v>3.63</v>
      </c>
      <c r="O107" s="12" t="s">
        <v>211</v>
      </c>
      <c r="P107" s="12">
        <f t="shared" si="7"/>
        <v>4.1619999999999999</v>
      </c>
      <c r="Q107" s="12">
        <f t="shared" si="8"/>
        <v>4.16</v>
      </c>
      <c r="R107" s="12">
        <f t="shared" si="9"/>
        <v>3.8324999999999996</v>
      </c>
      <c r="S107" s="28">
        <f>IFERROR(INDEX('Clean Gamification Data'!$B:$B,MATCH($B107,'Clean Gamification Data'!$A:$A,0)),"Not Found")</f>
        <v>75</v>
      </c>
      <c r="T107" s="28">
        <f>IFERROR(INDEX('Clean Gamification Data'!$C:$C,MATCH($B107,'Clean Gamification Data'!$A:$A,0)),"Not Found")</f>
        <v>72.210884840000006</v>
      </c>
      <c r="U107" s="28">
        <f>IFERROR(INDEX('Clean Gamification Data'!$D:$D,MATCH($B107,'Clean Gamification Data'!$A:$A,0)),"Not Found")</f>
        <v>70</v>
      </c>
      <c r="V107" s="28">
        <f>IFERROR(INDEX('Clean Gamification Data'!$E:$E,MATCH($B107,'Clean Gamification Data'!$A:$A,0)),"Not Found")</f>
        <v>65.809091620000004</v>
      </c>
      <c r="W107" s="28">
        <f>IFERROR(INDEX('Clean Gamification Data'!$F:$F,MATCH($B107,'Clean Gamification Data'!$A:$A,0)),"Not Found")</f>
        <v>80</v>
      </c>
      <c r="X107" s="28">
        <f>IFERROR(INDEX('Clean Gamification Data'!$G:$G,MATCH($B107,'Clean Gamification Data'!$A:$A,0)),"Not Found")</f>
        <v>76.701076299999997</v>
      </c>
      <c r="Y107" s="28">
        <f>IFERROR(INDEX('Clean Gamification Data'!$H:$H,MATCH($B107,'Clean Gamification Data'!$A:$A,0)),"Not Found")</f>
        <v>65.143377839999999</v>
      </c>
      <c r="Z107" s="28">
        <f>IFERROR(INDEX('Clean Gamification Data'!$I:$I,MATCH($B107,'Clean Gamification Data'!$A:$A,0)),"Not Found")</f>
        <v>57.082847909999998</v>
      </c>
      <c r="AA107" s="28">
        <f>Table1[[#This Row],[Engagement (Gamification %)]]-Table1[[#This Row],[Engagement (Non-Gamification %)]]</f>
        <v>2.7891151599999944</v>
      </c>
      <c r="AB107" s="28">
        <f>Table1[[#This Row],[Motivation (Gamification %)]]-Table1[[#This Row],[Motivation (Non-Gamification %)]]</f>
        <v>4.1909083799999962</v>
      </c>
      <c r="AC107" s="28">
        <f>Table1[[#This Row],[Participation (Gamification %)]]-Table1[[#This Row],[Participation (Non-Gamification %)]]</f>
        <v>3.2989237000000031</v>
      </c>
      <c r="AD107" s="28">
        <f>Table1[[#This Row],[Learning Outcomes (Gamification %)]]-Table1[[#This Row],[Learning Outcomes (Non-Gamification %)]]</f>
        <v>8.0605299300000013</v>
      </c>
      <c r="AE107" s="44" t="str">
        <f>IF(Table1[[#This Row],[Overall Effectiveness]]&lt;3.9,"Low",IF(Table1[[#This Row],[Overall Effectiveness]]&lt;4.2,"Medium","High"))</f>
        <v>Medium</v>
      </c>
      <c r="AF107" s="30" t="str">
        <f t="shared" si="10"/>
        <v>Online Tutorials</v>
      </c>
      <c r="AG107" s="30" t="str">
        <f t="shared" si="11"/>
        <v>Group Projects</v>
      </c>
      <c r="AH107" s="27">
        <f>COUNTIF(Teacher_Master!$D$2:$D$16,AF107)</f>
        <v>3</v>
      </c>
      <c r="AI107" s="30" t="str">
        <f>INDEX(Teacher_Master!$B$2:$B$16,MATCH(AF107,Teacher_Master!$D$2:$D$16,0))</f>
        <v>Prof. Kavita Rao</v>
      </c>
    </row>
    <row r="108" spans="1:35" ht="14.25" customHeight="1" x14ac:dyDescent="0.3">
      <c r="A108" s="31" t="s">
        <v>229</v>
      </c>
      <c r="B108" s="31" t="s">
        <v>230</v>
      </c>
      <c r="C108" s="31" t="s">
        <v>2882</v>
      </c>
      <c r="D108" s="12">
        <f t="shared" ca="1" si="6"/>
        <v>27</v>
      </c>
      <c r="E108" s="12" t="str">
        <f ca="1">IF(Table1[[#This Row],[Age]]&lt;=22,"20-22",IF(Table1[[#This Row],[Age]]&lt;=25,"23-25",IF(Table1[[#This Row],[Age]]&lt;=28,"26-28","29-30")))</f>
        <v>26-28</v>
      </c>
      <c r="F108" s="12">
        <v>4.3499999999999996</v>
      </c>
      <c r="G108" s="12">
        <v>3.71</v>
      </c>
      <c r="H108" s="12">
        <v>4.12</v>
      </c>
      <c r="I108" s="12">
        <v>4.1500000000000004</v>
      </c>
      <c r="J108" s="12">
        <v>3.8</v>
      </c>
      <c r="K108" s="12">
        <v>4.1500000000000004</v>
      </c>
      <c r="L108" s="12">
        <v>4.03</v>
      </c>
      <c r="M108" s="12" t="s">
        <v>211</v>
      </c>
      <c r="N108" s="12">
        <v>3.77</v>
      </c>
      <c r="O108" s="12">
        <v>4.04</v>
      </c>
      <c r="P108" s="12">
        <f t="shared" si="7"/>
        <v>4.0259999999999998</v>
      </c>
      <c r="Q108" s="12">
        <f t="shared" si="8"/>
        <v>4.03</v>
      </c>
      <c r="R108" s="12">
        <f t="shared" si="9"/>
        <v>3.9974999999999996</v>
      </c>
      <c r="S108" s="28">
        <f>IFERROR(INDEX('Clean Gamification Data'!$B:$B,MATCH($B108,'Clean Gamification Data'!$A:$A,0)),"Not Found")</f>
        <v>75</v>
      </c>
      <c r="T108" s="28">
        <f>IFERROR(INDEX('Clean Gamification Data'!$C:$C,MATCH($B108,'Clean Gamification Data'!$A:$A,0)),"Not Found")</f>
        <v>68.219302020000001</v>
      </c>
      <c r="U108" s="28">
        <f>IFERROR(INDEX('Clean Gamification Data'!$D:$D,MATCH($B108,'Clean Gamification Data'!$A:$A,0)),"Not Found")</f>
        <v>82.411869050000007</v>
      </c>
      <c r="V108" s="28">
        <f>IFERROR(INDEX('Clean Gamification Data'!$E:$E,MATCH($B108,'Clean Gamification Data'!$A:$A,0)),"Not Found")</f>
        <v>57.306776990000003</v>
      </c>
      <c r="W108" s="28">
        <f>IFERROR(INDEX('Clean Gamification Data'!$F:$F,MATCH($B108,'Clean Gamification Data'!$A:$A,0)),"Not Found")</f>
        <v>94.986806349999995</v>
      </c>
      <c r="X108" s="28">
        <f>IFERROR(INDEX('Clean Gamification Data'!$G:$G,MATCH($B108,'Clean Gamification Data'!$A:$A,0)),"Not Found")</f>
        <v>77.564174019999996</v>
      </c>
      <c r="Y108" s="28">
        <f>IFERROR(INDEX('Clean Gamification Data'!$H:$H,MATCH($B108,'Clean Gamification Data'!$A:$A,0)),"Not Found")</f>
        <v>69.215678969999999</v>
      </c>
      <c r="Z108" s="28">
        <f>IFERROR(INDEX('Clean Gamification Data'!$I:$I,MATCH($B108,'Clean Gamification Data'!$A:$A,0)),"Not Found")</f>
        <v>61.562754740000003</v>
      </c>
      <c r="AA108" s="28">
        <f>Table1[[#This Row],[Engagement (Gamification %)]]-Table1[[#This Row],[Engagement (Non-Gamification %)]]</f>
        <v>6.7806979799999993</v>
      </c>
      <c r="AB108" s="28">
        <f>Table1[[#This Row],[Motivation (Gamification %)]]-Table1[[#This Row],[Motivation (Non-Gamification %)]]</f>
        <v>25.105092060000004</v>
      </c>
      <c r="AC108" s="28">
        <f>Table1[[#This Row],[Participation (Gamification %)]]-Table1[[#This Row],[Participation (Non-Gamification %)]]</f>
        <v>17.422632329999999</v>
      </c>
      <c r="AD108" s="28">
        <f>Table1[[#This Row],[Learning Outcomes (Gamification %)]]-Table1[[#This Row],[Learning Outcomes (Non-Gamification %)]]</f>
        <v>7.6529242299999964</v>
      </c>
      <c r="AE108" s="44" t="str">
        <f>IF(Table1[[#This Row],[Overall Effectiveness]]&lt;3.9,"Low",IF(Table1[[#This Row],[Overall Effectiveness]]&lt;4.2,"Medium","High"))</f>
        <v>Medium</v>
      </c>
      <c r="AF108" s="30" t="str">
        <f t="shared" si="10"/>
        <v>Lectures</v>
      </c>
      <c r="AG108" s="30" t="str">
        <f t="shared" si="11"/>
        <v>Lectures</v>
      </c>
      <c r="AH108" s="27">
        <f>COUNTIF(Teacher_Master!$D$2:$D$16,AF108)</f>
        <v>3</v>
      </c>
      <c r="AI108" s="30" t="str">
        <f>INDEX(Teacher_Master!$B$2:$B$16,MATCH(AF108,Teacher_Master!$D$2:$D$16,0))</f>
        <v>Prof. Vikram Gupta</v>
      </c>
    </row>
    <row r="109" spans="1:35" ht="14.25" customHeight="1" x14ac:dyDescent="0.3">
      <c r="A109" s="31" t="s">
        <v>231</v>
      </c>
      <c r="B109" s="31" t="s">
        <v>2163</v>
      </c>
      <c r="C109" s="31" t="s">
        <v>2881</v>
      </c>
      <c r="D109" s="12">
        <f t="shared" ca="1" si="6"/>
        <v>20</v>
      </c>
      <c r="E109" s="12" t="str">
        <f ca="1">IF(Table1[[#This Row],[Age]]&lt;=22,"20-22",IF(Table1[[#This Row],[Age]]&lt;=25,"23-25",IF(Table1[[#This Row],[Age]]&lt;=28,"26-28","29-30")))</f>
        <v>20-22</v>
      </c>
      <c r="F109" s="12">
        <v>4.62</v>
      </c>
      <c r="G109" s="12">
        <v>4.26</v>
      </c>
      <c r="H109" s="12">
        <v>4.62</v>
      </c>
      <c r="I109" s="12">
        <v>4.3499999999999996</v>
      </c>
      <c r="J109" s="12">
        <v>4.32</v>
      </c>
      <c r="K109" s="12">
        <v>3.7</v>
      </c>
      <c r="L109" s="12">
        <v>3.69</v>
      </c>
      <c r="M109" s="12">
        <v>4.03</v>
      </c>
      <c r="N109" s="12">
        <v>3.52</v>
      </c>
      <c r="O109" s="12">
        <v>3.86</v>
      </c>
      <c r="P109" s="12">
        <f t="shared" si="7"/>
        <v>4.4340000000000002</v>
      </c>
      <c r="Q109" s="12">
        <f t="shared" si="8"/>
        <v>4.43</v>
      </c>
      <c r="R109" s="12">
        <f t="shared" si="9"/>
        <v>3.7600000000000002</v>
      </c>
      <c r="S109" s="28">
        <f>IFERROR(INDEX('Clean Gamification Data'!$B:$B,MATCH($B109,'Clean Gamification Data'!$A:$A,0)),"Not Found")</f>
        <v>97.128600410000004</v>
      </c>
      <c r="T109" s="28">
        <f>IFERROR(INDEX('Clean Gamification Data'!$C:$C,MATCH($B109,'Clean Gamification Data'!$A:$A,0)),"Not Found")</f>
        <v>70.816280800000001</v>
      </c>
      <c r="U109" s="28">
        <f>IFERROR(INDEX('Clean Gamification Data'!$D:$D,MATCH($B109,'Clean Gamification Data'!$A:$A,0)),"Not Found")</f>
        <v>80.857295109999995</v>
      </c>
      <c r="V109" s="28">
        <f>IFERROR(INDEX('Clean Gamification Data'!$E:$E,MATCH($B109,'Clean Gamification Data'!$A:$A,0)),"Not Found")</f>
        <v>62.691631719999997</v>
      </c>
      <c r="W109" s="28">
        <f>IFERROR(INDEX('Clean Gamification Data'!$F:$F,MATCH($B109,'Clean Gamification Data'!$A:$A,0)),"Not Found")</f>
        <v>86.842312609999993</v>
      </c>
      <c r="X109" s="28">
        <f>IFERROR(INDEX('Clean Gamification Data'!$G:$G,MATCH($B109,'Clean Gamification Data'!$A:$A,0)),"Not Found")</f>
        <v>79.195138569999997</v>
      </c>
      <c r="Y109" s="28">
        <f>IFERROR(INDEX('Clean Gamification Data'!$H:$H,MATCH($B109,'Clean Gamification Data'!$A:$A,0)),"Not Found")</f>
        <v>72.452581620000004</v>
      </c>
      <c r="Z109" s="28">
        <f>IFERROR(INDEX('Clean Gamification Data'!$I:$I,MATCH($B109,'Clean Gamification Data'!$A:$A,0)),"Not Found")</f>
        <v>57.294561819999998</v>
      </c>
      <c r="AA109" s="28">
        <f>Table1[[#This Row],[Engagement (Gamification %)]]-Table1[[#This Row],[Engagement (Non-Gamification %)]]</f>
        <v>26.312319610000003</v>
      </c>
      <c r="AB109" s="28">
        <f>Table1[[#This Row],[Motivation (Gamification %)]]-Table1[[#This Row],[Motivation (Non-Gamification %)]]</f>
        <v>18.165663389999999</v>
      </c>
      <c r="AC109" s="28">
        <f>Table1[[#This Row],[Participation (Gamification %)]]-Table1[[#This Row],[Participation (Non-Gamification %)]]</f>
        <v>7.6471740399999959</v>
      </c>
      <c r="AD109" s="28">
        <f>Table1[[#This Row],[Learning Outcomes (Gamification %)]]-Table1[[#This Row],[Learning Outcomes (Non-Gamification %)]]</f>
        <v>15.158019800000005</v>
      </c>
      <c r="AE109" s="44" t="str">
        <f>IF(Table1[[#This Row],[Overall Effectiveness]]&lt;3.9,"Low",IF(Table1[[#This Row],[Overall Effectiveness]]&lt;4.2,"Medium","High"))</f>
        <v>High</v>
      </c>
      <c r="AF109" s="30" t="str">
        <f t="shared" si="10"/>
        <v>Lectures</v>
      </c>
      <c r="AG109" s="30" t="str">
        <f t="shared" si="11"/>
        <v>Group Projects</v>
      </c>
      <c r="AH109" s="27">
        <f>COUNTIF(Teacher_Master!$D$2:$D$16,AF109)</f>
        <v>3</v>
      </c>
      <c r="AI109" s="30" t="str">
        <f>INDEX(Teacher_Master!$B$2:$B$16,MATCH(AF109,Teacher_Master!$D$2:$D$16,0))</f>
        <v>Prof. Vikram Gupta</v>
      </c>
    </row>
    <row r="110" spans="1:35" ht="14.25" customHeight="1" x14ac:dyDescent="0.3">
      <c r="A110" s="31" t="s">
        <v>233</v>
      </c>
      <c r="B110" s="31" t="s">
        <v>2164</v>
      </c>
      <c r="C110" s="31" t="s">
        <v>2882</v>
      </c>
      <c r="D110" s="12">
        <f t="shared" ca="1" si="6"/>
        <v>27</v>
      </c>
      <c r="E110" s="12" t="str">
        <f ca="1">IF(Table1[[#This Row],[Age]]&lt;=22,"20-22",IF(Table1[[#This Row],[Age]]&lt;=25,"23-25",IF(Table1[[#This Row],[Age]]&lt;=28,"26-28","29-30")))</f>
        <v>26-28</v>
      </c>
      <c r="F110" s="12">
        <v>4.4000000000000004</v>
      </c>
      <c r="G110" s="12">
        <v>3.82</v>
      </c>
      <c r="H110" s="12">
        <v>4.22</v>
      </c>
      <c r="I110" s="12">
        <v>4.45</v>
      </c>
      <c r="J110" s="12">
        <v>3.25</v>
      </c>
      <c r="K110" s="12">
        <v>4.04</v>
      </c>
      <c r="L110" s="12" t="s">
        <v>211</v>
      </c>
      <c r="M110" s="12">
        <v>4.2300000000000004</v>
      </c>
      <c r="N110" s="12">
        <v>4.5199999999999996</v>
      </c>
      <c r="O110" s="12">
        <v>3.27</v>
      </c>
      <c r="P110" s="12">
        <f t="shared" si="7"/>
        <v>4.0280000000000005</v>
      </c>
      <c r="Q110" s="12">
        <f t="shared" si="8"/>
        <v>4.03</v>
      </c>
      <c r="R110" s="12">
        <f t="shared" si="9"/>
        <v>4.0149999999999997</v>
      </c>
      <c r="S110" s="28">
        <f>IFERROR(INDEX('Clean Gamification Data'!$B:$B,MATCH($B110,'Clean Gamification Data'!$A:$A,0)),"Not Found")</f>
        <v>97.165370229999994</v>
      </c>
      <c r="T110" s="28">
        <f>IFERROR(INDEX('Clean Gamification Data'!$C:$C,MATCH($B110,'Clean Gamification Data'!$A:$A,0)),"Not Found")</f>
        <v>69.954533999999995</v>
      </c>
      <c r="U110" s="28">
        <f>IFERROR(INDEX('Clean Gamification Data'!$D:$D,MATCH($B110,'Clean Gamification Data'!$A:$A,0)),"Not Found")</f>
        <v>73.190204379999997</v>
      </c>
      <c r="V110" s="28">
        <f>IFERROR(INDEX('Clean Gamification Data'!$E:$E,MATCH($B110,'Clean Gamification Data'!$A:$A,0)),"Not Found")</f>
        <v>57.422164170000002</v>
      </c>
      <c r="W110" s="28">
        <f>IFERROR(INDEX('Clean Gamification Data'!$F:$F,MATCH($B110,'Clean Gamification Data'!$A:$A,0)),"Not Found")</f>
        <v>80.581252599999999</v>
      </c>
      <c r="X110" s="28">
        <f>IFERROR(INDEX('Clean Gamification Data'!$G:$G,MATCH($B110,'Clean Gamification Data'!$A:$A,0)),"Not Found")</f>
        <v>74.738913210000007</v>
      </c>
      <c r="Y110" s="28">
        <f>IFERROR(INDEX('Clean Gamification Data'!$H:$H,MATCH($B110,'Clean Gamification Data'!$A:$A,0)),"Not Found")</f>
        <v>72.420314590000004</v>
      </c>
      <c r="Z110" s="28">
        <f>IFERROR(INDEX('Clean Gamification Data'!$I:$I,MATCH($B110,'Clean Gamification Data'!$A:$A,0)),"Not Found")</f>
        <v>56.808086119999999</v>
      </c>
      <c r="AA110" s="28">
        <f>Table1[[#This Row],[Engagement (Gamification %)]]-Table1[[#This Row],[Engagement (Non-Gamification %)]]</f>
        <v>27.210836229999998</v>
      </c>
      <c r="AB110" s="28">
        <f>Table1[[#This Row],[Motivation (Gamification %)]]-Table1[[#This Row],[Motivation (Non-Gamification %)]]</f>
        <v>15.768040209999995</v>
      </c>
      <c r="AC110" s="28">
        <f>Table1[[#This Row],[Participation (Gamification %)]]-Table1[[#This Row],[Participation (Non-Gamification %)]]</f>
        <v>5.8423393899999922</v>
      </c>
      <c r="AD110" s="28">
        <f>Table1[[#This Row],[Learning Outcomes (Gamification %)]]-Table1[[#This Row],[Learning Outcomes (Non-Gamification %)]]</f>
        <v>15.612228470000005</v>
      </c>
      <c r="AE110" s="44" t="str">
        <f>IF(Table1[[#This Row],[Overall Effectiveness]]&lt;3.9,"Low",IF(Table1[[#This Row],[Overall Effectiveness]]&lt;4.2,"Medium","High"))</f>
        <v>Medium</v>
      </c>
      <c r="AF110" s="30" t="str">
        <f t="shared" si="10"/>
        <v>Experiments</v>
      </c>
      <c r="AG110" s="30" t="str">
        <f t="shared" si="11"/>
        <v>Experiments</v>
      </c>
      <c r="AH110" s="27">
        <f>COUNTIF(Teacher_Master!$D$2:$D$16,AF110)</f>
        <v>3</v>
      </c>
      <c r="AI110" s="30" t="str">
        <f>INDEX(Teacher_Master!$B$2:$B$16,MATCH(AF110,Teacher_Master!$D$2:$D$16,0))</f>
        <v>Prof. Rahul Singh</v>
      </c>
    </row>
    <row r="111" spans="1:35" ht="14.25" customHeight="1" x14ac:dyDescent="0.3">
      <c r="A111" s="31" t="s">
        <v>235</v>
      </c>
      <c r="B111" s="31" t="s">
        <v>2165</v>
      </c>
      <c r="C111" s="31" t="s">
        <v>2882</v>
      </c>
      <c r="D111" s="12">
        <f t="shared" ca="1" si="6"/>
        <v>27</v>
      </c>
      <c r="E111" s="12" t="str">
        <f ca="1">IF(Table1[[#This Row],[Age]]&lt;=22,"20-22",IF(Table1[[#This Row],[Age]]&lt;=25,"23-25",IF(Table1[[#This Row],[Age]]&lt;=28,"26-28","29-30")))</f>
        <v>26-28</v>
      </c>
      <c r="F111" s="12">
        <v>4</v>
      </c>
      <c r="G111" s="12">
        <v>3.98</v>
      </c>
      <c r="H111" s="12">
        <v>3.79</v>
      </c>
      <c r="I111" s="12" t="s">
        <v>237</v>
      </c>
      <c r="J111" s="12">
        <v>3.62</v>
      </c>
      <c r="K111" s="12">
        <v>3.98</v>
      </c>
      <c r="L111" s="12">
        <v>3.58</v>
      </c>
      <c r="M111" s="12">
        <v>4.59</v>
      </c>
      <c r="N111" s="12">
        <v>3.63</v>
      </c>
      <c r="O111" s="12">
        <v>4.41</v>
      </c>
      <c r="P111" s="12">
        <f t="shared" si="7"/>
        <v>3.8475000000000001</v>
      </c>
      <c r="Q111" s="12">
        <f t="shared" si="8"/>
        <v>3.85</v>
      </c>
      <c r="R111" s="12">
        <f t="shared" si="9"/>
        <v>4.0380000000000003</v>
      </c>
      <c r="S111" s="28">
        <f>IFERROR(INDEX('Clean Gamification Data'!$B:$B,MATCH($B111,'Clean Gamification Data'!$A:$A,0)),"Not Found")</f>
        <v>90.504890130000007</v>
      </c>
      <c r="T111" s="28">
        <f>IFERROR(INDEX('Clean Gamification Data'!$C:$C,MATCH($B111,'Clean Gamification Data'!$A:$A,0)),"Not Found")</f>
        <v>72.293583670000004</v>
      </c>
      <c r="U111" s="28">
        <f>IFERROR(INDEX('Clean Gamification Data'!$D:$D,MATCH($B111,'Clean Gamification Data'!$A:$A,0)),"Not Found")</f>
        <v>84.762243179999999</v>
      </c>
      <c r="V111" s="28">
        <f>IFERROR(INDEX('Clean Gamification Data'!$E:$E,MATCH($B111,'Clean Gamification Data'!$A:$A,0)),"Not Found")</f>
        <v>68.896664619999996</v>
      </c>
      <c r="W111" s="28">
        <f>IFERROR(INDEX('Clean Gamification Data'!$F:$F,MATCH($B111,'Clean Gamification Data'!$A:$A,0)),"Not Found")</f>
        <v>81.244570730000007</v>
      </c>
      <c r="X111" s="28">
        <f>IFERROR(INDEX('Clean Gamification Data'!$G:$G,MATCH($B111,'Clean Gamification Data'!$A:$A,0)),"Not Found")</f>
        <v>73.377073629999998</v>
      </c>
      <c r="Y111" s="28">
        <f>IFERROR(INDEX('Clean Gamification Data'!$H:$H,MATCH($B111,'Clean Gamification Data'!$A:$A,0)),"Not Found")</f>
        <v>71.741102780000006</v>
      </c>
      <c r="Z111" s="28">
        <f>IFERROR(INDEX('Clean Gamification Data'!$I:$I,MATCH($B111,'Clean Gamification Data'!$A:$A,0)),"Not Found")</f>
        <v>56.279986839999999</v>
      </c>
      <c r="AA111" s="28">
        <f>Table1[[#This Row],[Engagement (Gamification %)]]-Table1[[#This Row],[Engagement (Non-Gamification %)]]</f>
        <v>18.211306460000003</v>
      </c>
      <c r="AB111" s="28">
        <f>Table1[[#This Row],[Motivation (Gamification %)]]-Table1[[#This Row],[Motivation (Non-Gamification %)]]</f>
        <v>15.865578560000003</v>
      </c>
      <c r="AC111" s="28">
        <f>Table1[[#This Row],[Participation (Gamification %)]]-Table1[[#This Row],[Participation (Non-Gamification %)]]</f>
        <v>7.8674971000000085</v>
      </c>
      <c r="AD111" s="28">
        <f>Table1[[#This Row],[Learning Outcomes (Gamification %)]]-Table1[[#This Row],[Learning Outcomes (Non-Gamification %)]]</f>
        <v>15.461115940000006</v>
      </c>
      <c r="AE111" s="44" t="str">
        <f>IF(Table1[[#This Row],[Overall Effectiveness]]&lt;3.9,"Low",IF(Table1[[#This Row],[Overall Effectiveness]]&lt;4.2,"Medium","High"))</f>
        <v>Low</v>
      </c>
      <c r="AF111" s="30" t="str">
        <f t="shared" si="10"/>
        <v>Lectures</v>
      </c>
      <c r="AG111" s="30" t="str">
        <f t="shared" si="11"/>
        <v>Group Projects</v>
      </c>
      <c r="AH111" s="27">
        <f>COUNTIF(Teacher_Master!$D$2:$D$16,AF111)</f>
        <v>3</v>
      </c>
      <c r="AI111" s="30" t="str">
        <f>INDEX(Teacher_Master!$B$2:$B$16,MATCH(AF111,Teacher_Master!$D$2:$D$16,0))</f>
        <v>Prof. Vikram Gupta</v>
      </c>
    </row>
    <row r="112" spans="1:35" ht="14.25" customHeight="1" x14ac:dyDescent="0.3">
      <c r="A112" s="31" t="s">
        <v>238</v>
      </c>
      <c r="B112" s="31" t="s">
        <v>239</v>
      </c>
      <c r="C112" s="31" t="s">
        <v>2881</v>
      </c>
      <c r="D112" s="12">
        <f t="shared" ca="1" si="6"/>
        <v>23</v>
      </c>
      <c r="E112" s="12" t="str">
        <f ca="1">IF(Table1[[#This Row],[Age]]&lt;=22,"20-22",IF(Table1[[#This Row],[Age]]&lt;=25,"23-25",IF(Table1[[#This Row],[Age]]&lt;=28,"26-28","29-30")))</f>
        <v>23-25</v>
      </c>
      <c r="F112" s="12">
        <v>4.16</v>
      </c>
      <c r="G112" s="12">
        <v>3.6</v>
      </c>
      <c r="H112" s="12">
        <v>4.18</v>
      </c>
      <c r="I112" s="12">
        <v>4.1100000000000003</v>
      </c>
      <c r="J112" s="12">
        <v>3.94</v>
      </c>
      <c r="K112" s="12">
        <v>3.81</v>
      </c>
      <c r="L112" s="12">
        <v>3.97</v>
      </c>
      <c r="M112" s="12">
        <v>3.59</v>
      </c>
      <c r="N112" s="12">
        <v>4.59</v>
      </c>
      <c r="O112" s="12">
        <v>3.69</v>
      </c>
      <c r="P112" s="12">
        <f t="shared" si="7"/>
        <v>3.9980000000000002</v>
      </c>
      <c r="Q112" s="12">
        <f t="shared" si="8"/>
        <v>4</v>
      </c>
      <c r="R112" s="12">
        <f t="shared" si="9"/>
        <v>3.9300000000000006</v>
      </c>
      <c r="S112" s="28">
        <f>IFERROR(INDEX('Clean Gamification Data'!$B:$B,MATCH($B112,'Clean Gamification Data'!$A:$A,0)),"Not Found")</f>
        <v>78.562246979999998</v>
      </c>
      <c r="T112" s="28">
        <f>IFERROR(INDEX('Clean Gamification Data'!$C:$C,MATCH($B112,'Clean Gamification Data'!$A:$A,0)),"Not Found")</f>
        <v>70.462360889999999</v>
      </c>
      <c r="U112" s="28">
        <f>IFERROR(INDEX('Clean Gamification Data'!$D:$D,MATCH($B112,'Clean Gamification Data'!$A:$A,0)),"Not Found")</f>
        <v>75.336569569999995</v>
      </c>
      <c r="V112" s="28">
        <f>IFERROR(INDEX('Clean Gamification Data'!$E:$E,MATCH($B112,'Clean Gamification Data'!$A:$A,0)),"Not Found")</f>
        <v>61.223084309999997</v>
      </c>
      <c r="W112" s="28">
        <f>IFERROR(INDEX('Clean Gamification Data'!$F:$F,MATCH($B112,'Clean Gamification Data'!$A:$A,0)),"Not Found")</f>
        <v>97.755472600000004</v>
      </c>
      <c r="X112" s="28">
        <f>IFERROR(INDEX('Clean Gamification Data'!$G:$G,MATCH($B112,'Clean Gamification Data'!$A:$A,0)),"Not Found")</f>
        <v>75.859706950000003</v>
      </c>
      <c r="Y112" s="28">
        <f>IFERROR(INDEX('Clean Gamification Data'!$H:$H,MATCH($B112,'Clean Gamification Data'!$A:$A,0)),"Not Found")</f>
        <v>65.550063780000002</v>
      </c>
      <c r="Z112" s="28">
        <f>IFERROR(INDEX('Clean Gamification Data'!$I:$I,MATCH($B112,'Clean Gamification Data'!$A:$A,0)),"Not Found")</f>
        <v>58.965367399999998</v>
      </c>
      <c r="AA112" s="28">
        <f>Table1[[#This Row],[Engagement (Gamification %)]]-Table1[[#This Row],[Engagement (Non-Gamification %)]]</f>
        <v>8.0998860899999983</v>
      </c>
      <c r="AB112" s="28">
        <f>Table1[[#This Row],[Motivation (Gamification %)]]-Table1[[#This Row],[Motivation (Non-Gamification %)]]</f>
        <v>14.113485259999997</v>
      </c>
      <c r="AC112" s="28">
        <f>Table1[[#This Row],[Participation (Gamification %)]]-Table1[[#This Row],[Participation (Non-Gamification %)]]</f>
        <v>21.895765650000001</v>
      </c>
      <c r="AD112" s="28">
        <f>Table1[[#This Row],[Learning Outcomes (Gamification %)]]-Table1[[#This Row],[Learning Outcomes (Non-Gamification %)]]</f>
        <v>6.584696380000004</v>
      </c>
      <c r="AE112" s="44" t="str">
        <f>IF(Table1[[#This Row],[Overall Effectiveness]]&lt;3.9,"Low",IF(Table1[[#This Row],[Overall Effectiveness]]&lt;4.2,"Medium","High"))</f>
        <v>Medium</v>
      </c>
      <c r="AF112" s="30" t="str">
        <f t="shared" si="10"/>
        <v>Group Projects</v>
      </c>
      <c r="AG112" s="30" t="str">
        <f t="shared" si="11"/>
        <v>Experiments</v>
      </c>
      <c r="AH112" s="27">
        <f>COUNTIF(Teacher_Master!$D$2:$D$16,AF112)</f>
        <v>3</v>
      </c>
      <c r="AI112" s="30" t="str">
        <f>INDEX(Teacher_Master!$B$2:$B$16,MATCH(AF112,Teacher_Master!$D$2:$D$16,0))</f>
        <v>Dr. Rohan Dutta</v>
      </c>
    </row>
    <row r="113" spans="1:35" ht="14.25" customHeight="1" x14ac:dyDescent="0.3">
      <c r="A113" s="31" t="s">
        <v>240</v>
      </c>
      <c r="B113" s="31" t="s">
        <v>2166</v>
      </c>
      <c r="C113" s="31" t="s">
        <v>2881</v>
      </c>
      <c r="D113" s="12">
        <f t="shared" ca="1" si="6"/>
        <v>22</v>
      </c>
      <c r="E113" s="12" t="str">
        <f ca="1">IF(Table1[[#This Row],[Age]]&lt;=22,"20-22",IF(Table1[[#This Row],[Age]]&lt;=25,"23-25",IF(Table1[[#This Row],[Age]]&lt;=28,"26-28","29-30")))</f>
        <v>20-22</v>
      </c>
      <c r="F113" s="12">
        <v>3.9</v>
      </c>
      <c r="G113" s="12">
        <v>3.96</v>
      </c>
      <c r="H113" s="12">
        <v>3.56</v>
      </c>
      <c r="I113" s="12">
        <v>4.7300000000000004</v>
      </c>
      <c r="J113" s="12">
        <v>3.95</v>
      </c>
      <c r="K113" s="12">
        <v>3.75</v>
      </c>
      <c r="L113" s="12">
        <v>3.43</v>
      </c>
      <c r="M113" s="12">
        <v>3.63</v>
      </c>
      <c r="N113" s="12">
        <v>3.94</v>
      </c>
      <c r="O113" s="12">
        <v>4.34</v>
      </c>
      <c r="P113" s="12">
        <f t="shared" si="7"/>
        <v>4.0199999999999996</v>
      </c>
      <c r="Q113" s="12">
        <f t="shared" si="8"/>
        <v>4.0199999999999996</v>
      </c>
      <c r="R113" s="12">
        <f t="shared" si="9"/>
        <v>3.8179999999999992</v>
      </c>
      <c r="S113" s="28">
        <f>IFERROR(INDEX('Clean Gamification Data'!$B:$B,MATCH($B113,'Clean Gamification Data'!$A:$A,0)),"Not Found")</f>
        <v>88.339541299999993</v>
      </c>
      <c r="T113" s="28">
        <f>IFERROR(INDEX('Clean Gamification Data'!$C:$C,MATCH($B113,'Clean Gamification Data'!$A:$A,0)),"Not Found")</f>
        <v>65.975786549999995</v>
      </c>
      <c r="U113" s="28">
        <f>IFERROR(INDEX('Clean Gamification Data'!$D:$D,MATCH($B113,'Clean Gamification Data'!$A:$A,0)),"Not Found")</f>
        <v>77.768687020000002</v>
      </c>
      <c r="V113" s="28">
        <f>IFERROR(INDEX('Clean Gamification Data'!$E:$E,MATCH($B113,'Clean Gamification Data'!$A:$A,0)),"Not Found")</f>
        <v>66.401459990000006</v>
      </c>
      <c r="W113" s="28">
        <f>IFERROR(INDEX('Clean Gamification Data'!$F:$F,MATCH($B113,'Clean Gamification Data'!$A:$A,0)),"Not Found")</f>
        <v>80.908874900000001</v>
      </c>
      <c r="X113" s="28">
        <f>IFERROR(INDEX('Clean Gamification Data'!$G:$G,MATCH($B113,'Clean Gamification Data'!$A:$A,0)),"Not Found")</f>
        <v>73.554537159999995</v>
      </c>
      <c r="Y113" s="28">
        <f>IFERROR(INDEX('Clean Gamification Data'!$H:$H,MATCH($B113,'Clean Gamification Data'!$A:$A,0)),"Not Found")</f>
        <v>72.804343209999999</v>
      </c>
      <c r="Z113" s="28">
        <f>IFERROR(INDEX('Clean Gamification Data'!$I:$I,MATCH($B113,'Clean Gamification Data'!$A:$A,0)),"Not Found")</f>
        <v>66.230151149999998</v>
      </c>
      <c r="AA113" s="28">
        <f>Table1[[#This Row],[Engagement (Gamification %)]]-Table1[[#This Row],[Engagement (Non-Gamification %)]]</f>
        <v>22.363754749999998</v>
      </c>
      <c r="AB113" s="28">
        <f>Table1[[#This Row],[Motivation (Gamification %)]]-Table1[[#This Row],[Motivation (Non-Gamification %)]]</f>
        <v>11.367227029999995</v>
      </c>
      <c r="AC113" s="28">
        <f>Table1[[#This Row],[Participation (Gamification %)]]-Table1[[#This Row],[Participation (Non-Gamification %)]]</f>
        <v>7.3543377400000054</v>
      </c>
      <c r="AD113" s="28">
        <f>Table1[[#This Row],[Learning Outcomes (Gamification %)]]-Table1[[#This Row],[Learning Outcomes (Non-Gamification %)]]</f>
        <v>6.5741920600000014</v>
      </c>
      <c r="AE113" s="44" t="str">
        <f>IF(Table1[[#This Row],[Overall Effectiveness]]&lt;3.9,"Low",IF(Table1[[#This Row],[Overall Effectiveness]]&lt;4.2,"Medium","High"))</f>
        <v>Medium</v>
      </c>
      <c r="AF113" s="30" t="str">
        <f t="shared" si="10"/>
        <v>Experiments</v>
      </c>
      <c r="AG113" s="30" t="str">
        <f t="shared" si="11"/>
        <v>Online Tutorials</v>
      </c>
      <c r="AH113" s="27">
        <f>COUNTIF(Teacher_Master!$D$2:$D$16,AF113)</f>
        <v>3</v>
      </c>
      <c r="AI113" s="30" t="str">
        <f>INDEX(Teacher_Master!$B$2:$B$16,MATCH(AF113,Teacher_Master!$D$2:$D$16,0))</f>
        <v>Prof. Rahul Singh</v>
      </c>
    </row>
    <row r="114" spans="1:35" ht="14.25" customHeight="1" x14ac:dyDescent="0.3">
      <c r="A114" s="31" t="s">
        <v>242</v>
      </c>
      <c r="B114" s="31" t="s">
        <v>2167</v>
      </c>
      <c r="C114" s="31" t="s">
        <v>2882</v>
      </c>
      <c r="D114" s="12">
        <f t="shared" ca="1" si="6"/>
        <v>25</v>
      </c>
      <c r="E114" s="12" t="str">
        <f ca="1">IF(Table1[[#This Row],[Age]]&lt;=22,"20-22",IF(Table1[[#This Row],[Age]]&lt;=25,"23-25",IF(Table1[[#This Row],[Age]]&lt;=28,"26-28","29-30")))</f>
        <v>23-25</v>
      </c>
      <c r="F114" s="12">
        <v>3.76</v>
      </c>
      <c r="G114" s="12">
        <v>3.52</v>
      </c>
      <c r="H114" s="12">
        <v>4.0199999999999996</v>
      </c>
      <c r="I114" s="12">
        <v>3.56</v>
      </c>
      <c r="J114" s="12">
        <v>3.6</v>
      </c>
      <c r="K114" s="12" t="s">
        <v>211</v>
      </c>
      <c r="L114" s="12">
        <v>3.78</v>
      </c>
      <c r="M114" s="12">
        <v>4.1900000000000004</v>
      </c>
      <c r="N114" s="12">
        <v>3.92</v>
      </c>
      <c r="O114" s="12">
        <v>4.2</v>
      </c>
      <c r="P114" s="12">
        <f t="shared" si="7"/>
        <v>3.6920000000000002</v>
      </c>
      <c r="Q114" s="12">
        <f t="shared" si="8"/>
        <v>3.69</v>
      </c>
      <c r="R114" s="12">
        <f t="shared" si="9"/>
        <v>4.0225</v>
      </c>
      <c r="S114" s="28">
        <f>IFERROR(INDEX('Clean Gamification Data'!$B:$B,MATCH($B114,'Clean Gamification Data'!$A:$A,0)),"Not Found")</f>
        <v>75</v>
      </c>
      <c r="T114" s="28">
        <f>IFERROR(INDEX('Clean Gamification Data'!$C:$C,MATCH($B114,'Clean Gamification Data'!$A:$A,0)),"Not Found")</f>
        <v>60</v>
      </c>
      <c r="U114" s="28">
        <f>IFERROR(INDEX('Clean Gamification Data'!$D:$D,MATCH($B114,'Clean Gamification Data'!$A:$A,0)),"Not Found")</f>
        <v>80.258653649999999</v>
      </c>
      <c r="V114" s="28">
        <f>IFERROR(INDEX('Clean Gamification Data'!$E:$E,MATCH($B114,'Clean Gamification Data'!$A:$A,0)),"Not Found")</f>
        <v>62.77020589</v>
      </c>
      <c r="W114" s="28">
        <f>IFERROR(INDEX('Clean Gamification Data'!$F:$F,MATCH($B114,'Clean Gamification Data'!$A:$A,0)),"Not Found")</f>
        <v>94.679254349999994</v>
      </c>
      <c r="X114" s="28">
        <f>IFERROR(INDEX('Clean Gamification Data'!$G:$G,MATCH($B114,'Clean Gamification Data'!$A:$A,0)),"Not Found")</f>
        <v>79.572679809999997</v>
      </c>
      <c r="Y114" s="28">
        <f>IFERROR(INDEX('Clean Gamification Data'!$H:$H,MATCH($B114,'Clean Gamification Data'!$A:$A,0)),"Not Found")</f>
        <v>67.807920210000006</v>
      </c>
      <c r="Z114" s="28">
        <f>IFERROR(INDEX('Clean Gamification Data'!$I:$I,MATCH($B114,'Clean Gamification Data'!$A:$A,0)),"Not Found")</f>
        <v>57.073870759999998</v>
      </c>
      <c r="AA114" s="28">
        <f>Table1[[#This Row],[Engagement (Gamification %)]]-Table1[[#This Row],[Engagement (Non-Gamification %)]]</f>
        <v>15</v>
      </c>
      <c r="AB114" s="28">
        <f>Table1[[#This Row],[Motivation (Gamification %)]]-Table1[[#This Row],[Motivation (Non-Gamification %)]]</f>
        <v>17.48844776</v>
      </c>
      <c r="AC114" s="28">
        <f>Table1[[#This Row],[Participation (Gamification %)]]-Table1[[#This Row],[Participation (Non-Gamification %)]]</f>
        <v>15.106574539999997</v>
      </c>
      <c r="AD114" s="28">
        <f>Table1[[#This Row],[Learning Outcomes (Gamification %)]]-Table1[[#This Row],[Learning Outcomes (Non-Gamification %)]]</f>
        <v>10.734049450000008</v>
      </c>
      <c r="AE114" s="44" t="str">
        <f>IF(Table1[[#This Row],[Overall Effectiveness]]&lt;3.9,"Low",IF(Table1[[#This Row],[Overall Effectiveness]]&lt;4.2,"Medium","High"))</f>
        <v>Low</v>
      </c>
      <c r="AF114" s="30" t="str">
        <f t="shared" si="10"/>
        <v>Group Projects</v>
      </c>
      <c r="AG114" s="30" t="str">
        <f t="shared" si="11"/>
        <v>Online Tutorials</v>
      </c>
      <c r="AH114" s="27">
        <f>COUNTIF(Teacher_Master!$D$2:$D$16,AF114)</f>
        <v>3</v>
      </c>
      <c r="AI114" s="30" t="str">
        <f>INDEX(Teacher_Master!$B$2:$B$16,MATCH(AF114,Teacher_Master!$D$2:$D$16,0))</f>
        <v>Dr. Rohan Dutta</v>
      </c>
    </row>
    <row r="115" spans="1:35" ht="14.25" customHeight="1" x14ac:dyDescent="0.3">
      <c r="A115" s="31" t="s">
        <v>244</v>
      </c>
      <c r="B115" s="31" t="s">
        <v>2168</v>
      </c>
      <c r="C115" s="31" t="s">
        <v>2882</v>
      </c>
      <c r="D115" s="12">
        <f t="shared" ca="1" si="6"/>
        <v>20</v>
      </c>
      <c r="E115" s="12" t="str">
        <f ca="1">IF(Table1[[#This Row],[Age]]&lt;=22,"20-22",IF(Table1[[#This Row],[Age]]&lt;=25,"23-25",IF(Table1[[#This Row],[Age]]&lt;=28,"26-28","29-30")))</f>
        <v>20-22</v>
      </c>
      <c r="F115" s="12">
        <v>4.4000000000000004</v>
      </c>
      <c r="G115" s="12">
        <v>3.93</v>
      </c>
      <c r="H115" s="12">
        <v>4.08</v>
      </c>
      <c r="I115" s="12">
        <v>4.22</v>
      </c>
      <c r="J115" s="12">
        <v>4.5999999999999996</v>
      </c>
      <c r="K115" s="12">
        <v>4.34</v>
      </c>
      <c r="L115" s="12">
        <v>4.49</v>
      </c>
      <c r="M115" s="12">
        <v>4.38</v>
      </c>
      <c r="N115" s="12">
        <v>4.3899999999999997</v>
      </c>
      <c r="O115" s="12">
        <v>3.48</v>
      </c>
      <c r="P115" s="12">
        <f t="shared" si="7"/>
        <v>4.2459999999999996</v>
      </c>
      <c r="Q115" s="12">
        <f t="shared" si="8"/>
        <v>4.25</v>
      </c>
      <c r="R115" s="12">
        <f t="shared" si="9"/>
        <v>4.2160000000000002</v>
      </c>
      <c r="S115" s="28">
        <f>IFERROR(INDEX('Clean Gamification Data'!$B:$B,MATCH($B115,'Clean Gamification Data'!$A:$A,0)),"Not Found")</f>
        <v>85.640322409999996</v>
      </c>
      <c r="T115" s="28">
        <f>IFERROR(INDEX('Clean Gamification Data'!$C:$C,MATCH($B115,'Clean Gamification Data'!$A:$A,0)),"Not Found")</f>
        <v>65.794366740000001</v>
      </c>
      <c r="U115" s="28">
        <f>IFERROR(INDEX('Clean Gamification Data'!$D:$D,MATCH($B115,'Clean Gamification Data'!$A:$A,0)),"Not Found")</f>
        <v>82.215766810000005</v>
      </c>
      <c r="V115" s="28">
        <f>IFERROR(INDEX('Clean Gamification Data'!$E:$E,MATCH($B115,'Clean Gamification Data'!$A:$A,0)),"Not Found")</f>
        <v>67.725019459999999</v>
      </c>
      <c r="W115" s="28">
        <f>IFERROR(INDEX('Clean Gamification Data'!$F:$F,MATCH($B115,'Clean Gamification Data'!$A:$A,0)),"Not Found")</f>
        <v>93.733221090000001</v>
      </c>
      <c r="X115" s="28">
        <f>IFERROR(INDEX('Clean Gamification Data'!$G:$G,MATCH($B115,'Clean Gamification Data'!$A:$A,0)),"Not Found")</f>
        <v>77.489880009999993</v>
      </c>
      <c r="Y115" s="28">
        <f>IFERROR(INDEX('Clean Gamification Data'!$H:$H,MATCH($B115,'Clean Gamification Data'!$A:$A,0)),"Not Found")</f>
        <v>76.210308220000002</v>
      </c>
      <c r="Z115" s="28">
        <f>IFERROR(INDEX('Clean Gamification Data'!$I:$I,MATCH($B115,'Clean Gamification Data'!$A:$A,0)),"Not Found")</f>
        <v>50</v>
      </c>
      <c r="AA115" s="28">
        <f>Table1[[#This Row],[Engagement (Gamification %)]]-Table1[[#This Row],[Engagement (Non-Gamification %)]]</f>
        <v>19.845955669999995</v>
      </c>
      <c r="AB115" s="28">
        <f>Table1[[#This Row],[Motivation (Gamification %)]]-Table1[[#This Row],[Motivation (Non-Gamification %)]]</f>
        <v>14.490747350000007</v>
      </c>
      <c r="AC115" s="28">
        <f>Table1[[#This Row],[Participation (Gamification %)]]-Table1[[#This Row],[Participation (Non-Gamification %)]]</f>
        <v>16.243341080000008</v>
      </c>
      <c r="AD115" s="28">
        <f>Table1[[#This Row],[Learning Outcomes (Gamification %)]]-Table1[[#This Row],[Learning Outcomes (Non-Gamification %)]]</f>
        <v>26.210308220000002</v>
      </c>
      <c r="AE115" s="44" t="str">
        <f>IF(Table1[[#This Row],[Overall Effectiveness]]&lt;3.9,"Low",IF(Table1[[#This Row],[Overall Effectiveness]]&lt;4.2,"Medium","High"))</f>
        <v>High</v>
      </c>
      <c r="AF115" s="30" t="str">
        <f t="shared" si="10"/>
        <v>Online Tutorials</v>
      </c>
      <c r="AG115" s="30" t="str">
        <f t="shared" si="11"/>
        <v>Case Studies</v>
      </c>
      <c r="AH115" s="27">
        <f>COUNTIF(Teacher_Master!$D$2:$D$16,AF115)</f>
        <v>3</v>
      </c>
      <c r="AI115" s="30" t="str">
        <f>INDEX(Teacher_Master!$B$2:$B$16,MATCH(AF115,Teacher_Master!$D$2:$D$16,0))</f>
        <v>Prof. Kavita Rao</v>
      </c>
    </row>
    <row r="116" spans="1:35" ht="14.25" customHeight="1" x14ac:dyDescent="0.3">
      <c r="A116" s="31" t="s">
        <v>246</v>
      </c>
      <c r="B116" s="31" t="s">
        <v>2169</v>
      </c>
      <c r="C116" s="31" t="s">
        <v>2881</v>
      </c>
      <c r="D116" s="12">
        <f t="shared" ca="1" si="6"/>
        <v>24</v>
      </c>
      <c r="E116" s="12" t="str">
        <f ca="1">IF(Table1[[#This Row],[Age]]&lt;=22,"20-22",IF(Table1[[#This Row],[Age]]&lt;=25,"23-25",IF(Table1[[#This Row],[Age]]&lt;=28,"26-28","29-30")))</f>
        <v>23-25</v>
      </c>
      <c r="F116" s="12">
        <v>4.37</v>
      </c>
      <c r="G116" s="12">
        <v>3.74</v>
      </c>
      <c r="H116" s="12">
        <v>3.9</v>
      </c>
      <c r="I116" s="12">
        <v>3.94</v>
      </c>
      <c r="J116" s="12">
        <v>4.26</v>
      </c>
      <c r="K116" s="12">
        <v>4.5</v>
      </c>
      <c r="L116" s="12">
        <v>3.56</v>
      </c>
      <c r="M116" s="12">
        <v>3.56</v>
      </c>
      <c r="N116" s="12">
        <v>4.03</v>
      </c>
      <c r="O116" s="12">
        <v>3.96</v>
      </c>
      <c r="P116" s="12">
        <f t="shared" si="7"/>
        <v>4.0419999999999998</v>
      </c>
      <c r="Q116" s="12">
        <f t="shared" si="8"/>
        <v>4.04</v>
      </c>
      <c r="R116" s="12">
        <f t="shared" si="9"/>
        <v>3.9220000000000006</v>
      </c>
      <c r="S116" s="28">
        <f>IFERROR(INDEX('Clean Gamification Data'!$B:$B,MATCH($B116,'Clean Gamification Data'!$A:$A,0)),"Not Found")</f>
        <v>81.879815219999998</v>
      </c>
      <c r="T116" s="28">
        <f>IFERROR(INDEX('Clean Gamification Data'!$C:$C,MATCH($B116,'Clean Gamification Data'!$A:$A,0)),"Not Found")</f>
        <v>73.555382179999995</v>
      </c>
      <c r="U116" s="28">
        <f>IFERROR(INDEX('Clean Gamification Data'!$D:$D,MATCH($B116,'Clean Gamification Data'!$A:$A,0)),"Not Found")</f>
        <v>76.417470960000003</v>
      </c>
      <c r="V116" s="28">
        <f>IFERROR(INDEX('Clean Gamification Data'!$E:$E,MATCH($B116,'Clean Gamification Data'!$A:$A,0)),"Not Found")</f>
        <v>66.009149410000006</v>
      </c>
      <c r="W116" s="28">
        <f>IFERROR(INDEX('Clean Gamification Data'!$F:$F,MATCH($B116,'Clean Gamification Data'!$A:$A,0)),"Not Found")</f>
        <v>88.132050239999998</v>
      </c>
      <c r="X116" s="28">
        <f>IFERROR(INDEX('Clean Gamification Data'!$G:$G,MATCH($B116,'Clean Gamification Data'!$A:$A,0)),"Not Found")</f>
        <v>70.706037010000003</v>
      </c>
      <c r="Y116" s="28">
        <f>IFERROR(INDEX('Clean Gamification Data'!$H:$H,MATCH($B116,'Clean Gamification Data'!$A:$A,0)),"Not Found")</f>
        <v>72.277194690000002</v>
      </c>
      <c r="Z116" s="28">
        <f>IFERROR(INDEX('Clean Gamification Data'!$I:$I,MATCH($B116,'Clean Gamification Data'!$A:$A,0)),"Not Found")</f>
        <v>57.843837729999997</v>
      </c>
      <c r="AA116" s="28">
        <f>Table1[[#This Row],[Engagement (Gamification %)]]-Table1[[#This Row],[Engagement (Non-Gamification %)]]</f>
        <v>8.3244330400000024</v>
      </c>
      <c r="AB116" s="28">
        <f>Table1[[#This Row],[Motivation (Gamification %)]]-Table1[[#This Row],[Motivation (Non-Gamification %)]]</f>
        <v>10.408321549999997</v>
      </c>
      <c r="AC116" s="28">
        <f>Table1[[#This Row],[Participation (Gamification %)]]-Table1[[#This Row],[Participation (Non-Gamification %)]]</f>
        <v>17.426013229999995</v>
      </c>
      <c r="AD116" s="28">
        <f>Table1[[#This Row],[Learning Outcomes (Gamification %)]]-Table1[[#This Row],[Learning Outcomes (Non-Gamification %)]]</f>
        <v>14.433356960000005</v>
      </c>
      <c r="AE116" s="44" t="str">
        <f>IF(Table1[[#This Row],[Overall Effectiveness]]&lt;3.9,"Low",IF(Table1[[#This Row],[Overall Effectiveness]]&lt;4.2,"Medium","High"))</f>
        <v>Medium</v>
      </c>
      <c r="AF116" s="30" t="str">
        <f t="shared" si="10"/>
        <v>Lectures</v>
      </c>
      <c r="AG116" s="30" t="str">
        <f t="shared" si="11"/>
        <v>Lectures</v>
      </c>
      <c r="AH116" s="27">
        <f>COUNTIF(Teacher_Master!$D$2:$D$16,AF116)</f>
        <v>3</v>
      </c>
      <c r="AI116" s="30" t="str">
        <f>INDEX(Teacher_Master!$B$2:$B$16,MATCH(AF116,Teacher_Master!$D$2:$D$16,0))</f>
        <v>Prof. Vikram Gupta</v>
      </c>
    </row>
    <row r="117" spans="1:35" ht="14.25" customHeight="1" x14ac:dyDescent="0.3">
      <c r="A117" s="31" t="s">
        <v>248</v>
      </c>
      <c r="B117" s="31" t="s">
        <v>249</v>
      </c>
      <c r="C117" s="31" t="s">
        <v>2882</v>
      </c>
      <c r="D117" s="12">
        <f t="shared" ca="1" si="6"/>
        <v>22</v>
      </c>
      <c r="E117" s="12" t="str">
        <f ca="1">IF(Table1[[#This Row],[Age]]&lt;=22,"20-22",IF(Table1[[#This Row],[Age]]&lt;=25,"23-25",IF(Table1[[#This Row],[Age]]&lt;=28,"26-28","29-30")))</f>
        <v>20-22</v>
      </c>
      <c r="F117" s="12">
        <v>4.4800000000000004</v>
      </c>
      <c r="G117" s="12">
        <v>3.97</v>
      </c>
      <c r="H117" s="12">
        <v>4.0599999999999996</v>
      </c>
      <c r="I117" s="12" t="s">
        <v>211</v>
      </c>
      <c r="J117" s="12">
        <v>4.07</v>
      </c>
      <c r="K117" s="12">
        <v>4.29</v>
      </c>
      <c r="L117" s="12">
        <v>4.5999999999999996</v>
      </c>
      <c r="M117" s="12">
        <v>3.93</v>
      </c>
      <c r="N117" s="12">
        <v>4.22</v>
      </c>
      <c r="O117" s="12">
        <v>3.93</v>
      </c>
      <c r="P117" s="12">
        <f t="shared" si="7"/>
        <v>4.1450000000000005</v>
      </c>
      <c r="Q117" s="12">
        <f t="shared" si="8"/>
        <v>4.1500000000000004</v>
      </c>
      <c r="R117" s="12">
        <f t="shared" si="9"/>
        <v>4.194</v>
      </c>
      <c r="S117" s="28">
        <f>IFERROR(INDEX('Clean Gamification Data'!$B:$B,MATCH($B117,'Clean Gamification Data'!$A:$A,0)),"Not Found")</f>
        <v>88.292161780000001</v>
      </c>
      <c r="T117" s="28">
        <f>IFERROR(INDEX('Clean Gamification Data'!$C:$C,MATCH($B117,'Clean Gamification Data'!$A:$A,0)),"Not Found")</f>
        <v>71.572738450000003</v>
      </c>
      <c r="U117" s="28">
        <f>IFERROR(INDEX('Clean Gamification Data'!$D:$D,MATCH($B117,'Clean Gamification Data'!$A:$A,0)),"Not Found")</f>
        <v>75.833124659999996</v>
      </c>
      <c r="V117" s="28">
        <f>IFERROR(INDEX('Clean Gamification Data'!$E:$E,MATCH($B117,'Clean Gamification Data'!$A:$A,0)),"Not Found")</f>
        <v>58.076133390000003</v>
      </c>
      <c r="W117" s="28">
        <f>IFERROR(INDEX('Clean Gamification Data'!$F:$F,MATCH($B117,'Clean Gamification Data'!$A:$A,0)),"Not Found")</f>
        <v>91.443687969999999</v>
      </c>
      <c r="X117" s="28">
        <f>IFERROR(INDEX('Clean Gamification Data'!$G:$G,MATCH($B117,'Clean Gamification Data'!$A:$A,0)),"Not Found")</f>
        <v>78.991510980000001</v>
      </c>
      <c r="Y117" s="28">
        <f>IFERROR(INDEX('Clean Gamification Data'!$H:$H,MATCH($B117,'Clean Gamification Data'!$A:$A,0)),"Not Found")</f>
        <v>76.881335879999995</v>
      </c>
      <c r="Z117" s="28">
        <f>IFERROR(INDEX('Clean Gamification Data'!$I:$I,MATCH($B117,'Clean Gamification Data'!$A:$A,0)),"Not Found")</f>
        <v>56.269634869999997</v>
      </c>
      <c r="AA117" s="28">
        <f>Table1[[#This Row],[Engagement (Gamification %)]]-Table1[[#This Row],[Engagement (Non-Gamification %)]]</f>
        <v>16.719423329999998</v>
      </c>
      <c r="AB117" s="28">
        <f>Table1[[#This Row],[Motivation (Gamification %)]]-Table1[[#This Row],[Motivation (Non-Gamification %)]]</f>
        <v>17.756991269999993</v>
      </c>
      <c r="AC117" s="28">
        <f>Table1[[#This Row],[Participation (Gamification %)]]-Table1[[#This Row],[Participation (Non-Gamification %)]]</f>
        <v>12.452176989999998</v>
      </c>
      <c r="AD117" s="28">
        <f>Table1[[#This Row],[Learning Outcomes (Gamification %)]]-Table1[[#This Row],[Learning Outcomes (Non-Gamification %)]]</f>
        <v>20.611701009999997</v>
      </c>
      <c r="AE117" s="44" t="str">
        <f>IF(Table1[[#This Row],[Overall Effectiveness]]&lt;3.9,"Low",IF(Table1[[#This Row],[Overall Effectiveness]]&lt;4.2,"Medium","High"))</f>
        <v>Medium</v>
      </c>
      <c r="AF117" s="30" t="str">
        <f t="shared" si="10"/>
        <v>Lectures</v>
      </c>
      <c r="AG117" s="30" t="str">
        <f t="shared" si="11"/>
        <v>Case Studies</v>
      </c>
      <c r="AH117" s="27">
        <f>COUNTIF(Teacher_Master!$D$2:$D$16,AF117)</f>
        <v>3</v>
      </c>
      <c r="AI117" s="30" t="str">
        <f>INDEX(Teacher_Master!$B$2:$B$16,MATCH(AF117,Teacher_Master!$D$2:$D$16,0))</f>
        <v>Prof. Vikram Gupta</v>
      </c>
    </row>
    <row r="118" spans="1:35" ht="14.25" customHeight="1" x14ac:dyDescent="0.3">
      <c r="A118" s="31" t="s">
        <v>250</v>
      </c>
      <c r="B118" s="31" t="s">
        <v>2170</v>
      </c>
      <c r="C118" s="31" t="s">
        <v>2882</v>
      </c>
      <c r="D118" s="12">
        <f t="shared" ca="1" si="6"/>
        <v>21</v>
      </c>
      <c r="E118" s="12" t="str">
        <f ca="1">IF(Table1[[#This Row],[Age]]&lt;=22,"20-22",IF(Table1[[#This Row],[Age]]&lt;=25,"23-25",IF(Table1[[#This Row],[Age]]&lt;=28,"26-28","29-30")))</f>
        <v>20-22</v>
      </c>
      <c r="F118" s="12">
        <v>3.8</v>
      </c>
      <c r="G118" s="12">
        <v>4.1100000000000003</v>
      </c>
      <c r="H118" s="12">
        <v>3.76</v>
      </c>
      <c r="I118" s="12">
        <v>4.3099999999999996</v>
      </c>
      <c r="J118" s="12">
        <v>4.63</v>
      </c>
      <c r="K118" s="12">
        <v>3.93</v>
      </c>
      <c r="L118" s="12">
        <v>4.1100000000000003</v>
      </c>
      <c r="M118" s="12">
        <v>3.88</v>
      </c>
      <c r="N118" s="12">
        <v>4.05</v>
      </c>
      <c r="O118" s="12">
        <v>4.51</v>
      </c>
      <c r="P118" s="12">
        <f t="shared" si="7"/>
        <v>4.1219999999999999</v>
      </c>
      <c r="Q118" s="12">
        <f t="shared" si="8"/>
        <v>4.12</v>
      </c>
      <c r="R118" s="12">
        <f t="shared" si="9"/>
        <v>4.096000000000001</v>
      </c>
      <c r="S118" s="28">
        <f>IFERROR(INDEX('Clean Gamification Data'!$B:$B,MATCH($B118,'Clean Gamification Data'!$A:$A,0)),"Not Found")</f>
        <v>94.862989330000005</v>
      </c>
      <c r="T118" s="28">
        <f>IFERROR(INDEX('Clean Gamification Data'!$C:$C,MATCH($B118,'Clean Gamification Data'!$A:$A,0)),"Not Found")</f>
        <v>60</v>
      </c>
      <c r="U118" s="28">
        <f>IFERROR(INDEX('Clean Gamification Data'!$D:$D,MATCH($B118,'Clean Gamification Data'!$A:$A,0)),"Not Found")</f>
        <v>79.805978440000004</v>
      </c>
      <c r="V118" s="28">
        <f>IFERROR(INDEX('Clean Gamification Data'!$E:$E,MATCH($B118,'Clean Gamification Data'!$A:$A,0)),"Not Found")</f>
        <v>65.652456700000002</v>
      </c>
      <c r="W118" s="28">
        <f>IFERROR(INDEX('Clean Gamification Data'!$F:$F,MATCH($B118,'Clean Gamification Data'!$A:$A,0)),"Not Found")</f>
        <v>80</v>
      </c>
      <c r="X118" s="28">
        <f>IFERROR(INDEX('Clean Gamification Data'!$G:$G,MATCH($B118,'Clean Gamification Data'!$A:$A,0)),"Not Found")</f>
        <v>84.61026828</v>
      </c>
      <c r="Y118" s="28">
        <f>IFERROR(INDEX('Clean Gamification Data'!$H:$H,MATCH($B118,'Clean Gamification Data'!$A:$A,0)),"Not Found")</f>
        <v>72.775631829999995</v>
      </c>
      <c r="Z118" s="28">
        <f>IFERROR(INDEX('Clean Gamification Data'!$I:$I,MATCH($B118,'Clean Gamification Data'!$A:$A,0)),"Not Found")</f>
        <v>59.159786439999998</v>
      </c>
      <c r="AA118" s="28">
        <f>Table1[[#This Row],[Engagement (Gamification %)]]-Table1[[#This Row],[Engagement (Non-Gamification %)]]</f>
        <v>34.862989330000005</v>
      </c>
      <c r="AB118" s="28">
        <f>Table1[[#This Row],[Motivation (Gamification %)]]-Table1[[#This Row],[Motivation (Non-Gamification %)]]</f>
        <v>14.153521740000002</v>
      </c>
      <c r="AC118" s="28">
        <f>Table1[[#This Row],[Participation (Gamification %)]]-Table1[[#This Row],[Participation (Non-Gamification %)]]</f>
        <v>-4.6102682799999997</v>
      </c>
      <c r="AD118" s="28">
        <f>Table1[[#This Row],[Learning Outcomes (Gamification %)]]-Table1[[#This Row],[Learning Outcomes (Non-Gamification %)]]</f>
        <v>13.615845389999997</v>
      </c>
      <c r="AE118" s="44" t="str">
        <f>IF(Table1[[#This Row],[Overall Effectiveness]]&lt;3.9,"Low",IF(Table1[[#This Row],[Overall Effectiveness]]&lt;4.2,"Medium","High"))</f>
        <v>Medium</v>
      </c>
      <c r="AF118" s="30" t="str">
        <f t="shared" si="10"/>
        <v>Online Tutorials</v>
      </c>
      <c r="AG118" s="30" t="str">
        <f t="shared" si="11"/>
        <v>Online Tutorials</v>
      </c>
      <c r="AH118" s="27">
        <f>COUNTIF(Teacher_Master!$D$2:$D$16,AF118)</f>
        <v>3</v>
      </c>
      <c r="AI118" s="30" t="str">
        <f>INDEX(Teacher_Master!$B$2:$B$16,MATCH(AF118,Teacher_Master!$D$2:$D$16,0))</f>
        <v>Prof. Kavita Rao</v>
      </c>
    </row>
    <row r="119" spans="1:35" ht="14.25" customHeight="1" x14ac:dyDescent="0.3">
      <c r="A119" s="31" t="s">
        <v>252</v>
      </c>
      <c r="B119" s="31" t="s">
        <v>253</v>
      </c>
      <c r="C119" s="31" t="s">
        <v>2882</v>
      </c>
      <c r="D119" s="12">
        <f t="shared" ca="1" si="6"/>
        <v>24</v>
      </c>
      <c r="E119" s="12" t="str">
        <f ca="1">IF(Table1[[#This Row],[Age]]&lt;=22,"20-22",IF(Table1[[#This Row],[Age]]&lt;=25,"23-25",IF(Table1[[#This Row],[Age]]&lt;=28,"26-28","29-30")))</f>
        <v>23-25</v>
      </c>
      <c r="F119" s="12">
        <v>3.96</v>
      </c>
      <c r="G119" s="12">
        <v>3.68</v>
      </c>
      <c r="H119" s="12">
        <v>4.1399999999999997</v>
      </c>
      <c r="I119" s="12">
        <v>4.1399999999999997</v>
      </c>
      <c r="J119" s="12">
        <v>4.24</v>
      </c>
      <c r="K119" s="12">
        <v>4.3499999999999996</v>
      </c>
      <c r="L119" s="12">
        <v>3.45</v>
      </c>
      <c r="M119" s="12">
        <v>4</v>
      </c>
      <c r="N119" s="12">
        <v>4.6399999999999997</v>
      </c>
      <c r="O119" s="12">
        <v>4.43</v>
      </c>
      <c r="P119" s="12">
        <f t="shared" si="7"/>
        <v>4.0320000000000009</v>
      </c>
      <c r="Q119" s="12">
        <f t="shared" si="8"/>
        <v>4.03</v>
      </c>
      <c r="R119" s="12">
        <f t="shared" si="9"/>
        <v>4.1740000000000004</v>
      </c>
      <c r="S119" s="28">
        <f>IFERROR(INDEX('Clean Gamification Data'!$B:$B,MATCH($B119,'Clean Gamification Data'!$A:$A,0)),"Not Found")</f>
        <v>80.34552884</v>
      </c>
      <c r="T119" s="28">
        <f>IFERROR(INDEX('Clean Gamification Data'!$C:$C,MATCH($B119,'Clean Gamification Data'!$A:$A,0)),"Not Found")</f>
        <v>62.739240709999997</v>
      </c>
      <c r="U119" s="28">
        <f>IFERROR(INDEX('Clean Gamification Data'!$D:$D,MATCH($B119,'Clean Gamification Data'!$A:$A,0)),"Not Found")</f>
        <v>70</v>
      </c>
      <c r="V119" s="28">
        <f>IFERROR(INDEX('Clean Gamification Data'!$E:$E,MATCH($B119,'Clean Gamification Data'!$A:$A,0)),"Not Found")</f>
        <v>71.707329759999993</v>
      </c>
      <c r="W119" s="28">
        <f>IFERROR(INDEX('Clean Gamification Data'!$F:$F,MATCH($B119,'Clean Gamification Data'!$A:$A,0)),"Not Found")</f>
        <v>90.551502450000001</v>
      </c>
      <c r="X119" s="28">
        <f>IFERROR(INDEX('Clean Gamification Data'!$G:$G,MATCH($B119,'Clean Gamification Data'!$A:$A,0)),"Not Found")</f>
        <v>73.246246720000002</v>
      </c>
      <c r="Y119" s="28">
        <f>IFERROR(INDEX('Clean Gamification Data'!$H:$H,MATCH($B119,'Clean Gamification Data'!$A:$A,0)),"Not Found")</f>
        <v>68.187310510000003</v>
      </c>
      <c r="Z119" s="28">
        <f>IFERROR(INDEX('Clean Gamification Data'!$I:$I,MATCH($B119,'Clean Gamification Data'!$A:$A,0)),"Not Found")</f>
        <v>57.124647430000003</v>
      </c>
      <c r="AA119" s="28">
        <f>Table1[[#This Row],[Engagement (Gamification %)]]-Table1[[#This Row],[Engagement (Non-Gamification %)]]</f>
        <v>17.606288130000003</v>
      </c>
      <c r="AB119" s="28">
        <f>Table1[[#This Row],[Motivation (Gamification %)]]-Table1[[#This Row],[Motivation (Non-Gamification %)]]</f>
        <v>-1.7073297599999933</v>
      </c>
      <c r="AC119" s="28">
        <f>Table1[[#This Row],[Participation (Gamification %)]]-Table1[[#This Row],[Participation (Non-Gamification %)]]</f>
        <v>17.305255729999999</v>
      </c>
      <c r="AD119" s="28">
        <f>Table1[[#This Row],[Learning Outcomes (Gamification %)]]-Table1[[#This Row],[Learning Outcomes (Non-Gamification %)]]</f>
        <v>11.06266308</v>
      </c>
      <c r="AE119" s="44" t="str">
        <f>IF(Table1[[#This Row],[Overall Effectiveness]]&lt;3.9,"Low",IF(Table1[[#This Row],[Overall Effectiveness]]&lt;4.2,"Medium","High"))</f>
        <v>Medium</v>
      </c>
      <c r="AF119" s="30" t="str">
        <f t="shared" si="10"/>
        <v>Online Tutorials</v>
      </c>
      <c r="AG119" s="30" t="str">
        <f t="shared" si="11"/>
        <v>Experiments</v>
      </c>
      <c r="AH119" s="27">
        <f>COUNTIF(Teacher_Master!$D$2:$D$16,AF119)</f>
        <v>3</v>
      </c>
      <c r="AI119" s="30" t="str">
        <f>INDEX(Teacher_Master!$B$2:$B$16,MATCH(AF119,Teacher_Master!$D$2:$D$16,0))</f>
        <v>Prof. Kavita Rao</v>
      </c>
    </row>
    <row r="120" spans="1:35" ht="14.25" customHeight="1" x14ac:dyDescent="0.3">
      <c r="A120" s="31" t="s">
        <v>254</v>
      </c>
      <c r="B120" s="31" t="s">
        <v>2171</v>
      </c>
      <c r="C120" s="31" t="s">
        <v>2881</v>
      </c>
      <c r="D120" s="12">
        <f t="shared" ca="1" si="6"/>
        <v>25</v>
      </c>
      <c r="E120" s="12" t="str">
        <f ca="1">IF(Table1[[#This Row],[Age]]&lt;=22,"20-22",IF(Table1[[#This Row],[Age]]&lt;=25,"23-25",IF(Table1[[#This Row],[Age]]&lt;=28,"26-28","29-30")))</f>
        <v>23-25</v>
      </c>
      <c r="F120" s="12">
        <v>4.3499999999999996</v>
      </c>
      <c r="G120" s="12">
        <v>3.91</v>
      </c>
      <c r="H120" s="12">
        <v>3.8</v>
      </c>
      <c r="I120" s="12">
        <v>4.24</v>
      </c>
      <c r="J120" s="12">
        <v>3.95</v>
      </c>
      <c r="K120" s="12">
        <v>4.1399999999999997</v>
      </c>
      <c r="L120" s="12">
        <v>4.09</v>
      </c>
      <c r="M120" s="12" t="s">
        <v>211</v>
      </c>
      <c r="N120" s="12">
        <v>4.46</v>
      </c>
      <c r="O120" s="12">
        <v>4.3499999999999996</v>
      </c>
      <c r="P120" s="12">
        <f t="shared" si="7"/>
        <v>4.0499999999999989</v>
      </c>
      <c r="Q120" s="12">
        <f t="shared" si="8"/>
        <v>4.05</v>
      </c>
      <c r="R120" s="12">
        <f t="shared" si="9"/>
        <v>4.26</v>
      </c>
      <c r="S120" s="28">
        <f>IFERROR(INDEX('Clean Gamification Data'!$B:$B,MATCH($B120,'Clean Gamification Data'!$A:$A,0)),"Not Found")</f>
        <v>83.449529159999997</v>
      </c>
      <c r="T120" s="28">
        <f>IFERROR(INDEX('Clean Gamification Data'!$C:$C,MATCH($B120,'Clean Gamification Data'!$A:$A,0)),"Not Found")</f>
        <v>78.852188859999998</v>
      </c>
      <c r="U120" s="28">
        <f>IFERROR(INDEX('Clean Gamification Data'!$D:$D,MATCH($B120,'Clean Gamification Data'!$A:$A,0)),"Not Found")</f>
        <v>77.382151910000005</v>
      </c>
      <c r="V120" s="28">
        <f>IFERROR(INDEX('Clean Gamification Data'!$E:$E,MATCH($B120,'Clean Gamification Data'!$A:$A,0)),"Not Found")</f>
        <v>69.692219300000005</v>
      </c>
      <c r="W120" s="28">
        <f>IFERROR(INDEX('Clean Gamification Data'!$F:$F,MATCH($B120,'Clean Gamification Data'!$A:$A,0)),"Not Found")</f>
        <v>99.9</v>
      </c>
      <c r="X120" s="28">
        <f>IFERROR(INDEX('Clean Gamification Data'!$G:$G,MATCH($B120,'Clean Gamification Data'!$A:$A,0)),"Not Found")</f>
        <v>81.456899519999993</v>
      </c>
      <c r="Y120" s="28">
        <f>IFERROR(INDEX('Clean Gamification Data'!$H:$H,MATCH($B120,'Clean Gamification Data'!$A:$A,0)),"Not Found")</f>
        <v>70.929750429999999</v>
      </c>
      <c r="Z120" s="28">
        <f>IFERROR(INDEX('Clean Gamification Data'!$I:$I,MATCH($B120,'Clean Gamification Data'!$A:$A,0)),"Not Found")</f>
        <v>62.309085959999997</v>
      </c>
      <c r="AA120" s="28">
        <f>Table1[[#This Row],[Engagement (Gamification %)]]-Table1[[#This Row],[Engagement (Non-Gamification %)]]</f>
        <v>4.597340299999999</v>
      </c>
      <c r="AB120" s="28">
        <f>Table1[[#This Row],[Motivation (Gamification %)]]-Table1[[#This Row],[Motivation (Non-Gamification %)]]</f>
        <v>7.6899326099999996</v>
      </c>
      <c r="AC120" s="28">
        <f>Table1[[#This Row],[Participation (Gamification %)]]-Table1[[#This Row],[Participation (Non-Gamification %)]]</f>
        <v>18.443100480000012</v>
      </c>
      <c r="AD120" s="28">
        <f>Table1[[#This Row],[Learning Outcomes (Gamification %)]]-Table1[[#This Row],[Learning Outcomes (Non-Gamification %)]]</f>
        <v>8.6206644700000012</v>
      </c>
      <c r="AE120" s="44" t="str">
        <f>IF(Table1[[#This Row],[Overall Effectiveness]]&lt;3.9,"Low",IF(Table1[[#This Row],[Overall Effectiveness]]&lt;4.2,"Medium","High"))</f>
        <v>Medium</v>
      </c>
      <c r="AF120" s="30" t="str">
        <f t="shared" si="10"/>
        <v>Lectures</v>
      </c>
      <c r="AG120" s="30" t="str">
        <f t="shared" si="11"/>
        <v>Experiments</v>
      </c>
      <c r="AH120" s="27">
        <f>COUNTIF(Teacher_Master!$D$2:$D$16,AF120)</f>
        <v>3</v>
      </c>
      <c r="AI120" s="30" t="str">
        <f>INDEX(Teacher_Master!$B$2:$B$16,MATCH(AF120,Teacher_Master!$D$2:$D$16,0))</f>
        <v>Prof. Vikram Gupta</v>
      </c>
    </row>
    <row r="121" spans="1:35" ht="14.25" customHeight="1" x14ac:dyDescent="0.3">
      <c r="A121" s="31" t="s">
        <v>256</v>
      </c>
      <c r="B121" s="31" t="s">
        <v>257</v>
      </c>
      <c r="C121" s="31" t="s">
        <v>2881</v>
      </c>
      <c r="D121" s="12">
        <f t="shared" ca="1" si="6"/>
        <v>23</v>
      </c>
      <c r="E121" s="12" t="str">
        <f ca="1">IF(Table1[[#This Row],[Age]]&lt;=22,"20-22",IF(Table1[[#This Row],[Age]]&lt;=25,"23-25",IF(Table1[[#This Row],[Age]]&lt;=28,"26-28","29-30")))</f>
        <v>23-25</v>
      </c>
      <c r="F121" s="12">
        <v>4.22</v>
      </c>
      <c r="G121" s="12">
        <v>4.25</v>
      </c>
      <c r="H121" s="12">
        <v>4.29</v>
      </c>
      <c r="I121" s="12">
        <v>3.62</v>
      </c>
      <c r="J121" s="12">
        <v>4.37</v>
      </c>
      <c r="K121" s="12">
        <v>4.43</v>
      </c>
      <c r="L121" s="12">
        <v>4.0199999999999996</v>
      </c>
      <c r="M121" s="12">
        <v>4.0599999999999996</v>
      </c>
      <c r="N121" s="12">
        <v>4.2699999999999996</v>
      </c>
      <c r="O121" s="12">
        <v>4.17</v>
      </c>
      <c r="P121" s="12">
        <f t="shared" si="7"/>
        <v>4.1500000000000004</v>
      </c>
      <c r="Q121" s="12">
        <f t="shared" si="8"/>
        <v>4.1500000000000004</v>
      </c>
      <c r="R121" s="12">
        <f t="shared" si="9"/>
        <v>4.1899999999999995</v>
      </c>
      <c r="S121" s="28">
        <f>IFERROR(INDEX('Clean Gamification Data'!$B:$B,MATCH($B121,'Clean Gamification Data'!$A:$A,0)),"Not Found")</f>
        <v>78.393661789999996</v>
      </c>
      <c r="T121" s="28">
        <f>IFERROR(INDEX('Clean Gamification Data'!$C:$C,MATCH($B121,'Clean Gamification Data'!$A:$A,0)),"Not Found")</f>
        <v>66.027561309999996</v>
      </c>
      <c r="U121" s="28">
        <f>IFERROR(INDEX('Clean Gamification Data'!$D:$D,MATCH($B121,'Clean Gamification Data'!$A:$A,0)),"Not Found")</f>
        <v>81.932877469999994</v>
      </c>
      <c r="V121" s="28">
        <f>IFERROR(INDEX('Clean Gamification Data'!$E:$E,MATCH($B121,'Clean Gamification Data'!$A:$A,0)),"Not Found")</f>
        <v>61.224986309999998</v>
      </c>
      <c r="W121" s="28">
        <f>IFERROR(INDEX('Clean Gamification Data'!$F:$F,MATCH($B121,'Clean Gamification Data'!$A:$A,0)),"Not Found")</f>
        <v>87.221036359999999</v>
      </c>
      <c r="X121" s="28">
        <f>IFERROR(INDEX('Clean Gamification Data'!$G:$G,MATCH($B121,'Clean Gamification Data'!$A:$A,0)),"Not Found")</f>
        <v>81.589569499999996</v>
      </c>
      <c r="Y121" s="28">
        <f>IFERROR(INDEX('Clean Gamification Data'!$H:$H,MATCH($B121,'Clean Gamification Data'!$A:$A,0)),"Not Found")</f>
        <v>68.536849860000004</v>
      </c>
      <c r="Z121" s="28">
        <f>IFERROR(INDEX('Clean Gamification Data'!$I:$I,MATCH($B121,'Clean Gamification Data'!$A:$A,0)),"Not Found")</f>
        <v>56.961141179999998</v>
      </c>
      <c r="AA121" s="28">
        <f>Table1[[#This Row],[Engagement (Gamification %)]]-Table1[[#This Row],[Engagement (Non-Gamification %)]]</f>
        <v>12.36610048</v>
      </c>
      <c r="AB121" s="28">
        <f>Table1[[#This Row],[Motivation (Gamification %)]]-Table1[[#This Row],[Motivation (Non-Gamification %)]]</f>
        <v>20.707891159999996</v>
      </c>
      <c r="AC121" s="28">
        <f>Table1[[#This Row],[Participation (Gamification %)]]-Table1[[#This Row],[Participation (Non-Gamification %)]]</f>
        <v>5.6314668600000033</v>
      </c>
      <c r="AD121" s="28">
        <f>Table1[[#This Row],[Learning Outcomes (Gamification %)]]-Table1[[#This Row],[Learning Outcomes (Non-Gamification %)]]</f>
        <v>11.575708680000005</v>
      </c>
      <c r="AE121" s="44" t="str">
        <f>IF(Table1[[#This Row],[Overall Effectiveness]]&lt;3.9,"Low",IF(Table1[[#This Row],[Overall Effectiveness]]&lt;4.2,"Medium","High"))</f>
        <v>Medium</v>
      </c>
      <c r="AF121" s="30" t="str">
        <f t="shared" si="10"/>
        <v>Online Tutorials</v>
      </c>
      <c r="AG121" s="30" t="str">
        <f t="shared" si="11"/>
        <v>Lectures</v>
      </c>
      <c r="AH121" s="27">
        <f>COUNTIF(Teacher_Master!$D$2:$D$16,AF121)</f>
        <v>3</v>
      </c>
      <c r="AI121" s="30" t="str">
        <f>INDEX(Teacher_Master!$B$2:$B$16,MATCH(AF121,Teacher_Master!$D$2:$D$16,0))</f>
        <v>Prof. Kavita Rao</v>
      </c>
    </row>
    <row r="122" spans="1:35" ht="14.25" customHeight="1" x14ac:dyDescent="0.3">
      <c r="A122" s="31" t="s">
        <v>258</v>
      </c>
      <c r="B122" s="31" t="s">
        <v>2172</v>
      </c>
      <c r="C122" s="31" t="s">
        <v>2881</v>
      </c>
      <c r="D122" s="12">
        <f t="shared" ca="1" si="6"/>
        <v>23</v>
      </c>
      <c r="E122" s="12" t="str">
        <f ca="1">IF(Table1[[#This Row],[Age]]&lt;=22,"20-22",IF(Table1[[#This Row],[Age]]&lt;=25,"23-25",IF(Table1[[#This Row],[Age]]&lt;=28,"26-28","29-30")))</f>
        <v>23-25</v>
      </c>
      <c r="F122" s="12">
        <v>3.56</v>
      </c>
      <c r="G122" s="12">
        <v>4.3099999999999996</v>
      </c>
      <c r="H122" s="12">
        <v>4.0599999999999996</v>
      </c>
      <c r="I122" s="12">
        <v>4.21</v>
      </c>
      <c r="J122" s="12">
        <v>4.08</v>
      </c>
      <c r="K122" s="12">
        <v>4.51</v>
      </c>
      <c r="L122" s="12">
        <v>3.97</v>
      </c>
      <c r="M122" s="12">
        <v>3.97</v>
      </c>
      <c r="N122" s="12">
        <v>4.25</v>
      </c>
      <c r="O122" s="12" t="s">
        <v>211</v>
      </c>
      <c r="P122" s="12">
        <f t="shared" si="7"/>
        <v>4.0439999999999996</v>
      </c>
      <c r="Q122" s="12">
        <f t="shared" si="8"/>
        <v>4.04</v>
      </c>
      <c r="R122" s="12">
        <f t="shared" si="9"/>
        <v>4.1750000000000007</v>
      </c>
      <c r="S122" s="28">
        <f>IFERROR(INDEX('Clean Gamification Data'!$B:$B,MATCH($B122,'Clean Gamification Data'!$A:$A,0)),"Not Found")</f>
        <v>83.860455279999996</v>
      </c>
      <c r="T122" s="28">
        <f>IFERROR(INDEX('Clean Gamification Data'!$C:$C,MATCH($B122,'Clean Gamification Data'!$A:$A,0)),"Not Found")</f>
        <v>66.979553330000002</v>
      </c>
      <c r="U122" s="28">
        <f>IFERROR(INDEX('Clean Gamification Data'!$D:$D,MATCH($B122,'Clean Gamification Data'!$A:$A,0)),"Not Found")</f>
        <v>77.913166129999993</v>
      </c>
      <c r="V122" s="28">
        <f>IFERROR(INDEX('Clean Gamification Data'!$E:$E,MATCH($B122,'Clean Gamification Data'!$A:$A,0)),"Not Found")</f>
        <v>62.70737226</v>
      </c>
      <c r="W122" s="28">
        <f>IFERROR(INDEX('Clean Gamification Data'!$F:$F,MATCH($B122,'Clean Gamification Data'!$A:$A,0)),"Not Found")</f>
        <v>99.457873649999996</v>
      </c>
      <c r="X122" s="28">
        <f>IFERROR(INDEX('Clean Gamification Data'!$G:$G,MATCH($B122,'Clean Gamification Data'!$A:$A,0)),"Not Found")</f>
        <v>78.914597229999998</v>
      </c>
      <c r="Y122" s="28">
        <f>IFERROR(INDEX('Clean Gamification Data'!$H:$H,MATCH($B122,'Clean Gamification Data'!$A:$A,0)),"Not Found")</f>
        <v>69.922667000000004</v>
      </c>
      <c r="Z122" s="28">
        <f>IFERROR(INDEX('Clean Gamification Data'!$I:$I,MATCH($B122,'Clean Gamification Data'!$A:$A,0)),"Not Found")</f>
        <v>52.478717549999999</v>
      </c>
      <c r="AA122" s="28">
        <f>Table1[[#This Row],[Engagement (Gamification %)]]-Table1[[#This Row],[Engagement (Non-Gamification %)]]</f>
        <v>16.880901949999995</v>
      </c>
      <c r="AB122" s="28">
        <f>Table1[[#This Row],[Motivation (Gamification %)]]-Table1[[#This Row],[Motivation (Non-Gamification %)]]</f>
        <v>15.205793869999994</v>
      </c>
      <c r="AC122" s="28">
        <f>Table1[[#This Row],[Participation (Gamification %)]]-Table1[[#This Row],[Participation (Non-Gamification %)]]</f>
        <v>20.543276419999998</v>
      </c>
      <c r="AD122" s="28">
        <f>Table1[[#This Row],[Learning Outcomes (Gamification %)]]-Table1[[#This Row],[Learning Outcomes (Non-Gamification %)]]</f>
        <v>17.443949450000005</v>
      </c>
      <c r="AE122" s="44" t="str">
        <f>IF(Table1[[#This Row],[Overall Effectiveness]]&lt;3.9,"Low",IF(Table1[[#This Row],[Overall Effectiveness]]&lt;4.2,"Medium","High"))</f>
        <v>Medium</v>
      </c>
      <c r="AF122" s="30" t="str">
        <f t="shared" si="10"/>
        <v>Case Studies</v>
      </c>
      <c r="AG122" s="30" t="str">
        <f t="shared" si="11"/>
        <v>Lectures</v>
      </c>
      <c r="AH122" s="27">
        <f>COUNTIF(Teacher_Master!$D$2:$D$16,AF122)</f>
        <v>3</v>
      </c>
      <c r="AI122" s="30" t="str">
        <f>INDEX(Teacher_Master!$B$2:$B$16,MATCH(AF122,Teacher_Master!$D$2:$D$16,0))</f>
        <v>Prof. Rajesh Mukherjee</v>
      </c>
    </row>
    <row r="123" spans="1:35" ht="14.25" customHeight="1" x14ac:dyDescent="0.3">
      <c r="A123" s="31" t="s">
        <v>260</v>
      </c>
      <c r="B123" s="31" t="s">
        <v>261</v>
      </c>
      <c r="C123" s="31" t="s">
        <v>2881</v>
      </c>
      <c r="D123" s="12">
        <f t="shared" ca="1" si="6"/>
        <v>26</v>
      </c>
      <c r="E123" s="12" t="str">
        <f ca="1">IF(Table1[[#This Row],[Age]]&lt;=22,"20-22",IF(Table1[[#This Row],[Age]]&lt;=25,"23-25",IF(Table1[[#This Row],[Age]]&lt;=28,"26-28","29-30")))</f>
        <v>26-28</v>
      </c>
      <c r="F123" s="12">
        <v>3.77</v>
      </c>
      <c r="G123" s="12">
        <v>3.74</v>
      </c>
      <c r="H123" s="12">
        <v>4</v>
      </c>
      <c r="I123" s="12">
        <v>3.79</v>
      </c>
      <c r="J123" s="12">
        <v>4.3499999999999996</v>
      </c>
      <c r="K123" s="12">
        <v>4.05</v>
      </c>
      <c r="L123" s="12">
        <v>3.86</v>
      </c>
      <c r="M123" s="12">
        <v>3.96</v>
      </c>
      <c r="N123" s="12">
        <v>3.86</v>
      </c>
      <c r="O123" s="12">
        <v>3.71</v>
      </c>
      <c r="P123" s="12">
        <f t="shared" si="7"/>
        <v>3.9299999999999997</v>
      </c>
      <c r="Q123" s="12">
        <f t="shared" si="8"/>
        <v>3.93</v>
      </c>
      <c r="R123" s="12">
        <f t="shared" si="9"/>
        <v>3.8880000000000003</v>
      </c>
      <c r="S123" s="28">
        <f>IFERROR(INDEX('Clean Gamification Data'!$B:$B,MATCH($B123,'Clean Gamification Data'!$A:$A,0)),"Not Found")</f>
        <v>77.63082679</v>
      </c>
      <c r="T123" s="28">
        <f>IFERROR(INDEX('Clean Gamification Data'!$C:$C,MATCH($B123,'Clean Gamification Data'!$A:$A,0)),"Not Found")</f>
        <v>60</v>
      </c>
      <c r="U123" s="28">
        <f>IFERROR(INDEX('Clean Gamification Data'!$D:$D,MATCH($B123,'Clean Gamification Data'!$A:$A,0)),"Not Found")</f>
        <v>83.590013170000006</v>
      </c>
      <c r="V123" s="28">
        <f>IFERROR(INDEX('Clean Gamification Data'!$E:$E,MATCH($B123,'Clean Gamification Data'!$A:$A,0)),"Not Found")</f>
        <v>58.183280850000003</v>
      </c>
      <c r="W123" s="28">
        <f>IFERROR(INDEX('Clean Gamification Data'!$F:$F,MATCH($B123,'Clean Gamification Data'!$A:$A,0)),"Not Found")</f>
        <v>98.763581790000003</v>
      </c>
      <c r="X123" s="28">
        <f>IFERROR(INDEX('Clean Gamification Data'!$G:$G,MATCH($B123,'Clean Gamification Data'!$A:$A,0)),"Not Found")</f>
        <v>82.784377719999995</v>
      </c>
      <c r="Y123" s="28">
        <f>IFERROR(INDEX('Clean Gamification Data'!$H:$H,MATCH($B123,'Clean Gamification Data'!$A:$A,0)),"Not Found")</f>
        <v>74.917754189999997</v>
      </c>
      <c r="Z123" s="28">
        <f>IFERROR(INDEX('Clean Gamification Data'!$I:$I,MATCH($B123,'Clean Gamification Data'!$A:$A,0)),"Not Found")</f>
        <v>55.624064230000002</v>
      </c>
      <c r="AA123" s="28">
        <f>Table1[[#This Row],[Engagement (Gamification %)]]-Table1[[#This Row],[Engagement (Non-Gamification %)]]</f>
        <v>17.63082679</v>
      </c>
      <c r="AB123" s="28">
        <f>Table1[[#This Row],[Motivation (Gamification %)]]-Table1[[#This Row],[Motivation (Non-Gamification %)]]</f>
        <v>25.406732320000003</v>
      </c>
      <c r="AC123" s="28">
        <f>Table1[[#This Row],[Participation (Gamification %)]]-Table1[[#This Row],[Participation (Non-Gamification %)]]</f>
        <v>15.979204070000009</v>
      </c>
      <c r="AD123" s="28">
        <f>Table1[[#This Row],[Learning Outcomes (Gamification %)]]-Table1[[#This Row],[Learning Outcomes (Non-Gamification %)]]</f>
        <v>19.293689959999995</v>
      </c>
      <c r="AE123" s="44" t="str">
        <f>IF(Table1[[#This Row],[Overall Effectiveness]]&lt;3.9,"Low",IF(Table1[[#This Row],[Overall Effectiveness]]&lt;4.2,"Medium","High"))</f>
        <v>Medium</v>
      </c>
      <c r="AF123" s="30" t="str">
        <f t="shared" si="10"/>
        <v>Online Tutorials</v>
      </c>
      <c r="AG123" s="30" t="str">
        <f t="shared" si="11"/>
        <v>Lectures</v>
      </c>
      <c r="AH123" s="27">
        <f>COUNTIF(Teacher_Master!$D$2:$D$16,AF123)</f>
        <v>3</v>
      </c>
      <c r="AI123" s="30" t="str">
        <f>INDEX(Teacher_Master!$B$2:$B$16,MATCH(AF123,Teacher_Master!$D$2:$D$16,0))</f>
        <v>Prof. Kavita Rao</v>
      </c>
    </row>
    <row r="124" spans="1:35" ht="14.25" customHeight="1" x14ac:dyDescent="0.3">
      <c r="A124" s="31" t="s">
        <v>262</v>
      </c>
      <c r="B124" s="31" t="s">
        <v>2173</v>
      </c>
      <c r="C124" s="31" t="s">
        <v>2882</v>
      </c>
      <c r="D124" s="12">
        <f t="shared" ca="1" si="6"/>
        <v>20</v>
      </c>
      <c r="E124" s="12" t="str">
        <f ca="1">IF(Table1[[#This Row],[Age]]&lt;=22,"20-22",IF(Table1[[#This Row],[Age]]&lt;=25,"23-25",IF(Table1[[#This Row],[Age]]&lt;=28,"26-28","29-30")))</f>
        <v>20-22</v>
      </c>
      <c r="F124" s="12">
        <v>4.43</v>
      </c>
      <c r="G124" s="12">
        <v>3.93</v>
      </c>
      <c r="H124" s="12">
        <v>4.1399999999999997</v>
      </c>
      <c r="I124" s="12">
        <v>3.68</v>
      </c>
      <c r="J124" s="12">
        <v>4.7</v>
      </c>
      <c r="K124" s="12">
        <v>4.13</v>
      </c>
      <c r="L124" s="12">
        <v>4.3499999999999996</v>
      </c>
      <c r="M124" s="12">
        <v>4.1399999999999997</v>
      </c>
      <c r="N124" s="12">
        <v>3.68</v>
      </c>
      <c r="O124" s="12">
        <v>4.43</v>
      </c>
      <c r="P124" s="12">
        <f t="shared" si="7"/>
        <v>4.1760000000000002</v>
      </c>
      <c r="Q124" s="12">
        <f t="shared" si="8"/>
        <v>4.18</v>
      </c>
      <c r="R124" s="12">
        <f t="shared" si="9"/>
        <v>4.1459999999999999</v>
      </c>
      <c r="S124" s="28">
        <f>IFERROR(INDEX('Clean Gamification Data'!$B:$B,MATCH($B124,'Clean Gamification Data'!$A:$A,0)),"Not Found")</f>
        <v>85.546968449999994</v>
      </c>
      <c r="T124" s="28">
        <f>IFERROR(INDEX('Clean Gamification Data'!$C:$C,MATCH($B124,'Clean Gamification Data'!$A:$A,0)),"Not Found")</f>
        <v>73.295622719999997</v>
      </c>
      <c r="U124" s="28">
        <f>IFERROR(INDEX('Clean Gamification Data'!$D:$D,MATCH($B124,'Clean Gamification Data'!$A:$A,0)),"Not Found")</f>
        <v>70.226863249999994</v>
      </c>
      <c r="V124" s="28">
        <f>IFERROR(INDEX('Clean Gamification Data'!$E:$E,MATCH($B124,'Clean Gamification Data'!$A:$A,0)),"Not Found")</f>
        <v>68.154790640000002</v>
      </c>
      <c r="W124" s="28">
        <f>IFERROR(INDEX('Clean Gamification Data'!$F:$F,MATCH($B124,'Clean Gamification Data'!$A:$A,0)),"Not Found")</f>
        <v>89.142822809999998</v>
      </c>
      <c r="X124" s="28">
        <f>IFERROR(INDEX('Clean Gamification Data'!$G:$G,MATCH($B124,'Clean Gamification Data'!$A:$A,0)),"Not Found")</f>
        <v>73.723951659999997</v>
      </c>
      <c r="Y124" s="28">
        <f>IFERROR(INDEX('Clean Gamification Data'!$H:$H,MATCH($B124,'Clean Gamification Data'!$A:$A,0)),"Not Found")</f>
        <v>75.596978210000003</v>
      </c>
      <c r="Z124" s="28">
        <f>IFERROR(INDEX('Clean Gamification Data'!$I:$I,MATCH($B124,'Clean Gamification Data'!$A:$A,0)),"Not Found")</f>
        <v>60.421235729999999</v>
      </c>
      <c r="AA124" s="28">
        <f>Table1[[#This Row],[Engagement (Gamification %)]]-Table1[[#This Row],[Engagement (Non-Gamification %)]]</f>
        <v>12.251345729999997</v>
      </c>
      <c r="AB124" s="28">
        <f>Table1[[#This Row],[Motivation (Gamification %)]]-Table1[[#This Row],[Motivation (Non-Gamification %)]]</f>
        <v>2.0720726099999922</v>
      </c>
      <c r="AC124" s="28">
        <f>Table1[[#This Row],[Participation (Gamification %)]]-Table1[[#This Row],[Participation (Non-Gamification %)]]</f>
        <v>15.418871150000001</v>
      </c>
      <c r="AD124" s="28">
        <f>Table1[[#This Row],[Learning Outcomes (Gamification %)]]-Table1[[#This Row],[Learning Outcomes (Non-Gamification %)]]</f>
        <v>15.175742480000004</v>
      </c>
      <c r="AE124" s="44" t="str">
        <f>IF(Table1[[#This Row],[Overall Effectiveness]]&lt;3.9,"Low",IF(Table1[[#This Row],[Overall Effectiveness]]&lt;4.2,"Medium","High"))</f>
        <v>Medium</v>
      </c>
      <c r="AF124" s="30" t="str">
        <f t="shared" si="10"/>
        <v>Online Tutorials</v>
      </c>
      <c r="AG124" s="30" t="str">
        <f t="shared" si="11"/>
        <v>Online Tutorials</v>
      </c>
      <c r="AH124" s="27">
        <f>COUNTIF(Teacher_Master!$D$2:$D$16,AF124)</f>
        <v>3</v>
      </c>
      <c r="AI124" s="30" t="str">
        <f>INDEX(Teacher_Master!$B$2:$B$16,MATCH(AF124,Teacher_Master!$D$2:$D$16,0))</f>
        <v>Prof. Kavita Rao</v>
      </c>
    </row>
    <row r="125" spans="1:35" ht="14.25" customHeight="1" x14ac:dyDescent="0.3">
      <c r="A125" s="31" t="s">
        <v>264</v>
      </c>
      <c r="B125" s="31" t="s">
        <v>2174</v>
      </c>
      <c r="C125" s="31" t="s">
        <v>2882</v>
      </c>
      <c r="D125" s="12">
        <f t="shared" ca="1" si="6"/>
        <v>22</v>
      </c>
      <c r="E125" s="12" t="str">
        <f ca="1">IF(Table1[[#This Row],[Age]]&lt;=22,"20-22",IF(Table1[[#This Row],[Age]]&lt;=25,"23-25",IF(Table1[[#This Row],[Age]]&lt;=28,"26-28","29-30")))</f>
        <v>20-22</v>
      </c>
      <c r="F125" s="12">
        <v>3.76</v>
      </c>
      <c r="G125" s="12">
        <v>4.4800000000000004</v>
      </c>
      <c r="H125" s="12">
        <v>3.67</v>
      </c>
      <c r="I125" s="12">
        <v>3.65</v>
      </c>
      <c r="J125" s="12">
        <v>4.0199999999999996</v>
      </c>
      <c r="K125" s="12">
        <v>3.76</v>
      </c>
      <c r="L125" s="12">
        <v>4.4400000000000004</v>
      </c>
      <c r="M125" s="12">
        <v>4.16</v>
      </c>
      <c r="N125" s="12">
        <v>4.13</v>
      </c>
      <c r="O125" s="12">
        <v>3.87</v>
      </c>
      <c r="P125" s="12">
        <f t="shared" si="7"/>
        <v>3.9159999999999995</v>
      </c>
      <c r="Q125" s="12">
        <f t="shared" si="8"/>
        <v>3.92</v>
      </c>
      <c r="R125" s="12">
        <f t="shared" si="9"/>
        <v>4.0720000000000001</v>
      </c>
      <c r="S125" s="28">
        <f>IFERROR(INDEX('Clean Gamification Data'!$B:$B,MATCH($B125,'Clean Gamification Data'!$A:$A,0)),"Not Found")</f>
        <v>99.9</v>
      </c>
      <c r="T125" s="28">
        <f>IFERROR(INDEX('Clean Gamification Data'!$C:$C,MATCH($B125,'Clean Gamification Data'!$A:$A,0)),"Not Found")</f>
        <v>67.711277359999997</v>
      </c>
      <c r="U125" s="28">
        <f>IFERROR(INDEX('Clean Gamification Data'!$D:$D,MATCH($B125,'Clean Gamification Data'!$A:$A,0)),"Not Found")</f>
        <v>82.044590529999994</v>
      </c>
      <c r="V125" s="28">
        <f>IFERROR(INDEX('Clean Gamification Data'!$E:$E,MATCH($B125,'Clean Gamification Data'!$A:$A,0)),"Not Found")</f>
        <v>62.117615110000003</v>
      </c>
      <c r="W125" s="28">
        <f>IFERROR(INDEX('Clean Gamification Data'!$F:$F,MATCH($B125,'Clean Gamification Data'!$A:$A,0)),"Not Found")</f>
        <v>87.587564920000005</v>
      </c>
      <c r="X125" s="28">
        <f>IFERROR(INDEX('Clean Gamification Data'!$G:$G,MATCH($B125,'Clean Gamification Data'!$A:$A,0)),"Not Found")</f>
        <v>81.378009180000006</v>
      </c>
      <c r="Y125" s="28">
        <f>IFERROR(INDEX('Clean Gamification Data'!$H:$H,MATCH($B125,'Clean Gamification Data'!$A:$A,0)),"Not Found")</f>
        <v>71.005991600000002</v>
      </c>
      <c r="Z125" s="28">
        <f>IFERROR(INDEX('Clean Gamification Data'!$I:$I,MATCH($B125,'Clean Gamification Data'!$A:$A,0)),"Not Found")</f>
        <v>63.269888520000002</v>
      </c>
      <c r="AA125" s="28">
        <f>Table1[[#This Row],[Engagement (Gamification %)]]-Table1[[#This Row],[Engagement (Non-Gamification %)]]</f>
        <v>32.188722640000009</v>
      </c>
      <c r="AB125" s="28">
        <f>Table1[[#This Row],[Motivation (Gamification %)]]-Table1[[#This Row],[Motivation (Non-Gamification %)]]</f>
        <v>19.926975419999991</v>
      </c>
      <c r="AC125" s="28">
        <f>Table1[[#This Row],[Participation (Gamification %)]]-Table1[[#This Row],[Participation (Non-Gamification %)]]</f>
        <v>6.209555739999999</v>
      </c>
      <c r="AD125" s="28">
        <f>Table1[[#This Row],[Learning Outcomes (Gamification %)]]-Table1[[#This Row],[Learning Outcomes (Non-Gamification %)]]</f>
        <v>7.7361030799999995</v>
      </c>
      <c r="AE125" s="44" t="str">
        <f>IF(Table1[[#This Row],[Overall Effectiveness]]&lt;3.9,"Low",IF(Table1[[#This Row],[Overall Effectiveness]]&lt;4.2,"Medium","High"))</f>
        <v>Medium</v>
      </c>
      <c r="AF125" s="30" t="str">
        <f t="shared" si="10"/>
        <v>Case Studies</v>
      </c>
      <c r="AG125" s="30" t="str">
        <f t="shared" si="11"/>
        <v>Case Studies</v>
      </c>
      <c r="AH125" s="27">
        <f>COUNTIF(Teacher_Master!$D$2:$D$16,AF125)</f>
        <v>3</v>
      </c>
      <c r="AI125" s="30" t="str">
        <f>INDEX(Teacher_Master!$B$2:$B$16,MATCH(AF125,Teacher_Master!$D$2:$D$16,0))</f>
        <v>Prof. Rajesh Mukherjee</v>
      </c>
    </row>
    <row r="126" spans="1:35" ht="14.25" customHeight="1" x14ac:dyDescent="0.3">
      <c r="A126" s="31" t="s">
        <v>266</v>
      </c>
      <c r="B126" s="31" t="s">
        <v>267</v>
      </c>
      <c r="C126" s="31" t="s">
        <v>2881</v>
      </c>
      <c r="D126" s="12">
        <f t="shared" ca="1" si="6"/>
        <v>22</v>
      </c>
      <c r="E126" s="12" t="str">
        <f ca="1">IF(Table1[[#This Row],[Age]]&lt;=22,"20-22",IF(Table1[[#This Row],[Age]]&lt;=25,"23-25",IF(Table1[[#This Row],[Age]]&lt;=28,"26-28","29-30")))</f>
        <v>20-22</v>
      </c>
      <c r="F126" s="12">
        <v>3.65</v>
      </c>
      <c r="G126" s="12">
        <v>3.62</v>
      </c>
      <c r="H126" s="12">
        <v>4.5599999999999996</v>
      </c>
      <c r="I126" s="12">
        <v>4.26</v>
      </c>
      <c r="J126" s="12">
        <v>3.79</v>
      </c>
      <c r="K126" s="12">
        <v>4.12</v>
      </c>
      <c r="L126" s="12" t="s">
        <v>211</v>
      </c>
      <c r="M126" s="12">
        <v>4.1100000000000003</v>
      </c>
      <c r="N126" s="12">
        <v>4.7699999999999996</v>
      </c>
      <c r="O126" s="12">
        <v>4.24</v>
      </c>
      <c r="P126" s="12">
        <f t="shared" si="7"/>
        <v>3.9759999999999991</v>
      </c>
      <c r="Q126" s="12">
        <f t="shared" si="8"/>
        <v>3.98</v>
      </c>
      <c r="R126" s="12">
        <f t="shared" si="9"/>
        <v>4.3100000000000005</v>
      </c>
      <c r="S126" s="28">
        <f>IFERROR(INDEX('Clean Gamification Data'!$B:$B,MATCH($B126,'Clean Gamification Data'!$A:$A,0)),"Not Found")</f>
        <v>90.633831700000002</v>
      </c>
      <c r="T126" s="28">
        <f>IFERROR(INDEX('Clean Gamification Data'!$C:$C,MATCH($B126,'Clean Gamification Data'!$A:$A,0)),"Not Found")</f>
        <v>68.235768719999996</v>
      </c>
      <c r="U126" s="28">
        <f>IFERROR(INDEX('Clean Gamification Data'!$D:$D,MATCH($B126,'Clean Gamification Data'!$A:$A,0)),"Not Found")</f>
        <v>84.545534889999999</v>
      </c>
      <c r="V126" s="28">
        <f>IFERROR(INDEX('Clean Gamification Data'!$E:$E,MATCH($B126,'Clean Gamification Data'!$A:$A,0)),"Not Found")</f>
        <v>71.394955870000004</v>
      </c>
      <c r="W126" s="28">
        <f>IFERROR(INDEX('Clean Gamification Data'!$F:$F,MATCH($B126,'Clean Gamification Data'!$A:$A,0)),"Not Found")</f>
        <v>80</v>
      </c>
      <c r="X126" s="28">
        <f>IFERROR(INDEX('Clean Gamification Data'!$G:$G,MATCH($B126,'Clean Gamification Data'!$A:$A,0)),"Not Found")</f>
        <v>85</v>
      </c>
      <c r="Y126" s="28">
        <f>IFERROR(INDEX('Clean Gamification Data'!$H:$H,MATCH($B126,'Clean Gamification Data'!$A:$A,0)),"Not Found")</f>
        <v>69.989077030000004</v>
      </c>
      <c r="Z126" s="28">
        <f>IFERROR(INDEX('Clean Gamification Data'!$I:$I,MATCH($B126,'Clean Gamification Data'!$A:$A,0)),"Not Found")</f>
        <v>54.039675410000001</v>
      </c>
      <c r="AA126" s="28">
        <f>Table1[[#This Row],[Engagement (Gamification %)]]-Table1[[#This Row],[Engagement (Non-Gamification %)]]</f>
        <v>22.398062980000006</v>
      </c>
      <c r="AB126" s="28">
        <f>Table1[[#This Row],[Motivation (Gamification %)]]-Table1[[#This Row],[Motivation (Non-Gamification %)]]</f>
        <v>13.150579019999995</v>
      </c>
      <c r="AC126" s="28">
        <f>Table1[[#This Row],[Participation (Gamification %)]]-Table1[[#This Row],[Participation (Non-Gamification %)]]</f>
        <v>-5</v>
      </c>
      <c r="AD126" s="28">
        <f>Table1[[#This Row],[Learning Outcomes (Gamification %)]]-Table1[[#This Row],[Learning Outcomes (Non-Gamification %)]]</f>
        <v>15.949401620000003</v>
      </c>
      <c r="AE126" s="44" t="str">
        <f>IF(Table1[[#This Row],[Overall Effectiveness]]&lt;3.9,"Low",IF(Table1[[#This Row],[Overall Effectiveness]]&lt;4.2,"Medium","High"))</f>
        <v>Medium</v>
      </c>
      <c r="AF126" s="30" t="str">
        <f t="shared" si="10"/>
        <v>Group Projects</v>
      </c>
      <c r="AG126" s="30" t="str">
        <f t="shared" si="11"/>
        <v>Experiments</v>
      </c>
      <c r="AH126" s="27">
        <f>COUNTIF(Teacher_Master!$D$2:$D$16,AF126)</f>
        <v>3</v>
      </c>
      <c r="AI126" s="30" t="str">
        <f>INDEX(Teacher_Master!$B$2:$B$16,MATCH(AF126,Teacher_Master!$D$2:$D$16,0))</f>
        <v>Dr. Rohan Dutta</v>
      </c>
    </row>
    <row r="127" spans="1:35" ht="14.25" customHeight="1" x14ac:dyDescent="0.3">
      <c r="A127" s="31" t="s">
        <v>268</v>
      </c>
      <c r="B127" s="31" t="s">
        <v>2175</v>
      </c>
      <c r="C127" s="31" t="s">
        <v>2881</v>
      </c>
      <c r="D127" s="12">
        <f t="shared" ca="1" si="6"/>
        <v>30</v>
      </c>
      <c r="E127" s="12" t="str">
        <f ca="1">IF(Table1[[#This Row],[Age]]&lt;=22,"20-22",IF(Table1[[#This Row],[Age]]&lt;=25,"23-25",IF(Table1[[#This Row],[Age]]&lt;=28,"26-28","29-30")))</f>
        <v>29-30</v>
      </c>
      <c r="F127" s="12">
        <v>4.45</v>
      </c>
      <c r="G127" s="12">
        <v>4.0199999999999996</v>
      </c>
      <c r="H127" s="12">
        <v>4.04</v>
      </c>
      <c r="I127" s="12">
        <v>4.59</v>
      </c>
      <c r="J127" s="12">
        <v>4.16</v>
      </c>
      <c r="K127" s="12">
        <v>4.33</v>
      </c>
      <c r="L127" s="12">
        <v>4.17</v>
      </c>
      <c r="M127" s="12">
        <v>3.42</v>
      </c>
      <c r="N127" s="12">
        <v>3.97</v>
      </c>
      <c r="O127" s="12">
        <v>4.1900000000000004</v>
      </c>
      <c r="P127" s="12">
        <f t="shared" si="7"/>
        <v>4.2519999999999998</v>
      </c>
      <c r="Q127" s="12">
        <f t="shared" si="8"/>
        <v>4.25</v>
      </c>
      <c r="R127" s="12">
        <f t="shared" si="9"/>
        <v>4.016</v>
      </c>
      <c r="S127" s="28">
        <f>IFERROR(INDEX('Clean Gamification Data'!$B:$B,MATCH($B127,'Clean Gamification Data'!$A:$A,0)),"Not Found")</f>
        <v>94.712903179999998</v>
      </c>
      <c r="T127" s="28">
        <f>IFERROR(INDEX('Clean Gamification Data'!$C:$C,MATCH($B127,'Clean Gamification Data'!$A:$A,0)),"Not Found")</f>
        <v>66.679473400000006</v>
      </c>
      <c r="U127" s="28">
        <f>IFERROR(INDEX('Clean Gamification Data'!$D:$D,MATCH($B127,'Clean Gamification Data'!$A:$A,0)),"Not Found")</f>
        <v>76.158257579999997</v>
      </c>
      <c r="V127" s="28">
        <f>IFERROR(INDEX('Clean Gamification Data'!$E:$E,MATCH($B127,'Clean Gamification Data'!$A:$A,0)),"Not Found")</f>
        <v>68.843485909999998</v>
      </c>
      <c r="W127" s="28">
        <f>IFERROR(INDEX('Clean Gamification Data'!$F:$F,MATCH($B127,'Clean Gamification Data'!$A:$A,0)),"Not Found")</f>
        <v>84.493498369999998</v>
      </c>
      <c r="X127" s="28">
        <f>IFERROR(INDEX('Clean Gamification Data'!$G:$G,MATCH($B127,'Clean Gamification Data'!$A:$A,0)),"Not Found")</f>
        <v>80.262444700000003</v>
      </c>
      <c r="Y127" s="28">
        <f>IFERROR(INDEX('Clean Gamification Data'!$H:$H,MATCH($B127,'Clean Gamification Data'!$A:$A,0)),"Not Found")</f>
        <v>72.048100509999998</v>
      </c>
      <c r="Z127" s="28">
        <f>IFERROR(INDEX('Clean Gamification Data'!$I:$I,MATCH($B127,'Clean Gamification Data'!$A:$A,0)),"Not Found")</f>
        <v>69.210919700000005</v>
      </c>
      <c r="AA127" s="28">
        <f>Table1[[#This Row],[Engagement (Gamification %)]]-Table1[[#This Row],[Engagement (Non-Gamification %)]]</f>
        <v>28.033429779999992</v>
      </c>
      <c r="AB127" s="28">
        <f>Table1[[#This Row],[Motivation (Gamification %)]]-Table1[[#This Row],[Motivation (Non-Gamification %)]]</f>
        <v>7.3147716699999989</v>
      </c>
      <c r="AC127" s="28">
        <f>Table1[[#This Row],[Participation (Gamification %)]]-Table1[[#This Row],[Participation (Non-Gamification %)]]</f>
        <v>4.2310536699999943</v>
      </c>
      <c r="AD127" s="28">
        <f>Table1[[#This Row],[Learning Outcomes (Gamification %)]]-Table1[[#This Row],[Learning Outcomes (Non-Gamification %)]]</f>
        <v>2.8371808099999924</v>
      </c>
      <c r="AE127" s="44" t="str">
        <f>IF(Table1[[#This Row],[Overall Effectiveness]]&lt;3.9,"Low",IF(Table1[[#This Row],[Overall Effectiveness]]&lt;4.2,"Medium","High"))</f>
        <v>High</v>
      </c>
      <c r="AF127" s="30" t="str">
        <f t="shared" si="10"/>
        <v>Experiments</v>
      </c>
      <c r="AG127" s="30" t="str">
        <f t="shared" si="11"/>
        <v>Lectures</v>
      </c>
      <c r="AH127" s="27">
        <f>COUNTIF(Teacher_Master!$D$2:$D$16,AF127)</f>
        <v>3</v>
      </c>
      <c r="AI127" s="30" t="str">
        <f>INDEX(Teacher_Master!$B$2:$B$16,MATCH(AF127,Teacher_Master!$D$2:$D$16,0))</f>
        <v>Prof. Rahul Singh</v>
      </c>
    </row>
    <row r="128" spans="1:35" ht="14.25" customHeight="1" x14ac:dyDescent="0.3">
      <c r="A128" s="31" t="s">
        <v>270</v>
      </c>
      <c r="B128" s="31" t="s">
        <v>2176</v>
      </c>
      <c r="C128" s="31" t="s">
        <v>2882</v>
      </c>
      <c r="D128" s="12">
        <f t="shared" ca="1" si="6"/>
        <v>25</v>
      </c>
      <c r="E128" s="12" t="str">
        <f ca="1">IF(Table1[[#This Row],[Age]]&lt;=22,"20-22",IF(Table1[[#This Row],[Age]]&lt;=25,"23-25",IF(Table1[[#This Row],[Age]]&lt;=28,"26-28","29-30")))</f>
        <v>23-25</v>
      </c>
      <c r="F128" s="12">
        <v>4.46</v>
      </c>
      <c r="G128" s="12">
        <v>3.71</v>
      </c>
      <c r="H128" s="12">
        <v>4.3</v>
      </c>
      <c r="I128" s="12" t="s">
        <v>211</v>
      </c>
      <c r="J128" s="12">
        <v>4.42</v>
      </c>
      <c r="K128" s="12">
        <v>3.99</v>
      </c>
      <c r="L128" s="12">
        <v>3.32</v>
      </c>
      <c r="M128" s="12">
        <v>4.0599999999999996</v>
      </c>
      <c r="N128" s="12">
        <v>3.48</v>
      </c>
      <c r="O128" s="12">
        <v>3.98</v>
      </c>
      <c r="P128" s="12">
        <f t="shared" si="7"/>
        <v>4.2225000000000001</v>
      </c>
      <c r="Q128" s="12">
        <f t="shared" si="8"/>
        <v>4.22</v>
      </c>
      <c r="R128" s="12">
        <f t="shared" si="9"/>
        <v>3.7660000000000005</v>
      </c>
      <c r="S128" s="28">
        <f>IFERROR(INDEX('Clean Gamification Data'!$B:$B,MATCH($B128,'Clean Gamification Data'!$A:$A,0)),"Not Found")</f>
        <v>79.739079559999993</v>
      </c>
      <c r="T128" s="28">
        <f>IFERROR(INDEX('Clean Gamification Data'!$C:$C,MATCH($B128,'Clean Gamification Data'!$A:$A,0)),"Not Found")</f>
        <v>67.614747249999994</v>
      </c>
      <c r="U128" s="28">
        <f>IFERROR(INDEX('Clean Gamification Data'!$D:$D,MATCH($B128,'Clean Gamification Data'!$A:$A,0)),"Not Found")</f>
        <v>74.116830480000004</v>
      </c>
      <c r="V128" s="28">
        <f>IFERROR(INDEX('Clean Gamification Data'!$E:$E,MATCH($B128,'Clean Gamification Data'!$A:$A,0)),"Not Found")</f>
        <v>63.307747569999997</v>
      </c>
      <c r="W128" s="28">
        <f>IFERROR(INDEX('Clean Gamification Data'!$F:$F,MATCH($B128,'Clean Gamification Data'!$A:$A,0)),"Not Found")</f>
        <v>86.34307613</v>
      </c>
      <c r="X128" s="28">
        <f>IFERROR(INDEX('Clean Gamification Data'!$G:$G,MATCH($B128,'Clean Gamification Data'!$A:$A,0)),"Not Found")</f>
        <v>81.214236720000002</v>
      </c>
      <c r="Y128" s="28">
        <f>IFERROR(INDEX('Clean Gamification Data'!$H:$H,MATCH($B128,'Clean Gamification Data'!$A:$A,0)),"Not Found")</f>
        <v>66.884504440000001</v>
      </c>
      <c r="Z128" s="28">
        <f>IFERROR(INDEX('Clean Gamification Data'!$I:$I,MATCH($B128,'Clean Gamification Data'!$A:$A,0)),"Not Found")</f>
        <v>54.362441760000003</v>
      </c>
      <c r="AA128" s="28">
        <f>Table1[[#This Row],[Engagement (Gamification %)]]-Table1[[#This Row],[Engagement (Non-Gamification %)]]</f>
        <v>12.12433231</v>
      </c>
      <c r="AB128" s="28">
        <f>Table1[[#This Row],[Motivation (Gamification %)]]-Table1[[#This Row],[Motivation (Non-Gamification %)]]</f>
        <v>10.809082910000008</v>
      </c>
      <c r="AC128" s="28">
        <f>Table1[[#This Row],[Participation (Gamification %)]]-Table1[[#This Row],[Participation (Non-Gamification %)]]</f>
        <v>5.1288394099999977</v>
      </c>
      <c r="AD128" s="28">
        <f>Table1[[#This Row],[Learning Outcomes (Gamification %)]]-Table1[[#This Row],[Learning Outcomes (Non-Gamification %)]]</f>
        <v>12.522062679999998</v>
      </c>
      <c r="AE128" s="44" t="str">
        <f>IF(Table1[[#This Row],[Overall Effectiveness]]&lt;3.9,"Low",IF(Table1[[#This Row],[Overall Effectiveness]]&lt;4.2,"Medium","High"))</f>
        <v>High</v>
      </c>
      <c r="AF128" s="30" t="str">
        <f t="shared" si="10"/>
        <v>Lectures</v>
      </c>
      <c r="AG128" s="30" t="str">
        <f t="shared" si="11"/>
        <v>Group Projects</v>
      </c>
      <c r="AH128" s="27">
        <f>COUNTIF(Teacher_Master!$D$2:$D$16,AF128)</f>
        <v>3</v>
      </c>
      <c r="AI128" s="30" t="str">
        <f>INDEX(Teacher_Master!$B$2:$B$16,MATCH(AF128,Teacher_Master!$D$2:$D$16,0))</f>
        <v>Prof. Vikram Gupta</v>
      </c>
    </row>
    <row r="129" spans="1:35" ht="14.25" customHeight="1" x14ac:dyDescent="0.3">
      <c r="A129" s="31" t="s">
        <v>272</v>
      </c>
      <c r="B129" s="31" t="s">
        <v>2177</v>
      </c>
      <c r="C129" s="31" t="s">
        <v>2882</v>
      </c>
      <c r="D129" s="12">
        <f t="shared" ca="1" si="6"/>
        <v>20</v>
      </c>
      <c r="E129" s="12" t="str">
        <f ca="1">IF(Table1[[#This Row],[Age]]&lt;=22,"20-22",IF(Table1[[#This Row],[Age]]&lt;=25,"23-25",IF(Table1[[#This Row],[Age]]&lt;=28,"26-28","29-30")))</f>
        <v>20-22</v>
      </c>
      <c r="F129" s="12">
        <v>3.1</v>
      </c>
      <c r="G129" s="12">
        <v>4.49</v>
      </c>
      <c r="H129" s="12">
        <v>4.16</v>
      </c>
      <c r="I129" s="12">
        <v>4.29</v>
      </c>
      <c r="J129" s="12">
        <v>4.28</v>
      </c>
      <c r="K129" s="12">
        <v>4.22</v>
      </c>
      <c r="L129" s="12">
        <v>3.95</v>
      </c>
      <c r="M129" s="12">
        <v>4.38</v>
      </c>
      <c r="N129" s="12">
        <v>4.01</v>
      </c>
      <c r="O129" s="12">
        <v>3.86</v>
      </c>
      <c r="P129" s="12">
        <f t="shared" si="7"/>
        <v>4.0640000000000001</v>
      </c>
      <c r="Q129" s="12">
        <f t="shared" si="8"/>
        <v>4.0599999999999996</v>
      </c>
      <c r="R129" s="12">
        <f t="shared" si="9"/>
        <v>4.0840000000000005</v>
      </c>
      <c r="S129" s="28">
        <f>IFERROR(INDEX('Clean Gamification Data'!$B:$B,MATCH($B129,'Clean Gamification Data'!$A:$A,0)),"Not Found")</f>
        <v>85.436774540000002</v>
      </c>
      <c r="T129" s="28">
        <f>IFERROR(INDEX('Clean Gamification Data'!$C:$C,MATCH($B129,'Clean Gamification Data'!$A:$A,0)),"Not Found")</f>
        <v>60</v>
      </c>
      <c r="U129" s="28">
        <f>IFERROR(INDEX('Clean Gamification Data'!$D:$D,MATCH($B129,'Clean Gamification Data'!$A:$A,0)),"Not Found")</f>
        <v>80.753416779999995</v>
      </c>
      <c r="V129" s="28">
        <f>IFERROR(INDEX('Clean Gamification Data'!$E:$E,MATCH($B129,'Clean Gamification Data'!$A:$A,0)),"Not Found")</f>
        <v>64.050823510000001</v>
      </c>
      <c r="W129" s="28">
        <f>IFERROR(INDEX('Clean Gamification Data'!$F:$F,MATCH($B129,'Clean Gamification Data'!$A:$A,0)),"Not Found")</f>
        <v>86.101359849999994</v>
      </c>
      <c r="X129" s="28">
        <f>IFERROR(INDEX('Clean Gamification Data'!$G:$G,MATCH($B129,'Clean Gamification Data'!$A:$A,0)),"Not Found")</f>
        <v>76.611816050000002</v>
      </c>
      <c r="Y129" s="28">
        <f>IFERROR(INDEX('Clean Gamification Data'!$H:$H,MATCH($B129,'Clean Gamification Data'!$A:$A,0)),"Not Found")</f>
        <v>66.862879430000007</v>
      </c>
      <c r="Z129" s="28">
        <f>IFERROR(INDEX('Clean Gamification Data'!$I:$I,MATCH($B129,'Clean Gamification Data'!$A:$A,0)),"Not Found")</f>
        <v>51.229871680000002</v>
      </c>
      <c r="AA129" s="28">
        <f>Table1[[#This Row],[Engagement (Gamification %)]]-Table1[[#This Row],[Engagement (Non-Gamification %)]]</f>
        <v>25.436774540000002</v>
      </c>
      <c r="AB129" s="28">
        <f>Table1[[#This Row],[Motivation (Gamification %)]]-Table1[[#This Row],[Motivation (Non-Gamification %)]]</f>
        <v>16.702593269999994</v>
      </c>
      <c r="AC129" s="28">
        <f>Table1[[#This Row],[Participation (Gamification %)]]-Table1[[#This Row],[Participation (Non-Gamification %)]]</f>
        <v>9.4895437999999928</v>
      </c>
      <c r="AD129" s="28">
        <f>Table1[[#This Row],[Learning Outcomes (Gamification %)]]-Table1[[#This Row],[Learning Outcomes (Non-Gamification %)]]</f>
        <v>15.633007750000004</v>
      </c>
      <c r="AE129" s="44" t="str">
        <f>IF(Table1[[#This Row],[Overall Effectiveness]]&lt;3.9,"Low",IF(Table1[[#This Row],[Overall Effectiveness]]&lt;4.2,"Medium","High"))</f>
        <v>Medium</v>
      </c>
      <c r="AF129" s="30" t="str">
        <f t="shared" si="10"/>
        <v>Case Studies</v>
      </c>
      <c r="AG129" s="30" t="str">
        <f t="shared" si="11"/>
        <v>Group Projects</v>
      </c>
      <c r="AH129" s="27">
        <f>COUNTIF(Teacher_Master!$D$2:$D$16,AF129)</f>
        <v>3</v>
      </c>
      <c r="AI129" s="30" t="str">
        <f>INDEX(Teacher_Master!$B$2:$B$16,MATCH(AF129,Teacher_Master!$D$2:$D$16,0))</f>
        <v>Prof. Rajesh Mukherjee</v>
      </c>
    </row>
    <row r="130" spans="1:35" ht="14.25" customHeight="1" x14ac:dyDescent="0.3">
      <c r="A130" s="31" t="s">
        <v>274</v>
      </c>
      <c r="B130" s="31" t="s">
        <v>2178</v>
      </c>
      <c r="C130" s="31" t="s">
        <v>2881</v>
      </c>
      <c r="D130" s="12">
        <f t="shared" ref="D130:D193" ca="1" si="12">RANDBETWEEN(20,30)</f>
        <v>30</v>
      </c>
      <c r="E130" s="12" t="str">
        <f ca="1">IF(Table1[[#This Row],[Age]]&lt;=22,"20-22",IF(Table1[[#This Row],[Age]]&lt;=25,"23-25",IF(Table1[[#This Row],[Age]]&lt;=28,"26-28","29-30")))</f>
        <v>29-30</v>
      </c>
      <c r="F130" s="12">
        <v>3.56</v>
      </c>
      <c r="G130" s="12">
        <v>4.22</v>
      </c>
      <c r="H130" s="12">
        <v>4.43</v>
      </c>
      <c r="I130" s="12">
        <v>3.82</v>
      </c>
      <c r="J130" s="12">
        <v>3.63</v>
      </c>
      <c r="K130" s="12">
        <v>4.2300000000000004</v>
      </c>
      <c r="L130" s="12">
        <v>4.08</v>
      </c>
      <c r="M130" s="12">
        <v>3.94</v>
      </c>
      <c r="N130" s="12">
        <v>3.89</v>
      </c>
      <c r="O130" s="12">
        <v>3.76</v>
      </c>
      <c r="P130" s="12">
        <f t="shared" ref="P130:P193" si="13">AVERAGE(F130:J130)</f>
        <v>3.9319999999999995</v>
      </c>
      <c r="Q130" s="12">
        <f t="shared" ref="Q130:Q193" si="14">ROUND(P130,2)</f>
        <v>3.93</v>
      </c>
      <c r="R130" s="12">
        <f t="shared" ref="R130:R193" si="15">AVERAGE(K130:O130)</f>
        <v>3.9799999999999995</v>
      </c>
      <c r="S130" s="28">
        <f>IFERROR(INDEX('Clean Gamification Data'!$B:$B,MATCH($B130,'Clean Gamification Data'!$A:$A,0)),"Not Found")</f>
        <v>78.565185360000001</v>
      </c>
      <c r="T130" s="28">
        <f>IFERROR(INDEX('Clean Gamification Data'!$C:$C,MATCH($B130,'Clean Gamification Data'!$A:$A,0)),"Not Found")</f>
        <v>65.116616339999993</v>
      </c>
      <c r="U130" s="28">
        <f>IFERROR(INDEX('Clean Gamification Data'!$D:$D,MATCH($B130,'Clean Gamification Data'!$A:$A,0)),"Not Found")</f>
        <v>76.897090689999999</v>
      </c>
      <c r="V130" s="28">
        <f>IFERROR(INDEX('Clean Gamification Data'!$E:$E,MATCH($B130,'Clean Gamification Data'!$A:$A,0)),"Not Found")</f>
        <v>67.76487693</v>
      </c>
      <c r="W130" s="28">
        <f>IFERROR(INDEX('Clean Gamification Data'!$F:$F,MATCH($B130,'Clean Gamification Data'!$A:$A,0)),"Not Found")</f>
        <v>92.690855209999995</v>
      </c>
      <c r="X130" s="28">
        <f>IFERROR(INDEX('Clean Gamification Data'!$G:$G,MATCH($B130,'Clean Gamification Data'!$A:$A,0)),"Not Found")</f>
        <v>73.429272760000003</v>
      </c>
      <c r="Y130" s="28">
        <f>IFERROR(INDEX('Clean Gamification Data'!$H:$H,MATCH($B130,'Clean Gamification Data'!$A:$A,0)),"Not Found")</f>
        <v>74.597231809999997</v>
      </c>
      <c r="Z130" s="28">
        <f>IFERROR(INDEX('Clean Gamification Data'!$I:$I,MATCH($B130,'Clean Gamification Data'!$A:$A,0)),"Not Found")</f>
        <v>63.813843949999999</v>
      </c>
      <c r="AA130" s="28">
        <f>Table1[[#This Row],[Engagement (Gamification %)]]-Table1[[#This Row],[Engagement (Non-Gamification %)]]</f>
        <v>13.448569020000008</v>
      </c>
      <c r="AB130" s="28">
        <f>Table1[[#This Row],[Motivation (Gamification %)]]-Table1[[#This Row],[Motivation (Non-Gamification %)]]</f>
        <v>9.1322137599999991</v>
      </c>
      <c r="AC130" s="28">
        <f>Table1[[#This Row],[Participation (Gamification %)]]-Table1[[#This Row],[Participation (Non-Gamification %)]]</f>
        <v>19.261582449999992</v>
      </c>
      <c r="AD130" s="28">
        <f>Table1[[#This Row],[Learning Outcomes (Gamification %)]]-Table1[[#This Row],[Learning Outcomes (Non-Gamification %)]]</f>
        <v>10.783387859999998</v>
      </c>
      <c r="AE130" s="44" t="str">
        <f>IF(Table1[[#This Row],[Overall Effectiveness]]&lt;3.9,"Low",IF(Table1[[#This Row],[Overall Effectiveness]]&lt;4.2,"Medium","High"))</f>
        <v>Medium</v>
      </c>
      <c r="AF130" s="30" t="str">
        <f t="shared" ref="AF130:AF193" si="16">CHOOSE(MATCH(MAX(F130:J130),F130:J130,0),"Lectures","Case Studies","Group Projects","Experiments","Online Tutorials")</f>
        <v>Group Projects</v>
      </c>
      <c r="AG130" s="30" t="str">
        <f t="shared" ref="AG130:AG193" si="17">CHOOSE(MATCH(MAX(K130:O130),K130:O130,0),"Lectures","Case Studies","Group Projects","Experiments","Online Tutorials")</f>
        <v>Lectures</v>
      </c>
      <c r="AH130" s="27">
        <f>COUNTIF(Teacher_Master!$D$2:$D$16,AF130)</f>
        <v>3</v>
      </c>
      <c r="AI130" s="30" t="str">
        <f>INDEX(Teacher_Master!$B$2:$B$16,MATCH(AF130,Teacher_Master!$D$2:$D$16,0))</f>
        <v>Dr. Rohan Dutta</v>
      </c>
    </row>
    <row r="131" spans="1:35" ht="14.25" customHeight="1" x14ac:dyDescent="0.3">
      <c r="A131" s="31" t="s">
        <v>276</v>
      </c>
      <c r="B131" s="31" t="s">
        <v>2179</v>
      </c>
      <c r="C131" s="31" t="s">
        <v>2881</v>
      </c>
      <c r="D131" s="12">
        <f t="shared" ca="1" si="12"/>
        <v>27</v>
      </c>
      <c r="E131" s="12" t="str">
        <f ca="1">IF(Table1[[#This Row],[Age]]&lt;=22,"20-22",IF(Table1[[#This Row],[Age]]&lt;=25,"23-25",IF(Table1[[#This Row],[Age]]&lt;=28,"26-28","29-30")))</f>
        <v>26-28</v>
      </c>
      <c r="F131" s="12">
        <v>4.22</v>
      </c>
      <c r="G131" s="12">
        <v>4</v>
      </c>
      <c r="H131" s="12">
        <v>3.61</v>
      </c>
      <c r="I131" s="12">
        <v>3.7</v>
      </c>
      <c r="J131" s="12">
        <v>4.17</v>
      </c>
      <c r="K131" s="12">
        <v>4.08</v>
      </c>
      <c r="L131" s="12">
        <v>4.0999999999999996</v>
      </c>
      <c r="M131" s="12">
        <v>3.75</v>
      </c>
      <c r="N131" s="12" t="s">
        <v>278</v>
      </c>
      <c r="O131" s="12">
        <v>4.33</v>
      </c>
      <c r="P131" s="12">
        <f t="shared" si="13"/>
        <v>3.9399999999999991</v>
      </c>
      <c r="Q131" s="12">
        <f t="shared" si="14"/>
        <v>3.94</v>
      </c>
      <c r="R131" s="12">
        <f t="shared" si="15"/>
        <v>4.0649999999999995</v>
      </c>
      <c r="S131" s="28">
        <f>IFERROR(INDEX('Clean Gamification Data'!$B:$B,MATCH($B131,'Clean Gamification Data'!$A:$A,0)),"Not Found")</f>
        <v>81.235271370000007</v>
      </c>
      <c r="T131" s="28">
        <f>IFERROR(INDEX('Clean Gamification Data'!$C:$C,MATCH($B131,'Clean Gamification Data'!$A:$A,0)),"Not Found")</f>
        <v>60</v>
      </c>
      <c r="U131" s="28">
        <f>IFERROR(INDEX('Clean Gamification Data'!$D:$D,MATCH($B131,'Clean Gamification Data'!$A:$A,0)),"Not Found")</f>
        <v>70</v>
      </c>
      <c r="V131" s="28">
        <f>IFERROR(INDEX('Clean Gamification Data'!$E:$E,MATCH($B131,'Clean Gamification Data'!$A:$A,0)),"Not Found")</f>
        <v>75</v>
      </c>
      <c r="W131" s="28">
        <f>IFERROR(INDEX('Clean Gamification Data'!$F:$F,MATCH($B131,'Clean Gamification Data'!$A:$A,0)),"Not Found")</f>
        <v>86.337643979999996</v>
      </c>
      <c r="X131" s="28">
        <f>IFERROR(INDEX('Clean Gamification Data'!$G:$G,MATCH($B131,'Clean Gamification Data'!$A:$A,0)),"Not Found")</f>
        <v>72.098316030000007</v>
      </c>
      <c r="Y131" s="28">
        <f>IFERROR(INDEX('Clean Gamification Data'!$H:$H,MATCH($B131,'Clean Gamification Data'!$A:$A,0)),"Not Found")</f>
        <v>69.526521310000007</v>
      </c>
      <c r="Z131" s="28">
        <f>IFERROR(INDEX('Clean Gamification Data'!$I:$I,MATCH($B131,'Clean Gamification Data'!$A:$A,0)),"Not Found")</f>
        <v>51.51578997</v>
      </c>
      <c r="AA131" s="28">
        <f>Table1[[#This Row],[Engagement (Gamification %)]]-Table1[[#This Row],[Engagement (Non-Gamification %)]]</f>
        <v>21.235271370000007</v>
      </c>
      <c r="AB131" s="28">
        <f>Table1[[#This Row],[Motivation (Gamification %)]]-Table1[[#This Row],[Motivation (Non-Gamification %)]]</f>
        <v>-5</v>
      </c>
      <c r="AC131" s="28">
        <f>Table1[[#This Row],[Participation (Gamification %)]]-Table1[[#This Row],[Participation (Non-Gamification %)]]</f>
        <v>14.239327949999989</v>
      </c>
      <c r="AD131" s="28">
        <f>Table1[[#This Row],[Learning Outcomes (Gamification %)]]-Table1[[#This Row],[Learning Outcomes (Non-Gamification %)]]</f>
        <v>18.010731340000007</v>
      </c>
      <c r="AE131" s="44" t="str">
        <f>IF(Table1[[#This Row],[Overall Effectiveness]]&lt;3.9,"Low",IF(Table1[[#This Row],[Overall Effectiveness]]&lt;4.2,"Medium","High"))</f>
        <v>Medium</v>
      </c>
      <c r="AF131" s="30" t="str">
        <f t="shared" si="16"/>
        <v>Lectures</v>
      </c>
      <c r="AG131" s="30" t="str">
        <f t="shared" si="17"/>
        <v>Online Tutorials</v>
      </c>
      <c r="AH131" s="27">
        <f>COUNTIF(Teacher_Master!$D$2:$D$16,AF131)</f>
        <v>3</v>
      </c>
      <c r="AI131" s="30" t="str">
        <f>INDEX(Teacher_Master!$B$2:$B$16,MATCH(AF131,Teacher_Master!$D$2:$D$16,0))</f>
        <v>Prof. Vikram Gupta</v>
      </c>
    </row>
    <row r="132" spans="1:35" ht="14.25" customHeight="1" x14ac:dyDescent="0.3">
      <c r="A132" s="31" t="s">
        <v>279</v>
      </c>
      <c r="B132" s="31" t="s">
        <v>280</v>
      </c>
      <c r="C132" s="31" t="s">
        <v>2882</v>
      </c>
      <c r="D132" s="12">
        <f t="shared" ca="1" si="12"/>
        <v>24</v>
      </c>
      <c r="E132" s="12" t="str">
        <f ca="1">IF(Table1[[#This Row],[Age]]&lt;=22,"20-22",IF(Table1[[#This Row],[Age]]&lt;=25,"23-25",IF(Table1[[#This Row],[Age]]&lt;=28,"26-28","29-30")))</f>
        <v>23-25</v>
      </c>
      <c r="F132" s="12">
        <v>3.71</v>
      </c>
      <c r="G132" s="12">
        <v>3.35</v>
      </c>
      <c r="H132" s="12">
        <v>3.67</v>
      </c>
      <c r="I132" s="12">
        <v>4.4400000000000004</v>
      </c>
      <c r="J132" s="12">
        <v>3.7</v>
      </c>
      <c r="K132" s="12">
        <v>3.87</v>
      </c>
      <c r="L132" s="12">
        <v>3.68</v>
      </c>
      <c r="M132" s="12">
        <v>4.33</v>
      </c>
      <c r="N132" s="12">
        <v>4.05</v>
      </c>
      <c r="O132" s="12">
        <v>4.21</v>
      </c>
      <c r="P132" s="12">
        <f t="shared" si="13"/>
        <v>3.774</v>
      </c>
      <c r="Q132" s="12">
        <f t="shared" si="14"/>
        <v>3.77</v>
      </c>
      <c r="R132" s="12">
        <f t="shared" si="15"/>
        <v>4.0280000000000005</v>
      </c>
      <c r="S132" s="28">
        <f>IFERROR(INDEX('Clean Gamification Data'!$B:$B,MATCH($B132,'Clean Gamification Data'!$A:$A,0)),"Not Found")</f>
        <v>85.489238459999996</v>
      </c>
      <c r="T132" s="28">
        <f>IFERROR(INDEX('Clean Gamification Data'!$C:$C,MATCH($B132,'Clean Gamification Data'!$A:$A,0)),"Not Found")</f>
        <v>62.334472650000002</v>
      </c>
      <c r="U132" s="28">
        <f>IFERROR(INDEX('Clean Gamification Data'!$D:$D,MATCH($B132,'Clean Gamification Data'!$A:$A,0)),"Not Found")</f>
        <v>80.819061579999996</v>
      </c>
      <c r="V132" s="28">
        <f>IFERROR(INDEX('Clean Gamification Data'!$E:$E,MATCH($B132,'Clean Gamification Data'!$A:$A,0)),"Not Found")</f>
        <v>66.962604880000001</v>
      </c>
      <c r="W132" s="28">
        <f>IFERROR(INDEX('Clean Gamification Data'!$F:$F,MATCH($B132,'Clean Gamification Data'!$A:$A,0)),"Not Found")</f>
        <v>81.869441449999997</v>
      </c>
      <c r="X132" s="28">
        <f>IFERROR(INDEX('Clean Gamification Data'!$G:$G,MATCH($B132,'Clean Gamification Data'!$A:$A,0)),"Not Found")</f>
        <v>79.286583140000005</v>
      </c>
      <c r="Y132" s="28">
        <f>IFERROR(INDEX('Clean Gamification Data'!$H:$H,MATCH($B132,'Clean Gamification Data'!$A:$A,0)),"Not Found")</f>
        <v>74.627422339999995</v>
      </c>
      <c r="Z132" s="28">
        <f>IFERROR(INDEX('Clean Gamification Data'!$I:$I,MATCH($B132,'Clean Gamification Data'!$A:$A,0)),"Not Found")</f>
        <v>58.102692279999999</v>
      </c>
      <c r="AA132" s="28">
        <f>Table1[[#This Row],[Engagement (Gamification %)]]-Table1[[#This Row],[Engagement (Non-Gamification %)]]</f>
        <v>23.154765809999994</v>
      </c>
      <c r="AB132" s="28">
        <f>Table1[[#This Row],[Motivation (Gamification %)]]-Table1[[#This Row],[Motivation (Non-Gamification %)]]</f>
        <v>13.856456699999995</v>
      </c>
      <c r="AC132" s="28">
        <f>Table1[[#This Row],[Participation (Gamification %)]]-Table1[[#This Row],[Participation (Non-Gamification %)]]</f>
        <v>2.5828583099999918</v>
      </c>
      <c r="AD132" s="28">
        <f>Table1[[#This Row],[Learning Outcomes (Gamification %)]]-Table1[[#This Row],[Learning Outcomes (Non-Gamification %)]]</f>
        <v>16.524730059999996</v>
      </c>
      <c r="AE132" s="44" t="str">
        <f>IF(Table1[[#This Row],[Overall Effectiveness]]&lt;3.9,"Low",IF(Table1[[#This Row],[Overall Effectiveness]]&lt;4.2,"Medium","High"))</f>
        <v>Low</v>
      </c>
      <c r="AF132" s="30" t="str">
        <f t="shared" si="16"/>
        <v>Experiments</v>
      </c>
      <c r="AG132" s="30" t="str">
        <f t="shared" si="17"/>
        <v>Group Projects</v>
      </c>
      <c r="AH132" s="27">
        <f>COUNTIF(Teacher_Master!$D$2:$D$16,AF132)</f>
        <v>3</v>
      </c>
      <c r="AI132" s="30" t="str">
        <f>INDEX(Teacher_Master!$B$2:$B$16,MATCH(AF132,Teacher_Master!$D$2:$D$16,0))</f>
        <v>Prof. Rahul Singh</v>
      </c>
    </row>
    <row r="133" spans="1:35" ht="14.25" customHeight="1" x14ac:dyDescent="0.3">
      <c r="A133" s="31" t="s">
        <v>281</v>
      </c>
      <c r="B133" s="31" t="s">
        <v>2180</v>
      </c>
      <c r="C133" s="31" t="s">
        <v>2882</v>
      </c>
      <c r="D133" s="12">
        <f t="shared" ca="1" si="12"/>
        <v>21</v>
      </c>
      <c r="E133" s="12" t="str">
        <f ca="1">IF(Table1[[#This Row],[Age]]&lt;=22,"20-22",IF(Table1[[#This Row],[Age]]&lt;=25,"23-25",IF(Table1[[#This Row],[Age]]&lt;=28,"26-28","29-30")))</f>
        <v>20-22</v>
      </c>
      <c r="F133" s="12">
        <v>3.35</v>
      </c>
      <c r="G133" s="12">
        <v>3.97</v>
      </c>
      <c r="H133" s="12">
        <v>4.46</v>
      </c>
      <c r="I133" s="12">
        <v>4.42</v>
      </c>
      <c r="J133" s="12">
        <v>3.99</v>
      </c>
      <c r="K133" s="12">
        <v>3.84</v>
      </c>
      <c r="L133" s="12">
        <v>3.67</v>
      </c>
      <c r="M133" s="12">
        <v>3.73</v>
      </c>
      <c r="N133" s="12">
        <v>4.26</v>
      </c>
      <c r="O133" s="12">
        <v>4.05</v>
      </c>
      <c r="P133" s="12">
        <f t="shared" si="13"/>
        <v>4.0380000000000011</v>
      </c>
      <c r="Q133" s="12">
        <f t="shared" si="14"/>
        <v>4.04</v>
      </c>
      <c r="R133" s="12">
        <f t="shared" si="15"/>
        <v>3.91</v>
      </c>
      <c r="S133" s="28">
        <f>IFERROR(INDEX('Clean Gamification Data'!$B:$B,MATCH($B133,'Clean Gamification Data'!$A:$A,0)),"Not Found")</f>
        <v>83.908405400000007</v>
      </c>
      <c r="T133" s="28">
        <f>IFERROR(INDEX('Clean Gamification Data'!$C:$C,MATCH($B133,'Clean Gamification Data'!$A:$A,0)),"Not Found")</f>
        <v>73.382811239999995</v>
      </c>
      <c r="U133" s="28">
        <f>IFERROR(INDEX('Clean Gamification Data'!$D:$D,MATCH($B133,'Clean Gamification Data'!$A:$A,0)),"Not Found")</f>
        <v>79.970282580000003</v>
      </c>
      <c r="V133" s="28">
        <f>IFERROR(INDEX('Clean Gamification Data'!$E:$E,MATCH($B133,'Clean Gamification Data'!$A:$A,0)),"Not Found")</f>
        <v>70.971136979999997</v>
      </c>
      <c r="W133" s="28">
        <f>IFERROR(INDEX('Clean Gamification Data'!$F:$F,MATCH($B133,'Clean Gamification Data'!$A:$A,0)),"Not Found")</f>
        <v>95.664048289999997</v>
      </c>
      <c r="X133" s="28">
        <f>IFERROR(INDEX('Clean Gamification Data'!$G:$G,MATCH($B133,'Clean Gamification Data'!$A:$A,0)),"Not Found")</f>
        <v>83.57676773</v>
      </c>
      <c r="Y133" s="28">
        <f>IFERROR(INDEX('Clean Gamification Data'!$H:$H,MATCH($B133,'Clean Gamification Data'!$A:$A,0)),"Not Found")</f>
        <v>68.81539884</v>
      </c>
      <c r="Z133" s="28">
        <f>IFERROR(INDEX('Clean Gamification Data'!$I:$I,MATCH($B133,'Clean Gamification Data'!$A:$A,0)),"Not Found")</f>
        <v>59.593124060000001</v>
      </c>
      <c r="AA133" s="28">
        <f>Table1[[#This Row],[Engagement (Gamification %)]]-Table1[[#This Row],[Engagement (Non-Gamification %)]]</f>
        <v>10.525594160000011</v>
      </c>
      <c r="AB133" s="28">
        <f>Table1[[#This Row],[Motivation (Gamification %)]]-Table1[[#This Row],[Motivation (Non-Gamification %)]]</f>
        <v>8.9991456000000056</v>
      </c>
      <c r="AC133" s="28">
        <f>Table1[[#This Row],[Participation (Gamification %)]]-Table1[[#This Row],[Participation (Non-Gamification %)]]</f>
        <v>12.087280559999996</v>
      </c>
      <c r="AD133" s="28">
        <f>Table1[[#This Row],[Learning Outcomes (Gamification %)]]-Table1[[#This Row],[Learning Outcomes (Non-Gamification %)]]</f>
        <v>9.2222747799999993</v>
      </c>
      <c r="AE133" s="44" t="str">
        <f>IF(Table1[[#This Row],[Overall Effectiveness]]&lt;3.9,"Low",IF(Table1[[#This Row],[Overall Effectiveness]]&lt;4.2,"Medium","High"))</f>
        <v>Medium</v>
      </c>
      <c r="AF133" s="30" t="str">
        <f t="shared" si="16"/>
        <v>Group Projects</v>
      </c>
      <c r="AG133" s="30" t="str">
        <f t="shared" si="17"/>
        <v>Experiments</v>
      </c>
      <c r="AH133" s="27">
        <f>COUNTIF(Teacher_Master!$D$2:$D$16,AF133)</f>
        <v>3</v>
      </c>
      <c r="AI133" s="30" t="str">
        <f>INDEX(Teacher_Master!$B$2:$B$16,MATCH(AF133,Teacher_Master!$D$2:$D$16,0))</f>
        <v>Dr. Rohan Dutta</v>
      </c>
    </row>
    <row r="134" spans="1:35" ht="14.25" customHeight="1" x14ac:dyDescent="0.3">
      <c r="A134" s="31" t="s">
        <v>283</v>
      </c>
      <c r="B134" s="31" t="s">
        <v>2181</v>
      </c>
      <c r="C134" s="31" t="s">
        <v>2882</v>
      </c>
      <c r="D134" s="12">
        <f t="shared" ca="1" si="12"/>
        <v>21</v>
      </c>
      <c r="E134" s="12" t="str">
        <f ca="1">IF(Table1[[#This Row],[Age]]&lt;=22,"20-22",IF(Table1[[#This Row],[Age]]&lt;=25,"23-25",IF(Table1[[#This Row],[Age]]&lt;=28,"26-28","29-30")))</f>
        <v>20-22</v>
      </c>
      <c r="F134" s="12">
        <v>3.4</v>
      </c>
      <c r="G134" s="12">
        <v>4.25</v>
      </c>
      <c r="H134" s="12">
        <v>3.92</v>
      </c>
      <c r="I134" s="12" t="s">
        <v>211</v>
      </c>
      <c r="J134" s="12">
        <v>3.79</v>
      </c>
      <c r="K134" s="12">
        <v>3.49</v>
      </c>
      <c r="L134" s="12">
        <v>3.92</v>
      </c>
      <c r="M134" s="12">
        <v>4.32</v>
      </c>
      <c r="N134" s="12">
        <v>4.42</v>
      </c>
      <c r="O134" s="12">
        <v>4.21</v>
      </c>
      <c r="P134" s="12">
        <f t="shared" si="13"/>
        <v>3.84</v>
      </c>
      <c r="Q134" s="12">
        <f t="shared" si="14"/>
        <v>3.84</v>
      </c>
      <c r="R134" s="12">
        <f t="shared" si="15"/>
        <v>4.0720000000000001</v>
      </c>
      <c r="S134" s="28">
        <f>IFERROR(INDEX('Clean Gamification Data'!$B:$B,MATCH($B134,'Clean Gamification Data'!$A:$A,0)),"Not Found")</f>
        <v>80.935797320000006</v>
      </c>
      <c r="T134" s="28">
        <f>IFERROR(INDEX('Clean Gamification Data'!$C:$C,MATCH($B134,'Clean Gamification Data'!$A:$A,0)),"Not Found")</f>
        <v>65.618215190000001</v>
      </c>
      <c r="U134" s="28">
        <f>IFERROR(INDEX('Clean Gamification Data'!$D:$D,MATCH($B134,'Clean Gamification Data'!$A:$A,0)),"Not Found")</f>
        <v>90</v>
      </c>
      <c r="V134" s="28">
        <f>IFERROR(INDEX('Clean Gamification Data'!$E:$E,MATCH($B134,'Clean Gamification Data'!$A:$A,0)),"Not Found")</f>
        <v>63.715516620000002</v>
      </c>
      <c r="W134" s="28">
        <f>IFERROR(INDEX('Clean Gamification Data'!$F:$F,MATCH($B134,'Clean Gamification Data'!$A:$A,0)),"Not Found")</f>
        <v>81.66721253</v>
      </c>
      <c r="X134" s="28">
        <f>IFERROR(INDEX('Clean Gamification Data'!$G:$G,MATCH($B134,'Clean Gamification Data'!$A:$A,0)),"Not Found")</f>
        <v>82.925443110000003</v>
      </c>
      <c r="Y134" s="28">
        <f>IFERROR(INDEX('Clean Gamification Data'!$H:$H,MATCH($B134,'Clean Gamification Data'!$A:$A,0)),"Not Found")</f>
        <v>71.117185829999997</v>
      </c>
      <c r="Z134" s="28">
        <f>IFERROR(INDEX('Clean Gamification Data'!$I:$I,MATCH($B134,'Clean Gamification Data'!$A:$A,0)),"Not Found")</f>
        <v>62.126310539999999</v>
      </c>
      <c r="AA134" s="28">
        <f>Table1[[#This Row],[Engagement (Gamification %)]]-Table1[[#This Row],[Engagement (Non-Gamification %)]]</f>
        <v>15.317582130000005</v>
      </c>
      <c r="AB134" s="28">
        <f>Table1[[#This Row],[Motivation (Gamification %)]]-Table1[[#This Row],[Motivation (Non-Gamification %)]]</f>
        <v>26.284483379999998</v>
      </c>
      <c r="AC134" s="28">
        <f>Table1[[#This Row],[Participation (Gamification %)]]-Table1[[#This Row],[Participation (Non-Gamification %)]]</f>
        <v>-1.2582305800000029</v>
      </c>
      <c r="AD134" s="28">
        <f>Table1[[#This Row],[Learning Outcomes (Gamification %)]]-Table1[[#This Row],[Learning Outcomes (Non-Gamification %)]]</f>
        <v>8.9908752899999982</v>
      </c>
      <c r="AE134" s="44" t="str">
        <f>IF(Table1[[#This Row],[Overall Effectiveness]]&lt;3.9,"Low",IF(Table1[[#This Row],[Overall Effectiveness]]&lt;4.2,"Medium","High"))</f>
        <v>Low</v>
      </c>
      <c r="AF134" s="30" t="str">
        <f t="shared" si="16"/>
        <v>Case Studies</v>
      </c>
      <c r="AG134" s="30" t="str">
        <f t="shared" si="17"/>
        <v>Experiments</v>
      </c>
      <c r="AH134" s="27">
        <f>COUNTIF(Teacher_Master!$D$2:$D$16,AF134)</f>
        <v>3</v>
      </c>
      <c r="AI134" s="30" t="str">
        <f>INDEX(Teacher_Master!$B$2:$B$16,MATCH(AF134,Teacher_Master!$D$2:$D$16,0))</f>
        <v>Prof. Rajesh Mukherjee</v>
      </c>
    </row>
    <row r="135" spans="1:35" ht="14.25" customHeight="1" x14ac:dyDescent="0.3">
      <c r="A135" s="31" t="s">
        <v>285</v>
      </c>
      <c r="B135" s="31" t="s">
        <v>286</v>
      </c>
      <c r="C135" s="31" t="s">
        <v>2881</v>
      </c>
      <c r="D135" s="12">
        <f t="shared" ca="1" si="12"/>
        <v>23</v>
      </c>
      <c r="E135" s="12" t="str">
        <f ca="1">IF(Table1[[#This Row],[Age]]&lt;=22,"20-22",IF(Table1[[#This Row],[Age]]&lt;=25,"23-25",IF(Table1[[#This Row],[Age]]&lt;=28,"26-28","29-30")))</f>
        <v>23-25</v>
      </c>
      <c r="F135" s="12">
        <v>3.88</v>
      </c>
      <c r="G135" s="12">
        <v>3.34</v>
      </c>
      <c r="H135" s="12">
        <v>3.68</v>
      </c>
      <c r="I135" s="12">
        <v>3.62</v>
      </c>
      <c r="J135" s="12">
        <v>3.89</v>
      </c>
      <c r="K135" s="12">
        <v>4.04</v>
      </c>
      <c r="L135" s="12">
        <v>4.0999999999999996</v>
      </c>
      <c r="M135" s="12">
        <v>4.22</v>
      </c>
      <c r="N135" s="12" t="s">
        <v>211</v>
      </c>
      <c r="O135" s="12">
        <v>3.98</v>
      </c>
      <c r="P135" s="12">
        <f t="shared" si="13"/>
        <v>3.6819999999999999</v>
      </c>
      <c r="Q135" s="12">
        <f t="shared" si="14"/>
        <v>3.68</v>
      </c>
      <c r="R135" s="12">
        <f t="shared" si="15"/>
        <v>4.085</v>
      </c>
      <c r="S135" s="28">
        <f>IFERROR(INDEX('Clean Gamification Data'!$B:$B,MATCH($B135,'Clean Gamification Data'!$A:$A,0)),"Not Found")</f>
        <v>90.172266250000007</v>
      </c>
      <c r="T135" s="28">
        <f>IFERROR(INDEX('Clean Gamification Data'!$C:$C,MATCH($B135,'Clean Gamification Data'!$A:$A,0)),"Not Found")</f>
        <v>65.009218959999998</v>
      </c>
      <c r="U135" s="28">
        <f>IFERROR(INDEX('Clean Gamification Data'!$D:$D,MATCH($B135,'Clean Gamification Data'!$A:$A,0)),"Not Found")</f>
        <v>82.859036709999998</v>
      </c>
      <c r="V135" s="28">
        <f>IFERROR(INDEX('Clean Gamification Data'!$E:$E,MATCH($B135,'Clean Gamification Data'!$A:$A,0)),"Not Found")</f>
        <v>67.454859299999995</v>
      </c>
      <c r="W135" s="28">
        <f>IFERROR(INDEX('Clean Gamification Data'!$F:$F,MATCH($B135,'Clean Gamification Data'!$A:$A,0)),"Not Found")</f>
        <v>86.233391150000003</v>
      </c>
      <c r="X135" s="28">
        <f>IFERROR(INDEX('Clean Gamification Data'!$G:$G,MATCH($B135,'Clean Gamification Data'!$A:$A,0)),"Not Found")</f>
        <v>80.724685019999995</v>
      </c>
      <c r="Y135" s="28">
        <f>IFERROR(INDEX('Clean Gamification Data'!$H:$H,MATCH($B135,'Clean Gamification Data'!$A:$A,0)),"Not Found")</f>
        <v>74.123948540000001</v>
      </c>
      <c r="Z135" s="28">
        <f>IFERROR(INDEX('Clean Gamification Data'!$I:$I,MATCH($B135,'Clean Gamification Data'!$A:$A,0)),"Not Found")</f>
        <v>70</v>
      </c>
      <c r="AA135" s="28">
        <f>Table1[[#This Row],[Engagement (Gamification %)]]-Table1[[#This Row],[Engagement (Non-Gamification %)]]</f>
        <v>25.163047290000009</v>
      </c>
      <c r="AB135" s="28">
        <f>Table1[[#This Row],[Motivation (Gamification %)]]-Table1[[#This Row],[Motivation (Non-Gamification %)]]</f>
        <v>15.404177410000003</v>
      </c>
      <c r="AC135" s="28">
        <f>Table1[[#This Row],[Participation (Gamification %)]]-Table1[[#This Row],[Participation (Non-Gamification %)]]</f>
        <v>5.5087061300000073</v>
      </c>
      <c r="AD135" s="28">
        <f>Table1[[#This Row],[Learning Outcomes (Gamification %)]]-Table1[[#This Row],[Learning Outcomes (Non-Gamification %)]]</f>
        <v>4.1239485400000007</v>
      </c>
      <c r="AE135" s="44" t="str">
        <f>IF(Table1[[#This Row],[Overall Effectiveness]]&lt;3.9,"Low",IF(Table1[[#This Row],[Overall Effectiveness]]&lt;4.2,"Medium","High"))</f>
        <v>Low</v>
      </c>
      <c r="AF135" s="30" t="str">
        <f t="shared" si="16"/>
        <v>Online Tutorials</v>
      </c>
      <c r="AG135" s="30" t="str">
        <f t="shared" si="17"/>
        <v>Group Projects</v>
      </c>
      <c r="AH135" s="27">
        <f>COUNTIF(Teacher_Master!$D$2:$D$16,AF135)</f>
        <v>3</v>
      </c>
      <c r="AI135" s="30" t="str">
        <f>INDEX(Teacher_Master!$B$2:$B$16,MATCH(AF135,Teacher_Master!$D$2:$D$16,0))</f>
        <v>Prof. Kavita Rao</v>
      </c>
    </row>
    <row r="136" spans="1:35" ht="14.25" customHeight="1" x14ac:dyDescent="0.3">
      <c r="A136" s="31" t="s">
        <v>287</v>
      </c>
      <c r="B136" s="31" t="s">
        <v>2182</v>
      </c>
      <c r="C136" s="31" t="s">
        <v>2882</v>
      </c>
      <c r="D136" s="12">
        <f t="shared" ca="1" si="12"/>
        <v>21</v>
      </c>
      <c r="E136" s="12" t="str">
        <f ca="1">IF(Table1[[#This Row],[Age]]&lt;=22,"20-22",IF(Table1[[#This Row],[Age]]&lt;=25,"23-25",IF(Table1[[#This Row],[Age]]&lt;=28,"26-28","29-30")))</f>
        <v>20-22</v>
      </c>
      <c r="F136" s="12">
        <v>3.16</v>
      </c>
      <c r="G136" s="12">
        <v>4.24</v>
      </c>
      <c r="H136" s="12">
        <v>4.51</v>
      </c>
      <c r="I136" s="12">
        <v>4.53</v>
      </c>
      <c r="J136" s="12">
        <v>4.3499999999999996</v>
      </c>
      <c r="K136" s="12">
        <v>4.18</v>
      </c>
      <c r="L136" s="12">
        <v>3.97</v>
      </c>
      <c r="M136" s="12">
        <v>3.69</v>
      </c>
      <c r="N136" s="12">
        <v>3.77</v>
      </c>
      <c r="O136" s="12">
        <v>4.22</v>
      </c>
      <c r="P136" s="12">
        <f t="shared" si="13"/>
        <v>4.1579999999999995</v>
      </c>
      <c r="Q136" s="12">
        <f t="shared" si="14"/>
        <v>4.16</v>
      </c>
      <c r="R136" s="12">
        <f t="shared" si="15"/>
        <v>3.9659999999999997</v>
      </c>
      <c r="S136" s="28">
        <f>IFERROR(INDEX('Clean Gamification Data'!$B:$B,MATCH($B136,'Clean Gamification Data'!$A:$A,0)),"Not Found")</f>
        <v>93.131461020000003</v>
      </c>
      <c r="T136" s="28">
        <f>IFERROR(INDEX('Clean Gamification Data'!$C:$C,MATCH($B136,'Clean Gamification Data'!$A:$A,0)),"Not Found")</f>
        <v>73.457842729999996</v>
      </c>
      <c r="U136" s="28">
        <f>IFERROR(INDEX('Clean Gamification Data'!$D:$D,MATCH($B136,'Clean Gamification Data'!$A:$A,0)),"Not Found")</f>
        <v>70</v>
      </c>
      <c r="V136" s="28">
        <f>IFERROR(INDEX('Clean Gamification Data'!$E:$E,MATCH($B136,'Clean Gamification Data'!$A:$A,0)),"Not Found")</f>
        <v>69.262207250000003</v>
      </c>
      <c r="W136" s="28">
        <f>IFERROR(INDEX('Clean Gamification Data'!$F:$F,MATCH($B136,'Clean Gamification Data'!$A:$A,0)),"Not Found")</f>
        <v>91.383665590000007</v>
      </c>
      <c r="X136" s="28">
        <f>IFERROR(INDEX('Clean Gamification Data'!$G:$G,MATCH($B136,'Clean Gamification Data'!$A:$A,0)),"Not Found")</f>
        <v>78.178579869999993</v>
      </c>
      <c r="Y136" s="28">
        <f>IFERROR(INDEX('Clean Gamification Data'!$H:$H,MATCH($B136,'Clean Gamification Data'!$A:$A,0)),"Not Found")</f>
        <v>69.309953579999998</v>
      </c>
      <c r="Z136" s="28">
        <f>IFERROR(INDEX('Clean Gamification Data'!$I:$I,MATCH($B136,'Clean Gamification Data'!$A:$A,0)),"Not Found")</f>
        <v>54.644854420000001</v>
      </c>
      <c r="AA136" s="28">
        <f>Table1[[#This Row],[Engagement (Gamification %)]]-Table1[[#This Row],[Engagement (Non-Gamification %)]]</f>
        <v>19.673618290000007</v>
      </c>
      <c r="AB136" s="28">
        <f>Table1[[#This Row],[Motivation (Gamification %)]]-Table1[[#This Row],[Motivation (Non-Gamification %)]]</f>
        <v>0.737792749999997</v>
      </c>
      <c r="AC136" s="28">
        <f>Table1[[#This Row],[Participation (Gamification %)]]-Table1[[#This Row],[Participation (Non-Gamification %)]]</f>
        <v>13.205085720000014</v>
      </c>
      <c r="AD136" s="28">
        <f>Table1[[#This Row],[Learning Outcomes (Gamification %)]]-Table1[[#This Row],[Learning Outcomes (Non-Gamification %)]]</f>
        <v>14.665099159999997</v>
      </c>
      <c r="AE136" s="44" t="str">
        <f>IF(Table1[[#This Row],[Overall Effectiveness]]&lt;3.9,"Low",IF(Table1[[#This Row],[Overall Effectiveness]]&lt;4.2,"Medium","High"))</f>
        <v>Medium</v>
      </c>
      <c r="AF136" s="30" t="str">
        <f t="shared" si="16"/>
        <v>Experiments</v>
      </c>
      <c r="AG136" s="30" t="str">
        <f t="shared" si="17"/>
        <v>Online Tutorials</v>
      </c>
      <c r="AH136" s="27">
        <f>COUNTIF(Teacher_Master!$D$2:$D$16,AF136)</f>
        <v>3</v>
      </c>
      <c r="AI136" s="30" t="str">
        <f>INDEX(Teacher_Master!$B$2:$B$16,MATCH(AF136,Teacher_Master!$D$2:$D$16,0))</f>
        <v>Prof. Rahul Singh</v>
      </c>
    </row>
    <row r="137" spans="1:35" ht="14.25" customHeight="1" x14ac:dyDescent="0.3">
      <c r="A137" s="31" t="s">
        <v>289</v>
      </c>
      <c r="B137" s="31" t="s">
        <v>2183</v>
      </c>
      <c r="C137" s="31" t="s">
        <v>2882</v>
      </c>
      <c r="D137" s="12">
        <f t="shared" ca="1" si="12"/>
        <v>28</v>
      </c>
      <c r="E137" s="12" t="str">
        <f ca="1">IF(Table1[[#This Row],[Age]]&lt;=22,"20-22",IF(Table1[[#This Row],[Age]]&lt;=25,"23-25",IF(Table1[[#This Row],[Age]]&lt;=28,"26-28","29-30")))</f>
        <v>26-28</v>
      </c>
      <c r="F137" s="12">
        <v>4.25</v>
      </c>
      <c r="G137" s="12">
        <v>4.25</v>
      </c>
      <c r="H137" s="12">
        <v>4.37</v>
      </c>
      <c r="I137" s="12">
        <v>4.21</v>
      </c>
      <c r="J137" s="12">
        <v>3.88</v>
      </c>
      <c r="K137" s="12">
        <v>4.03</v>
      </c>
      <c r="L137" s="12">
        <v>4.24</v>
      </c>
      <c r="M137" s="12">
        <v>3.69</v>
      </c>
      <c r="N137" s="12">
        <v>3.58</v>
      </c>
      <c r="O137" s="12">
        <v>3.76</v>
      </c>
      <c r="P137" s="12">
        <f t="shared" si="13"/>
        <v>4.1920000000000002</v>
      </c>
      <c r="Q137" s="12">
        <f t="shared" si="14"/>
        <v>4.1900000000000004</v>
      </c>
      <c r="R137" s="12">
        <f t="shared" si="15"/>
        <v>3.8599999999999994</v>
      </c>
      <c r="S137" s="28">
        <f>IFERROR(INDEX('Clean Gamification Data'!$B:$B,MATCH($B137,'Clean Gamification Data'!$A:$A,0)),"Not Found")</f>
        <v>82.269599650000004</v>
      </c>
      <c r="T137" s="28">
        <f>IFERROR(INDEX('Clean Gamification Data'!$C:$C,MATCH($B137,'Clean Gamification Data'!$A:$A,0)),"Not Found")</f>
        <v>67.848530449999998</v>
      </c>
      <c r="U137" s="28">
        <f>IFERROR(INDEX('Clean Gamification Data'!$D:$D,MATCH($B137,'Clean Gamification Data'!$A:$A,0)),"Not Found")</f>
        <v>80.438034029999997</v>
      </c>
      <c r="V137" s="28">
        <f>IFERROR(INDEX('Clean Gamification Data'!$E:$E,MATCH($B137,'Clean Gamification Data'!$A:$A,0)),"Not Found")</f>
        <v>64.755455339999997</v>
      </c>
      <c r="W137" s="28">
        <f>IFERROR(INDEX('Clean Gamification Data'!$F:$F,MATCH($B137,'Clean Gamification Data'!$A:$A,0)),"Not Found")</f>
        <v>98.566274070000006</v>
      </c>
      <c r="X137" s="28">
        <f>IFERROR(INDEX('Clean Gamification Data'!$G:$G,MATCH($B137,'Clean Gamification Data'!$A:$A,0)),"Not Found")</f>
        <v>81.23645046</v>
      </c>
      <c r="Y137" s="28">
        <f>IFERROR(INDEX('Clean Gamification Data'!$H:$H,MATCH($B137,'Clean Gamification Data'!$A:$A,0)),"Not Found")</f>
        <v>75.898684410000001</v>
      </c>
      <c r="Z137" s="28">
        <f>IFERROR(INDEX('Clean Gamification Data'!$I:$I,MATCH($B137,'Clean Gamification Data'!$A:$A,0)),"Not Found")</f>
        <v>64.644825109999999</v>
      </c>
      <c r="AA137" s="28">
        <f>Table1[[#This Row],[Engagement (Gamification %)]]-Table1[[#This Row],[Engagement (Non-Gamification %)]]</f>
        <v>14.421069200000005</v>
      </c>
      <c r="AB137" s="28">
        <f>Table1[[#This Row],[Motivation (Gamification %)]]-Table1[[#This Row],[Motivation (Non-Gamification %)]]</f>
        <v>15.68257869</v>
      </c>
      <c r="AC137" s="28">
        <f>Table1[[#This Row],[Participation (Gamification %)]]-Table1[[#This Row],[Participation (Non-Gamification %)]]</f>
        <v>17.329823610000005</v>
      </c>
      <c r="AD137" s="28">
        <f>Table1[[#This Row],[Learning Outcomes (Gamification %)]]-Table1[[#This Row],[Learning Outcomes (Non-Gamification %)]]</f>
        <v>11.253859300000002</v>
      </c>
      <c r="AE137" s="44" t="str">
        <f>IF(Table1[[#This Row],[Overall Effectiveness]]&lt;3.9,"Low",IF(Table1[[#This Row],[Overall Effectiveness]]&lt;4.2,"Medium","High"))</f>
        <v>Medium</v>
      </c>
      <c r="AF137" s="30" t="str">
        <f t="shared" si="16"/>
        <v>Group Projects</v>
      </c>
      <c r="AG137" s="30" t="str">
        <f t="shared" si="17"/>
        <v>Case Studies</v>
      </c>
      <c r="AH137" s="27">
        <f>COUNTIF(Teacher_Master!$D$2:$D$16,AF137)</f>
        <v>3</v>
      </c>
      <c r="AI137" s="30" t="str">
        <f>INDEX(Teacher_Master!$B$2:$B$16,MATCH(AF137,Teacher_Master!$D$2:$D$16,0))</f>
        <v>Dr. Rohan Dutta</v>
      </c>
    </row>
    <row r="138" spans="1:35" ht="14.25" customHeight="1" x14ac:dyDescent="0.3">
      <c r="A138" s="31" t="s">
        <v>291</v>
      </c>
      <c r="B138" s="31" t="s">
        <v>2184</v>
      </c>
      <c r="C138" s="31" t="s">
        <v>2881</v>
      </c>
      <c r="D138" s="12">
        <f t="shared" ca="1" si="12"/>
        <v>20</v>
      </c>
      <c r="E138" s="12" t="str">
        <f ca="1">IF(Table1[[#This Row],[Age]]&lt;=22,"20-22",IF(Table1[[#This Row],[Age]]&lt;=25,"23-25",IF(Table1[[#This Row],[Age]]&lt;=28,"26-28","29-30")))</f>
        <v>20-22</v>
      </c>
      <c r="F138" s="12">
        <v>3.41</v>
      </c>
      <c r="G138" s="12">
        <v>4.04</v>
      </c>
      <c r="H138" s="12">
        <v>4.24</v>
      </c>
      <c r="I138" s="12">
        <v>3.71</v>
      </c>
      <c r="J138" s="12">
        <v>3.99</v>
      </c>
      <c r="K138" s="12">
        <v>4.2300000000000004</v>
      </c>
      <c r="L138" s="12">
        <v>4.26</v>
      </c>
      <c r="M138" s="12">
        <v>3.96</v>
      </c>
      <c r="N138" s="12">
        <v>4.42</v>
      </c>
      <c r="O138" s="12">
        <v>3.92</v>
      </c>
      <c r="P138" s="12">
        <f t="shared" si="13"/>
        <v>3.8780000000000001</v>
      </c>
      <c r="Q138" s="12">
        <f t="shared" si="14"/>
        <v>3.88</v>
      </c>
      <c r="R138" s="12">
        <f t="shared" si="15"/>
        <v>4.1579999999999995</v>
      </c>
      <c r="S138" s="28">
        <f>IFERROR(INDEX('Clean Gamification Data'!$B:$B,MATCH($B138,'Clean Gamification Data'!$A:$A,0)),"Not Found")</f>
        <v>84.856100299999994</v>
      </c>
      <c r="T138" s="28">
        <f>IFERROR(INDEX('Clean Gamification Data'!$C:$C,MATCH($B138,'Clean Gamification Data'!$A:$A,0)),"Not Found")</f>
        <v>61.275485320000001</v>
      </c>
      <c r="U138" s="28">
        <f>IFERROR(INDEX('Clean Gamification Data'!$D:$D,MATCH($B138,'Clean Gamification Data'!$A:$A,0)),"Not Found")</f>
        <v>81.752542969999993</v>
      </c>
      <c r="V138" s="28">
        <f>IFERROR(INDEX('Clean Gamification Data'!$E:$E,MATCH($B138,'Clean Gamification Data'!$A:$A,0)),"Not Found")</f>
        <v>70.288108980000004</v>
      </c>
      <c r="W138" s="28">
        <f>IFERROR(INDEX('Clean Gamification Data'!$F:$F,MATCH($B138,'Clean Gamification Data'!$A:$A,0)),"Not Found")</f>
        <v>89.668311779999996</v>
      </c>
      <c r="X138" s="28">
        <f>IFERROR(INDEX('Clean Gamification Data'!$G:$G,MATCH($B138,'Clean Gamification Data'!$A:$A,0)),"Not Found")</f>
        <v>77.915398940000003</v>
      </c>
      <c r="Y138" s="28">
        <f>IFERROR(INDEX('Clean Gamification Data'!$H:$H,MATCH($B138,'Clean Gamification Data'!$A:$A,0)),"Not Found")</f>
        <v>73.507412000000002</v>
      </c>
      <c r="Z138" s="28">
        <f>IFERROR(INDEX('Clean Gamification Data'!$I:$I,MATCH($B138,'Clean Gamification Data'!$A:$A,0)),"Not Found")</f>
        <v>62.73240328</v>
      </c>
      <c r="AA138" s="28">
        <f>Table1[[#This Row],[Engagement (Gamification %)]]-Table1[[#This Row],[Engagement (Non-Gamification %)]]</f>
        <v>23.580614979999993</v>
      </c>
      <c r="AB138" s="28">
        <f>Table1[[#This Row],[Motivation (Gamification %)]]-Table1[[#This Row],[Motivation (Non-Gamification %)]]</f>
        <v>11.464433989999989</v>
      </c>
      <c r="AC138" s="28">
        <f>Table1[[#This Row],[Participation (Gamification %)]]-Table1[[#This Row],[Participation (Non-Gamification %)]]</f>
        <v>11.752912839999993</v>
      </c>
      <c r="AD138" s="28">
        <f>Table1[[#This Row],[Learning Outcomes (Gamification %)]]-Table1[[#This Row],[Learning Outcomes (Non-Gamification %)]]</f>
        <v>10.775008720000002</v>
      </c>
      <c r="AE138" s="44" t="str">
        <f>IF(Table1[[#This Row],[Overall Effectiveness]]&lt;3.9,"Low",IF(Table1[[#This Row],[Overall Effectiveness]]&lt;4.2,"Medium","High"))</f>
        <v>Low</v>
      </c>
      <c r="AF138" s="30" t="str">
        <f t="shared" si="16"/>
        <v>Group Projects</v>
      </c>
      <c r="AG138" s="30" t="str">
        <f t="shared" si="17"/>
        <v>Experiments</v>
      </c>
      <c r="AH138" s="27">
        <f>COUNTIF(Teacher_Master!$D$2:$D$16,AF138)</f>
        <v>3</v>
      </c>
      <c r="AI138" s="30" t="str">
        <f>INDEX(Teacher_Master!$B$2:$B$16,MATCH(AF138,Teacher_Master!$D$2:$D$16,0))</f>
        <v>Dr. Rohan Dutta</v>
      </c>
    </row>
    <row r="139" spans="1:35" ht="14.25" customHeight="1" x14ac:dyDescent="0.3">
      <c r="A139" s="31" t="s">
        <v>293</v>
      </c>
      <c r="B139" s="31" t="s">
        <v>2185</v>
      </c>
      <c r="C139" s="31" t="s">
        <v>2881</v>
      </c>
      <c r="D139" s="12">
        <f t="shared" ca="1" si="12"/>
        <v>26</v>
      </c>
      <c r="E139" s="12" t="str">
        <f ca="1">IF(Table1[[#This Row],[Age]]&lt;=22,"20-22",IF(Table1[[#This Row],[Age]]&lt;=25,"23-25",IF(Table1[[#This Row],[Age]]&lt;=28,"26-28","29-30")))</f>
        <v>26-28</v>
      </c>
      <c r="F139" s="12">
        <v>4.05</v>
      </c>
      <c r="G139" s="12">
        <v>4.5</v>
      </c>
      <c r="H139" s="12">
        <v>3.89</v>
      </c>
      <c r="I139" s="12">
        <v>4</v>
      </c>
      <c r="J139" s="12">
        <v>3.92</v>
      </c>
      <c r="K139" s="12">
        <v>4.42</v>
      </c>
      <c r="L139" s="12">
        <v>3.86</v>
      </c>
      <c r="M139" s="12">
        <v>4.05</v>
      </c>
      <c r="N139" s="12">
        <v>4.22</v>
      </c>
      <c r="O139" s="12">
        <v>3.98</v>
      </c>
      <c r="P139" s="12">
        <f t="shared" si="13"/>
        <v>4.0720000000000001</v>
      </c>
      <c r="Q139" s="12">
        <f t="shared" si="14"/>
        <v>4.07</v>
      </c>
      <c r="R139" s="12">
        <f t="shared" si="15"/>
        <v>4.1059999999999999</v>
      </c>
      <c r="S139" s="28">
        <f>IFERROR(INDEX('Clean Gamification Data'!$B:$B,MATCH($B139,'Clean Gamification Data'!$A:$A,0)),"Not Found")</f>
        <v>80.305808839999997</v>
      </c>
      <c r="T139" s="28">
        <f>IFERROR(INDEX('Clean Gamification Data'!$C:$C,MATCH($B139,'Clean Gamification Data'!$A:$A,0)),"Not Found")</f>
        <v>71.289224570000002</v>
      </c>
      <c r="U139" s="28">
        <f>IFERROR(INDEX('Clean Gamification Data'!$D:$D,MATCH($B139,'Clean Gamification Data'!$A:$A,0)),"Not Found")</f>
        <v>74.345784969999997</v>
      </c>
      <c r="V139" s="28">
        <f>IFERROR(INDEX('Clean Gamification Data'!$E:$E,MATCH($B139,'Clean Gamification Data'!$A:$A,0)),"Not Found")</f>
        <v>62.418456169999999</v>
      </c>
      <c r="W139" s="28">
        <f>IFERROR(INDEX('Clean Gamification Data'!$F:$F,MATCH($B139,'Clean Gamification Data'!$A:$A,0)),"Not Found")</f>
        <v>87.649681169999994</v>
      </c>
      <c r="X139" s="28">
        <f>IFERROR(INDEX('Clean Gamification Data'!$G:$G,MATCH($B139,'Clean Gamification Data'!$A:$A,0)),"Not Found")</f>
        <v>83.470184880000005</v>
      </c>
      <c r="Y139" s="28">
        <f>IFERROR(INDEX('Clean Gamification Data'!$H:$H,MATCH($B139,'Clean Gamification Data'!$A:$A,0)),"Not Found")</f>
        <v>74.551782299999999</v>
      </c>
      <c r="Z139" s="28">
        <f>IFERROR(INDEX('Clean Gamification Data'!$I:$I,MATCH($B139,'Clean Gamification Data'!$A:$A,0)),"Not Found")</f>
        <v>55.780609609999999</v>
      </c>
      <c r="AA139" s="28">
        <f>Table1[[#This Row],[Engagement (Gamification %)]]-Table1[[#This Row],[Engagement (Non-Gamification %)]]</f>
        <v>9.0165842699999956</v>
      </c>
      <c r="AB139" s="28">
        <f>Table1[[#This Row],[Motivation (Gamification %)]]-Table1[[#This Row],[Motivation (Non-Gamification %)]]</f>
        <v>11.927328799999998</v>
      </c>
      <c r="AC139" s="28">
        <f>Table1[[#This Row],[Participation (Gamification %)]]-Table1[[#This Row],[Participation (Non-Gamification %)]]</f>
        <v>4.1794962899999888</v>
      </c>
      <c r="AD139" s="28">
        <f>Table1[[#This Row],[Learning Outcomes (Gamification %)]]-Table1[[#This Row],[Learning Outcomes (Non-Gamification %)]]</f>
        <v>18.77117269</v>
      </c>
      <c r="AE139" s="44" t="str">
        <f>IF(Table1[[#This Row],[Overall Effectiveness]]&lt;3.9,"Low",IF(Table1[[#This Row],[Overall Effectiveness]]&lt;4.2,"Medium","High"))</f>
        <v>Medium</v>
      </c>
      <c r="AF139" s="30" t="str">
        <f t="shared" si="16"/>
        <v>Case Studies</v>
      </c>
      <c r="AG139" s="30" t="str">
        <f t="shared" si="17"/>
        <v>Lectures</v>
      </c>
      <c r="AH139" s="27">
        <f>COUNTIF(Teacher_Master!$D$2:$D$16,AF139)</f>
        <v>3</v>
      </c>
      <c r="AI139" s="30" t="str">
        <f>INDEX(Teacher_Master!$B$2:$B$16,MATCH(AF139,Teacher_Master!$D$2:$D$16,0))</f>
        <v>Prof. Rajesh Mukherjee</v>
      </c>
    </row>
    <row r="140" spans="1:35" ht="14.25" customHeight="1" x14ac:dyDescent="0.3">
      <c r="A140" s="31" t="s">
        <v>295</v>
      </c>
      <c r="B140" s="31" t="s">
        <v>296</v>
      </c>
      <c r="C140" s="31" t="s">
        <v>2881</v>
      </c>
      <c r="D140" s="12">
        <f t="shared" ca="1" si="12"/>
        <v>23</v>
      </c>
      <c r="E140" s="12" t="str">
        <f ca="1">IF(Table1[[#This Row],[Age]]&lt;=22,"20-22",IF(Table1[[#This Row],[Age]]&lt;=25,"23-25",IF(Table1[[#This Row],[Age]]&lt;=28,"26-28","29-30")))</f>
        <v>23-25</v>
      </c>
      <c r="F140" s="12">
        <v>4.28</v>
      </c>
      <c r="G140" s="12">
        <v>3.71</v>
      </c>
      <c r="H140" s="12">
        <v>4.08</v>
      </c>
      <c r="I140" s="12">
        <v>3.98</v>
      </c>
      <c r="J140" s="12">
        <v>4.49</v>
      </c>
      <c r="K140" s="12">
        <v>4.18</v>
      </c>
      <c r="L140" s="12">
        <v>3.64</v>
      </c>
      <c r="M140" s="12">
        <v>3.83</v>
      </c>
      <c r="N140" s="12">
        <v>4.09</v>
      </c>
      <c r="O140" s="12">
        <v>3.72</v>
      </c>
      <c r="P140" s="12">
        <f t="shared" si="13"/>
        <v>4.1079999999999997</v>
      </c>
      <c r="Q140" s="12">
        <f t="shared" si="14"/>
        <v>4.1100000000000003</v>
      </c>
      <c r="R140" s="12">
        <f t="shared" si="15"/>
        <v>3.8920000000000003</v>
      </c>
      <c r="S140" s="28">
        <f>IFERROR(INDEX('Clean Gamification Data'!$B:$B,MATCH($B140,'Clean Gamification Data'!$A:$A,0)),"Not Found")</f>
        <v>86.30689898</v>
      </c>
      <c r="T140" s="28">
        <f>IFERROR(INDEX('Clean Gamification Data'!$C:$C,MATCH($B140,'Clean Gamification Data'!$A:$A,0)),"Not Found")</f>
        <v>74.824071410000002</v>
      </c>
      <c r="U140" s="28">
        <f>IFERROR(INDEX('Clean Gamification Data'!$D:$D,MATCH($B140,'Clean Gamification Data'!$A:$A,0)),"Not Found")</f>
        <v>85.650518840000004</v>
      </c>
      <c r="V140" s="28">
        <f>IFERROR(INDEX('Clean Gamification Data'!$E:$E,MATCH($B140,'Clean Gamification Data'!$A:$A,0)),"Not Found")</f>
        <v>64.582053340000002</v>
      </c>
      <c r="W140" s="28">
        <f>IFERROR(INDEX('Clean Gamification Data'!$F:$F,MATCH($B140,'Clean Gamification Data'!$A:$A,0)),"Not Found")</f>
        <v>84.93946219</v>
      </c>
      <c r="X140" s="28">
        <f>IFERROR(INDEX('Clean Gamification Data'!$G:$G,MATCH($B140,'Clean Gamification Data'!$A:$A,0)),"Not Found")</f>
        <v>77.46506814</v>
      </c>
      <c r="Y140" s="28">
        <f>IFERROR(INDEX('Clean Gamification Data'!$H:$H,MATCH($B140,'Clean Gamification Data'!$A:$A,0)),"Not Found")</f>
        <v>67.243083380000002</v>
      </c>
      <c r="Z140" s="28">
        <f>IFERROR(INDEX('Clean Gamification Data'!$I:$I,MATCH($B140,'Clean Gamification Data'!$A:$A,0)),"Not Found")</f>
        <v>69.1765659</v>
      </c>
      <c r="AA140" s="28">
        <f>Table1[[#This Row],[Engagement (Gamification %)]]-Table1[[#This Row],[Engagement (Non-Gamification %)]]</f>
        <v>11.482827569999998</v>
      </c>
      <c r="AB140" s="28">
        <f>Table1[[#This Row],[Motivation (Gamification %)]]-Table1[[#This Row],[Motivation (Non-Gamification %)]]</f>
        <v>21.068465500000002</v>
      </c>
      <c r="AC140" s="28">
        <f>Table1[[#This Row],[Participation (Gamification %)]]-Table1[[#This Row],[Participation (Non-Gamification %)]]</f>
        <v>7.4743940500000008</v>
      </c>
      <c r="AD140" s="28">
        <f>Table1[[#This Row],[Learning Outcomes (Gamification %)]]-Table1[[#This Row],[Learning Outcomes (Non-Gamification %)]]</f>
        <v>-1.9334825199999983</v>
      </c>
      <c r="AE140" s="44" t="str">
        <f>IF(Table1[[#This Row],[Overall Effectiveness]]&lt;3.9,"Low",IF(Table1[[#This Row],[Overall Effectiveness]]&lt;4.2,"Medium","High"))</f>
        <v>Medium</v>
      </c>
      <c r="AF140" s="30" t="str">
        <f t="shared" si="16"/>
        <v>Online Tutorials</v>
      </c>
      <c r="AG140" s="30" t="str">
        <f t="shared" si="17"/>
        <v>Lectures</v>
      </c>
      <c r="AH140" s="27">
        <f>COUNTIF(Teacher_Master!$D$2:$D$16,AF140)</f>
        <v>3</v>
      </c>
      <c r="AI140" s="30" t="str">
        <f>INDEX(Teacher_Master!$B$2:$B$16,MATCH(AF140,Teacher_Master!$D$2:$D$16,0))</f>
        <v>Prof. Kavita Rao</v>
      </c>
    </row>
    <row r="141" spans="1:35" ht="14.25" customHeight="1" x14ac:dyDescent="0.3">
      <c r="A141" s="31" t="s">
        <v>297</v>
      </c>
      <c r="B141" s="31" t="s">
        <v>298</v>
      </c>
      <c r="C141" s="31" t="s">
        <v>2881</v>
      </c>
      <c r="D141" s="12">
        <f t="shared" ca="1" si="12"/>
        <v>24</v>
      </c>
      <c r="E141" s="12" t="str">
        <f ca="1">IF(Table1[[#This Row],[Age]]&lt;=22,"20-22",IF(Table1[[#This Row],[Age]]&lt;=25,"23-25",IF(Table1[[#This Row],[Age]]&lt;=28,"26-28","29-30")))</f>
        <v>23-25</v>
      </c>
      <c r="F141" s="12">
        <v>4.3600000000000003</v>
      </c>
      <c r="G141" s="12">
        <v>3.79</v>
      </c>
      <c r="H141" s="12">
        <v>3.88</v>
      </c>
      <c r="I141" s="12">
        <v>3.84</v>
      </c>
      <c r="J141" s="12">
        <v>4.07</v>
      </c>
      <c r="K141" s="12">
        <v>4.63</v>
      </c>
      <c r="L141" s="12">
        <v>3.76</v>
      </c>
      <c r="M141" s="12">
        <v>4.25</v>
      </c>
      <c r="N141" s="12">
        <v>3.98</v>
      </c>
      <c r="O141" s="12">
        <v>3.88</v>
      </c>
      <c r="P141" s="12">
        <f t="shared" si="13"/>
        <v>3.9880000000000004</v>
      </c>
      <c r="Q141" s="12">
        <f t="shared" si="14"/>
        <v>3.99</v>
      </c>
      <c r="R141" s="12">
        <f t="shared" si="15"/>
        <v>4.0999999999999996</v>
      </c>
      <c r="S141" s="28">
        <f>IFERROR(INDEX('Clean Gamification Data'!$B:$B,MATCH($B141,'Clean Gamification Data'!$A:$A,0)),"Not Found")</f>
        <v>94.427836659999997</v>
      </c>
      <c r="T141" s="28">
        <f>IFERROR(INDEX('Clean Gamification Data'!$C:$C,MATCH($B141,'Clean Gamification Data'!$A:$A,0)),"Not Found")</f>
        <v>67.323771350000001</v>
      </c>
      <c r="U141" s="28">
        <f>IFERROR(INDEX('Clean Gamification Data'!$D:$D,MATCH($B141,'Clean Gamification Data'!$A:$A,0)),"Not Found")</f>
        <v>79.981106949999997</v>
      </c>
      <c r="V141" s="28">
        <f>IFERROR(INDEX('Clean Gamification Data'!$E:$E,MATCH($B141,'Clean Gamification Data'!$A:$A,0)),"Not Found")</f>
        <v>69.614550690000002</v>
      </c>
      <c r="W141" s="28">
        <f>IFERROR(INDEX('Clean Gamification Data'!$F:$F,MATCH($B141,'Clean Gamification Data'!$A:$A,0)),"Not Found")</f>
        <v>97.507492360000001</v>
      </c>
      <c r="X141" s="28">
        <f>IFERROR(INDEX('Clean Gamification Data'!$G:$G,MATCH($B141,'Clean Gamification Data'!$A:$A,0)),"Not Found")</f>
        <v>80.70020753</v>
      </c>
      <c r="Y141" s="28">
        <f>IFERROR(INDEX('Clean Gamification Data'!$H:$H,MATCH($B141,'Clean Gamification Data'!$A:$A,0)),"Not Found")</f>
        <v>71.905789130000002</v>
      </c>
      <c r="Z141" s="28">
        <f>IFERROR(INDEX('Clean Gamification Data'!$I:$I,MATCH($B141,'Clean Gamification Data'!$A:$A,0)),"Not Found")</f>
        <v>59.053070339999998</v>
      </c>
      <c r="AA141" s="28">
        <f>Table1[[#This Row],[Engagement (Gamification %)]]-Table1[[#This Row],[Engagement (Non-Gamification %)]]</f>
        <v>27.104065309999996</v>
      </c>
      <c r="AB141" s="28">
        <f>Table1[[#This Row],[Motivation (Gamification %)]]-Table1[[#This Row],[Motivation (Non-Gamification %)]]</f>
        <v>10.366556259999996</v>
      </c>
      <c r="AC141" s="28">
        <f>Table1[[#This Row],[Participation (Gamification %)]]-Table1[[#This Row],[Participation (Non-Gamification %)]]</f>
        <v>16.80728483</v>
      </c>
      <c r="AD141" s="28">
        <f>Table1[[#This Row],[Learning Outcomes (Gamification %)]]-Table1[[#This Row],[Learning Outcomes (Non-Gamification %)]]</f>
        <v>12.852718790000004</v>
      </c>
      <c r="AE141" s="44" t="str">
        <f>IF(Table1[[#This Row],[Overall Effectiveness]]&lt;3.9,"Low",IF(Table1[[#This Row],[Overall Effectiveness]]&lt;4.2,"Medium","High"))</f>
        <v>Medium</v>
      </c>
      <c r="AF141" s="30" t="str">
        <f t="shared" si="16"/>
        <v>Lectures</v>
      </c>
      <c r="AG141" s="30" t="str">
        <f t="shared" si="17"/>
        <v>Lectures</v>
      </c>
      <c r="AH141" s="27">
        <f>COUNTIF(Teacher_Master!$D$2:$D$16,AF141)</f>
        <v>3</v>
      </c>
      <c r="AI141" s="30" t="str">
        <f>INDEX(Teacher_Master!$B$2:$B$16,MATCH(AF141,Teacher_Master!$D$2:$D$16,0))</f>
        <v>Prof. Vikram Gupta</v>
      </c>
    </row>
    <row r="142" spans="1:35" ht="14.25" customHeight="1" x14ac:dyDescent="0.3">
      <c r="A142" s="31" t="s">
        <v>299</v>
      </c>
      <c r="B142" s="31" t="s">
        <v>300</v>
      </c>
      <c r="C142" s="31" t="s">
        <v>2882</v>
      </c>
      <c r="D142" s="12">
        <f t="shared" ca="1" si="12"/>
        <v>28</v>
      </c>
      <c r="E142" s="12" t="str">
        <f ca="1">IF(Table1[[#This Row],[Age]]&lt;=22,"20-22",IF(Table1[[#This Row],[Age]]&lt;=25,"23-25",IF(Table1[[#This Row],[Age]]&lt;=28,"26-28","29-30")))</f>
        <v>26-28</v>
      </c>
      <c r="F142" s="12">
        <v>3.77</v>
      </c>
      <c r="G142" s="12">
        <v>4.1100000000000003</v>
      </c>
      <c r="H142" s="12">
        <v>4.4400000000000004</v>
      </c>
      <c r="I142" s="12">
        <v>4.55</v>
      </c>
      <c r="J142" s="12">
        <v>3.65</v>
      </c>
      <c r="K142" s="12">
        <v>4.91</v>
      </c>
      <c r="L142" s="12" t="s">
        <v>211</v>
      </c>
      <c r="M142" s="12">
        <v>4.32</v>
      </c>
      <c r="N142" s="12">
        <v>4.08</v>
      </c>
      <c r="O142" s="12">
        <v>3.67</v>
      </c>
      <c r="P142" s="12">
        <f t="shared" si="13"/>
        <v>4.1040000000000001</v>
      </c>
      <c r="Q142" s="12">
        <f t="shared" si="14"/>
        <v>4.0999999999999996</v>
      </c>
      <c r="R142" s="12">
        <f t="shared" si="15"/>
        <v>4.2450000000000001</v>
      </c>
      <c r="S142" s="28">
        <f>IFERROR(INDEX('Clean Gamification Data'!$B:$B,MATCH($B142,'Clean Gamification Data'!$A:$A,0)),"Not Found")</f>
        <v>81.091962100000003</v>
      </c>
      <c r="T142" s="28">
        <f>IFERROR(INDEX('Clean Gamification Data'!$C:$C,MATCH($B142,'Clean Gamification Data'!$A:$A,0)),"Not Found")</f>
        <v>73.226835370000003</v>
      </c>
      <c r="U142" s="28">
        <f>IFERROR(INDEX('Clean Gamification Data'!$D:$D,MATCH($B142,'Clean Gamification Data'!$A:$A,0)),"Not Found")</f>
        <v>72.941413109999999</v>
      </c>
      <c r="V142" s="28">
        <f>IFERROR(INDEX('Clean Gamification Data'!$E:$E,MATCH($B142,'Clean Gamification Data'!$A:$A,0)),"Not Found")</f>
        <v>75</v>
      </c>
      <c r="W142" s="28">
        <f>IFERROR(INDEX('Clean Gamification Data'!$F:$F,MATCH($B142,'Clean Gamification Data'!$A:$A,0)),"Not Found")</f>
        <v>82.223602080000006</v>
      </c>
      <c r="X142" s="28">
        <f>IFERROR(INDEX('Clean Gamification Data'!$G:$G,MATCH($B142,'Clean Gamification Data'!$A:$A,0)),"Not Found")</f>
        <v>70.15154081</v>
      </c>
      <c r="Y142" s="28">
        <f>IFERROR(INDEX('Clean Gamification Data'!$H:$H,MATCH($B142,'Clean Gamification Data'!$A:$A,0)),"Not Found")</f>
        <v>71.840706670000003</v>
      </c>
      <c r="Z142" s="28">
        <f>IFERROR(INDEX('Clean Gamification Data'!$I:$I,MATCH($B142,'Clean Gamification Data'!$A:$A,0)),"Not Found")</f>
        <v>68.745965999999996</v>
      </c>
      <c r="AA142" s="28">
        <f>Table1[[#This Row],[Engagement (Gamification %)]]-Table1[[#This Row],[Engagement (Non-Gamification %)]]</f>
        <v>7.8651267300000001</v>
      </c>
      <c r="AB142" s="28">
        <f>Table1[[#This Row],[Motivation (Gamification %)]]-Table1[[#This Row],[Motivation (Non-Gamification %)]]</f>
        <v>-2.0585868900000008</v>
      </c>
      <c r="AC142" s="28">
        <f>Table1[[#This Row],[Participation (Gamification %)]]-Table1[[#This Row],[Participation (Non-Gamification %)]]</f>
        <v>12.072061270000006</v>
      </c>
      <c r="AD142" s="28">
        <f>Table1[[#This Row],[Learning Outcomes (Gamification %)]]-Table1[[#This Row],[Learning Outcomes (Non-Gamification %)]]</f>
        <v>3.0947406700000073</v>
      </c>
      <c r="AE142" s="44" t="str">
        <f>IF(Table1[[#This Row],[Overall Effectiveness]]&lt;3.9,"Low",IF(Table1[[#This Row],[Overall Effectiveness]]&lt;4.2,"Medium","High"))</f>
        <v>Medium</v>
      </c>
      <c r="AF142" s="30" t="str">
        <f t="shared" si="16"/>
        <v>Experiments</v>
      </c>
      <c r="AG142" s="30" t="str">
        <f t="shared" si="17"/>
        <v>Lectures</v>
      </c>
      <c r="AH142" s="27">
        <f>COUNTIF(Teacher_Master!$D$2:$D$16,AF142)</f>
        <v>3</v>
      </c>
      <c r="AI142" s="30" t="str">
        <f>INDEX(Teacher_Master!$B$2:$B$16,MATCH(AF142,Teacher_Master!$D$2:$D$16,0))</f>
        <v>Prof. Rahul Singh</v>
      </c>
    </row>
    <row r="143" spans="1:35" ht="14.25" customHeight="1" x14ac:dyDescent="0.3">
      <c r="A143" s="31" t="s">
        <v>301</v>
      </c>
      <c r="B143" s="31" t="s">
        <v>2186</v>
      </c>
      <c r="C143" s="31" t="s">
        <v>2882</v>
      </c>
      <c r="D143" s="12">
        <f t="shared" ca="1" si="12"/>
        <v>30</v>
      </c>
      <c r="E143" s="12" t="str">
        <f ca="1">IF(Table1[[#This Row],[Age]]&lt;=22,"20-22",IF(Table1[[#This Row],[Age]]&lt;=25,"23-25",IF(Table1[[#This Row],[Age]]&lt;=28,"26-28","29-30")))</f>
        <v>29-30</v>
      </c>
      <c r="F143" s="12">
        <v>4.0599999999999996</v>
      </c>
      <c r="G143" s="12">
        <v>4.21</v>
      </c>
      <c r="H143" s="12">
        <v>3.88</v>
      </c>
      <c r="I143" s="12">
        <v>4.0999999999999996</v>
      </c>
      <c r="J143" s="12">
        <v>4.78</v>
      </c>
      <c r="K143" s="12">
        <v>4.29</v>
      </c>
      <c r="L143" s="12">
        <v>4.2699999999999996</v>
      </c>
      <c r="M143" s="12">
        <v>3.8</v>
      </c>
      <c r="N143" s="12">
        <v>4.72</v>
      </c>
      <c r="O143" s="12">
        <v>3.89</v>
      </c>
      <c r="P143" s="12">
        <f t="shared" si="13"/>
        <v>4.2060000000000004</v>
      </c>
      <c r="Q143" s="12">
        <f t="shared" si="14"/>
        <v>4.21</v>
      </c>
      <c r="R143" s="12">
        <f t="shared" si="15"/>
        <v>4.194</v>
      </c>
      <c r="S143" s="28">
        <f>IFERROR(INDEX('Clean Gamification Data'!$B:$B,MATCH($B143,'Clean Gamification Data'!$A:$A,0)),"Not Found")</f>
        <v>85.543475029999996</v>
      </c>
      <c r="T143" s="28">
        <f>IFERROR(INDEX('Clean Gamification Data'!$C:$C,MATCH($B143,'Clean Gamification Data'!$A:$A,0)),"Not Found")</f>
        <v>76.111300580000005</v>
      </c>
      <c r="U143" s="28">
        <f>IFERROR(INDEX('Clean Gamification Data'!$D:$D,MATCH($B143,'Clean Gamification Data'!$A:$A,0)),"Not Found")</f>
        <v>89.18502101</v>
      </c>
      <c r="V143" s="28">
        <f>IFERROR(INDEX('Clean Gamification Data'!$E:$E,MATCH($B143,'Clean Gamification Data'!$A:$A,0)),"Not Found")</f>
        <v>73.247659479999996</v>
      </c>
      <c r="W143" s="28">
        <f>IFERROR(INDEX('Clean Gamification Data'!$F:$F,MATCH($B143,'Clean Gamification Data'!$A:$A,0)),"Not Found")</f>
        <v>97.670537390000007</v>
      </c>
      <c r="X143" s="28">
        <f>IFERROR(INDEX('Clean Gamification Data'!$G:$G,MATCH($B143,'Clean Gamification Data'!$A:$A,0)),"Not Found")</f>
        <v>85</v>
      </c>
      <c r="Y143" s="28">
        <f>IFERROR(INDEX('Clean Gamification Data'!$H:$H,MATCH($B143,'Clean Gamification Data'!$A:$A,0)),"Not Found")</f>
        <v>69.196137149999998</v>
      </c>
      <c r="Z143" s="28">
        <f>IFERROR(INDEX('Clean Gamification Data'!$I:$I,MATCH($B143,'Clean Gamification Data'!$A:$A,0)),"Not Found")</f>
        <v>59.568981700000002</v>
      </c>
      <c r="AA143" s="28">
        <f>Table1[[#This Row],[Engagement (Gamification %)]]-Table1[[#This Row],[Engagement (Non-Gamification %)]]</f>
        <v>9.4321744499999909</v>
      </c>
      <c r="AB143" s="28">
        <f>Table1[[#This Row],[Motivation (Gamification %)]]-Table1[[#This Row],[Motivation (Non-Gamification %)]]</f>
        <v>15.937361530000004</v>
      </c>
      <c r="AC143" s="28">
        <f>Table1[[#This Row],[Participation (Gamification %)]]-Table1[[#This Row],[Participation (Non-Gamification %)]]</f>
        <v>12.670537390000007</v>
      </c>
      <c r="AD143" s="28">
        <f>Table1[[#This Row],[Learning Outcomes (Gamification %)]]-Table1[[#This Row],[Learning Outcomes (Non-Gamification %)]]</f>
        <v>9.6271554499999965</v>
      </c>
      <c r="AE143" s="44" t="str">
        <f>IF(Table1[[#This Row],[Overall Effectiveness]]&lt;3.9,"Low",IF(Table1[[#This Row],[Overall Effectiveness]]&lt;4.2,"Medium","High"))</f>
        <v>High</v>
      </c>
      <c r="AF143" s="30" t="str">
        <f t="shared" si="16"/>
        <v>Online Tutorials</v>
      </c>
      <c r="AG143" s="30" t="str">
        <f t="shared" si="17"/>
        <v>Experiments</v>
      </c>
      <c r="AH143" s="27">
        <f>COUNTIF(Teacher_Master!$D$2:$D$16,AF143)</f>
        <v>3</v>
      </c>
      <c r="AI143" s="30" t="str">
        <f>INDEX(Teacher_Master!$B$2:$B$16,MATCH(AF143,Teacher_Master!$D$2:$D$16,0))</f>
        <v>Prof. Kavita Rao</v>
      </c>
    </row>
    <row r="144" spans="1:35" ht="14.25" customHeight="1" x14ac:dyDescent="0.3">
      <c r="A144" s="31" t="s">
        <v>303</v>
      </c>
      <c r="B144" s="31" t="s">
        <v>2187</v>
      </c>
      <c r="C144" s="31" t="s">
        <v>2881</v>
      </c>
      <c r="D144" s="12">
        <f t="shared" ca="1" si="12"/>
        <v>26</v>
      </c>
      <c r="E144" s="12" t="str">
        <f ca="1">IF(Table1[[#This Row],[Age]]&lt;=22,"20-22",IF(Table1[[#This Row],[Age]]&lt;=25,"23-25",IF(Table1[[#This Row],[Age]]&lt;=28,"26-28","29-30")))</f>
        <v>26-28</v>
      </c>
      <c r="F144" s="12">
        <v>4.12</v>
      </c>
      <c r="G144" s="12">
        <v>4.2300000000000004</v>
      </c>
      <c r="H144" s="12">
        <v>4.41</v>
      </c>
      <c r="I144" s="12">
        <v>4.04</v>
      </c>
      <c r="J144" s="12">
        <v>4.32</v>
      </c>
      <c r="K144" s="12">
        <v>3.79</v>
      </c>
      <c r="L144" s="12">
        <v>4.32</v>
      </c>
      <c r="M144" s="12">
        <v>4.22</v>
      </c>
      <c r="N144" s="12">
        <v>3.82</v>
      </c>
      <c r="O144" s="12">
        <v>4.1100000000000003</v>
      </c>
      <c r="P144" s="12">
        <f t="shared" si="13"/>
        <v>4.2240000000000002</v>
      </c>
      <c r="Q144" s="12">
        <f t="shared" si="14"/>
        <v>4.22</v>
      </c>
      <c r="R144" s="12">
        <f t="shared" si="15"/>
        <v>4.0519999999999996</v>
      </c>
      <c r="S144" s="28">
        <f>IFERROR(INDEX('Clean Gamification Data'!$B:$B,MATCH($B144,'Clean Gamification Data'!$A:$A,0)),"Not Found")</f>
        <v>81.633178659999999</v>
      </c>
      <c r="T144" s="28">
        <f>IFERROR(INDEX('Clean Gamification Data'!$C:$C,MATCH($B144,'Clean Gamification Data'!$A:$A,0)),"Not Found")</f>
        <v>70.759167880000007</v>
      </c>
      <c r="U144" s="28">
        <f>IFERROR(INDEX('Clean Gamification Data'!$D:$D,MATCH($B144,'Clean Gamification Data'!$A:$A,0)),"Not Found")</f>
        <v>78.079108629999993</v>
      </c>
      <c r="V144" s="28">
        <f>IFERROR(INDEX('Clean Gamification Data'!$E:$E,MATCH($B144,'Clean Gamification Data'!$A:$A,0)),"Not Found")</f>
        <v>69.349193499999998</v>
      </c>
      <c r="W144" s="28">
        <f>IFERROR(INDEX('Clean Gamification Data'!$F:$F,MATCH($B144,'Clean Gamification Data'!$A:$A,0)),"Not Found")</f>
        <v>94.081621190000007</v>
      </c>
      <c r="X144" s="28">
        <f>IFERROR(INDEX('Clean Gamification Data'!$G:$G,MATCH($B144,'Clean Gamification Data'!$A:$A,0)),"Not Found")</f>
        <v>82.199024750000007</v>
      </c>
      <c r="Y144" s="28">
        <f>IFERROR(INDEX('Clean Gamification Data'!$H:$H,MATCH($B144,'Clean Gamification Data'!$A:$A,0)),"Not Found")</f>
        <v>72.547724590000001</v>
      </c>
      <c r="Z144" s="28">
        <f>IFERROR(INDEX('Clean Gamification Data'!$I:$I,MATCH($B144,'Clean Gamification Data'!$A:$A,0)),"Not Found")</f>
        <v>60.93438544</v>
      </c>
      <c r="AA144" s="28">
        <f>Table1[[#This Row],[Engagement (Gamification %)]]-Table1[[#This Row],[Engagement (Non-Gamification %)]]</f>
        <v>10.874010779999992</v>
      </c>
      <c r="AB144" s="28">
        <f>Table1[[#This Row],[Motivation (Gamification %)]]-Table1[[#This Row],[Motivation (Non-Gamification %)]]</f>
        <v>8.7299151299999949</v>
      </c>
      <c r="AC144" s="28">
        <f>Table1[[#This Row],[Participation (Gamification %)]]-Table1[[#This Row],[Participation (Non-Gamification %)]]</f>
        <v>11.88259644</v>
      </c>
      <c r="AD144" s="28">
        <f>Table1[[#This Row],[Learning Outcomes (Gamification %)]]-Table1[[#This Row],[Learning Outcomes (Non-Gamification %)]]</f>
        <v>11.613339150000002</v>
      </c>
      <c r="AE144" s="44" t="str">
        <f>IF(Table1[[#This Row],[Overall Effectiveness]]&lt;3.9,"Low",IF(Table1[[#This Row],[Overall Effectiveness]]&lt;4.2,"Medium","High"))</f>
        <v>High</v>
      </c>
      <c r="AF144" s="30" t="str">
        <f t="shared" si="16"/>
        <v>Group Projects</v>
      </c>
      <c r="AG144" s="30" t="str">
        <f t="shared" si="17"/>
        <v>Case Studies</v>
      </c>
      <c r="AH144" s="27">
        <f>COUNTIF(Teacher_Master!$D$2:$D$16,AF144)</f>
        <v>3</v>
      </c>
      <c r="AI144" s="30" t="str">
        <f>INDEX(Teacher_Master!$B$2:$B$16,MATCH(AF144,Teacher_Master!$D$2:$D$16,0))</f>
        <v>Dr. Rohan Dutta</v>
      </c>
    </row>
    <row r="145" spans="1:35" ht="14.25" customHeight="1" x14ac:dyDescent="0.3">
      <c r="A145" s="31" t="s">
        <v>305</v>
      </c>
      <c r="B145" s="31" t="s">
        <v>2188</v>
      </c>
      <c r="C145" s="31" t="s">
        <v>2882</v>
      </c>
      <c r="D145" s="12">
        <f t="shared" ca="1" si="12"/>
        <v>23</v>
      </c>
      <c r="E145" s="12" t="str">
        <f ca="1">IF(Table1[[#This Row],[Age]]&lt;=22,"20-22",IF(Table1[[#This Row],[Age]]&lt;=25,"23-25",IF(Table1[[#This Row],[Age]]&lt;=28,"26-28","29-30")))</f>
        <v>23-25</v>
      </c>
      <c r="F145" s="12">
        <v>4.3</v>
      </c>
      <c r="G145" s="12">
        <v>4.13</v>
      </c>
      <c r="H145" s="12">
        <v>3.55</v>
      </c>
      <c r="I145" s="12">
        <v>3.7</v>
      </c>
      <c r="J145" s="12">
        <v>3.93</v>
      </c>
      <c r="K145" s="12">
        <v>3.82</v>
      </c>
      <c r="L145" s="12">
        <v>4.2</v>
      </c>
      <c r="M145" s="12">
        <v>4.0599999999999996</v>
      </c>
      <c r="N145" s="12">
        <v>4.22</v>
      </c>
      <c r="O145" s="12">
        <v>4.24</v>
      </c>
      <c r="P145" s="12">
        <f t="shared" si="13"/>
        <v>3.9219999999999997</v>
      </c>
      <c r="Q145" s="12">
        <f t="shared" si="14"/>
        <v>3.92</v>
      </c>
      <c r="R145" s="12">
        <f t="shared" si="15"/>
        <v>4.1079999999999997</v>
      </c>
      <c r="S145" s="28">
        <f>IFERROR(INDEX('Clean Gamification Data'!$B:$B,MATCH($B145,'Clean Gamification Data'!$A:$A,0)),"Not Found")</f>
        <v>84.213273040000004</v>
      </c>
      <c r="T145" s="28">
        <f>IFERROR(INDEX('Clean Gamification Data'!$C:$C,MATCH($B145,'Clean Gamification Data'!$A:$A,0)),"Not Found")</f>
        <v>73.905017189999995</v>
      </c>
      <c r="U145" s="28">
        <f>IFERROR(INDEX('Clean Gamification Data'!$D:$D,MATCH($B145,'Clean Gamification Data'!$A:$A,0)),"Not Found")</f>
        <v>71.871827960000005</v>
      </c>
      <c r="V145" s="28">
        <f>IFERROR(INDEX('Clean Gamification Data'!$E:$E,MATCH($B145,'Clean Gamification Data'!$A:$A,0)),"Not Found")</f>
        <v>68.496292449999999</v>
      </c>
      <c r="W145" s="28">
        <f>IFERROR(INDEX('Clean Gamification Data'!$F:$F,MATCH($B145,'Clean Gamification Data'!$A:$A,0)),"Not Found")</f>
        <v>82.033476379999996</v>
      </c>
      <c r="X145" s="28">
        <f>IFERROR(INDEX('Clean Gamification Data'!$G:$G,MATCH($B145,'Clean Gamification Data'!$A:$A,0)),"Not Found")</f>
        <v>77.531044879999996</v>
      </c>
      <c r="Y145" s="28">
        <f>IFERROR(INDEX('Clean Gamification Data'!$H:$H,MATCH($B145,'Clean Gamification Data'!$A:$A,0)),"Not Found")</f>
        <v>69.868586309999998</v>
      </c>
      <c r="Z145" s="28">
        <f>IFERROR(INDEX('Clean Gamification Data'!$I:$I,MATCH($B145,'Clean Gamification Data'!$A:$A,0)),"Not Found")</f>
        <v>50</v>
      </c>
      <c r="AA145" s="28">
        <f>Table1[[#This Row],[Engagement (Gamification %)]]-Table1[[#This Row],[Engagement (Non-Gamification %)]]</f>
        <v>10.308255850000009</v>
      </c>
      <c r="AB145" s="28">
        <f>Table1[[#This Row],[Motivation (Gamification %)]]-Table1[[#This Row],[Motivation (Non-Gamification %)]]</f>
        <v>3.375535510000006</v>
      </c>
      <c r="AC145" s="28">
        <f>Table1[[#This Row],[Participation (Gamification %)]]-Table1[[#This Row],[Participation (Non-Gamification %)]]</f>
        <v>4.5024315000000001</v>
      </c>
      <c r="AD145" s="28">
        <f>Table1[[#This Row],[Learning Outcomes (Gamification %)]]-Table1[[#This Row],[Learning Outcomes (Non-Gamification %)]]</f>
        <v>19.868586309999998</v>
      </c>
      <c r="AE145" s="44" t="str">
        <f>IF(Table1[[#This Row],[Overall Effectiveness]]&lt;3.9,"Low",IF(Table1[[#This Row],[Overall Effectiveness]]&lt;4.2,"Medium","High"))</f>
        <v>Medium</v>
      </c>
      <c r="AF145" s="30" t="str">
        <f t="shared" si="16"/>
        <v>Lectures</v>
      </c>
      <c r="AG145" s="30" t="str">
        <f t="shared" si="17"/>
        <v>Online Tutorials</v>
      </c>
      <c r="AH145" s="27">
        <f>COUNTIF(Teacher_Master!$D$2:$D$16,AF145)</f>
        <v>3</v>
      </c>
      <c r="AI145" s="30" t="str">
        <f>INDEX(Teacher_Master!$B$2:$B$16,MATCH(AF145,Teacher_Master!$D$2:$D$16,0))</f>
        <v>Prof. Vikram Gupta</v>
      </c>
    </row>
    <row r="146" spans="1:35" ht="14.25" customHeight="1" x14ac:dyDescent="0.3">
      <c r="A146" s="31" t="s">
        <v>307</v>
      </c>
      <c r="B146" s="31" t="s">
        <v>2189</v>
      </c>
      <c r="C146" s="31" t="s">
        <v>2882</v>
      </c>
      <c r="D146" s="12">
        <f t="shared" ca="1" si="12"/>
        <v>23</v>
      </c>
      <c r="E146" s="12" t="str">
        <f ca="1">IF(Table1[[#This Row],[Age]]&lt;=22,"20-22",IF(Table1[[#This Row],[Age]]&lt;=25,"23-25",IF(Table1[[#This Row],[Age]]&lt;=28,"26-28","29-30")))</f>
        <v>23-25</v>
      </c>
      <c r="F146" s="12">
        <v>3.83</v>
      </c>
      <c r="G146" s="12">
        <v>4.29</v>
      </c>
      <c r="H146" s="12">
        <v>3.86</v>
      </c>
      <c r="I146" s="12">
        <v>3.96</v>
      </c>
      <c r="J146" s="12">
        <v>3.93</v>
      </c>
      <c r="K146" s="12">
        <v>4.01</v>
      </c>
      <c r="L146" s="12">
        <v>3.51</v>
      </c>
      <c r="M146" s="12">
        <v>4.04</v>
      </c>
      <c r="N146" s="12">
        <v>3.87</v>
      </c>
      <c r="O146" s="12">
        <v>5</v>
      </c>
      <c r="P146" s="12">
        <f t="shared" si="13"/>
        <v>3.9740000000000002</v>
      </c>
      <c r="Q146" s="12">
        <f t="shared" si="14"/>
        <v>3.97</v>
      </c>
      <c r="R146" s="12">
        <f t="shared" si="15"/>
        <v>4.0860000000000003</v>
      </c>
      <c r="S146" s="28">
        <f>IFERROR(INDEX('Clean Gamification Data'!$B:$B,MATCH($B146,'Clean Gamification Data'!$A:$A,0)),"Not Found")</f>
        <v>78.43692197</v>
      </c>
      <c r="T146" s="28">
        <f>IFERROR(INDEX('Clean Gamification Data'!$C:$C,MATCH($B146,'Clean Gamification Data'!$A:$A,0)),"Not Found")</f>
        <v>71.179829229999996</v>
      </c>
      <c r="U146" s="28">
        <f>IFERROR(INDEX('Clean Gamification Data'!$D:$D,MATCH($B146,'Clean Gamification Data'!$A:$A,0)),"Not Found")</f>
        <v>78.060428999999999</v>
      </c>
      <c r="V146" s="28">
        <f>IFERROR(INDEX('Clean Gamification Data'!$E:$E,MATCH($B146,'Clean Gamification Data'!$A:$A,0)),"Not Found")</f>
        <v>67.291805640000007</v>
      </c>
      <c r="W146" s="28">
        <f>IFERROR(INDEX('Clean Gamification Data'!$F:$F,MATCH($B146,'Clean Gamification Data'!$A:$A,0)),"Not Found")</f>
        <v>99.9</v>
      </c>
      <c r="X146" s="28">
        <f>IFERROR(INDEX('Clean Gamification Data'!$G:$G,MATCH($B146,'Clean Gamification Data'!$A:$A,0)),"Not Found")</f>
        <v>80.365039460000006</v>
      </c>
      <c r="Y146" s="28">
        <f>IFERROR(INDEX('Clean Gamification Data'!$H:$H,MATCH($B146,'Clean Gamification Data'!$A:$A,0)),"Not Found")</f>
        <v>72.065888240000007</v>
      </c>
      <c r="Z146" s="28">
        <f>IFERROR(INDEX('Clean Gamification Data'!$I:$I,MATCH($B146,'Clean Gamification Data'!$A:$A,0)),"Not Found")</f>
        <v>60.77510667</v>
      </c>
      <c r="AA146" s="28">
        <f>Table1[[#This Row],[Engagement (Gamification %)]]-Table1[[#This Row],[Engagement (Non-Gamification %)]]</f>
        <v>7.2570927400000045</v>
      </c>
      <c r="AB146" s="28">
        <f>Table1[[#This Row],[Motivation (Gamification %)]]-Table1[[#This Row],[Motivation (Non-Gamification %)]]</f>
        <v>10.768623359999992</v>
      </c>
      <c r="AC146" s="28">
        <f>Table1[[#This Row],[Participation (Gamification %)]]-Table1[[#This Row],[Participation (Non-Gamification %)]]</f>
        <v>19.53496054</v>
      </c>
      <c r="AD146" s="28">
        <f>Table1[[#This Row],[Learning Outcomes (Gamification %)]]-Table1[[#This Row],[Learning Outcomes (Non-Gamification %)]]</f>
        <v>11.290781570000007</v>
      </c>
      <c r="AE146" s="44" t="str">
        <f>IF(Table1[[#This Row],[Overall Effectiveness]]&lt;3.9,"Low",IF(Table1[[#This Row],[Overall Effectiveness]]&lt;4.2,"Medium","High"))</f>
        <v>Medium</v>
      </c>
      <c r="AF146" s="30" t="str">
        <f t="shared" si="16"/>
        <v>Case Studies</v>
      </c>
      <c r="AG146" s="30" t="str">
        <f t="shared" si="17"/>
        <v>Online Tutorials</v>
      </c>
      <c r="AH146" s="27">
        <f>COUNTIF(Teacher_Master!$D$2:$D$16,AF146)</f>
        <v>3</v>
      </c>
      <c r="AI146" s="30" t="str">
        <f>INDEX(Teacher_Master!$B$2:$B$16,MATCH(AF146,Teacher_Master!$D$2:$D$16,0))</f>
        <v>Prof. Rajesh Mukherjee</v>
      </c>
    </row>
    <row r="147" spans="1:35" ht="14.25" customHeight="1" x14ac:dyDescent="0.3">
      <c r="A147" s="31" t="s">
        <v>309</v>
      </c>
      <c r="B147" s="31" t="s">
        <v>2190</v>
      </c>
      <c r="C147" s="31" t="s">
        <v>2881</v>
      </c>
      <c r="D147" s="12">
        <f t="shared" ca="1" si="12"/>
        <v>25</v>
      </c>
      <c r="E147" s="12" t="str">
        <f ca="1">IF(Table1[[#This Row],[Age]]&lt;=22,"20-22",IF(Table1[[#This Row],[Age]]&lt;=25,"23-25",IF(Table1[[#This Row],[Age]]&lt;=28,"26-28","29-30")))</f>
        <v>23-25</v>
      </c>
      <c r="F147" s="12">
        <v>4.1500000000000004</v>
      </c>
      <c r="G147" s="12">
        <v>4.1500000000000004</v>
      </c>
      <c r="H147" s="12">
        <v>3.39</v>
      </c>
      <c r="I147" s="12">
        <v>4.72</v>
      </c>
      <c r="J147" s="12">
        <v>3.76</v>
      </c>
      <c r="K147" s="12">
        <v>3.94</v>
      </c>
      <c r="L147" s="12">
        <v>4.32</v>
      </c>
      <c r="M147" s="12">
        <v>4.3899999999999997</v>
      </c>
      <c r="N147" s="12">
        <v>3.98</v>
      </c>
      <c r="O147" s="12">
        <v>4.0999999999999996</v>
      </c>
      <c r="P147" s="12">
        <f t="shared" si="13"/>
        <v>4.0340000000000007</v>
      </c>
      <c r="Q147" s="12">
        <f t="shared" si="14"/>
        <v>4.03</v>
      </c>
      <c r="R147" s="12">
        <f t="shared" si="15"/>
        <v>4.145999999999999</v>
      </c>
      <c r="S147" s="28">
        <f>IFERROR(INDEX('Clean Gamification Data'!$B:$B,MATCH($B147,'Clean Gamification Data'!$A:$A,0)),"Not Found")</f>
        <v>89.170008229999993</v>
      </c>
      <c r="T147" s="28">
        <f>IFERROR(INDEX('Clean Gamification Data'!$C:$C,MATCH($B147,'Clean Gamification Data'!$A:$A,0)),"Not Found")</f>
        <v>71.308076470000003</v>
      </c>
      <c r="U147" s="28">
        <f>IFERROR(INDEX('Clean Gamification Data'!$D:$D,MATCH($B147,'Clean Gamification Data'!$A:$A,0)),"Not Found")</f>
        <v>73.918545170000002</v>
      </c>
      <c r="V147" s="28">
        <f>IFERROR(INDEX('Clean Gamification Data'!$E:$E,MATCH($B147,'Clean Gamification Data'!$A:$A,0)),"Not Found")</f>
        <v>66.252701360000003</v>
      </c>
      <c r="W147" s="28">
        <f>IFERROR(INDEX('Clean Gamification Data'!$F:$F,MATCH($B147,'Clean Gamification Data'!$A:$A,0)),"Not Found")</f>
        <v>95.017844980000007</v>
      </c>
      <c r="X147" s="28">
        <f>IFERROR(INDEX('Clean Gamification Data'!$G:$G,MATCH($B147,'Clean Gamification Data'!$A:$A,0)),"Not Found")</f>
        <v>72.035925989999996</v>
      </c>
      <c r="Y147" s="28">
        <f>IFERROR(INDEX('Clean Gamification Data'!$H:$H,MATCH($B147,'Clean Gamification Data'!$A:$A,0)),"Not Found")</f>
        <v>75.288172880000005</v>
      </c>
      <c r="Z147" s="28">
        <f>IFERROR(INDEX('Clean Gamification Data'!$I:$I,MATCH($B147,'Clean Gamification Data'!$A:$A,0)),"Not Found")</f>
        <v>57.780846840000002</v>
      </c>
      <c r="AA147" s="28">
        <f>Table1[[#This Row],[Engagement (Gamification %)]]-Table1[[#This Row],[Engagement (Non-Gamification %)]]</f>
        <v>17.86193175999999</v>
      </c>
      <c r="AB147" s="28">
        <f>Table1[[#This Row],[Motivation (Gamification %)]]-Table1[[#This Row],[Motivation (Non-Gamification %)]]</f>
        <v>7.6658438099999984</v>
      </c>
      <c r="AC147" s="28">
        <f>Table1[[#This Row],[Participation (Gamification %)]]-Table1[[#This Row],[Participation (Non-Gamification %)]]</f>
        <v>22.981918990000011</v>
      </c>
      <c r="AD147" s="28">
        <f>Table1[[#This Row],[Learning Outcomes (Gamification %)]]-Table1[[#This Row],[Learning Outcomes (Non-Gamification %)]]</f>
        <v>17.507326040000002</v>
      </c>
      <c r="AE147" s="44" t="str">
        <f>IF(Table1[[#This Row],[Overall Effectiveness]]&lt;3.9,"Low",IF(Table1[[#This Row],[Overall Effectiveness]]&lt;4.2,"Medium","High"))</f>
        <v>Medium</v>
      </c>
      <c r="AF147" s="30" t="str">
        <f t="shared" si="16"/>
        <v>Experiments</v>
      </c>
      <c r="AG147" s="30" t="str">
        <f t="shared" si="17"/>
        <v>Group Projects</v>
      </c>
      <c r="AH147" s="27">
        <f>COUNTIF(Teacher_Master!$D$2:$D$16,AF147)</f>
        <v>3</v>
      </c>
      <c r="AI147" s="30" t="str">
        <f>INDEX(Teacher_Master!$B$2:$B$16,MATCH(AF147,Teacher_Master!$D$2:$D$16,0))</f>
        <v>Prof. Rahul Singh</v>
      </c>
    </row>
    <row r="148" spans="1:35" ht="14.25" customHeight="1" x14ac:dyDescent="0.3">
      <c r="A148" s="31" t="s">
        <v>311</v>
      </c>
      <c r="B148" s="31" t="s">
        <v>2191</v>
      </c>
      <c r="C148" s="31" t="s">
        <v>2881</v>
      </c>
      <c r="D148" s="12">
        <f t="shared" ca="1" si="12"/>
        <v>28</v>
      </c>
      <c r="E148" s="12" t="str">
        <f ca="1">IF(Table1[[#This Row],[Age]]&lt;=22,"20-22",IF(Table1[[#This Row],[Age]]&lt;=25,"23-25",IF(Table1[[#This Row],[Age]]&lt;=28,"26-28","29-30")))</f>
        <v>26-28</v>
      </c>
      <c r="F148" s="12">
        <v>3.92</v>
      </c>
      <c r="G148" s="12">
        <v>3.49</v>
      </c>
      <c r="H148" s="12">
        <v>3.87</v>
      </c>
      <c r="I148" s="12">
        <v>4.03</v>
      </c>
      <c r="J148" s="12" t="s">
        <v>211</v>
      </c>
      <c r="K148" s="12">
        <v>3.94</v>
      </c>
      <c r="L148" s="12">
        <v>4.3</v>
      </c>
      <c r="M148" s="12">
        <v>3.93</v>
      </c>
      <c r="N148" s="12">
        <v>3.7</v>
      </c>
      <c r="O148" s="12">
        <v>4.33</v>
      </c>
      <c r="P148" s="12">
        <f t="shared" si="13"/>
        <v>3.8275000000000006</v>
      </c>
      <c r="Q148" s="12">
        <f t="shared" si="14"/>
        <v>3.83</v>
      </c>
      <c r="R148" s="12">
        <f t="shared" si="15"/>
        <v>4.0400000000000009</v>
      </c>
      <c r="S148" s="28">
        <f>IFERROR(INDEX('Clean Gamification Data'!$B:$B,MATCH($B148,'Clean Gamification Data'!$A:$A,0)),"Not Found")</f>
        <v>78.226000839999998</v>
      </c>
      <c r="T148" s="28">
        <f>IFERROR(INDEX('Clean Gamification Data'!$C:$C,MATCH($B148,'Clean Gamification Data'!$A:$A,0)),"Not Found")</f>
        <v>77.707509580000007</v>
      </c>
      <c r="U148" s="28">
        <f>IFERROR(INDEX('Clean Gamification Data'!$D:$D,MATCH($B148,'Clean Gamification Data'!$A:$A,0)),"Not Found")</f>
        <v>74.481758999999997</v>
      </c>
      <c r="V148" s="28">
        <f>IFERROR(INDEX('Clean Gamification Data'!$E:$E,MATCH($B148,'Clean Gamification Data'!$A:$A,0)),"Not Found")</f>
        <v>60.757494319999999</v>
      </c>
      <c r="W148" s="28">
        <f>IFERROR(INDEX('Clean Gamification Data'!$F:$F,MATCH($B148,'Clean Gamification Data'!$A:$A,0)),"Not Found")</f>
        <v>80.523243480000005</v>
      </c>
      <c r="X148" s="28">
        <f>IFERROR(INDEX('Clean Gamification Data'!$G:$G,MATCH($B148,'Clean Gamification Data'!$A:$A,0)),"Not Found")</f>
        <v>76.829893440000006</v>
      </c>
      <c r="Y148" s="28">
        <f>IFERROR(INDEX('Clean Gamification Data'!$H:$H,MATCH($B148,'Clean Gamification Data'!$A:$A,0)),"Not Found")</f>
        <v>72.844168359999998</v>
      </c>
      <c r="Z148" s="28">
        <f>IFERROR(INDEX('Clean Gamification Data'!$I:$I,MATCH($B148,'Clean Gamification Data'!$A:$A,0)),"Not Found")</f>
        <v>52.508756939999998</v>
      </c>
      <c r="AA148" s="28">
        <f>Table1[[#This Row],[Engagement (Gamification %)]]-Table1[[#This Row],[Engagement (Non-Gamification %)]]</f>
        <v>0.51849125999999046</v>
      </c>
      <c r="AB148" s="28">
        <f>Table1[[#This Row],[Motivation (Gamification %)]]-Table1[[#This Row],[Motivation (Non-Gamification %)]]</f>
        <v>13.724264679999997</v>
      </c>
      <c r="AC148" s="28">
        <f>Table1[[#This Row],[Participation (Gamification %)]]-Table1[[#This Row],[Participation (Non-Gamification %)]]</f>
        <v>3.6933500399999986</v>
      </c>
      <c r="AD148" s="28">
        <f>Table1[[#This Row],[Learning Outcomes (Gamification %)]]-Table1[[#This Row],[Learning Outcomes (Non-Gamification %)]]</f>
        <v>20.33541142</v>
      </c>
      <c r="AE148" s="44" t="str">
        <f>IF(Table1[[#This Row],[Overall Effectiveness]]&lt;3.9,"Low",IF(Table1[[#This Row],[Overall Effectiveness]]&lt;4.2,"Medium","High"))</f>
        <v>Low</v>
      </c>
      <c r="AF148" s="30" t="str">
        <f t="shared" si="16"/>
        <v>Experiments</v>
      </c>
      <c r="AG148" s="30" t="str">
        <f t="shared" si="17"/>
        <v>Online Tutorials</v>
      </c>
      <c r="AH148" s="27">
        <f>COUNTIF(Teacher_Master!$D$2:$D$16,AF148)</f>
        <v>3</v>
      </c>
      <c r="AI148" s="30" t="str">
        <f>INDEX(Teacher_Master!$B$2:$B$16,MATCH(AF148,Teacher_Master!$D$2:$D$16,0))</f>
        <v>Prof. Rahul Singh</v>
      </c>
    </row>
    <row r="149" spans="1:35" ht="14.25" customHeight="1" x14ac:dyDescent="0.3">
      <c r="A149" s="31" t="s">
        <v>313</v>
      </c>
      <c r="B149" s="31" t="s">
        <v>2192</v>
      </c>
      <c r="C149" s="31" t="s">
        <v>2881</v>
      </c>
      <c r="D149" s="12">
        <f t="shared" ca="1" si="12"/>
        <v>23</v>
      </c>
      <c r="E149" s="12" t="str">
        <f ca="1">IF(Table1[[#This Row],[Age]]&lt;=22,"20-22",IF(Table1[[#This Row],[Age]]&lt;=25,"23-25",IF(Table1[[#This Row],[Age]]&lt;=28,"26-28","29-30")))</f>
        <v>23-25</v>
      </c>
      <c r="F149" s="12">
        <v>3.67</v>
      </c>
      <c r="G149" s="12">
        <v>4.03</v>
      </c>
      <c r="H149" s="12">
        <v>3.64</v>
      </c>
      <c r="I149" s="12">
        <v>4.08</v>
      </c>
      <c r="J149" s="12">
        <v>3.99</v>
      </c>
      <c r="K149" s="12">
        <v>4.0599999999999996</v>
      </c>
      <c r="L149" s="12">
        <v>3.97</v>
      </c>
      <c r="M149" s="12">
        <v>4.18</v>
      </c>
      <c r="N149" s="12" t="s">
        <v>211</v>
      </c>
      <c r="O149" s="12">
        <v>4.1900000000000004</v>
      </c>
      <c r="P149" s="12">
        <f t="shared" si="13"/>
        <v>3.8820000000000001</v>
      </c>
      <c r="Q149" s="12">
        <f t="shared" si="14"/>
        <v>3.88</v>
      </c>
      <c r="R149" s="12">
        <f t="shared" si="15"/>
        <v>4.0999999999999996</v>
      </c>
      <c r="S149" s="28">
        <f>IFERROR(INDEX('Clean Gamification Data'!$B:$B,MATCH($B149,'Clean Gamification Data'!$A:$A,0)),"Not Found")</f>
        <v>96.753519729999994</v>
      </c>
      <c r="T149" s="28">
        <f>IFERROR(INDEX('Clean Gamification Data'!$C:$C,MATCH($B149,'Clean Gamification Data'!$A:$A,0)),"Not Found")</f>
        <v>65.960917850000001</v>
      </c>
      <c r="U149" s="28">
        <f>IFERROR(INDEX('Clean Gamification Data'!$D:$D,MATCH($B149,'Clean Gamification Data'!$A:$A,0)),"Not Found")</f>
        <v>74.478655110000005</v>
      </c>
      <c r="V149" s="28">
        <f>IFERROR(INDEX('Clean Gamification Data'!$E:$E,MATCH($B149,'Clean Gamification Data'!$A:$A,0)),"Not Found")</f>
        <v>66.619925530000003</v>
      </c>
      <c r="W149" s="28">
        <f>IFERROR(INDEX('Clean Gamification Data'!$F:$F,MATCH($B149,'Clean Gamification Data'!$A:$A,0)),"Not Found")</f>
        <v>94.132427250000006</v>
      </c>
      <c r="X149" s="28">
        <f>IFERROR(INDEX('Clean Gamification Data'!$G:$G,MATCH($B149,'Clean Gamification Data'!$A:$A,0)),"Not Found")</f>
        <v>77.714374989999996</v>
      </c>
      <c r="Y149" s="28">
        <f>IFERROR(INDEX('Clean Gamification Data'!$H:$H,MATCH($B149,'Clean Gamification Data'!$A:$A,0)),"Not Found")</f>
        <v>71.59985537</v>
      </c>
      <c r="Z149" s="28">
        <f>IFERROR(INDEX('Clean Gamification Data'!$I:$I,MATCH($B149,'Clean Gamification Data'!$A:$A,0)),"Not Found")</f>
        <v>65.42788607</v>
      </c>
      <c r="AA149" s="28">
        <f>Table1[[#This Row],[Engagement (Gamification %)]]-Table1[[#This Row],[Engagement (Non-Gamification %)]]</f>
        <v>30.792601879999992</v>
      </c>
      <c r="AB149" s="28">
        <f>Table1[[#This Row],[Motivation (Gamification %)]]-Table1[[#This Row],[Motivation (Non-Gamification %)]]</f>
        <v>7.8587295800000021</v>
      </c>
      <c r="AC149" s="28">
        <f>Table1[[#This Row],[Participation (Gamification %)]]-Table1[[#This Row],[Participation (Non-Gamification %)]]</f>
        <v>16.41805226000001</v>
      </c>
      <c r="AD149" s="28">
        <f>Table1[[#This Row],[Learning Outcomes (Gamification %)]]-Table1[[#This Row],[Learning Outcomes (Non-Gamification %)]]</f>
        <v>6.1719693000000007</v>
      </c>
      <c r="AE149" s="44" t="str">
        <f>IF(Table1[[#This Row],[Overall Effectiveness]]&lt;3.9,"Low",IF(Table1[[#This Row],[Overall Effectiveness]]&lt;4.2,"Medium","High"))</f>
        <v>Low</v>
      </c>
      <c r="AF149" s="30" t="str">
        <f t="shared" si="16"/>
        <v>Experiments</v>
      </c>
      <c r="AG149" s="30" t="str">
        <f t="shared" si="17"/>
        <v>Online Tutorials</v>
      </c>
      <c r="AH149" s="27">
        <f>COUNTIF(Teacher_Master!$D$2:$D$16,AF149)</f>
        <v>3</v>
      </c>
      <c r="AI149" s="30" t="str">
        <f>INDEX(Teacher_Master!$B$2:$B$16,MATCH(AF149,Teacher_Master!$D$2:$D$16,0))</f>
        <v>Prof. Rahul Singh</v>
      </c>
    </row>
    <row r="150" spans="1:35" ht="14.25" customHeight="1" x14ac:dyDescent="0.3">
      <c r="A150" s="31" t="s">
        <v>315</v>
      </c>
      <c r="B150" s="31" t="s">
        <v>316</v>
      </c>
      <c r="C150" s="31" t="s">
        <v>2882</v>
      </c>
      <c r="D150" s="12">
        <f t="shared" ca="1" si="12"/>
        <v>20</v>
      </c>
      <c r="E150" s="12" t="str">
        <f ca="1">IF(Table1[[#This Row],[Age]]&lt;=22,"20-22",IF(Table1[[#This Row],[Age]]&lt;=25,"23-25",IF(Table1[[#This Row],[Age]]&lt;=28,"26-28","29-30")))</f>
        <v>20-22</v>
      </c>
      <c r="F150" s="12">
        <v>4</v>
      </c>
      <c r="G150" s="12">
        <v>4.5199999999999996</v>
      </c>
      <c r="H150" s="12">
        <v>4.46</v>
      </c>
      <c r="I150" s="12">
        <v>3.98</v>
      </c>
      <c r="J150" s="12">
        <v>4.0599999999999996</v>
      </c>
      <c r="K150" s="12">
        <v>4.1500000000000004</v>
      </c>
      <c r="L150" s="12">
        <v>3.66</v>
      </c>
      <c r="M150" s="12">
        <v>4.0999999999999996</v>
      </c>
      <c r="N150" s="12">
        <v>3.95</v>
      </c>
      <c r="O150" s="12">
        <v>3.51</v>
      </c>
      <c r="P150" s="12">
        <f t="shared" si="13"/>
        <v>4.2039999999999997</v>
      </c>
      <c r="Q150" s="12">
        <f t="shared" si="14"/>
        <v>4.2</v>
      </c>
      <c r="R150" s="12">
        <f t="shared" si="15"/>
        <v>3.8739999999999997</v>
      </c>
      <c r="S150" s="28">
        <f>IFERROR(INDEX('Clean Gamification Data'!$B:$B,MATCH($B150,'Clean Gamification Data'!$A:$A,0)),"Not Found")</f>
        <v>94.624437279999995</v>
      </c>
      <c r="T150" s="28">
        <f>IFERROR(INDEX('Clean Gamification Data'!$C:$C,MATCH($B150,'Clean Gamification Data'!$A:$A,0)),"Not Found")</f>
        <v>72.761120919999996</v>
      </c>
      <c r="U150" s="28">
        <f>IFERROR(INDEX('Clean Gamification Data'!$D:$D,MATCH($B150,'Clean Gamification Data'!$A:$A,0)),"Not Found")</f>
        <v>87.744439259999993</v>
      </c>
      <c r="V150" s="28">
        <f>IFERROR(INDEX('Clean Gamification Data'!$E:$E,MATCH($B150,'Clean Gamification Data'!$A:$A,0)),"Not Found")</f>
        <v>61.259956090000003</v>
      </c>
      <c r="W150" s="28">
        <f>IFERROR(INDEX('Clean Gamification Data'!$F:$F,MATCH($B150,'Clean Gamification Data'!$A:$A,0)),"Not Found")</f>
        <v>82.396114679999997</v>
      </c>
      <c r="X150" s="28">
        <f>IFERROR(INDEX('Clean Gamification Data'!$G:$G,MATCH($B150,'Clean Gamification Data'!$A:$A,0)),"Not Found")</f>
        <v>80.197186970000004</v>
      </c>
      <c r="Y150" s="28">
        <f>IFERROR(INDEX('Clean Gamification Data'!$H:$H,MATCH($B150,'Clean Gamification Data'!$A:$A,0)),"Not Found")</f>
        <v>66.144334720000003</v>
      </c>
      <c r="Z150" s="28">
        <f>IFERROR(INDEX('Clean Gamification Data'!$I:$I,MATCH($B150,'Clean Gamification Data'!$A:$A,0)),"Not Found")</f>
        <v>69.16010172</v>
      </c>
      <c r="AA150" s="28">
        <f>Table1[[#This Row],[Engagement (Gamification %)]]-Table1[[#This Row],[Engagement (Non-Gamification %)]]</f>
        <v>21.863316359999999</v>
      </c>
      <c r="AB150" s="28">
        <f>Table1[[#This Row],[Motivation (Gamification %)]]-Table1[[#This Row],[Motivation (Non-Gamification %)]]</f>
        <v>26.48448316999999</v>
      </c>
      <c r="AC150" s="28">
        <f>Table1[[#This Row],[Participation (Gamification %)]]-Table1[[#This Row],[Participation (Non-Gamification %)]]</f>
        <v>2.1989277099999924</v>
      </c>
      <c r="AD150" s="28">
        <f>Table1[[#This Row],[Learning Outcomes (Gamification %)]]-Table1[[#This Row],[Learning Outcomes (Non-Gamification %)]]</f>
        <v>-3.0157669999999968</v>
      </c>
      <c r="AE150" s="44" t="str">
        <f>IF(Table1[[#This Row],[Overall Effectiveness]]&lt;3.9,"Low",IF(Table1[[#This Row],[Overall Effectiveness]]&lt;4.2,"Medium","High"))</f>
        <v>High</v>
      </c>
      <c r="AF150" s="30" t="str">
        <f t="shared" si="16"/>
        <v>Case Studies</v>
      </c>
      <c r="AG150" s="30" t="str">
        <f t="shared" si="17"/>
        <v>Lectures</v>
      </c>
      <c r="AH150" s="27">
        <f>COUNTIF(Teacher_Master!$D$2:$D$16,AF150)</f>
        <v>3</v>
      </c>
      <c r="AI150" s="30" t="str">
        <f>INDEX(Teacher_Master!$B$2:$B$16,MATCH(AF150,Teacher_Master!$D$2:$D$16,0))</f>
        <v>Prof. Rajesh Mukherjee</v>
      </c>
    </row>
    <row r="151" spans="1:35" ht="14.25" customHeight="1" x14ac:dyDescent="0.3">
      <c r="A151" s="31" t="s">
        <v>317</v>
      </c>
      <c r="B151" s="31" t="s">
        <v>318</v>
      </c>
      <c r="C151" s="31" t="s">
        <v>2882</v>
      </c>
      <c r="D151" s="12">
        <f t="shared" ca="1" si="12"/>
        <v>29</v>
      </c>
      <c r="E151" s="12" t="str">
        <f ca="1">IF(Table1[[#This Row],[Age]]&lt;=22,"20-22",IF(Table1[[#This Row],[Age]]&lt;=25,"23-25",IF(Table1[[#This Row],[Age]]&lt;=28,"26-28","29-30")))</f>
        <v>29-30</v>
      </c>
      <c r="F151" s="12">
        <v>4.1500000000000004</v>
      </c>
      <c r="G151" s="12">
        <v>3.84</v>
      </c>
      <c r="H151" s="12">
        <v>3.6</v>
      </c>
      <c r="I151" s="12">
        <v>3.83</v>
      </c>
      <c r="J151" s="12">
        <v>4.18</v>
      </c>
      <c r="K151" s="12">
        <v>4.37</v>
      </c>
      <c r="L151" s="12" t="s">
        <v>211</v>
      </c>
      <c r="M151" s="12">
        <v>4.21</v>
      </c>
      <c r="N151" s="12">
        <v>4.16</v>
      </c>
      <c r="O151" s="12">
        <v>4.41</v>
      </c>
      <c r="P151" s="12">
        <f t="shared" si="13"/>
        <v>3.9200000000000004</v>
      </c>
      <c r="Q151" s="12">
        <f t="shared" si="14"/>
        <v>3.92</v>
      </c>
      <c r="R151" s="12">
        <f t="shared" si="15"/>
        <v>4.2874999999999996</v>
      </c>
      <c r="S151" s="28">
        <f>IFERROR(INDEX('Clean Gamification Data'!$B:$B,MATCH($B151,'Clean Gamification Data'!$A:$A,0)),"Not Found")</f>
        <v>87.373678979999994</v>
      </c>
      <c r="T151" s="28">
        <f>IFERROR(INDEX('Clean Gamification Data'!$C:$C,MATCH($B151,'Clean Gamification Data'!$A:$A,0)),"Not Found")</f>
        <v>70.218469159999998</v>
      </c>
      <c r="U151" s="28">
        <f>IFERROR(INDEX('Clean Gamification Data'!$D:$D,MATCH($B151,'Clean Gamification Data'!$A:$A,0)),"Not Found")</f>
        <v>70</v>
      </c>
      <c r="V151" s="28">
        <f>IFERROR(INDEX('Clean Gamification Data'!$E:$E,MATCH($B151,'Clean Gamification Data'!$A:$A,0)),"Not Found")</f>
        <v>69.305569689999999</v>
      </c>
      <c r="W151" s="28">
        <f>IFERROR(INDEX('Clean Gamification Data'!$F:$F,MATCH($B151,'Clean Gamification Data'!$A:$A,0)),"Not Found")</f>
        <v>96.081286939999998</v>
      </c>
      <c r="X151" s="28">
        <f>IFERROR(INDEX('Clean Gamification Data'!$G:$G,MATCH($B151,'Clean Gamification Data'!$A:$A,0)),"Not Found")</f>
        <v>75.448570889999999</v>
      </c>
      <c r="Y151" s="28">
        <f>IFERROR(INDEX('Clean Gamification Data'!$H:$H,MATCH($B151,'Clean Gamification Data'!$A:$A,0)),"Not Found")</f>
        <v>67.398668299999997</v>
      </c>
      <c r="Z151" s="28">
        <f>IFERROR(INDEX('Clean Gamification Data'!$I:$I,MATCH($B151,'Clean Gamification Data'!$A:$A,0)),"Not Found")</f>
        <v>51.139518279999997</v>
      </c>
      <c r="AA151" s="28">
        <f>Table1[[#This Row],[Engagement (Gamification %)]]-Table1[[#This Row],[Engagement (Non-Gamification %)]]</f>
        <v>17.155209819999996</v>
      </c>
      <c r="AB151" s="28">
        <f>Table1[[#This Row],[Motivation (Gamification %)]]-Table1[[#This Row],[Motivation (Non-Gamification %)]]</f>
        <v>0.69443031000000133</v>
      </c>
      <c r="AC151" s="28">
        <f>Table1[[#This Row],[Participation (Gamification %)]]-Table1[[#This Row],[Participation (Non-Gamification %)]]</f>
        <v>20.632716049999999</v>
      </c>
      <c r="AD151" s="28">
        <f>Table1[[#This Row],[Learning Outcomes (Gamification %)]]-Table1[[#This Row],[Learning Outcomes (Non-Gamification %)]]</f>
        <v>16.25915002</v>
      </c>
      <c r="AE151" s="44" t="str">
        <f>IF(Table1[[#This Row],[Overall Effectiveness]]&lt;3.9,"Low",IF(Table1[[#This Row],[Overall Effectiveness]]&lt;4.2,"Medium","High"))</f>
        <v>Medium</v>
      </c>
      <c r="AF151" s="30" t="str">
        <f t="shared" si="16"/>
        <v>Online Tutorials</v>
      </c>
      <c r="AG151" s="30" t="str">
        <f t="shared" si="17"/>
        <v>Online Tutorials</v>
      </c>
      <c r="AH151" s="27">
        <f>COUNTIF(Teacher_Master!$D$2:$D$16,AF151)</f>
        <v>3</v>
      </c>
      <c r="AI151" s="30" t="str">
        <f>INDEX(Teacher_Master!$B$2:$B$16,MATCH(AF151,Teacher_Master!$D$2:$D$16,0))</f>
        <v>Prof. Kavita Rao</v>
      </c>
    </row>
    <row r="152" spans="1:35" ht="14.25" customHeight="1" x14ac:dyDescent="0.3">
      <c r="A152" s="31" t="s">
        <v>319</v>
      </c>
      <c r="B152" s="31" t="s">
        <v>320</v>
      </c>
      <c r="C152" s="31" t="s">
        <v>2882</v>
      </c>
      <c r="D152" s="12">
        <f t="shared" ca="1" si="12"/>
        <v>29</v>
      </c>
      <c r="E152" s="12" t="str">
        <f ca="1">IF(Table1[[#This Row],[Age]]&lt;=22,"20-22",IF(Table1[[#This Row],[Age]]&lt;=25,"23-25",IF(Table1[[#This Row],[Age]]&lt;=28,"26-28","29-30")))</f>
        <v>29-30</v>
      </c>
      <c r="F152" s="12">
        <v>4.41</v>
      </c>
      <c r="G152" s="12">
        <v>3.68</v>
      </c>
      <c r="H152" s="12">
        <v>4.21</v>
      </c>
      <c r="I152" s="12">
        <v>4.12</v>
      </c>
      <c r="J152" s="12">
        <v>4.13</v>
      </c>
      <c r="K152" s="12">
        <v>4.32</v>
      </c>
      <c r="L152" s="12">
        <v>3.85</v>
      </c>
      <c r="M152" s="12">
        <v>3.72</v>
      </c>
      <c r="N152" s="12">
        <v>3.97</v>
      </c>
      <c r="O152" s="12">
        <v>4.2300000000000004</v>
      </c>
      <c r="P152" s="12">
        <f t="shared" si="13"/>
        <v>4.1100000000000003</v>
      </c>
      <c r="Q152" s="12">
        <f t="shared" si="14"/>
        <v>4.1100000000000003</v>
      </c>
      <c r="R152" s="12">
        <f t="shared" si="15"/>
        <v>4.0180000000000007</v>
      </c>
      <c r="S152" s="28">
        <f>IFERROR(INDEX('Clean Gamification Data'!$B:$B,MATCH($B152,'Clean Gamification Data'!$A:$A,0)),"Not Found")</f>
        <v>85.367464339999998</v>
      </c>
      <c r="T152" s="28">
        <f>IFERROR(INDEX('Clean Gamification Data'!$C:$C,MATCH($B152,'Clean Gamification Data'!$A:$A,0)),"Not Found")</f>
        <v>71.143816990000005</v>
      </c>
      <c r="U152" s="28">
        <f>IFERROR(INDEX('Clean Gamification Data'!$D:$D,MATCH($B152,'Clean Gamification Data'!$A:$A,0)),"Not Found")</f>
        <v>82.807671159999998</v>
      </c>
      <c r="V152" s="28">
        <f>IFERROR(INDEX('Clean Gamification Data'!$E:$E,MATCH($B152,'Clean Gamification Data'!$A:$A,0)),"Not Found")</f>
        <v>63.847245129999997</v>
      </c>
      <c r="W152" s="28">
        <f>IFERROR(INDEX('Clean Gamification Data'!$F:$F,MATCH($B152,'Clean Gamification Data'!$A:$A,0)),"Not Found")</f>
        <v>83.537504350000006</v>
      </c>
      <c r="X152" s="28">
        <f>IFERROR(INDEX('Clean Gamification Data'!$G:$G,MATCH($B152,'Clean Gamification Data'!$A:$A,0)),"Not Found")</f>
        <v>75.905087210000005</v>
      </c>
      <c r="Y152" s="28">
        <f>IFERROR(INDEX('Clean Gamification Data'!$H:$H,MATCH($B152,'Clean Gamification Data'!$A:$A,0)),"Not Found")</f>
        <v>67.527540259999995</v>
      </c>
      <c r="Z152" s="28">
        <f>IFERROR(INDEX('Clean Gamification Data'!$I:$I,MATCH($B152,'Clean Gamification Data'!$A:$A,0)),"Not Found")</f>
        <v>51.655736589999997</v>
      </c>
      <c r="AA152" s="28">
        <f>Table1[[#This Row],[Engagement (Gamification %)]]-Table1[[#This Row],[Engagement (Non-Gamification %)]]</f>
        <v>14.223647349999993</v>
      </c>
      <c r="AB152" s="28">
        <f>Table1[[#This Row],[Motivation (Gamification %)]]-Table1[[#This Row],[Motivation (Non-Gamification %)]]</f>
        <v>18.960426030000001</v>
      </c>
      <c r="AC152" s="28">
        <f>Table1[[#This Row],[Participation (Gamification %)]]-Table1[[#This Row],[Participation (Non-Gamification %)]]</f>
        <v>7.6324171400000012</v>
      </c>
      <c r="AD152" s="28">
        <f>Table1[[#This Row],[Learning Outcomes (Gamification %)]]-Table1[[#This Row],[Learning Outcomes (Non-Gamification %)]]</f>
        <v>15.871803669999998</v>
      </c>
      <c r="AE152" s="44" t="str">
        <f>IF(Table1[[#This Row],[Overall Effectiveness]]&lt;3.9,"Low",IF(Table1[[#This Row],[Overall Effectiveness]]&lt;4.2,"Medium","High"))</f>
        <v>Medium</v>
      </c>
      <c r="AF152" s="30" t="str">
        <f t="shared" si="16"/>
        <v>Lectures</v>
      </c>
      <c r="AG152" s="30" t="str">
        <f t="shared" si="17"/>
        <v>Lectures</v>
      </c>
      <c r="AH152" s="27">
        <f>COUNTIF(Teacher_Master!$D$2:$D$16,AF152)</f>
        <v>3</v>
      </c>
      <c r="AI152" s="30" t="str">
        <f>INDEX(Teacher_Master!$B$2:$B$16,MATCH(AF152,Teacher_Master!$D$2:$D$16,0))</f>
        <v>Prof. Vikram Gupta</v>
      </c>
    </row>
    <row r="153" spans="1:35" ht="14.25" customHeight="1" x14ac:dyDescent="0.3">
      <c r="A153" s="31" t="s">
        <v>321</v>
      </c>
      <c r="B153" s="31" t="s">
        <v>322</v>
      </c>
      <c r="C153" s="31" t="s">
        <v>2881</v>
      </c>
      <c r="D153" s="12">
        <f t="shared" ca="1" si="12"/>
        <v>28</v>
      </c>
      <c r="E153" s="12" t="str">
        <f ca="1">IF(Table1[[#This Row],[Age]]&lt;=22,"20-22",IF(Table1[[#This Row],[Age]]&lt;=25,"23-25",IF(Table1[[#This Row],[Age]]&lt;=28,"26-28","29-30")))</f>
        <v>26-28</v>
      </c>
      <c r="F153" s="12">
        <v>3.59</v>
      </c>
      <c r="G153" s="12">
        <v>3.91</v>
      </c>
      <c r="H153" s="12">
        <v>4.38</v>
      </c>
      <c r="I153" s="12">
        <v>3.69</v>
      </c>
      <c r="J153" s="12">
        <v>4.13</v>
      </c>
      <c r="K153" s="12">
        <v>3.81</v>
      </c>
      <c r="L153" s="12">
        <v>3.25</v>
      </c>
      <c r="M153" s="12">
        <v>4.13</v>
      </c>
      <c r="N153" s="12">
        <v>4</v>
      </c>
      <c r="O153" s="12">
        <v>4.3099999999999996</v>
      </c>
      <c r="P153" s="12">
        <f t="shared" si="13"/>
        <v>3.94</v>
      </c>
      <c r="Q153" s="12">
        <f t="shared" si="14"/>
        <v>3.94</v>
      </c>
      <c r="R153" s="12">
        <f t="shared" si="15"/>
        <v>3.9</v>
      </c>
      <c r="S153" s="28">
        <f>IFERROR(INDEX('Clean Gamification Data'!$B:$B,MATCH($B153,'Clean Gamification Data'!$A:$A,0)),"Not Found")</f>
        <v>82.905757859999994</v>
      </c>
      <c r="T153" s="28">
        <f>IFERROR(INDEX('Clean Gamification Data'!$C:$C,MATCH($B153,'Clean Gamification Data'!$A:$A,0)),"Not Found")</f>
        <v>70.478375369999995</v>
      </c>
      <c r="U153" s="28">
        <f>IFERROR(INDEX('Clean Gamification Data'!$D:$D,MATCH($B153,'Clean Gamification Data'!$A:$A,0)),"Not Found")</f>
        <v>80.471397609999997</v>
      </c>
      <c r="V153" s="28">
        <f>IFERROR(INDEX('Clean Gamification Data'!$E:$E,MATCH($B153,'Clean Gamification Data'!$A:$A,0)),"Not Found")</f>
        <v>56.170812820000002</v>
      </c>
      <c r="W153" s="28">
        <f>IFERROR(INDEX('Clean Gamification Data'!$F:$F,MATCH($B153,'Clean Gamification Data'!$A:$A,0)),"Not Found")</f>
        <v>80</v>
      </c>
      <c r="X153" s="28">
        <f>IFERROR(INDEX('Clean Gamification Data'!$G:$G,MATCH($B153,'Clean Gamification Data'!$A:$A,0)),"Not Found")</f>
        <v>81.953759930000004</v>
      </c>
      <c r="Y153" s="28">
        <f>IFERROR(INDEX('Clean Gamification Data'!$H:$H,MATCH($B153,'Clean Gamification Data'!$A:$A,0)),"Not Found")</f>
        <v>76.435945610000005</v>
      </c>
      <c r="Z153" s="28">
        <f>IFERROR(INDEX('Clean Gamification Data'!$I:$I,MATCH($B153,'Clean Gamification Data'!$A:$A,0)),"Not Found")</f>
        <v>58.082969759999997</v>
      </c>
      <c r="AA153" s="28">
        <f>Table1[[#This Row],[Engagement (Gamification %)]]-Table1[[#This Row],[Engagement (Non-Gamification %)]]</f>
        <v>12.427382489999999</v>
      </c>
      <c r="AB153" s="28">
        <f>Table1[[#This Row],[Motivation (Gamification %)]]-Table1[[#This Row],[Motivation (Non-Gamification %)]]</f>
        <v>24.300584789999995</v>
      </c>
      <c r="AC153" s="28">
        <f>Table1[[#This Row],[Participation (Gamification %)]]-Table1[[#This Row],[Participation (Non-Gamification %)]]</f>
        <v>-1.9537599300000039</v>
      </c>
      <c r="AD153" s="28">
        <f>Table1[[#This Row],[Learning Outcomes (Gamification %)]]-Table1[[#This Row],[Learning Outcomes (Non-Gamification %)]]</f>
        <v>18.352975850000007</v>
      </c>
      <c r="AE153" s="44" t="str">
        <f>IF(Table1[[#This Row],[Overall Effectiveness]]&lt;3.9,"Low",IF(Table1[[#This Row],[Overall Effectiveness]]&lt;4.2,"Medium","High"))</f>
        <v>Medium</v>
      </c>
      <c r="AF153" s="30" t="str">
        <f t="shared" si="16"/>
        <v>Group Projects</v>
      </c>
      <c r="AG153" s="30" t="str">
        <f t="shared" si="17"/>
        <v>Online Tutorials</v>
      </c>
      <c r="AH153" s="27">
        <f>COUNTIF(Teacher_Master!$D$2:$D$16,AF153)</f>
        <v>3</v>
      </c>
      <c r="AI153" s="30" t="str">
        <f>INDEX(Teacher_Master!$B$2:$B$16,MATCH(AF153,Teacher_Master!$D$2:$D$16,0))</f>
        <v>Dr. Rohan Dutta</v>
      </c>
    </row>
    <row r="154" spans="1:35" ht="14.25" customHeight="1" x14ac:dyDescent="0.3">
      <c r="A154" s="31" t="s">
        <v>323</v>
      </c>
      <c r="B154" s="31" t="s">
        <v>324</v>
      </c>
      <c r="C154" s="31" t="s">
        <v>2881</v>
      </c>
      <c r="D154" s="12">
        <f t="shared" ca="1" si="12"/>
        <v>30</v>
      </c>
      <c r="E154" s="12" t="str">
        <f ca="1">IF(Table1[[#This Row],[Age]]&lt;=22,"20-22",IF(Table1[[#This Row],[Age]]&lt;=25,"23-25",IF(Table1[[#This Row],[Age]]&lt;=28,"26-28","29-30")))</f>
        <v>29-30</v>
      </c>
      <c r="F154" s="12">
        <v>3.91</v>
      </c>
      <c r="G154" s="12">
        <v>3.58</v>
      </c>
      <c r="H154" s="12">
        <v>3.69</v>
      </c>
      <c r="I154" s="12">
        <v>4.08</v>
      </c>
      <c r="J154" s="12" t="s">
        <v>211</v>
      </c>
      <c r="K154" s="12">
        <v>3.77</v>
      </c>
      <c r="L154" s="12">
        <v>4</v>
      </c>
      <c r="M154" s="12">
        <v>3.79</v>
      </c>
      <c r="N154" s="12">
        <v>3.69</v>
      </c>
      <c r="O154" s="12">
        <v>3.87</v>
      </c>
      <c r="P154" s="12">
        <f t="shared" si="13"/>
        <v>3.8149999999999999</v>
      </c>
      <c r="Q154" s="12">
        <f t="shared" si="14"/>
        <v>3.82</v>
      </c>
      <c r="R154" s="12">
        <f t="shared" si="15"/>
        <v>3.8239999999999994</v>
      </c>
      <c r="S154" s="28">
        <f>IFERROR(INDEX('Clean Gamification Data'!$B:$B,MATCH($B154,'Clean Gamification Data'!$A:$A,0)),"Not Found")</f>
        <v>81.9581132</v>
      </c>
      <c r="T154" s="28">
        <f>IFERROR(INDEX('Clean Gamification Data'!$C:$C,MATCH($B154,'Clean Gamification Data'!$A:$A,0)),"Not Found")</f>
        <v>62.050094039999998</v>
      </c>
      <c r="U154" s="28">
        <f>IFERROR(INDEX('Clean Gamification Data'!$D:$D,MATCH($B154,'Clean Gamification Data'!$A:$A,0)),"Not Found")</f>
        <v>71.894139379999999</v>
      </c>
      <c r="V154" s="28">
        <f>IFERROR(INDEX('Clean Gamification Data'!$E:$E,MATCH($B154,'Clean Gamification Data'!$A:$A,0)),"Not Found")</f>
        <v>70.278182670000007</v>
      </c>
      <c r="W154" s="28">
        <f>IFERROR(INDEX('Clean Gamification Data'!$F:$F,MATCH($B154,'Clean Gamification Data'!$A:$A,0)),"Not Found")</f>
        <v>93.185819690000002</v>
      </c>
      <c r="X154" s="28">
        <f>IFERROR(INDEX('Clean Gamification Data'!$G:$G,MATCH($B154,'Clean Gamification Data'!$A:$A,0)),"Not Found")</f>
        <v>75.075051070000001</v>
      </c>
      <c r="Y154" s="28">
        <f>IFERROR(INDEX('Clean Gamification Data'!$H:$H,MATCH($B154,'Clean Gamification Data'!$A:$A,0)),"Not Found")</f>
        <v>79.033799689999995</v>
      </c>
      <c r="Z154" s="28">
        <f>IFERROR(INDEX('Clean Gamification Data'!$I:$I,MATCH($B154,'Clean Gamification Data'!$A:$A,0)),"Not Found")</f>
        <v>66.536454550000002</v>
      </c>
      <c r="AA154" s="28">
        <f>Table1[[#This Row],[Engagement (Gamification %)]]-Table1[[#This Row],[Engagement (Non-Gamification %)]]</f>
        <v>19.908019160000002</v>
      </c>
      <c r="AB154" s="28">
        <f>Table1[[#This Row],[Motivation (Gamification %)]]-Table1[[#This Row],[Motivation (Non-Gamification %)]]</f>
        <v>1.6159567099999919</v>
      </c>
      <c r="AC154" s="28">
        <f>Table1[[#This Row],[Participation (Gamification %)]]-Table1[[#This Row],[Participation (Non-Gamification %)]]</f>
        <v>18.110768620000002</v>
      </c>
      <c r="AD154" s="28">
        <f>Table1[[#This Row],[Learning Outcomes (Gamification %)]]-Table1[[#This Row],[Learning Outcomes (Non-Gamification %)]]</f>
        <v>12.497345139999993</v>
      </c>
      <c r="AE154" s="44" t="str">
        <f>IF(Table1[[#This Row],[Overall Effectiveness]]&lt;3.9,"Low",IF(Table1[[#This Row],[Overall Effectiveness]]&lt;4.2,"Medium","High"))</f>
        <v>Low</v>
      </c>
      <c r="AF154" s="30" t="str">
        <f t="shared" si="16"/>
        <v>Experiments</v>
      </c>
      <c r="AG154" s="30" t="str">
        <f t="shared" si="17"/>
        <v>Case Studies</v>
      </c>
      <c r="AH154" s="27">
        <f>COUNTIF(Teacher_Master!$D$2:$D$16,AF154)</f>
        <v>3</v>
      </c>
      <c r="AI154" s="30" t="str">
        <f>INDEX(Teacher_Master!$B$2:$B$16,MATCH(AF154,Teacher_Master!$D$2:$D$16,0))</f>
        <v>Prof. Rahul Singh</v>
      </c>
    </row>
    <row r="155" spans="1:35" ht="14.25" customHeight="1" x14ac:dyDescent="0.3">
      <c r="A155" s="31" t="s">
        <v>325</v>
      </c>
      <c r="B155" s="31" t="s">
        <v>326</v>
      </c>
      <c r="C155" s="31" t="s">
        <v>2882</v>
      </c>
      <c r="D155" s="12">
        <f t="shared" ca="1" si="12"/>
        <v>28</v>
      </c>
      <c r="E155" s="12" t="str">
        <f ca="1">IF(Table1[[#This Row],[Age]]&lt;=22,"20-22",IF(Table1[[#This Row],[Age]]&lt;=25,"23-25",IF(Table1[[#This Row],[Age]]&lt;=28,"26-28","29-30")))</f>
        <v>26-28</v>
      </c>
      <c r="F155" s="12">
        <v>4.5999999999999996</v>
      </c>
      <c r="G155" s="12">
        <v>3.89</v>
      </c>
      <c r="H155" s="12">
        <v>3.98</v>
      </c>
      <c r="I155" s="12">
        <v>4.3099999999999996</v>
      </c>
      <c r="J155" s="12">
        <v>3.98</v>
      </c>
      <c r="K155" s="12">
        <v>3.76</v>
      </c>
      <c r="L155" s="12">
        <v>3.82</v>
      </c>
      <c r="M155" s="12">
        <v>4.1399999999999997</v>
      </c>
      <c r="N155" s="12">
        <v>3.84</v>
      </c>
      <c r="O155" s="12">
        <v>4.08</v>
      </c>
      <c r="P155" s="12">
        <f t="shared" si="13"/>
        <v>4.1520000000000001</v>
      </c>
      <c r="Q155" s="12">
        <f t="shared" si="14"/>
        <v>4.1500000000000004</v>
      </c>
      <c r="R155" s="12">
        <f t="shared" si="15"/>
        <v>3.9279999999999999</v>
      </c>
      <c r="S155" s="28">
        <f>IFERROR(INDEX('Clean Gamification Data'!$B:$B,MATCH($B155,'Clean Gamification Data'!$A:$A,0)),"Not Found")</f>
        <v>87.194615089999999</v>
      </c>
      <c r="T155" s="28">
        <f>IFERROR(INDEX('Clean Gamification Data'!$C:$C,MATCH($B155,'Clean Gamification Data'!$A:$A,0)),"Not Found")</f>
        <v>72.447946400000006</v>
      </c>
      <c r="U155" s="28">
        <f>IFERROR(INDEX('Clean Gamification Data'!$D:$D,MATCH($B155,'Clean Gamification Data'!$A:$A,0)),"Not Found")</f>
        <v>84.527977430000007</v>
      </c>
      <c r="V155" s="28">
        <f>IFERROR(INDEX('Clean Gamification Data'!$E:$E,MATCH($B155,'Clean Gamification Data'!$A:$A,0)),"Not Found")</f>
        <v>64.328422309999993</v>
      </c>
      <c r="W155" s="28">
        <f>IFERROR(INDEX('Clean Gamification Data'!$F:$F,MATCH($B155,'Clean Gamification Data'!$A:$A,0)),"Not Found")</f>
        <v>94.943813809999995</v>
      </c>
      <c r="X155" s="28">
        <f>IFERROR(INDEX('Clean Gamification Data'!$G:$G,MATCH($B155,'Clean Gamification Data'!$A:$A,0)),"Not Found")</f>
        <v>71.29061514</v>
      </c>
      <c r="Y155" s="28">
        <f>IFERROR(INDEX('Clean Gamification Data'!$H:$H,MATCH($B155,'Clean Gamification Data'!$A:$A,0)),"Not Found")</f>
        <v>71.366686349999995</v>
      </c>
      <c r="Z155" s="28">
        <f>IFERROR(INDEX('Clean Gamification Data'!$I:$I,MATCH($B155,'Clean Gamification Data'!$A:$A,0)),"Not Found")</f>
        <v>57.263879529999997</v>
      </c>
      <c r="AA155" s="28">
        <f>Table1[[#This Row],[Engagement (Gamification %)]]-Table1[[#This Row],[Engagement (Non-Gamification %)]]</f>
        <v>14.746668689999993</v>
      </c>
      <c r="AB155" s="28">
        <f>Table1[[#This Row],[Motivation (Gamification %)]]-Table1[[#This Row],[Motivation (Non-Gamification %)]]</f>
        <v>20.199555120000014</v>
      </c>
      <c r="AC155" s="28">
        <f>Table1[[#This Row],[Participation (Gamification %)]]-Table1[[#This Row],[Participation (Non-Gamification %)]]</f>
        <v>23.653198669999995</v>
      </c>
      <c r="AD155" s="28">
        <f>Table1[[#This Row],[Learning Outcomes (Gamification %)]]-Table1[[#This Row],[Learning Outcomes (Non-Gamification %)]]</f>
        <v>14.102806819999998</v>
      </c>
      <c r="AE155" s="44" t="str">
        <f>IF(Table1[[#This Row],[Overall Effectiveness]]&lt;3.9,"Low",IF(Table1[[#This Row],[Overall Effectiveness]]&lt;4.2,"Medium","High"))</f>
        <v>Medium</v>
      </c>
      <c r="AF155" s="30" t="str">
        <f t="shared" si="16"/>
        <v>Lectures</v>
      </c>
      <c r="AG155" s="30" t="str">
        <f t="shared" si="17"/>
        <v>Group Projects</v>
      </c>
      <c r="AH155" s="27">
        <f>COUNTIF(Teacher_Master!$D$2:$D$16,AF155)</f>
        <v>3</v>
      </c>
      <c r="AI155" s="30" t="str">
        <f>INDEX(Teacher_Master!$B$2:$B$16,MATCH(AF155,Teacher_Master!$D$2:$D$16,0))</f>
        <v>Prof. Vikram Gupta</v>
      </c>
    </row>
    <row r="156" spans="1:35" ht="14.25" customHeight="1" x14ac:dyDescent="0.3">
      <c r="A156" s="31" t="s">
        <v>327</v>
      </c>
      <c r="B156" s="31" t="s">
        <v>328</v>
      </c>
      <c r="C156" s="31" t="s">
        <v>2881</v>
      </c>
      <c r="D156" s="12">
        <f t="shared" ca="1" si="12"/>
        <v>25</v>
      </c>
      <c r="E156" s="12" t="str">
        <f ca="1">IF(Table1[[#This Row],[Age]]&lt;=22,"20-22",IF(Table1[[#This Row],[Age]]&lt;=25,"23-25",IF(Table1[[#This Row],[Age]]&lt;=28,"26-28","29-30")))</f>
        <v>23-25</v>
      </c>
      <c r="F156" s="12">
        <v>4.5</v>
      </c>
      <c r="G156" s="12" t="s">
        <v>211</v>
      </c>
      <c r="H156" s="12">
        <v>4.34</v>
      </c>
      <c r="I156" s="12">
        <v>4.3899999999999997</v>
      </c>
      <c r="J156" s="12">
        <v>3.85</v>
      </c>
      <c r="K156" s="12">
        <v>3.93</v>
      </c>
      <c r="L156" s="12">
        <v>3.86</v>
      </c>
      <c r="M156" s="12">
        <v>3.71</v>
      </c>
      <c r="N156" s="12">
        <v>3.98</v>
      </c>
      <c r="O156" s="12">
        <v>3.97</v>
      </c>
      <c r="P156" s="12">
        <f t="shared" si="13"/>
        <v>4.2700000000000005</v>
      </c>
      <c r="Q156" s="12">
        <f t="shared" si="14"/>
        <v>4.2699999999999996</v>
      </c>
      <c r="R156" s="12">
        <f t="shared" si="15"/>
        <v>3.8899999999999997</v>
      </c>
      <c r="S156" s="28">
        <f>IFERROR(INDEX('Clean Gamification Data'!$B:$B,MATCH($B156,'Clean Gamification Data'!$A:$A,0)),"Not Found")</f>
        <v>86.532916200000003</v>
      </c>
      <c r="T156" s="28">
        <f>IFERROR(INDEX('Clean Gamification Data'!$C:$C,MATCH($B156,'Clean Gamification Data'!$A:$A,0)),"Not Found")</f>
        <v>62.901995130000003</v>
      </c>
      <c r="U156" s="28">
        <f>IFERROR(INDEX('Clean Gamification Data'!$D:$D,MATCH($B156,'Clean Gamification Data'!$A:$A,0)),"Not Found")</f>
        <v>70</v>
      </c>
      <c r="V156" s="28">
        <f>IFERROR(INDEX('Clean Gamification Data'!$E:$E,MATCH($B156,'Clean Gamification Data'!$A:$A,0)),"Not Found")</f>
        <v>73.566627010000005</v>
      </c>
      <c r="W156" s="28">
        <f>IFERROR(INDEX('Clean Gamification Data'!$F:$F,MATCH($B156,'Clean Gamification Data'!$A:$A,0)),"Not Found")</f>
        <v>91.126777279999999</v>
      </c>
      <c r="X156" s="28">
        <f>IFERROR(INDEX('Clean Gamification Data'!$G:$G,MATCH($B156,'Clean Gamification Data'!$A:$A,0)),"Not Found")</f>
        <v>73.81585887</v>
      </c>
      <c r="Y156" s="28">
        <f>IFERROR(INDEX('Clean Gamification Data'!$H:$H,MATCH($B156,'Clean Gamification Data'!$A:$A,0)),"Not Found")</f>
        <v>70.767921540000003</v>
      </c>
      <c r="Z156" s="28">
        <f>IFERROR(INDEX('Clean Gamification Data'!$I:$I,MATCH($B156,'Clean Gamification Data'!$A:$A,0)),"Not Found")</f>
        <v>55.864537409999997</v>
      </c>
      <c r="AA156" s="28">
        <f>Table1[[#This Row],[Engagement (Gamification %)]]-Table1[[#This Row],[Engagement (Non-Gamification %)]]</f>
        <v>23.630921069999999</v>
      </c>
      <c r="AB156" s="28">
        <f>Table1[[#This Row],[Motivation (Gamification %)]]-Table1[[#This Row],[Motivation (Non-Gamification %)]]</f>
        <v>-3.5666270100000048</v>
      </c>
      <c r="AC156" s="28">
        <f>Table1[[#This Row],[Participation (Gamification %)]]-Table1[[#This Row],[Participation (Non-Gamification %)]]</f>
        <v>17.310918409999999</v>
      </c>
      <c r="AD156" s="28">
        <f>Table1[[#This Row],[Learning Outcomes (Gamification %)]]-Table1[[#This Row],[Learning Outcomes (Non-Gamification %)]]</f>
        <v>14.903384130000006</v>
      </c>
      <c r="AE156" s="44" t="str">
        <f>IF(Table1[[#This Row],[Overall Effectiveness]]&lt;3.9,"Low",IF(Table1[[#This Row],[Overall Effectiveness]]&lt;4.2,"Medium","High"))</f>
        <v>High</v>
      </c>
      <c r="AF156" s="30" t="str">
        <f t="shared" si="16"/>
        <v>Lectures</v>
      </c>
      <c r="AG156" s="30" t="str">
        <f t="shared" si="17"/>
        <v>Experiments</v>
      </c>
      <c r="AH156" s="27">
        <f>COUNTIF(Teacher_Master!$D$2:$D$16,AF156)</f>
        <v>3</v>
      </c>
      <c r="AI156" s="30" t="str">
        <f>INDEX(Teacher_Master!$B$2:$B$16,MATCH(AF156,Teacher_Master!$D$2:$D$16,0))</f>
        <v>Prof. Vikram Gupta</v>
      </c>
    </row>
    <row r="157" spans="1:35" ht="14.25" customHeight="1" x14ac:dyDescent="0.3">
      <c r="A157" s="31" t="s">
        <v>329</v>
      </c>
      <c r="B157" s="31" t="s">
        <v>2193</v>
      </c>
      <c r="C157" s="31" t="s">
        <v>2882</v>
      </c>
      <c r="D157" s="12">
        <f t="shared" ca="1" si="12"/>
        <v>29</v>
      </c>
      <c r="E157" s="12" t="str">
        <f ca="1">IF(Table1[[#This Row],[Age]]&lt;=22,"20-22",IF(Table1[[#This Row],[Age]]&lt;=25,"23-25",IF(Table1[[#This Row],[Age]]&lt;=28,"26-28","29-30")))</f>
        <v>29-30</v>
      </c>
      <c r="F157" s="12">
        <v>4.0199999999999996</v>
      </c>
      <c r="G157" s="12">
        <v>3.91</v>
      </c>
      <c r="H157" s="12">
        <v>4.05</v>
      </c>
      <c r="I157" s="12">
        <v>4.0199999999999996</v>
      </c>
      <c r="J157" s="12">
        <v>3.35</v>
      </c>
      <c r="K157" s="12">
        <v>3.82</v>
      </c>
      <c r="L157" s="12">
        <v>3.43</v>
      </c>
      <c r="M157" s="12" t="s">
        <v>211</v>
      </c>
      <c r="N157" s="12" t="s">
        <v>211</v>
      </c>
      <c r="O157" s="12">
        <v>3.8</v>
      </c>
      <c r="P157" s="12">
        <f t="shared" si="13"/>
        <v>3.87</v>
      </c>
      <c r="Q157" s="12">
        <f t="shared" si="14"/>
        <v>3.87</v>
      </c>
      <c r="R157" s="12">
        <f t="shared" si="15"/>
        <v>3.6833333333333336</v>
      </c>
      <c r="S157" s="28">
        <f>IFERROR(INDEX('Clean Gamification Data'!$B:$B,MATCH($B157,'Clean Gamification Data'!$A:$A,0)),"Not Found")</f>
        <v>86.516388070000005</v>
      </c>
      <c r="T157" s="28">
        <f>IFERROR(INDEX('Clean Gamification Data'!$C:$C,MATCH($B157,'Clean Gamification Data'!$A:$A,0)),"Not Found")</f>
        <v>66.3917249</v>
      </c>
      <c r="U157" s="28">
        <f>IFERROR(INDEX('Clean Gamification Data'!$D:$D,MATCH($B157,'Clean Gamification Data'!$A:$A,0)),"Not Found")</f>
        <v>73.118028940000002</v>
      </c>
      <c r="V157" s="28">
        <f>IFERROR(INDEX('Clean Gamification Data'!$E:$E,MATCH($B157,'Clean Gamification Data'!$A:$A,0)),"Not Found")</f>
        <v>63.919637100000003</v>
      </c>
      <c r="W157" s="28">
        <f>IFERROR(INDEX('Clean Gamification Data'!$F:$F,MATCH($B157,'Clean Gamification Data'!$A:$A,0)),"Not Found")</f>
        <v>89.379508659999999</v>
      </c>
      <c r="X157" s="28">
        <f>IFERROR(INDEX('Clean Gamification Data'!$G:$G,MATCH($B157,'Clean Gamification Data'!$A:$A,0)),"Not Found")</f>
        <v>84.790553320000001</v>
      </c>
      <c r="Y157" s="28">
        <f>IFERROR(INDEX('Clean Gamification Data'!$H:$H,MATCH($B157,'Clean Gamification Data'!$A:$A,0)),"Not Found")</f>
        <v>75.467013449999996</v>
      </c>
      <c r="Z157" s="28">
        <f>IFERROR(INDEX('Clean Gamification Data'!$I:$I,MATCH($B157,'Clean Gamification Data'!$A:$A,0)),"Not Found")</f>
        <v>63.774118420000001</v>
      </c>
      <c r="AA157" s="28">
        <f>Table1[[#This Row],[Engagement (Gamification %)]]-Table1[[#This Row],[Engagement (Non-Gamification %)]]</f>
        <v>20.124663170000005</v>
      </c>
      <c r="AB157" s="28">
        <f>Table1[[#This Row],[Motivation (Gamification %)]]-Table1[[#This Row],[Motivation (Non-Gamification %)]]</f>
        <v>9.1983918399999993</v>
      </c>
      <c r="AC157" s="28">
        <f>Table1[[#This Row],[Participation (Gamification %)]]-Table1[[#This Row],[Participation (Non-Gamification %)]]</f>
        <v>4.5889553399999983</v>
      </c>
      <c r="AD157" s="28">
        <f>Table1[[#This Row],[Learning Outcomes (Gamification %)]]-Table1[[#This Row],[Learning Outcomes (Non-Gamification %)]]</f>
        <v>11.692895029999995</v>
      </c>
      <c r="AE157" s="44" t="str">
        <f>IF(Table1[[#This Row],[Overall Effectiveness]]&lt;3.9,"Low",IF(Table1[[#This Row],[Overall Effectiveness]]&lt;4.2,"Medium","High"))</f>
        <v>Low</v>
      </c>
      <c r="AF157" s="30" t="str">
        <f t="shared" si="16"/>
        <v>Group Projects</v>
      </c>
      <c r="AG157" s="30" t="str">
        <f t="shared" si="17"/>
        <v>Lectures</v>
      </c>
      <c r="AH157" s="27">
        <f>COUNTIF(Teacher_Master!$D$2:$D$16,AF157)</f>
        <v>3</v>
      </c>
      <c r="AI157" s="30" t="str">
        <f>INDEX(Teacher_Master!$B$2:$B$16,MATCH(AF157,Teacher_Master!$D$2:$D$16,0))</f>
        <v>Dr. Rohan Dutta</v>
      </c>
    </row>
    <row r="158" spans="1:35" ht="14.25" customHeight="1" x14ac:dyDescent="0.3">
      <c r="A158" s="31" t="s">
        <v>331</v>
      </c>
      <c r="B158" s="31" t="s">
        <v>2194</v>
      </c>
      <c r="C158" s="31" t="s">
        <v>2881</v>
      </c>
      <c r="D158" s="12">
        <f t="shared" ca="1" si="12"/>
        <v>22</v>
      </c>
      <c r="E158" s="12" t="str">
        <f ca="1">IF(Table1[[#This Row],[Age]]&lt;=22,"20-22",IF(Table1[[#This Row],[Age]]&lt;=25,"23-25",IF(Table1[[#This Row],[Age]]&lt;=28,"26-28","29-30")))</f>
        <v>20-22</v>
      </c>
      <c r="F158" s="12">
        <v>3.85</v>
      </c>
      <c r="G158" s="12">
        <v>4.47</v>
      </c>
      <c r="H158" s="12">
        <v>4.17</v>
      </c>
      <c r="I158" s="12">
        <v>3.97</v>
      </c>
      <c r="J158" s="12">
        <v>3.7</v>
      </c>
      <c r="K158" s="12">
        <v>3.87</v>
      </c>
      <c r="L158" s="12">
        <v>3.92</v>
      </c>
      <c r="M158" s="12">
        <v>3.31</v>
      </c>
      <c r="N158" s="12">
        <v>4.22</v>
      </c>
      <c r="O158" s="12">
        <v>3.95</v>
      </c>
      <c r="P158" s="12">
        <f t="shared" si="13"/>
        <v>4.032</v>
      </c>
      <c r="Q158" s="12">
        <f t="shared" si="14"/>
        <v>4.03</v>
      </c>
      <c r="R158" s="12">
        <f t="shared" si="15"/>
        <v>3.8540000000000001</v>
      </c>
      <c r="S158" s="28">
        <f>IFERROR(INDEX('Clean Gamification Data'!$B:$B,MATCH($B158,'Clean Gamification Data'!$A:$A,0)),"Not Found")</f>
        <v>85.481784610000005</v>
      </c>
      <c r="T158" s="28">
        <f>IFERROR(INDEX('Clean Gamification Data'!$C:$C,MATCH($B158,'Clean Gamification Data'!$A:$A,0)),"Not Found")</f>
        <v>70.249937450000004</v>
      </c>
      <c r="U158" s="28">
        <f>IFERROR(INDEX('Clean Gamification Data'!$D:$D,MATCH($B158,'Clean Gamification Data'!$A:$A,0)),"Not Found")</f>
        <v>73.395198019999995</v>
      </c>
      <c r="V158" s="28">
        <f>IFERROR(INDEX('Clean Gamification Data'!$E:$E,MATCH($B158,'Clean Gamification Data'!$A:$A,0)),"Not Found")</f>
        <v>66.227163730000001</v>
      </c>
      <c r="W158" s="28">
        <f>IFERROR(INDEX('Clean Gamification Data'!$F:$F,MATCH($B158,'Clean Gamification Data'!$A:$A,0)),"Not Found")</f>
        <v>95.166705339999993</v>
      </c>
      <c r="X158" s="28">
        <f>IFERROR(INDEX('Clean Gamification Data'!$G:$G,MATCH($B158,'Clean Gamification Data'!$A:$A,0)),"Not Found")</f>
        <v>74.615979010000004</v>
      </c>
      <c r="Y158" s="28">
        <f>IFERROR(INDEX('Clean Gamification Data'!$H:$H,MATCH($B158,'Clean Gamification Data'!$A:$A,0)),"Not Found")</f>
        <v>67.114601789999995</v>
      </c>
      <c r="Z158" s="28">
        <f>IFERROR(INDEX('Clean Gamification Data'!$I:$I,MATCH($B158,'Clean Gamification Data'!$A:$A,0)),"Not Found")</f>
        <v>56.091241519999997</v>
      </c>
      <c r="AA158" s="28">
        <f>Table1[[#This Row],[Engagement (Gamification %)]]-Table1[[#This Row],[Engagement (Non-Gamification %)]]</f>
        <v>15.231847160000001</v>
      </c>
      <c r="AB158" s="28">
        <f>Table1[[#This Row],[Motivation (Gamification %)]]-Table1[[#This Row],[Motivation (Non-Gamification %)]]</f>
        <v>7.1680342899999943</v>
      </c>
      <c r="AC158" s="28">
        <f>Table1[[#This Row],[Participation (Gamification %)]]-Table1[[#This Row],[Participation (Non-Gamification %)]]</f>
        <v>20.550726329999989</v>
      </c>
      <c r="AD158" s="28">
        <f>Table1[[#This Row],[Learning Outcomes (Gamification %)]]-Table1[[#This Row],[Learning Outcomes (Non-Gamification %)]]</f>
        <v>11.023360269999998</v>
      </c>
      <c r="AE158" s="44" t="str">
        <f>IF(Table1[[#This Row],[Overall Effectiveness]]&lt;3.9,"Low",IF(Table1[[#This Row],[Overall Effectiveness]]&lt;4.2,"Medium","High"))</f>
        <v>Medium</v>
      </c>
      <c r="AF158" s="30" t="str">
        <f t="shared" si="16"/>
        <v>Case Studies</v>
      </c>
      <c r="AG158" s="30" t="str">
        <f t="shared" si="17"/>
        <v>Experiments</v>
      </c>
      <c r="AH158" s="27">
        <f>COUNTIF(Teacher_Master!$D$2:$D$16,AF158)</f>
        <v>3</v>
      </c>
      <c r="AI158" s="30" t="str">
        <f>INDEX(Teacher_Master!$B$2:$B$16,MATCH(AF158,Teacher_Master!$D$2:$D$16,0))</f>
        <v>Prof. Rajesh Mukherjee</v>
      </c>
    </row>
    <row r="159" spans="1:35" ht="14.25" customHeight="1" x14ac:dyDescent="0.3">
      <c r="A159" s="31" t="s">
        <v>333</v>
      </c>
      <c r="B159" s="31" t="s">
        <v>2195</v>
      </c>
      <c r="C159" s="31" t="s">
        <v>2882</v>
      </c>
      <c r="D159" s="12">
        <f t="shared" ca="1" si="12"/>
        <v>28</v>
      </c>
      <c r="E159" s="12" t="str">
        <f ca="1">IF(Table1[[#This Row],[Age]]&lt;=22,"20-22",IF(Table1[[#This Row],[Age]]&lt;=25,"23-25",IF(Table1[[#This Row],[Age]]&lt;=28,"26-28","29-30")))</f>
        <v>26-28</v>
      </c>
      <c r="F159" s="12">
        <v>4.37</v>
      </c>
      <c r="G159" s="12">
        <v>4.04</v>
      </c>
      <c r="H159" s="12">
        <v>3.3</v>
      </c>
      <c r="I159" s="12">
        <v>4.07</v>
      </c>
      <c r="J159" s="12">
        <v>4.76</v>
      </c>
      <c r="K159" s="12">
        <v>3.88</v>
      </c>
      <c r="L159" s="12">
        <v>4.08</v>
      </c>
      <c r="M159" s="12">
        <v>4.0199999999999996</v>
      </c>
      <c r="N159" s="12">
        <v>3.91</v>
      </c>
      <c r="O159" s="12">
        <v>3.99</v>
      </c>
      <c r="P159" s="12">
        <f t="shared" si="13"/>
        <v>4.1079999999999997</v>
      </c>
      <c r="Q159" s="12">
        <f t="shared" si="14"/>
        <v>4.1100000000000003</v>
      </c>
      <c r="R159" s="12">
        <f t="shared" si="15"/>
        <v>3.9760000000000004</v>
      </c>
      <c r="S159" s="28">
        <f>IFERROR(INDEX('Clean Gamification Data'!$B:$B,MATCH($B159,'Clean Gamification Data'!$A:$A,0)),"Not Found")</f>
        <v>83.941666850000004</v>
      </c>
      <c r="T159" s="28">
        <f>IFERROR(INDEX('Clean Gamification Data'!$C:$C,MATCH($B159,'Clean Gamification Data'!$A:$A,0)),"Not Found")</f>
        <v>69.994123729999998</v>
      </c>
      <c r="U159" s="28">
        <f>IFERROR(INDEX('Clean Gamification Data'!$D:$D,MATCH($B159,'Clean Gamification Data'!$A:$A,0)),"Not Found")</f>
        <v>70.0312184</v>
      </c>
      <c r="V159" s="28">
        <f>IFERROR(INDEX('Clean Gamification Data'!$E:$E,MATCH($B159,'Clean Gamification Data'!$A:$A,0)),"Not Found")</f>
        <v>67.190813539999994</v>
      </c>
      <c r="W159" s="28">
        <f>IFERROR(INDEX('Clean Gamification Data'!$F:$F,MATCH($B159,'Clean Gamification Data'!$A:$A,0)),"Not Found")</f>
        <v>91.184334410000005</v>
      </c>
      <c r="X159" s="28">
        <f>IFERROR(INDEX('Clean Gamification Data'!$G:$G,MATCH($B159,'Clean Gamification Data'!$A:$A,0)),"Not Found")</f>
        <v>82.766668199999998</v>
      </c>
      <c r="Y159" s="28">
        <f>IFERROR(INDEX('Clean Gamification Data'!$H:$H,MATCH($B159,'Clean Gamification Data'!$A:$A,0)),"Not Found")</f>
        <v>65.638310950000005</v>
      </c>
      <c r="Z159" s="28">
        <f>IFERROR(INDEX('Clean Gamification Data'!$I:$I,MATCH($B159,'Clean Gamification Data'!$A:$A,0)),"Not Found")</f>
        <v>55.206648010000002</v>
      </c>
      <c r="AA159" s="28">
        <f>Table1[[#This Row],[Engagement (Gamification %)]]-Table1[[#This Row],[Engagement (Non-Gamification %)]]</f>
        <v>13.947543120000006</v>
      </c>
      <c r="AB159" s="28">
        <f>Table1[[#This Row],[Motivation (Gamification %)]]-Table1[[#This Row],[Motivation (Non-Gamification %)]]</f>
        <v>2.8404048600000067</v>
      </c>
      <c r="AC159" s="28">
        <f>Table1[[#This Row],[Participation (Gamification %)]]-Table1[[#This Row],[Participation (Non-Gamification %)]]</f>
        <v>8.4176662100000073</v>
      </c>
      <c r="AD159" s="28">
        <f>Table1[[#This Row],[Learning Outcomes (Gamification %)]]-Table1[[#This Row],[Learning Outcomes (Non-Gamification %)]]</f>
        <v>10.431662940000002</v>
      </c>
      <c r="AE159" s="44" t="str">
        <f>IF(Table1[[#This Row],[Overall Effectiveness]]&lt;3.9,"Low",IF(Table1[[#This Row],[Overall Effectiveness]]&lt;4.2,"Medium","High"))</f>
        <v>Medium</v>
      </c>
      <c r="AF159" s="30" t="str">
        <f t="shared" si="16"/>
        <v>Online Tutorials</v>
      </c>
      <c r="AG159" s="30" t="str">
        <f t="shared" si="17"/>
        <v>Case Studies</v>
      </c>
      <c r="AH159" s="27">
        <f>COUNTIF(Teacher_Master!$D$2:$D$16,AF159)</f>
        <v>3</v>
      </c>
      <c r="AI159" s="30" t="str">
        <f>INDEX(Teacher_Master!$B$2:$B$16,MATCH(AF159,Teacher_Master!$D$2:$D$16,0))</f>
        <v>Prof. Kavita Rao</v>
      </c>
    </row>
    <row r="160" spans="1:35" ht="14.25" customHeight="1" x14ac:dyDescent="0.3">
      <c r="A160" s="31" t="s">
        <v>335</v>
      </c>
      <c r="B160" s="31" t="s">
        <v>2196</v>
      </c>
      <c r="C160" s="31" t="s">
        <v>2881</v>
      </c>
      <c r="D160" s="12">
        <f t="shared" ca="1" si="12"/>
        <v>29</v>
      </c>
      <c r="E160" s="12" t="str">
        <f ca="1">IF(Table1[[#This Row],[Age]]&lt;=22,"20-22",IF(Table1[[#This Row],[Age]]&lt;=25,"23-25",IF(Table1[[#This Row],[Age]]&lt;=28,"26-28","29-30")))</f>
        <v>29-30</v>
      </c>
      <c r="F160" s="12">
        <v>3.61</v>
      </c>
      <c r="G160" s="12">
        <v>4.18</v>
      </c>
      <c r="H160" s="12">
        <v>3.39</v>
      </c>
      <c r="I160" s="12">
        <v>3.95</v>
      </c>
      <c r="J160" s="12">
        <v>4.3</v>
      </c>
      <c r="K160" s="12">
        <v>4.33</v>
      </c>
      <c r="L160" s="12">
        <v>3.97</v>
      </c>
      <c r="M160" s="12">
        <v>4.63</v>
      </c>
      <c r="N160" s="12">
        <v>3.8</v>
      </c>
      <c r="O160" s="12">
        <v>4.5</v>
      </c>
      <c r="P160" s="12">
        <f t="shared" si="13"/>
        <v>3.8860000000000001</v>
      </c>
      <c r="Q160" s="12">
        <f t="shared" si="14"/>
        <v>3.89</v>
      </c>
      <c r="R160" s="12">
        <f t="shared" si="15"/>
        <v>4.2460000000000004</v>
      </c>
      <c r="S160" s="28">
        <f>IFERROR(INDEX('Clean Gamification Data'!$B:$B,MATCH($B160,'Clean Gamification Data'!$A:$A,0)),"Not Found")</f>
        <v>90.330020489999995</v>
      </c>
      <c r="T160" s="28">
        <f>IFERROR(INDEX('Clean Gamification Data'!$C:$C,MATCH($B160,'Clean Gamification Data'!$A:$A,0)),"Not Found")</f>
        <v>64.56933257</v>
      </c>
      <c r="U160" s="28">
        <f>IFERROR(INDEX('Clean Gamification Data'!$D:$D,MATCH($B160,'Clean Gamification Data'!$A:$A,0)),"Not Found")</f>
        <v>79.934705730000005</v>
      </c>
      <c r="V160" s="28">
        <f>IFERROR(INDEX('Clean Gamification Data'!$E:$E,MATCH($B160,'Clean Gamification Data'!$A:$A,0)),"Not Found")</f>
        <v>69.433572330000004</v>
      </c>
      <c r="W160" s="28">
        <f>IFERROR(INDEX('Clean Gamification Data'!$F:$F,MATCH($B160,'Clean Gamification Data'!$A:$A,0)),"Not Found")</f>
        <v>90.128236849999993</v>
      </c>
      <c r="X160" s="28">
        <f>IFERROR(INDEX('Clean Gamification Data'!$G:$G,MATCH($B160,'Clean Gamification Data'!$A:$A,0)),"Not Found")</f>
        <v>85</v>
      </c>
      <c r="Y160" s="28">
        <f>IFERROR(INDEX('Clean Gamification Data'!$H:$H,MATCH($B160,'Clean Gamification Data'!$A:$A,0)),"Not Found")</f>
        <v>73.65202755</v>
      </c>
      <c r="Z160" s="28">
        <f>IFERROR(INDEX('Clean Gamification Data'!$I:$I,MATCH($B160,'Clean Gamification Data'!$A:$A,0)),"Not Found")</f>
        <v>58.579985129999997</v>
      </c>
      <c r="AA160" s="28">
        <f>Table1[[#This Row],[Engagement (Gamification %)]]-Table1[[#This Row],[Engagement (Non-Gamification %)]]</f>
        <v>25.760687919999995</v>
      </c>
      <c r="AB160" s="28">
        <f>Table1[[#This Row],[Motivation (Gamification %)]]-Table1[[#This Row],[Motivation (Non-Gamification %)]]</f>
        <v>10.501133400000001</v>
      </c>
      <c r="AC160" s="28">
        <f>Table1[[#This Row],[Participation (Gamification %)]]-Table1[[#This Row],[Participation (Non-Gamification %)]]</f>
        <v>5.1282368499999933</v>
      </c>
      <c r="AD160" s="28">
        <f>Table1[[#This Row],[Learning Outcomes (Gamification %)]]-Table1[[#This Row],[Learning Outcomes (Non-Gamification %)]]</f>
        <v>15.072042420000002</v>
      </c>
      <c r="AE160" s="44" t="str">
        <f>IF(Table1[[#This Row],[Overall Effectiveness]]&lt;3.9,"Low",IF(Table1[[#This Row],[Overall Effectiveness]]&lt;4.2,"Medium","High"))</f>
        <v>Low</v>
      </c>
      <c r="AF160" s="30" t="str">
        <f t="shared" si="16"/>
        <v>Online Tutorials</v>
      </c>
      <c r="AG160" s="30" t="str">
        <f t="shared" si="17"/>
        <v>Group Projects</v>
      </c>
      <c r="AH160" s="27">
        <f>COUNTIF(Teacher_Master!$D$2:$D$16,AF160)</f>
        <v>3</v>
      </c>
      <c r="AI160" s="30" t="str">
        <f>INDEX(Teacher_Master!$B$2:$B$16,MATCH(AF160,Teacher_Master!$D$2:$D$16,0))</f>
        <v>Prof. Kavita Rao</v>
      </c>
    </row>
    <row r="161" spans="1:35" ht="14.25" customHeight="1" x14ac:dyDescent="0.3">
      <c r="A161" s="31" t="s">
        <v>337</v>
      </c>
      <c r="B161" s="31" t="s">
        <v>2197</v>
      </c>
      <c r="C161" s="31" t="s">
        <v>2881</v>
      </c>
      <c r="D161" s="12">
        <f t="shared" ca="1" si="12"/>
        <v>21</v>
      </c>
      <c r="E161" s="12" t="str">
        <f ca="1">IF(Table1[[#This Row],[Age]]&lt;=22,"20-22",IF(Table1[[#This Row],[Age]]&lt;=25,"23-25",IF(Table1[[#This Row],[Age]]&lt;=28,"26-28","29-30")))</f>
        <v>20-22</v>
      </c>
      <c r="F161" s="12">
        <v>4.34</v>
      </c>
      <c r="G161" s="12">
        <v>4.08</v>
      </c>
      <c r="H161" s="12">
        <v>3.92</v>
      </c>
      <c r="I161" s="12">
        <v>4.51</v>
      </c>
      <c r="J161" s="12">
        <v>4.2</v>
      </c>
      <c r="K161" s="12">
        <v>4.46</v>
      </c>
      <c r="L161" s="12">
        <v>3.84</v>
      </c>
      <c r="M161" s="12">
        <v>3.8</v>
      </c>
      <c r="N161" s="12" t="s">
        <v>211</v>
      </c>
      <c r="O161" s="12">
        <v>4.18</v>
      </c>
      <c r="P161" s="12">
        <f t="shared" si="13"/>
        <v>4.21</v>
      </c>
      <c r="Q161" s="12">
        <f t="shared" si="14"/>
        <v>4.21</v>
      </c>
      <c r="R161" s="12">
        <f t="shared" si="15"/>
        <v>4.07</v>
      </c>
      <c r="S161" s="28">
        <f>IFERROR(INDEX('Clean Gamification Data'!$B:$B,MATCH($B161,'Clean Gamification Data'!$A:$A,0)),"Not Found")</f>
        <v>91.885192680000003</v>
      </c>
      <c r="T161" s="28">
        <f>IFERROR(INDEX('Clean Gamification Data'!$C:$C,MATCH($B161,'Clean Gamification Data'!$A:$A,0)),"Not Found")</f>
        <v>60</v>
      </c>
      <c r="U161" s="28">
        <f>IFERROR(INDEX('Clean Gamification Data'!$D:$D,MATCH($B161,'Clean Gamification Data'!$A:$A,0)),"Not Found")</f>
        <v>70</v>
      </c>
      <c r="V161" s="28">
        <f>IFERROR(INDEX('Clean Gamification Data'!$E:$E,MATCH($B161,'Clean Gamification Data'!$A:$A,0)),"Not Found")</f>
        <v>61.450680820000002</v>
      </c>
      <c r="W161" s="28">
        <f>IFERROR(INDEX('Clean Gamification Data'!$F:$F,MATCH($B161,'Clean Gamification Data'!$A:$A,0)),"Not Found")</f>
        <v>93.825520109999999</v>
      </c>
      <c r="X161" s="28">
        <f>IFERROR(INDEX('Clean Gamification Data'!$G:$G,MATCH($B161,'Clean Gamification Data'!$A:$A,0)),"Not Found")</f>
        <v>85</v>
      </c>
      <c r="Y161" s="28">
        <f>IFERROR(INDEX('Clean Gamification Data'!$H:$H,MATCH($B161,'Clean Gamification Data'!$A:$A,0)),"Not Found")</f>
        <v>76.251117390000005</v>
      </c>
      <c r="Z161" s="28">
        <f>IFERROR(INDEX('Clean Gamification Data'!$I:$I,MATCH($B161,'Clean Gamification Data'!$A:$A,0)),"Not Found")</f>
        <v>53.939248419999998</v>
      </c>
      <c r="AA161" s="28">
        <f>Table1[[#This Row],[Engagement (Gamification %)]]-Table1[[#This Row],[Engagement (Non-Gamification %)]]</f>
        <v>31.885192680000003</v>
      </c>
      <c r="AB161" s="28">
        <f>Table1[[#This Row],[Motivation (Gamification %)]]-Table1[[#This Row],[Motivation (Non-Gamification %)]]</f>
        <v>8.5493191799999977</v>
      </c>
      <c r="AC161" s="28">
        <f>Table1[[#This Row],[Participation (Gamification %)]]-Table1[[#This Row],[Participation (Non-Gamification %)]]</f>
        <v>8.8255201099999994</v>
      </c>
      <c r="AD161" s="28">
        <f>Table1[[#This Row],[Learning Outcomes (Gamification %)]]-Table1[[#This Row],[Learning Outcomes (Non-Gamification %)]]</f>
        <v>22.311868970000006</v>
      </c>
      <c r="AE161" s="44" t="str">
        <f>IF(Table1[[#This Row],[Overall Effectiveness]]&lt;3.9,"Low",IF(Table1[[#This Row],[Overall Effectiveness]]&lt;4.2,"Medium","High"))</f>
        <v>High</v>
      </c>
      <c r="AF161" s="30" t="str">
        <f t="shared" si="16"/>
        <v>Experiments</v>
      </c>
      <c r="AG161" s="30" t="str">
        <f t="shared" si="17"/>
        <v>Lectures</v>
      </c>
      <c r="AH161" s="27">
        <f>COUNTIF(Teacher_Master!$D$2:$D$16,AF161)</f>
        <v>3</v>
      </c>
      <c r="AI161" s="30" t="str">
        <f>INDEX(Teacher_Master!$B$2:$B$16,MATCH(AF161,Teacher_Master!$D$2:$D$16,0))</f>
        <v>Prof. Rahul Singh</v>
      </c>
    </row>
    <row r="162" spans="1:35" ht="14.25" customHeight="1" x14ac:dyDescent="0.3">
      <c r="A162" s="31" t="s">
        <v>339</v>
      </c>
      <c r="B162" s="31" t="s">
        <v>2198</v>
      </c>
      <c r="C162" s="31" t="s">
        <v>2882</v>
      </c>
      <c r="D162" s="12">
        <f t="shared" ca="1" si="12"/>
        <v>22</v>
      </c>
      <c r="E162" s="12" t="str">
        <f ca="1">IF(Table1[[#This Row],[Age]]&lt;=22,"20-22",IF(Table1[[#This Row],[Age]]&lt;=25,"23-25",IF(Table1[[#This Row],[Age]]&lt;=28,"26-28","29-30")))</f>
        <v>20-22</v>
      </c>
      <c r="F162" s="12">
        <v>4.12</v>
      </c>
      <c r="G162" s="12">
        <v>4.21</v>
      </c>
      <c r="H162" s="12">
        <v>3.94</v>
      </c>
      <c r="I162" s="12">
        <v>4.2699999999999996</v>
      </c>
      <c r="J162" s="12">
        <v>4.03</v>
      </c>
      <c r="K162" s="12">
        <v>4.28</v>
      </c>
      <c r="L162" s="12">
        <v>4.07</v>
      </c>
      <c r="M162" s="12">
        <v>3.26</v>
      </c>
      <c r="N162" s="12">
        <v>3.89</v>
      </c>
      <c r="O162" s="12">
        <v>4.54</v>
      </c>
      <c r="P162" s="12">
        <f t="shared" si="13"/>
        <v>4.1139999999999999</v>
      </c>
      <c r="Q162" s="12">
        <f t="shared" si="14"/>
        <v>4.1100000000000003</v>
      </c>
      <c r="R162" s="12">
        <f t="shared" si="15"/>
        <v>4.0080000000000009</v>
      </c>
      <c r="S162" s="28">
        <f>IFERROR(INDEX('Clean Gamification Data'!$B:$B,MATCH($B162,'Clean Gamification Data'!$A:$A,0)),"Not Found")</f>
        <v>76.288659499999994</v>
      </c>
      <c r="T162" s="28">
        <f>IFERROR(INDEX('Clean Gamification Data'!$C:$C,MATCH($B162,'Clean Gamification Data'!$A:$A,0)),"Not Found")</f>
        <v>64.494677850000002</v>
      </c>
      <c r="U162" s="28">
        <f>IFERROR(INDEX('Clean Gamification Data'!$D:$D,MATCH($B162,'Clean Gamification Data'!$A:$A,0)),"Not Found")</f>
        <v>79.857006929999997</v>
      </c>
      <c r="V162" s="28">
        <f>IFERROR(INDEX('Clean Gamification Data'!$E:$E,MATCH($B162,'Clean Gamification Data'!$A:$A,0)),"Not Found")</f>
        <v>68.454356730000001</v>
      </c>
      <c r="W162" s="28">
        <f>IFERROR(INDEX('Clean Gamification Data'!$F:$F,MATCH($B162,'Clean Gamification Data'!$A:$A,0)),"Not Found")</f>
        <v>88.162290409999997</v>
      </c>
      <c r="X162" s="28">
        <f>IFERROR(INDEX('Clean Gamification Data'!$G:$G,MATCH($B162,'Clean Gamification Data'!$A:$A,0)),"Not Found")</f>
        <v>80.877185900000001</v>
      </c>
      <c r="Y162" s="28">
        <f>IFERROR(INDEX('Clean Gamification Data'!$H:$H,MATCH($B162,'Clean Gamification Data'!$A:$A,0)),"Not Found")</f>
        <v>74.696826040000005</v>
      </c>
      <c r="Z162" s="28">
        <f>IFERROR(INDEX('Clean Gamification Data'!$I:$I,MATCH($B162,'Clean Gamification Data'!$A:$A,0)),"Not Found")</f>
        <v>51.637114709999999</v>
      </c>
      <c r="AA162" s="28">
        <f>Table1[[#This Row],[Engagement (Gamification %)]]-Table1[[#This Row],[Engagement (Non-Gamification %)]]</f>
        <v>11.793981649999992</v>
      </c>
      <c r="AB162" s="28">
        <f>Table1[[#This Row],[Motivation (Gamification %)]]-Table1[[#This Row],[Motivation (Non-Gamification %)]]</f>
        <v>11.402650199999997</v>
      </c>
      <c r="AC162" s="28">
        <f>Table1[[#This Row],[Participation (Gamification %)]]-Table1[[#This Row],[Participation (Non-Gamification %)]]</f>
        <v>7.2851045099999965</v>
      </c>
      <c r="AD162" s="28">
        <f>Table1[[#This Row],[Learning Outcomes (Gamification %)]]-Table1[[#This Row],[Learning Outcomes (Non-Gamification %)]]</f>
        <v>23.059711330000006</v>
      </c>
      <c r="AE162" s="44" t="str">
        <f>IF(Table1[[#This Row],[Overall Effectiveness]]&lt;3.9,"Low",IF(Table1[[#This Row],[Overall Effectiveness]]&lt;4.2,"Medium","High"))</f>
        <v>Medium</v>
      </c>
      <c r="AF162" s="30" t="str">
        <f t="shared" si="16"/>
        <v>Experiments</v>
      </c>
      <c r="AG162" s="30" t="str">
        <f t="shared" si="17"/>
        <v>Online Tutorials</v>
      </c>
      <c r="AH162" s="27">
        <f>COUNTIF(Teacher_Master!$D$2:$D$16,AF162)</f>
        <v>3</v>
      </c>
      <c r="AI162" s="30" t="str">
        <f>INDEX(Teacher_Master!$B$2:$B$16,MATCH(AF162,Teacher_Master!$D$2:$D$16,0))</f>
        <v>Prof. Rahul Singh</v>
      </c>
    </row>
    <row r="163" spans="1:35" ht="14.25" customHeight="1" x14ac:dyDescent="0.3">
      <c r="A163" s="31" t="s">
        <v>341</v>
      </c>
      <c r="B163" s="31" t="s">
        <v>342</v>
      </c>
      <c r="C163" s="31" t="s">
        <v>2882</v>
      </c>
      <c r="D163" s="12">
        <f t="shared" ca="1" si="12"/>
        <v>26</v>
      </c>
      <c r="E163" s="12" t="str">
        <f ca="1">IF(Table1[[#This Row],[Age]]&lt;=22,"20-22",IF(Table1[[#This Row],[Age]]&lt;=25,"23-25",IF(Table1[[#This Row],[Age]]&lt;=28,"26-28","29-30")))</f>
        <v>26-28</v>
      </c>
      <c r="F163" s="12">
        <v>3.77</v>
      </c>
      <c r="G163" s="12">
        <v>3.65</v>
      </c>
      <c r="H163" s="12">
        <v>4.2</v>
      </c>
      <c r="I163" s="12">
        <v>4.1100000000000003</v>
      </c>
      <c r="J163" s="12">
        <v>3.94</v>
      </c>
      <c r="K163" s="12">
        <v>4.3600000000000003</v>
      </c>
      <c r="L163" s="12">
        <v>3.37</v>
      </c>
      <c r="M163" s="12">
        <v>4.04</v>
      </c>
      <c r="N163" s="12">
        <v>3.97</v>
      </c>
      <c r="O163" s="12">
        <v>3.79</v>
      </c>
      <c r="P163" s="12">
        <f t="shared" si="13"/>
        <v>3.9340000000000002</v>
      </c>
      <c r="Q163" s="12">
        <f t="shared" si="14"/>
        <v>3.93</v>
      </c>
      <c r="R163" s="12">
        <f t="shared" si="15"/>
        <v>3.9060000000000001</v>
      </c>
      <c r="S163" s="28">
        <f>IFERROR(INDEX('Clean Gamification Data'!$B:$B,MATCH($B163,'Clean Gamification Data'!$A:$A,0)),"Not Found")</f>
        <v>85.832829320000002</v>
      </c>
      <c r="T163" s="28">
        <f>IFERROR(INDEX('Clean Gamification Data'!$C:$C,MATCH($B163,'Clean Gamification Data'!$A:$A,0)),"Not Found")</f>
        <v>63.451296259999999</v>
      </c>
      <c r="U163" s="28">
        <f>IFERROR(INDEX('Clean Gamification Data'!$D:$D,MATCH($B163,'Clean Gamification Data'!$A:$A,0)),"Not Found")</f>
        <v>77.163394049999994</v>
      </c>
      <c r="V163" s="28">
        <f>IFERROR(INDEX('Clean Gamification Data'!$E:$E,MATCH($B163,'Clean Gamification Data'!$A:$A,0)),"Not Found")</f>
        <v>57.285886640000001</v>
      </c>
      <c r="W163" s="28">
        <f>IFERROR(INDEX('Clean Gamification Data'!$F:$F,MATCH($B163,'Clean Gamification Data'!$A:$A,0)),"Not Found")</f>
        <v>92.789067779999996</v>
      </c>
      <c r="X163" s="28">
        <f>IFERROR(INDEX('Clean Gamification Data'!$G:$G,MATCH($B163,'Clean Gamification Data'!$A:$A,0)),"Not Found")</f>
        <v>69.467395409999995</v>
      </c>
      <c r="Y163" s="28">
        <f>IFERROR(INDEX('Clean Gamification Data'!$H:$H,MATCH($B163,'Clean Gamification Data'!$A:$A,0)),"Not Found")</f>
        <v>74.818571559999995</v>
      </c>
      <c r="Z163" s="28">
        <f>IFERROR(INDEX('Clean Gamification Data'!$I:$I,MATCH($B163,'Clean Gamification Data'!$A:$A,0)),"Not Found")</f>
        <v>59.366540639999997</v>
      </c>
      <c r="AA163" s="28">
        <f>Table1[[#This Row],[Engagement (Gamification %)]]-Table1[[#This Row],[Engagement (Non-Gamification %)]]</f>
        <v>22.381533060000002</v>
      </c>
      <c r="AB163" s="28">
        <f>Table1[[#This Row],[Motivation (Gamification %)]]-Table1[[#This Row],[Motivation (Non-Gamification %)]]</f>
        <v>19.877507409999993</v>
      </c>
      <c r="AC163" s="28">
        <f>Table1[[#This Row],[Participation (Gamification %)]]-Table1[[#This Row],[Participation (Non-Gamification %)]]</f>
        <v>23.321672370000002</v>
      </c>
      <c r="AD163" s="28">
        <f>Table1[[#This Row],[Learning Outcomes (Gamification %)]]-Table1[[#This Row],[Learning Outcomes (Non-Gamification %)]]</f>
        <v>15.452030919999999</v>
      </c>
      <c r="AE163" s="44" t="str">
        <f>IF(Table1[[#This Row],[Overall Effectiveness]]&lt;3.9,"Low",IF(Table1[[#This Row],[Overall Effectiveness]]&lt;4.2,"Medium","High"))</f>
        <v>Medium</v>
      </c>
      <c r="AF163" s="30" t="str">
        <f t="shared" si="16"/>
        <v>Group Projects</v>
      </c>
      <c r="AG163" s="30" t="str">
        <f t="shared" si="17"/>
        <v>Lectures</v>
      </c>
      <c r="AH163" s="27">
        <f>COUNTIF(Teacher_Master!$D$2:$D$16,AF163)</f>
        <v>3</v>
      </c>
      <c r="AI163" s="30" t="str">
        <f>INDEX(Teacher_Master!$B$2:$B$16,MATCH(AF163,Teacher_Master!$D$2:$D$16,0))</f>
        <v>Dr. Rohan Dutta</v>
      </c>
    </row>
    <row r="164" spans="1:35" ht="14.25" customHeight="1" x14ac:dyDescent="0.3">
      <c r="A164" s="31" t="s">
        <v>343</v>
      </c>
      <c r="B164" s="31" t="s">
        <v>2199</v>
      </c>
      <c r="C164" s="31" t="s">
        <v>2882</v>
      </c>
      <c r="D164" s="12">
        <f t="shared" ca="1" si="12"/>
        <v>24</v>
      </c>
      <c r="E164" s="12" t="str">
        <f ca="1">IF(Table1[[#This Row],[Age]]&lt;=22,"20-22",IF(Table1[[#This Row],[Age]]&lt;=25,"23-25",IF(Table1[[#This Row],[Age]]&lt;=28,"26-28","29-30")))</f>
        <v>23-25</v>
      </c>
      <c r="F164" s="12">
        <v>3.9</v>
      </c>
      <c r="G164" s="12">
        <v>4.22</v>
      </c>
      <c r="H164" s="12">
        <v>4.4000000000000004</v>
      </c>
      <c r="I164" s="12">
        <v>3.95</v>
      </c>
      <c r="J164" s="12">
        <v>3.13</v>
      </c>
      <c r="K164" s="12">
        <v>4.32</v>
      </c>
      <c r="L164" s="12">
        <v>3.7</v>
      </c>
      <c r="M164" s="12">
        <v>4.41</v>
      </c>
      <c r="N164" s="12">
        <v>4.51</v>
      </c>
      <c r="O164" s="12">
        <v>3.77</v>
      </c>
      <c r="P164" s="12">
        <f t="shared" si="13"/>
        <v>3.9199999999999995</v>
      </c>
      <c r="Q164" s="12">
        <f t="shared" si="14"/>
        <v>3.92</v>
      </c>
      <c r="R164" s="12">
        <f t="shared" si="15"/>
        <v>4.1419999999999995</v>
      </c>
      <c r="S164" s="28">
        <f>IFERROR(INDEX('Clean Gamification Data'!$B:$B,MATCH($B164,'Clean Gamification Data'!$A:$A,0)),"Not Found")</f>
        <v>75</v>
      </c>
      <c r="T164" s="28">
        <f>IFERROR(INDEX('Clean Gamification Data'!$C:$C,MATCH($B164,'Clean Gamification Data'!$A:$A,0)),"Not Found")</f>
        <v>74.191244310000002</v>
      </c>
      <c r="U164" s="28">
        <f>IFERROR(INDEX('Clean Gamification Data'!$D:$D,MATCH($B164,'Clean Gamification Data'!$A:$A,0)),"Not Found")</f>
        <v>70</v>
      </c>
      <c r="V164" s="28">
        <f>IFERROR(INDEX('Clean Gamification Data'!$E:$E,MATCH($B164,'Clean Gamification Data'!$A:$A,0)),"Not Found")</f>
        <v>59.668114060000001</v>
      </c>
      <c r="W164" s="28">
        <f>IFERROR(INDEX('Clean Gamification Data'!$F:$F,MATCH($B164,'Clean Gamification Data'!$A:$A,0)),"Not Found")</f>
        <v>83.982186600000006</v>
      </c>
      <c r="X164" s="28">
        <f>IFERROR(INDEX('Clean Gamification Data'!$G:$G,MATCH($B164,'Clean Gamification Data'!$A:$A,0)),"Not Found")</f>
        <v>81.074048989999994</v>
      </c>
      <c r="Y164" s="28">
        <f>IFERROR(INDEX('Clean Gamification Data'!$H:$H,MATCH($B164,'Clean Gamification Data'!$A:$A,0)),"Not Found")</f>
        <v>69.972631899999996</v>
      </c>
      <c r="Z164" s="28">
        <f>IFERROR(INDEX('Clean Gamification Data'!$I:$I,MATCH($B164,'Clean Gamification Data'!$A:$A,0)),"Not Found")</f>
        <v>66.997141060000004</v>
      </c>
      <c r="AA164" s="28">
        <f>Table1[[#This Row],[Engagement (Gamification %)]]-Table1[[#This Row],[Engagement (Non-Gamification %)]]</f>
        <v>0.80875568999999814</v>
      </c>
      <c r="AB164" s="28">
        <f>Table1[[#This Row],[Motivation (Gamification %)]]-Table1[[#This Row],[Motivation (Non-Gamification %)]]</f>
        <v>10.331885939999999</v>
      </c>
      <c r="AC164" s="28">
        <f>Table1[[#This Row],[Participation (Gamification %)]]-Table1[[#This Row],[Participation (Non-Gamification %)]]</f>
        <v>2.9081376100000114</v>
      </c>
      <c r="AD164" s="28">
        <f>Table1[[#This Row],[Learning Outcomes (Gamification %)]]-Table1[[#This Row],[Learning Outcomes (Non-Gamification %)]]</f>
        <v>2.975490839999992</v>
      </c>
      <c r="AE164" s="44" t="str">
        <f>IF(Table1[[#This Row],[Overall Effectiveness]]&lt;3.9,"Low",IF(Table1[[#This Row],[Overall Effectiveness]]&lt;4.2,"Medium","High"))</f>
        <v>Medium</v>
      </c>
      <c r="AF164" s="30" t="str">
        <f t="shared" si="16"/>
        <v>Group Projects</v>
      </c>
      <c r="AG164" s="30" t="str">
        <f t="shared" si="17"/>
        <v>Experiments</v>
      </c>
      <c r="AH164" s="27">
        <f>COUNTIF(Teacher_Master!$D$2:$D$16,AF164)</f>
        <v>3</v>
      </c>
      <c r="AI164" s="30" t="str">
        <f>INDEX(Teacher_Master!$B$2:$B$16,MATCH(AF164,Teacher_Master!$D$2:$D$16,0))</f>
        <v>Dr. Rohan Dutta</v>
      </c>
    </row>
    <row r="165" spans="1:35" ht="14.25" customHeight="1" x14ac:dyDescent="0.3">
      <c r="A165" s="31" t="s">
        <v>345</v>
      </c>
      <c r="B165" s="31" t="s">
        <v>2200</v>
      </c>
      <c r="C165" s="31" t="s">
        <v>2882</v>
      </c>
      <c r="D165" s="12">
        <f t="shared" ca="1" si="12"/>
        <v>20</v>
      </c>
      <c r="E165" s="12" t="str">
        <f ca="1">IF(Table1[[#This Row],[Age]]&lt;=22,"20-22",IF(Table1[[#This Row],[Age]]&lt;=25,"23-25",IF(Table1[[#This Row],[Age]]&lt;=28,"26-28","29-30")))</f>
        <v>20-22</v>
      </c>
      <c r="F165" s="12">
        <v>3.87</v>
      </c>
      <c r="G165" s="12">
        <v>3.66</v>
      </c>
      <c r="H165" s="12">
        <v>4.1399999999999997</v>
      </c>
      <c r="I165" s="12">
        <v>3.67</v>
      </c>
      <c r="J165" s="12">
        <v>3.75</v>
      </c>
      <c r="K165" s="12">
        <v>4</v>
      </c>
      <c r="L165" s="12">
        <v>4.1900000000000004</v>
      </c>
      <c r="M165" s="12">
        <v>3.97</v>
      </c>
      <c r="N165" s="12">
        <v>4.38</v>
      </c>
      <c r="O165" s="12">
        <v>3.44</v>
      </c>
      <c r="P165" s="12">
        <f t="shared" si="13"/>
        <v>3.8180000000000001</v>
      </c>
      <c r="Q165" s="12">
        <f t="shared" si="14"/>
        <v>3.82</v>
      </c>
      <c r="R165" s="12">
        <f t="shared" si="15"/>
        <v>3.9960000000000009</v>
      </c>
      <c r="S165" s="28">
        <f>IFERROR(INDEX('Clean Gamification Data'!$B:$B,MATCH($B165,'Clean Gamification Data'!$A:$A,0)),"Not Found")</f>
        <v>80.445408319999999</v>
      </c>
      <c r="T165" s="28">
        <f>IFERROR(INDEX('Clean Gamification Data'!$C:$C,MATCH($B165,'Clean Gamification Data'!$A:$A,0)),"Not Found")</f>
        <v>70.112944959999993</v>
      </c>
      <c r="U165" s="28">
        <f>IFERROR(INDEX('Clean Gamification Data'!$D:$D,MATCH($B165,'Clean Gamification Data'!$A:$A,0)),"Not Found")</f>
        <v>80.080595500000001</v>
      </c>
      <c r="V165" s="28">
        <f>IFERROR(INDEX('Clean Gamification Data'!$E:$E,MATCH($B165,'Clean Gamification Data'!$A:$A,0)),"Not Found")</f>
        <v>66.474027699999994</v>
      </c>
      <c r="W165" s="28">
        <f>IFERROR(INDEX('Clean Gamification Data'!$F:$F,MATCH($B165,'Clean Gamification Data'!$A:$A,0)),"Not Found")</f>
        <v>87.027775599999998</v>
      </c>
      <c r="X165" s="28">
        <f>IFERROR(INDEX('Clean Gamification Data'!$G:$G,MATCH($B165,'Clean Gamification Data'!$A:$A,0)),"Not Found")</f>
        <v>85</v>
      </c>
      <c r="Y165" s="28">
        <f>IFERROR(INDEX('Clean Gamification Data'!$H:$H,MATCH($B165,'Clean Gamification Data'!$A:$A,0)),"Not Found")</f>
        <v>67.528348870000002</v>
      </c>
      <c r="Z165" s="28">
        <f>IFERROR(INDEX('Clean Gamification Data'!$I:$I,MATCH($B165,'Clean Gamification Data'!$A:$A,0)),"Not Found")</f>
        <v>64.233054100000004</v>
      </c>
      <c r="AA165" s="28">
        <f>Table1[[#This Row],[Engagement (Gamification %)]]-Table1[[#This Row],[Engagement (Non-Gamification %)]]</f>
        <v>10.332463360000006</v>
      </c>
      <c r="AB165" s="28">
        <f>Table1[[#This Row],[Motivation (Gamification %)]]-Table1[[#This Row],[Motivation (Non-Gamification %)]]</f>
        <v>13.606567800000008</v>
      </c>
      <c r="AC165" s="28">
        <f>Table1[[#This Row],[Participation (Gamification %)]]-Table1[[#This Row],[Participation (Non-Gamification %)]]</f>
        <v>2.0277755999999982</v>
      </c>
      <c r="AD165" s="28">
        <f>Table1[[#This Row],[Learning Outcomes (Gamification %)]]-Table1[[#This Row],[Learning Outcomes (Non-Gamification %)]]</f>
        <v>3.2952947699999982</v>
      </c>
      <c r="AE165" s="44" t="str">
        <f>IF(Table1[[#This Row],[Overall Effectiveness]]&lt;3.9,"Low",IF(Table1[[#This Row],[Overall Effectiveness]]&lt;4.2,"Medium","High"))</f>
        <v>Low</v>
      </c>
      <c r="AF165" s="30" t="str">
        <f t="shared" si="16"/>
        <v>Group Projects</v>
      </c>
      <c r="AG165" s="30" t="str">
        <f t="shared" si="17"/>
        <v>Experiments</v>
      </c>
      <c r="AH165" s="27">
        <f>COUNTIF(Teacher_Master!$D$2:$D$16,AF165)</f>
        <v>3</v>
      </c>
      <c r="AI165" s="30" t="str">
        <f>INDEX(Teacher_Master!$B$2:$B$16,MATCH(AF165,Teacher_Master!$D$2:$D$16,0))</f>
        <v>Dr. Rohan Dutta</v>
      </c>
    </row>
    <row r="166" spans="1:35" ht="14.25" customHeight="1" x14ac:dyDescent="0.3">
      <c r="A166" s="31" t="s">
        <v>347</v>
      </c>
      <c r="B166" s="31" t="s">
        <v>2201</v>
      </c>
      <c r="C166" s="31" t="s">
        <v>2881</v>
      </c>
      <c r="D166" s="12">
        <f t="shared" ca="1" si="12"/>
        <v>28</v>
      </c>
      <c r="E166" s="12" t="str">
        <f ca="1">IF(Table1[[#This Row],[Age]]&lt;=22,"20-22",IF(Table1[[#This Row],[Age]]&lt;=25,"23-25",IF(Table1[[#This Row],[Age]]&lt;=28,"26-28","29-30")))</f>
        <v>26-28</v>
      </c>
      <c r="F166" s="12">
        <v>4.22</v>
      </c>
      <c r="G166" s="12">
        <v>4.28</v>
      </c>
      <c r="H166" s="12">
        <v>3.89</v>
      </c>
      <c r="I166" s="12">
        <v>4.03</v>
      </c>
      <c r="J166" s="12">
        <v>4.17</v>
      </c>
      <c r="K166" s="12">
        <v>4.46</v>
      </c>
      <c r="L166" s="12">
        <v>4.37</v>
      </c>
      <c r="M166" s="12">
        <v>4.26</v>
      </c>
      <c r="N166" s="12">
        <v>4.18</v>
      </c>
      <c r="O166" s="12">
        <v>3.72</v>
      </c>
      <c r="P166" s="12">
        <f t="shared" si="13"/>
        <v>4.1180000000000003</v>
      </c>
      <c r="Q166" s="12">
        <f t="shared" si="14"/>
        <v>4.12</v>
      </c>
      <c r="R166" s="12">
        <f t="shared" si="15"/>
        <v>4.1979999999999995</v>
      </c>
      <c r="S166" s="28">
        <f>IFERROR(INDEX('Clean Gamification Data'!$B:$B,MATCH($B166,'Clean Gamification Data'!$A:$A,0)),"Not Found")</f>
        <v>81.399019499999994</v>
      </c>
      <c r="T166" s="28">
        <f>IFERROR(INDEX('Clean Gamification Data'!$C:$C,MATCH($B166,'Clean Gamification Data'!$A:$A,0)),"Not Found")</f>
        <v>60.172979230000003</v>
      </c>
      <c r="U166" s="28">
        <f>IFERROR(INDEX('Clean Gamification Data'!$D:$D,MATCH($B166,'Clean Gamification Data'!$A:$A,0)),"Not Found")</f>
        <v>71.935692529999997</v>
      </c>
      <c r="V166" s="28">
        <f>IFERROR(INDEX('Clean Gamification Data'!$E:$E,MATCH($B166,'Clean Gamification Data'!$A:$A,0)),"Not Found")</f>
        <v>70.157111490000005</v>
      </c>
      <c r="W166" s="28">
        <f>IFERROR(INDEX('Clean Gamification Data'!$F:$F,MATCH($B166,'Clean Gamification Data'!$A:$A,0)),"Not Found")</f>
        <v>87.334788540000005</v>
      </c>
      <c r="X166" s="28">
        <f>IFERROR(INDEX('Clean Gamification Data'!$G:$G,MATCH($B166,'Clean Gamification Data'!$A:$A,0)),"Not Found")</f>
        <v>75.039760380000004</v>
      </c>
      <c r="Y166" s="28">
        <f>IFERROR(INDEX('Clean Gamification Data'!$H:$H,MATCH($B166,'Clean Gamification Data'!$A:$A,0)),"Not Found")</f>
        <v>69.955961180000003</v>
      </c>
      <c r="Z166" s="28">
        <f>IFERROR(INDEX('Clean Gamification Data'!$I:$I,MATCH($B166,'Clean Gamification Data'!$A:$A,0)),"Not Found")</f>
        <v>69.021732349999994</v>
      </c>
      <c r="AA166" s="28">
        <f>Table1[[#This Row],[Engagement (Gamification %)]]-Table1[[#This Row],[Engagement (Non-Gamification %)]]</f>
        <v>21.226040269999991</v>
      </c>
      <c r="AB166" s="28">
        <f>Table1[[#This Row],[Motivation (Gamification %)]]-Table1[[#This Row],[Motivation (Non-Gamification %)]]</f>
        <v>1.7785810399999917</v>
      </c>
      <c r="AC166" s="28">
        <f>Table1[[#This Row],[Participation (Gamification %)]]-Table1[[#This Row],[Participation (Non-Gamification %)]]</f>
        <v>12.295028160000001</v>
      </c>
      <c r="AD166" s="28">
        <f>Table1[[#This Row],[Learning Outcomes (Gamification %)]]-Table1[[#This Row],[Learning Outcomes (Non-Gamification %)]]</f>
        <v>0.93422883000000922</v>
      </c>
      <c r="AE166" s="44" t="str">
        <f>IF(Table1[[#This Row],[Overall Effectiveness]]&lt;3.9,"Low",IF(Table1[[#This Row],[Overall Effectiveness]]&lt;4.2,"Medium","High"))</f>
        <v>Medium</v>
      </c>
      <c r="AF166" s="30" t="str">
        <f t="shared" si="16"/>
        <v>Case Studies</v>
      </c>
      <c r="AG166" s="30" t="str">
        <f t="shared" si="17"/>
        <v>Lectures</v>
      </c>
      <c r="AH166" s="27">
        <f>COUNTIF(Teacher_Master!$D$2:$D$16,AF166)</f>
        <v>3</v>
      </c>
      <c r="AI166" s="30" t="str">
        <f>INDEX(Teacher_Master!$B$2:$B$16,MATCH(AF166,Teacher_Master!$D$2:$D$16,0))</f>
        <v>Prof. Rajesh Mukherjee</v>
      </c>
    </row>
    <row r="167" spans="1:35" ht="14.25" customHeight="1" x14ac:dyDescent="0.3">
      <c r="A167" s="31" t="s">
        <v>349</v>
      </c>
      <c r="B167" s="31" t="s">
        <v>350</v>
      </c>
      <c r="C167" s="31" t="s">
        <v>2881</v>
      </c>
      <c r="D167" s="12">
        <f t="shared" ca="1" si="12"/>
        <v>27</v>
      </c>
      <c r="E167" s="12" t="str">
        <f ca="1">IF(Table1[[#This Row],[Age]]&lt;=22,"20-22",IF(Table1[[#This Row],[Age]]&lt;=25,"23-25",IF(Table1[[#This Row],[Age]]&lt;=28,"26-28","29-30")))</f>
        <v>26-28</v>
      </c>
      <c r="F167" s="12">
        <v>3.94</v>
      </c>
      <c r="G167" s="12">
        <v>4.08</v>
      </c>
      <c r="H167" s="12">
        <v>3.49</v>
      </c>
      <c r="I167" s="12">
        <v>4.1900000000000004</v>
      </c>
      <c r="J167" s="12">
        <v>4</v>
      </c>
      <c r="K167" s="12">
        <v>3.73</v>
      </c>
      <c r="L167" s="12" t="s">
        <v>211</v>
      </c>
      <c r="M167" s="12">
        <v>3.57</v>
      </c>
      <c r="N167" s="12">
        <v>3.96</v>
      </c>
      <c r="O167" s="12">
        <v>4</v>
      </c>
      <c r="P167" s="12">
        <f t="shared" si="13"/>
        <v>3.94</v>
      </c>
      <c r="Q167" s="12">
        <f t="shared" si="14"/>
        <v>3.94</v>
      </c>
      <c r="R167" s="12">
        <f t="shared" si="15"/>
        <v>3.8149999999999999</v>
      </c>
      <c r="S167" s="28">
        <f>IFERROR(INDEX('Clean Gamification Data'!$B:$B,MATCH($B167,'Clean Gamification Data'!$A:$A,0)),"Not Found")</f>
        <v>83.111294889999996</v>
      </c>
      <c r="T167" s="28">
        <f>IFERROR(INDEX('Clean Gamification Data'!$C:$C,MATCH($B167,'Clean Gamification Data'!$A:$A,0)),"Not Found")</f>
        <v>63.980648479999999</v>
      </c>
      <c r="U167" s="28">
        <f>IFERROR(INDEX('Clean Gamification Data'!$D:$D,MATCH($B167,'Clean Gamification Data'!$A:$A,0)),"Not Found")</f>
        <v>75.792509949999996</v>
      </c>
      <c r="V167" s="28">
        <f>IFERROR(INDEX('Clean Gamification Data'!$E:$E,MATCH($B167,'Clean Gamification Data'!$A:$A,0)),"Not Found")</f>
        <v>68.500586699999999</v>
      </c>
      <c r="W167" s="28">
        <f>IFERROR(INDEX('Clean Gamification Data'!$F:$F,MATCH($B167,'Clean Gamification Data'!$A:$A,0)),"Not Found")</f>
        <v>93.081434439999995</v>
      </c>
      <c r="X167" s="28">
        <f>IFERROR(INDEX('Clean Gamification Data'!$G:$G,MATCH($B167,'Clean Gamification Data'!$A:$A,0)),"Not Found")</f>
        <v>65.229461810000004</v>
      </c>
      <c r="Y167" s="28">
        <f>IFERROR(INDEX('Clean Gamification Data'!$H:$H,MATCH($B167,'Clean Gamification Data'!$A:$A,0)),"Not Found")</f>
        <v>72.810185820000001</v>
      </c>
      <c r="Z167" s="28">
        <f>IFERROR(INDEX('Clean Gamification Data'!$I:$I,MATCH($B167,'Clean Gamification Data'!$A:$A,0)),"Not Found")</f>
        <v>64.638923500000004</v>
      </c>
      <c r="AA167" s="28">
        <f>Table1[[#This Row],[Engagement (Gamification %)]]-Table1[[#This Row],[Engagement (Non-Gamification %)]]</f>
        <v>19.130646409999997</v>
      </c>
      <c r="AB167" s="28">
        <f>Table1[[#This Row],[Motivation (Gamification %)]]-Table1[[#This Row],[Motivation (Non-Gamification %)]]</f>
        <v>7.2919232499999964</v>
      </c>
      <c r="AC167" s="28">
        <f>Table1[[#This Row],[Participation (Gamification %)]]-Table1[[#This Row],[Participation (Non-Gamification %)]]</f>
        <v>27.851972629999992</v>
      </c>
      <c r="AD167" s="28">
        <f>Table1[[#This Row],[Learning Outcomes (Gamification %)]]-Table1[[#This Row],[Learning Outcomes (Non-Gamification %)]]</f>
        <v>8.1712623199999967</v>
      </c>
      <c r="AE167" s="44" t="str">
        <f>IF(Table1[[#This Row],[Overall Effectiveness]]&lt;3.9,"Low",IF(Table1[[#This Row],[Overall Effectiveness]]&lt;4.2,"Medium","High"))</f>
        <v>Medium</v>
      </c>
      <c r="AF167" s="30" t="str">
        <f t="shared" si="16"/>
        <v>Experiments</v>
      </c>
      <c r="AG167" s="30" t="str">
        <f t="shared" si="17"/>
        <v>Online Tutorials</v>
      </c>
      <c r="AH167" s="27">
        <f>COUNTIF(Teacher_Master!$D$2:$D$16,AF167)</f>
        <v>3</v>
      </c>
      <c r="AI167" s="30" t="str">
        <f>INDEX(Teacher_Master!$B$2:$B$16,MATCH(AF167,Teacher_Master!$D$2:$D$16,0))</f>
        <v>Prof. Rahul Singh</v>
      </c>
    </row>
    <row r="168" spans="1:35" ht="14.25" customHeight="1" x14ac:dyDescent="0.3">
      <c r="A168" s="31" t="s">
        <v>351</v>
      </c>
      <c r="B168" s="31" t="s">
        <v>2202</v>
      </c>
      <c r="C168" s="31" t="s">
        <v>2881</v>
      </c>
      <c r="D168" s="12">
        <f t="shared" ca="1" si="12"/>
        <v>21</v>
      </c>
      <c r="E168" s="12" t="str">
        <f ca="1">IF(Table1[[#This Row],[Age]]&lt;=22,"20-22",IF(Table1[[#This Row],[Age]]&lt;=25,"23-25",IF(Table1[[#This Row],[Age]]&lt;=28,"26-28","29-30")))</f>
        <v>20-22</v>
      </c>
      <c r="F168" s="12">
        <v>3.94</v>
      </c>
      <c r="G168" s="12">
        <v>4.0199999999999996</v>
      </c>
      <c r="H168" s="12">
        <v>4.79</v>
      </c>
      <c r="I168" s="12" t="s">
        <v>211</v>
      </c>
      <c r="J168" s="12">
        <v>3.79</v>
      </c>
      <c r="K168" s="12">
        <v>4.0999999999999996</v>
      </c>
      <c r="L168" s="12">
        <v>4.12</v>
      </c>
      <c r="M168" s="12">
        <v>4.21</v>
      </c>
      <c r="N168" s="12">
        <v>3.72</v>
      </c>
      <c r="O168" s="12">
        <v>3.65</v>
      </c>
      <c r="P168" s="12">
        <f t="shared" si="13"/>
        <v>4.1349999999999998</v>
      </c>
      <c r="Q168" s="12">
        <f t="shared" si="14"/>
        <v>4.1399999999999997</v>
      </c>
      <c r="R168" s="12">
        <f t="shared" si="15"/>
        <v>3.9599999999999995</v>
      </c>
      <c r="S168" s="28">
        <f>IFERROR(INDEX('Clean Gamification Data'!$B:$B,MATCH($B168,'Clean Gamification Data'!$A:$A,0)),"Not Found")</f>
        <v>84.311992259999997</v>
      </c>
      <c r="T168" s="28">
        <f>IFERROR(INDEX('Clean Gamification Data'!$C:$C,MATCH($B168,'Clean Gamification Data'!$A:$A,0)),"Not Found")</f>
        <v>75.343547939999993</v>
      </c>
      <c r="U168" s="28">
        <f>IFERROR(INDEX('Clean Gamification Data'!$D:$D,MATCH($B168,'Clean Gamification Data'!$A:$A,0)),"Not Found")</f>
        <v>76.98518661</v>
      </c>
      <c r="V168" s="28">
        <f>IFERROR(INDEX('Clean Gamification Data'!$E:$E,MATCH($B168,'Clean Gamification Data'!$A:$A,0)),"Not Found")</f>
        <v>64.161263759999997</v>
      </c>
      <c r="W168" s="28">
        <f>IFERROR(INDEX('Clean Gamification Data'!$F:$F,MATCH($B168,'Clean Gamification Data'!$A:$A,0)),"Not Found")</f>
        <v>92.650708019999996</v>
      </c>
      <c r="X168" s="28">
        <f>IFERROR(INDEX('Clean Gamification Data'!$G:$G,MATCH($B168,'Clean Gamification Data'!$A:$A,0)),"Not Found")</f>
        <v>85</v>
      </c>
      <c r="Y168" s="28">
        <f>IFERROR(INDEX('Clean Gamification Data'!$H:$H,MATCH($B168,'Clean Gamification Data'!$A:$A,0)),"Not Found")</f>
        <v>65</v>
      </c>
      <c r="Z168" s="28">
        <f>IFERROR(INDEX('Clean Gamification Data'!$I:$I,MATCH($B168,'Clean Gamification Data'!$A:$A,0)),"Not Found")</f>
        <v>62.165580120000001</v>
      </c>
      <c r="AA168" s="28">
        <f>Table1[[#This Row],[Engagement (Gamification %)]]-Table1[[#This Row],[Engagement (Non-Gamification %)]]</f>
        <v>8.9684443200000032</v>
      </c>
      <c r="AB168" s="28">
        <f>Table1[[#This Row],[Motivation (Gamification %)]]-Table1[[#This Row],[Motivation (Non-Gamification %)]]</f>
        <v>12.823922850000002</v>
      </c>
      <c r="AC168" s="28">
        <f>Table1[[#This Row],[Participation (Gamification %)]]-Table1[[#This Row],[Participation (Non-Gamification %)]]</f>
        <v>7.6507080199999962</v>
      </c>
      <c r="AD168" s="28">
        <f>Table1[[#This Row],[Learning Outcomes (Gamification %)]]-Table1[[#This Row],[Learning Outcomes (Non-Gamification %)]]</f>
        <v>2.8344198799999987</v>
      </c>
      <c r="AE168" s="44" t="str">
        <f>IF(Table1[[#This Row],[Overall Effectiveness]]&lt;3.9,"Low",IF(Table1[[#This Row],[Overall Effectiveness]]&lt;4.2,"Medium","High"))</f>
        <v>Medium</v>
      </c>
      <c r="AF168" s="30" t="str">
        <f t="shared" si="16"/>
        <v>Group Projects</v>
      </c>
      <c r="AG168" s="30" t="str">
        <f t="shared" si="17"/>
        <v>Group Projects</v>
      </c>
      <c r="AH168" s="27">
        <f>COUNTIF(Teacher_Master!$D$2:$D$16,AF168)</f>
        <v>3</v>
      </c>
      <c r="AI168" s="30" t="str">
        <f>INDEX(Teacher_Master!$B$2:$B$16,MATCH(AF168,Teacher_Master!$D$2:$D$16,0))</f>
        <v>Dr. Rohan Dutta</v>
      </c>
    </row>
    <row r="169" spans="1:35" ht="14.25" customHeight="1" x14ac:dyDescent="0.3">
      <c r="A169" s="31" t="s">
        <v>353</v>
      </c>
      <c r="B169" s="31" t="s">
        <v>2203</v>
      </c>
      <c r="C169" s="31" t="s">
        <v>2882</v>
      </c>
      <c r="D169" s="12">
        <f t="shared" ca="1" si="12"/>
        <v>22</v>
      </c>
      <c r="E169" s="12" t="str">
        <f ca="1">IF(Table1[[#This Row],[Age]]&lt;=22,"20-22",IF(Table1[[#This Row],[Age]]&lt;=25,"23-25",IF(Table1[[#This Row],[Age]]&lt;=28,"26-28","29-30")))</f>
        <v>20-22</v>
      </c>
      <c r="F169" s="12">
        <v>4.3600000000000003</v>
      </c>
      <c r="G169" s="12">
        <v>4.04</v>
      </c>
      <c r="H169" s="12">
        <v>4.53</v>
      </c>
      <c r="I169" s="12">
        <v>3.54</v>
      </c>
      <c r="J169" s="12">
        <v>3.71</v>
      </c>
      <c r="K169" s="12">
        <v>4.3899999999999997</v>
      </c>
      <c r="L169" s="12">
        <v>3.84</v>
      </c>
      <c r="M169" s="12">
        <v>3.71</v>
      </c>
      <c r="N169" s="12">
        <v>3.88</v>
      </c>
      <c r="O169" s="12">
        <v>3.81</v>
      </c>
      <c r="P169" s="12">
        <f t="shared" si="13"/>
        <v>4.0359999999999996</v>
      </c>
      <c r="Q169" s="12">
        <f t="shared" si="14"/>
        <v>4.04</v>
      </c>
      <c r="R169" s="12">
        <f t="shared" si="15"/>
        <v>3.9259999999999997</v>
      </c>
      <c r="S169" s="28">
        <f>IFERROR(INDEX('Clean Gamification Data'!$B:$B,MATCH($B169,'Clean Gamification Data'!$A:$A,0)),"Not Found")</f>
        <v>93.57099504</v>
      </c>
      <c r="T169" s="28">
        <f>IFERROR(INDEX('Clean Gamification Data'!$C:$C,MATCH($B169,'Clean Gamification Data'!$A:$A,0)),"Not Found")</f>
        <v>63.61889223</v>
      </c>
      <c r="U169" s="28">
        <f>IFERROR(INDEX('Clean Gamification Data'!$D:$D,MATCH($B169,'Clean Gamification Data'!$A:$A,0)),"Not Found")</f>
        <v>83.213938209999995</v>
      </c>
      <c r="V169" s="28">
        <f>IFERROR(INDEX('Clean Gamification Data'!$E:$E,MATCH($B169,'Clean Gamification Data'!$A:$A,0)),"Not Found")</f>
        <v>56.929064769999997</v>
      </c>
      <c r="W169" s="28">
        <f>IFERROR(INDEX('Clean Gamification Data'!$F:$F,MATCH($B169,'Clean Gamification Data'!$A:$A,0)),"Not Found")</f>
        <v>84.134326299999998</v>
      </c>
      <c r="X169" s="28">
        <f>IFERROR(INDEX('Clean Gamification Data'!$G:$G,MATCH($B169,'Clean Gamification Data'!$A:$A,0)),"Not Found")</f>
        <v>76.916155660000001</v>
      </c>
      <c r="Y169" s="28">
        <f>IFERROR(INDEX('Clean Gamification Data'!$H:$H,MATCH($B169,'Clean Gamification Data'!$A:$A,0)),"Not Found")</f>
        <v>71.926923790000004</v>
      </c>
      <c r="Z169" s="28">
        <f>IFERROR(INDEX('Clean Gamification Data'!$I:$I,MATCH($B169,'Clean Gamification Data'!$A:$A,0)),"Not Found")</f>
        <v>50</v>
      </c>
      <c r="AA169" s="28">
        <f>Table1[[#This Row],[Engagement (Gamification %)]]-Table1[[#This Row],[Engagement (Non-Gamification %)]]</f>
        <v>29.95210281</v>
      </c>
      <c r="AB169" s="28">
        <f>Table1[[#This Row],[Motivation (Gamification %)]]-Table1[[#This Row],[Motivation (Non-Gamification %)]]</f>
        <v>26.284873439999998</v>
      </c>
      <c r="AC169" s="28">
        <f>Table1[[#This Row],[Participation (Gamification %)]]-Table1[[#This Row],[Participation (Non-Gamification %)]]</f>
        <v>7.2181706399999968</v>
      </c>
      <c r="AD169" s="28">
        <f>Table1[[#This Row],[Learning Outcomes (Gamification %)]]-Table1[[#This Row],[Learning Outcomes (Non-Gamification %)]]</f>
        <v>21.926923790000004</v>
      </c>
      <c r="AE169" s="44" t="str">
        <f>IF(Table1[[#This Row],[Overall Effectiveness]]&lt;3.9,"Low",IF(Table1[[#This Row],[Overall Effectiveness]]&lt;4.2,"Medium","High"))</f>
        <v>Medium</v>
      </c>
      <c r="AF169" s="30" t="str">
        <f t="shared" si="16"/>
        <v>Group Projects</v>
      </c>
      <c r="AG169" s="30" t="str">
        <f t="shared" si="17"/>
        <v>Lectures</v>
      </c>
      <c r="AH169" s="27">
        <f>COUNTIF(Teacher_Master!$D$2:$D$16,AF169)</f>
        <v>3</v>
      </c>
      <c r="AI169" s="30" t="str">
        <f>INDEX(Teacher_Master!$B$2:$B$16,MATCH(AF169,Teacher_Master!$D$2:$D$16,0))</f>
        <v>Dr. Rohan Dutta</v>
      </c>
    </row>
    <row r="170" spans="1:35" ht="14.25" customHeight="1" x14ac:dyDescent="0.3">
      <c r="A170" s="31" t="s">
        <v>355</v>
      </c>
      <c r="B170" s="31" t="s">
        <v>2204</v>
      </c>
      <c r="C170" s="31" t="s">
        <v>2882</v>
      </c>
      <c r="D170" s="12">
        <f t="shared" ca="1" si="12"/>
        <v>21</v>
      </c>
      <c r="E170" s="12" t="str">
        <f ca="1">IF(Table1[[#This Row],[Age]]&lt;=22,"20-22",IF(Table1[[#This Row],[Age]]&lt;=25,"23-25",IF(Table1[[#This Row],[Age]]&lt;=28,"26-28","29-30")))</f>
        <v>20-22</v>
      </c>
      <c r="F170" s="12">
        <v>3.92</v>
      </c>
      <c r="G170" s="12">
        <v>4.1500000000000004</v>
      </c>
      <c r="H170" s="12">
        <v>4.6500000000000004</v>
      </c>
      <c r="I170" s="12">
        <v>3.97</v>
      </c>
      <c r="J170" s="12">
        <v>4.08</v>
      </c>
      <c r="K170" s="12" t="s">
        <v>211</v>
      </c>
      <c r="L170" s="12">
        <v>3.55</v>
      </c>
      <c r="M170" s="12">
        <v>4.17</v>
      </c>
      <c r="N170" s="12">
        <v>3.77</v>
      </c>
      <c r="O170" s="12">
        <v>4.1900000000000004</v>
      </c>
      <c r="P170" s="12">
        <f t="shared" si="13"/>
        <v>4.1540000000000008</v>
      </c>
      <c r="Q170" s="12">
        <f t="shared" si="14"/>
        <v>4.1500000000000004</v>
      </c>
      <c r="R170" s="12">
        <f t="shared" si="15"/>
        <v>3.92</v>
      </c>
      <c r="S170" s="28">
        <f>IFERROR(INDEX('Clean Gamification Data'!$B:$B,MATCH($B170,'Clean Gamification Data'!$A:$A,0)),"Not Found")</f>
        <v>84.141466399999999</v>
      </c>
      <c r="T170" s="28">
        <f>IFERROR(INDEX('Clean Gamification Data'!$C:$C,MATCH($B170,'Clean Gamification Data'!$A:$A,0)),"Not Found")</f>
        <v>78.461478400000004</v>
      </c>
      <c r="U170" s="28">
        <f>IFERROR(INDEX('Clean Gamification Data'!$D:$D,MATCH($B170,'Clean Gamification Data'!$A:$A,0)),"Not Found")</f>
        <v>72.802066960000005</v>
      </c>
      <c r="V170" s="28">
        <f>IFERROR(INDEX('Clean Gamification Data'!$E:$E,MATCH($B170,'Clean Gamification Data'!$A:$A,0)),"Not Found")</f>
        <v>68.298338979999997</v>
      </c>
      <c r="W170" s="28">
        <f>IFERROR(INDEX('Clean Gamification Data'!$F:$F,MATCH($B170,'Clean Gamification Data'!$A:$A,0)),"Not Found")</f>
        <v>99.9</v>
      </c>
      <c r="X170" s="28">
        <f>IFERROR(INDEX('Clean Gamification Data'!$G:$G,MATCH($B170,'Clean Gamification Data'!$A:$A,0)),"Not Found")</f>
        <v>74.639370540000002</v>
      </c>
      <c r="Y170" s="28">
        <f>IFERROR(INDEX('Clean Gamification Data'!$H:$H,MATCH($B170,'Clean Gamification Data'!$A:$A,0)),"Not Found")</f>
        <v>65</v>
      </c>
      <c r="Z170" s="28">
        <f>IFERROR(INDEX('Clean Gamification Data'!$I:$I,MATCH($B170,'Clean Gamification Data'!$A:$A,0)),"Not Found")</f>
        <v>60.599092589999998</v>
      </c>
      <c r="AA170" s="28">
        <f>Table1[[#This Row],[Engagement (Gamification %)]]-Table1[[#This Row],[Engagement (Non-Gamification %)]]</f>
        <v>5.6799879999999945</v>
      </c>
      <c r="AB170" s="28">
        <f>Table1[[#This Row],[Motivation (Gamification %)]]-Table1[[#This Row],[Motivation (Non-Gamification %)]]</f>
        <v>4.5037279800000078</v>
      </c>
      <c r="AC170" s="28">
        <f>Table1[[#This Row],[Participation (Gamification %)]]-Table1[[#This Row],[Participation (Non-Gamification %)]]</f>
        <v>25.260629460000004</v>
      </c>
      <c r="AD170" s="28">
        <f>Table1[[#This Row],[Learning Outcomes (Gamification %)]]-Table1[[#This Row],[Learning Outcomes (Non-Gamification %)]]</f>
        <v>4.4009074100000021</v>
      </c>
      <c r="AE170" s="44" t="str">
        <f>IF(Table1[[#This Row],[Overall Effectiveness]]&lt;3.9,"Low",IF(Table1[[#This Row],[Overall Effectiveness]]&lt;4.2,"Medium","High"))</f>
        <v>Medium</v>
      </c>
      <c r="AF170" s="30" t="str">
        <f t="shared" si="16"/>
        <v>Group Projects</v>
      </c>
      <c r="AG170" s="30" t="str">
        <f t="shared" si="17"/>
        <v>Online Tutorials</v>
      </c>
      <c r="AH170" s="27">
        <f>COUNTIF(Teacher_Master!$D$2:$D$16,AF170)</f>
        <v>3</v>
      </c>
      <c r="AI170" s="30" t="str">
        <f>INDEX(Teacher_Master!$B$2:$B$16,MATCH(AF170,Teacher_Master!$D$2:$D$16,0))</f>
        <v>Dr. Rohan Dutta</v>
      </c>
    </row>
    <row r="171" spans="1:35" ht="14.25" customHeight="1" x14ac:dyDescent="0.3">
      <c r="A171" s="31" t="s">
        <v>357</v>
      </c>
      <c r="B171" s="31" t="s">
        <v>2205</v>
      </c>
      <c r="C171" s="31" t="s">
        <v>2881</v>
      </c>
      <c r="D171" s="12">
        <f t="shared" ca="1" si="12"/>
        <v>30</v>
      </c>
      <c r="E171" s="12" t="str">
        <f ca="1">IF(Table1[[#This Row],[Age]]&lt;=22,"20-22",IF(Table1[[#This Row],[Age]]&lt;=25,"23-25",IF(Table1[[#This Row],[Age]]&lt;=28,"26-28","29-30")))</f>
        <v>29-30</v>
      </c>
      <c r="F171" s="12">
        <v>3.87</v>
      </c>
      <c r="G171" s="12">
        <v>4.0999999999999996</v>
      </c>
      <c r="H171" s="12">
        <v>4.3</v>
      </c>
      <c r="I171" s="12">
        <v>4.6500000000000004</v>
      </c>
      <c r="J171" s="12">
        <v>4.0599999999999996</v>
      </c>
      <c r="K171" s="12">
        <v>3.97</v>
      </c>
      <c r="L171" s="12">
        <v>3.81</v>
      </c>
      <c r="M171" s="12">
        <v>3.68</v>
      </c>
      <c r="N171" s="12">
        <v>4.67</v>
      </c>
      <c r="O171" s="12">
        <v>3.79</v>
      </c>
      <c r="P171" s="12">
        <f t="shared" si="13"/>
        <v>4.1959999999999997</v>
      </c>
      <c r="Q171" s="12">
        <f t="shared" si="14"/>
        <v>4.2</v>
      </c>
      <c r="R171" s="12">
        <f t="shared" si="15"/>
        <v>3.9840000000000004</v>
      </c>
      <c r="S171" s="28">
        <f>IFERROR(INDEX('Clean Gamification Data'!$B:$B,MATCH($B171,'Clean Gamification Data'!$A:$A,0)),"Not Found")</f>
        <v>86.370312209999994</v>
      </c>
      <c r="T171" s="28">
        <f>IFERROR(INDEX('Clean Gamification Data'!$C:$C,MATCH($B171,'Clean Gamification Data'!$A:$A,0)),"Not Found")</f>
        <v>74.037704730000002</v>
      </c>
      <c r="U171" s="28">
        <f>IFERROR(INDEX('Clean Gamification Data'!$D:$D,MATCH($B171,'Clean Gamification Data'!$A:$A,0)),"Not Found")</f>
        <v>76.135645010000005</v>
      </c>
      <c r="V171" s="28">
        <f>IFERROR(INDEX('Clean Gamification Data'!$E:$E,MATCH($B171,'Clean Gamification Data'!$A:$A,0)),"Not Found")</f>
        <v>64.268718820000004</v>
      </c>
      <c r="W171" s="28">
        <f>IFERROR(INDEX('Clean Gamification Data'!$F:$F,MATCH($B171,'Clean Gamification Data'!$A:$A,0)),"Not Found")</f>
        <v>81.264458469999994</v>
      </c>
      <c r="X171" s="28">
        <f>IFERROR(INDEX('Clean Gamification Data'!$G:$G,MATCH($B171,'Clean Gamification Data'!$A:$A,0)),"Not Found")</f>
        <v>79.597225800000004</v>
      </c>
      <c r="Y171" s="28">
        <f>IFERROR(INDEX('Clean Gamification Data'!$H:$H,MATCH($B171,'Clean Gamification Data'!$A:$A,0)),"Not Found")</f>
        <v>77.992151649999997</v>
      </c>
      <c r="Z171" s="28">
        <f>IFERROR(INDEX('Clean Gamification Data'!$I:$I,MATCH($B171,'Clean Gamification Data'!$A:$A,0)),"Not Found")</f>
        <v>50.908587519999998</v>
      </c>
      <c r="AA171" s="28">
        <f>Table1[[#This Row],[Engagement (Gamification %)]]-Table1[[#This Row],[Engagement (Non-Gamification %)]]</f>
        <v>12.332607479999993</v>
      </c>
      <c r="AB171" s="28">
        <f>Table1[[#This Row],[Motivation (Gamification %)]]-Table1[[#This Row],[Motivation (Non-Gamification %)]]</f>
        <v>11.866926190000001</v>
      </c>
      <c r="AC171" s="28">
        <f>Table1[[#This Row],[Participation (Gamification %)]]-Table1[[#This Row],[Participation (Non-Gamification %)]]</f>
        <v>1.66723266999999</v>
      </c>
      <c r="AD171" s="28">
        <f>Table1[[#This Row],[Learning Outcomes (Gamification %)]]-Table1[[#This Row],[Learning Outcomes (Non-Gamification %)]]</f>
        <v>27.083564129999999</v>
      </c>
      <c r="AE171" s="44" t="str">
        <f>IF(Table1[[#This Row],[Overall Effectiveness]]&lt;3.9,"Low",IF(Table1[[#This Row],[Overall Effectiveness]]&lt;4.2,"Medium","High"))</f>
        <v>Medium</v>
      </c>
      <c r="AF171" s="30" t="str">
        <f t="shared" si="16"/>
        <v>Experiments</v>
      </c>
      <c r="AG171" s="30" t="str">
        <f t="shared" si="17"/>
        <v>Experiments</v>
      </c>
      <c r="AH171" s="27">
        <f>COUNTIF(Teacher_Master!$D$2:$D$16,AF171)</f>
        <v>3</v>
      </c>
      <c r="AI171" s="30" t="str">
        <f>INDEX(Teacher_Master!$B$2:$B$16,MATCH(AF171,Teacher_Master!$D$2:$D$16,0))</f>
        <v>Prof. Rahul Singh</v>
      </c>
    </row>
    <row r="172" spans="1:35" ht="14.25" customHeight="1" x14ac:dyDescent="0.3">
      <c r="A172" s="31" t="s">
        <v>359</v>
      </c>
      <c r="B172" s="31" t="s">
        <v>360</v>
      </c>
      <c r="C172" s="31" t="s">
        <v>2881</v>
      </c>
      <c r="D172" s="12">
        <f t="shared" ca="1" si="12"/>
        <v>28</v>
      </c>
      <c r="E172" s="12" t="str">
        <f ca="1">IF(Table1[[#This Row],[Age]]&lt;=22,"20-22",IF(Table1[[#This Row],[Age]]&lt;=25,"23-25",IF(Table1[[#This Row],[Age]]&lt;=28,"26-28","29-30")))</f>
        <v>26-28</v>
      </c>
      <c r="F172" s="12">
        <v>4.4400000000000004</v>
      </c>
      <c r="G172" s="12">
        <v>4.2300000000000004</v>
      </c>
      <c r="H172" s="12">
        <v>3.6</v>
      </c>
      <c r="I172" s="12">
        <v>4.21</v>
      </c>
      <c r="J172" s="12">
        <v>4.22</v>
      </c>
      <c r="K172" s="12">
        <v>3.88</v>
      </c>
      <c r="L172" s="12">
        <v>4.38</v>
      </c>
      <c r="M172" s="12">
        <v>4.1399999999999997</v>
      </c>
      <c r="N172" s="12">
        <v>3.53</v>
      </c>
      <c r="O172" s="12">
        <v>3.92</v>
      </c>
      <c r="P172" s="12">
        <f t="shared" si="13"/>
        <v>4.1399999999999997</v>
      </c>
      <c r="Q172" s="12">
        <f t="shared" si="14"/>
        <v>4.1399999999999997</v>
      </c>
      <c r="R172" s="12">
        <f t="shared" si="15"/>
        <v>3.9699999999999998</v>
      </c>
      <c r="S172" s="28">
        <f>IFERROR(INDEX('Clean Gamification Data'!$B:$B,MATCH($B172,'Clean Gamification Data'!$A:$A,0)),"Not Found")</f>
        <v>84.560327189999995</v>
      </c>
      <c r="T172" s="28">
        <f>IFERROR(INDEX('Clean Gamification Data'!$C:$C,MATCH($B172,'Clean Gamification Data'!$A:$A,0)),"Not Found")</f>
        <v>69.070561530000006</v>
      </c>
      <c r="U172" s="28">
        <f>IFERROR(INDEX('Clean Gamification Data'!$D:$D,MATCH($B172,'Clean Gamification Data'!$A:$A,0)),"Not Found")</f>
        <v>76.631235489999995</v>
      </c>
      <c r="V172" s="28">
        <f>IFERROR(INDEX('Clean Gamification Data'!$E:$E,MATCH($B172,'Clean Gamification Data'!$A:$A,0)),"Not Found")</f>
        <v>67.728060619999994</v>
      </c>
      <c r="W172" s="28">
        <f>IFERROR(INDEX('Clean Gamification Data'!$F:$F,MATCH($B172,'Clean Gamification Data'!$A:$A,0)),"Not Found")</f>
        <v>95.410822490000001</v>
      </c>
      <c r="X172" s="28">
        <f>IFERROR(INDEX('Clean Gamification Data'!$G:$G,MATCH($B172,'Clean Gamification Data'!$A:$A,0)),"Not Found")</f>
        <v>85</v>
      </c>
      <c r="Y172" s="28">
        <f>IFERROR(INDEX('Clean Gamification Data'!$H:$H,MATCH($B172,'Clean Gamification Data'!$A:$A,0)),"Not Found")</f>
        <v>71.291920899999994</v>
      </c>
      <c r="Z172" s="28">
        <f>IFERROR(INDEX('Clean Gamification Data'!$I:$I,MATCH($B172,'Clean Gamification Data'!$A:$A,0)),"Not Found")</f>
        <v>62.12483967</v>
      </c>
      <c r="AA172" s="28">
        <f>Table1[[#This Row],[Engagement (Gamification %)]]-Table1[[#This Row],[Engagement (Non-Gamification %)]]</f>
        <v>15.489765659999989</v>
      </c>
      <c r="AB172" s="28">
        <f>Table1[[#This Row],[Motivation (Gamification %)]]-Table1[[#This Row],[Motivation (Non-Gamification %)]]</f>
        <v>8.9031748700000009</v>
      </c>
      <c r="AC172" s="28">
        <f>Table1[[#This Row],[Participation (Gamification %)]]-Table1[[#This Row],[Participation (Non-Gamification %)]]</f>
        <v>10.410822490000001</v>
      </c>
      <c r="AD172" s="28">
        <f>Table1[[#This Row],[Learning Outcomes (Gamification %)]]-Table1[[#This Row],[Learning Outcomes (Non-Gamification %)]]</f>
        <v>9.1670812299999938</v>
      </c>
      <c r="AE172" s="44" t="str">
        <f>IF(Table1[[#This Row],[Overall Effectiveness]]&lt;3.9,"Low",IF(Table1[[#This Row],[Overall Effectiveness]]&lt;4.2,"Medium","High"))</f>
        <v>Medium</v>
      </c>
      <c r="AF172" s="30" t="str">
        <f t="shared" si="16"/>
        <v>Lectures</v>
      </c>
      <c r="AG172" s="30" t="str">
        <f t="shared" si="17"/>
        <v>Case Studies</v>
      </c>
      <c r="AH172" s="27">
        <f>COUNTIF(Teacher_Master!$D$2:$D$16,AF172)</f>
        <v>3</v>
      </c>
      <c r="AI172" s="30" t="str">
        <f>INDEX(Teacher_Master!$B$2:$B$16,MATCH(AF172,Teacher_Master!$D$2:$D$16,0))</f>
        <v>Prof. Vikram Gupta</v>
      </c>
    </row>
    <row r="173" spans="1:35" ht="14.25" customHeight="1" x14ac:dyDescent="0.3">
      <c r="A173" s="31" t="s">
        <v>361</v>
      </c>
      <c r="B173" s="31" t="s">
        <v>2206</v>
      </c>
      <c r="C173" s="31" t="s">
        <v>2882</v>
      </c>
      <c r="D173" s="12">
        <f t="shared" ca="1" si="12"/>
        <v>21</v>
      </c>
      <c r="E173" s="12" t="str">
        <f ca="1">IF(Table1[[#This Row],[Age]]&lt;=22,"20-22",IF(Table1[[#This Row],[Age]]&lt;=25,"23-25",IF(Table1[[#This Row],[Age]]&lt;=28,"26-28","29-30")))</f>
        <v>20-22</v>
      </c>
      <c r="F173" s="12">
        <v>3.79</v>
      </c>
      <c r="G173" s="12">
        <v>4.04</v>
      </c>
      <c r="H173" s="12">
        <v>4.26</v>
      </c>
      <c r="I173" s="12">
        <v>3.57</v>
      </c>
      <c r="J173" s="12">
        <v>3.87</v>
      </c>
      <c r="K173" s="12">
        <v>4.4400000000000004</v>
      </c>
      <c r="L173" s="12">
        <v>3.92</v>
      </c>
      <c r="M173" s="12">
        <v>3.8</v>
      </c>
      <c r="N173" s="12">
        <v>3.99</v>
      </c>
      <c r="O173" s="12">
        <v>4.22</v>
      </c>
      <c r="P173" s="12">
        <f t="shared" si="13"/>
        <v>3.9060000000000001</v>
      </c>
      <c r="Q173" s="12">
        <f t="shared" si="14"/>
        <v>3.91</v>
      </c>
      <c r="R173" s="12">
        <f t="shared" si="15"/>
        <v>4.0739999999999998</v>
      </c>
      <c r="S173" s="28">
        <f>IFERROR(INDEX('Clean Gamification Data'!$B:$B,MATCH($B173,'Clean Gamification Data'!$A:$A,0)),"Not Found")</f>
        <v>80.748358069999995</v>
      </c>
      <c r="T173" s="28">
        <f>IFERROR(INDEX('Clean Gamification Data'!$C:$C,MATCH($B173,'Clean Gamification Data'!$A:$A,0)),"Not Found")</f>
        <v>80</v>
      </c>
      <c r="U173" s="28">
        <f>IFERROR(INDEX('Clean Gamification Data'!$D:$D,MATCH($B173,'Clean Gamification Data'!$A:$A,0)),"Not Found")</f>
        <v>70</v>
      </c>
      <c r="V173" s="28">
        <f>IFERROR(INDEX('Clean Gamification Data'!$E:$E,MATCH($B173,'Clean Gamification Data'!$A:$A,0)),"Not Found")</f>
        <v>63.476688179999996</v>
      </c>
      <c r="W173" s="28">
        <f>IFERROR(INDEX('Clean Gamification Data'!$F:$F,MATCH($B173,'Clean Gamification Data'!$A:$A,0)),"Not Found")</f>
        <v>87.713670780000001</v>
      </c>
      <c r="X173" s="28">
        <f>IFERROR(INDEX('Clean Gamification Data'!$G:$G,MATCH($B173,'Clean Gamification Data'!$A:$A,0)),"Not Found")</f>
        <v>83.111586990000006</v>
      </c>
      <c r="Y173" s="28">
        <f>IFERROR(INDEX('Clean Gamification Data'!$H:$H,MATCH($B173,'Clean Gamification Data'!$A:$A,0)),"Not Found")</f>
        <v>68.279577059999994</v>
      </c>
      <c r="Z173" s="28">
        <f>IFERROR(INDEX('Clean Gamification Data'!$I:$I,MATCH($B173,'Clean Gamification Data'!$A:$A,0)),"Not Found")</f>
        <v>62.34372329</v>
      </c>
      <c r="AA173" s="28">
        <f>Table1[[#This Row],[Engagement (Gamification %)]]-Table1[[#This Row],[Engagement (Non-Gamification %)]]</f>
        <v>0.74835806999999477</v>
      </c>
      <c r="AB173" s="28">
        <f>Table1[[#This Row],[Motivation (Gamification %)]]-Table1[[#This Row],[Motivation (Non-Gamification %)]]</f>
        <v>6.5233118200000035</v>
      </c>
      <c r="AC173" s="28">
        <f>Table1[[#This Row],[Participation (Gamification %)]]-Table1[[#This Row],[Participation (Non-Gamification %)]]</f>
        <v>4.6020837899999947</v>
      </c>
      <c r="AD173" s="28">
        <f>Table1[[#This Row],[Learning Outcomes (Gamification %)]]-Table1[[#This Row],[Learning Outcomes (Non-Gamification %)]]</f>
        <v>5.9358537699999943</v>
      </c>
      <c r="AE173" s="44" t="str">
        <f>IF(Table1[[#This Row],[Overall Effectiveness]]&lt;3.9,"Low",IF(Table1[[#This Row],[Overall Effectiveness]]&lt;4.2,"Medium","High"))</f>
        <v>Medium</v>
      </c>
      <c r="AF173" s="30" t="str">
        <f t="shared" si="16"/>
        <v>Group Projects</v>
      </c>
      <c r="AG173" s="30" t="str">
        <f t="shared" si="17"/>
        <v>Lectures</v>
      </c>
      <c r="AH173" s="27">
        <f>COUNTIF(Teacher_Master!$D$2:$D$16,AF173)</f>
        <v>3</v>
      </c>
      <c r="AI173" s="30" t="str">
        <f>INDEX(Teacher_Master!$B$2:$B$16,MATCH(AF173,Teacher_Master!$D$2:$D$16,0))</f>
        <v>Dr. Rohan Dutta</v>
      </c>
    </row>
    <row r="174" spans="1:35" ht="14.25" customHeight="1" x14ac:dyDescent="0.3">
      <c r="A174" s="31" t="s">
        <v>363</v>
      </c>
      <c r="B174" s="31" t="s">
        <v>2207</v>
      </c>
      <c r="C174" s="31" t="s">
        <v>2881</v>
      </c>
      <c r="D174" s="12">
        <f t="shared" ca="1" si="12"/>
        <v>20</v>
      </c>
      <c r="E174" s="12" t="str">
        <f ca="1">IF(Table1[[#This Row],[Age]]&lt;=22,"20-22",IF(Table1[[#This Row],[Age]]&lt;=25,"23-25",IF(Table1[[#This Row],[Age]]&lt;=28,"26-28","29-30")))</f>
        <v>20-22</v>
      </c>
      <c r="F174" s="12">
        <v>3.83</v>
      </c>
      <c r="G174" s="12">
        <v>4.18</v>
      </c>
      <c r="H174" s="12">
        <v>3.65</v>
      </c>
      <c r="I174" s="12">
        <v>3.9</v>
      </c>
      <c r="J174" s="12">
        <v>4.03</v>
      </c>
      <c r="K174" s="12">
        <v>3.85</v>
      </c>
      <c r="L174" s="12">
        <v>3.87</v>
      </c>
      <c r="M174" s="12">
        <v>3.68</v>
      </c>
      <c r="N174" s="12">
        <v>4.33</v>
      </c>
      <c r="O174" s="12">
        <v>4.1399999999999997</v>
      </c>
      <c r="P174" s="12">
        <f t="shared" si="13"/>
        <v>3.9180000000000001</v>
      </c>
      <c r="Q174" s="12">
        <f t="shared" si="14"/>
        <v>3.92</v>
      </c>
      <c r="R174" s="12">
        <f t="shared" si="15"/>
        <v>3.9740000000000002</v>
      </c>
      <c r="S174" s="28">
        <f>IFERROR(INDEX('Clean Gamification Data'!$B:$B,MATCH($B174,'Clean Gamification Data'!$A:$A,0)),"Not Found")</f>
        <v>94.883574390000007</v>
      </c>
      <c r="T174" s="28">
        <f>IFERROR(INDEX('Clean Gamification Data'!$C:$C,MATCH($B174,'Clean Gamification Data'!$A:$A,0)),"Not Found")</f>
        <v>70.207143889999998</v>
      </c>
      <c r="U174" s="28">
        <f>IFERROR(INDEX('Clean Gamification Data'!$D:$D,MATCH($B174,'Clean Gamification Data'!$A:$A,0)),"Not Found")</f>
        <v>75.299082220000003</v>
      </c>
      <c r="V174" s="28">
        <f>IFERROR(INDEX('Clean Gamification Data'!$E:$E,MATCH($B174,'Clean Gamification Data'!$A:$A,0)),"Not Found")</f>
        <v>73.97692936</v>
      </c>
      <c r="W174" s="28">
        <f>IFERROR(INDEX('Clean Gamification Data'!$F:$F,MATCH($B174,'Clean Gamification Data'!$A:$A,0)),"Not Found")</f>
        <v>94.744477840000002</v>
      </c>
      <c r="X174" s="28">
        <f>IFERROR(INDEX('Clean Gamification Data'!$G:$G,MATCH($B174,'Clean Gamification Data'!$A:$A,0)),"Not Found")</f>
        <v>85</v>
      </c>
      <c r="Y174" s="28">
        <f>IFERROR(INDEX('Clean Gamification Data'!$H:$H,MATCH($B174,'Clean Gamification Data'!$A:$A,0)),"Not Found")</f>
        <v>71.701559380000006</v>
      </c>
      <c r="Z174" s="28">
        <f>IFERROR(INDEX('Clean Gamification Data'!$I:$I,MATCH($B174,'Clean Gamification Data'!$A:$A,0)),"Not Found")</f>
        <v>69.227719089999994</v>
      </c>
      <c r="AA174" s="28">
        <f>Table1[[#This Row],[Engagement (Gamification %)]]-Table1[[#This Row],[Engagement (Non-Gamification %)]]</f>
        <v>24.676430500000009</v>
      </c>
      <c r="AB174" s="28">
        <f>Table1[[#This Row],[Motivation (Gamification %)]]-Table1[[#This Row],[Motivation (Non-Gamification %)]]</f>
        <v>1.3221528600000028</v>
      </c>
      <c r="AC174" s="28">
        <f>Table1[[#This Row],[Participation (Gamification %)]]-Table1[[#This Row],[Participation (Non-Gamification %)]]</f>
        <v>9.7444778400000018</v>
      </c>
      <c r="AD174" s="28">
        <f>Table1[[#This Row],[Learning Outcomes (Gamification %)]]-Table1[[#This Row],[Learning Outcomes (Non-Gamification %)]]</f>
        <v>2.4738402900000125</v>
      </c>
      <c r="AE174" s="44" t="str">
        <f>IF(Table1[[#This Row],[Overall Effectiveness]]&lt;3.9,"Low",IF(Table1[[#This Row],[Overall Effectiveness]]&lt;4.2,"Medium","High"))</f>
        <v>Medium</v>
      </c>
      <c r="AF174" s="30" t="str">
        <f t="shared" si="16"/>
        <v>Case Studies</v>
      </c>
      <c r="AG174" s="30" t="str">
        <f t="shared" si="17"/>
        <v>Experiments</v>
      </c>
      <c r="AH174" s="27">
        <f>COUNTIF(Teacher_Master!$D$2:$D$16,AF174)</f>
        <v>3</v>
      </c>
      <c r="AI174" s="30" t="str">
        <f>INDEX(Teacher_Master!$B$2:$B$16,MATCH(AF174,Teacher_Master!$D$2:$D$16,0))</f>
        <v>Prof. Rajesh Mukherjee</v>
      </c>
    </row>
    <row r="175" spans="1:35" ht="14.25" customHeight="1" x14ac:dyDescent="0.3">
      <c r="A175" s="31" t="s">
        <v>365</v>
      </c>
      <c r="B175" s="31" t="s">
        <v>2208</v>
      </c>
      <c r="C175" s="31" t="s">
        <v>2881</v>
      </c>
      <c r="D175" s="12">
        <f t="shared" ca="1" si="12"/>
        <v>29</v>
      </c>
      <c r="E175" s="12" t="str">
        <f ca="1">IF(Table1[[#This Row],[Age]]&lt;=22,"20-22",IF(Table1[[#This Row],[Age]]&lt;=25,"23-25",IF(Table1[[#This Row],[Age]]&lt;=28,"26-28","29-30")))</f>
        <v>29-30</v>
      </c>
      <c r="F175" s="12">
        <v>3.91</v>
      </c>
      <c r="G175" s="12">
        <v>4.3499999999999996</v>
      </c>
      <c r="H175" s="12">
        <v>4.2300000000000004</v>
      </c>
      <c r="I175" s="12">
        <v>4.3</v>
      </c>
      <c r="J175" s="12">
        <v>4.0599999999999996</v>
      </c>
      <c r="K175" s="12">
        <v>3.69</v>
      </c>
      <c r="L175" s="12">
        <v>4.21</v>
      </c>
      <c r="M175" s="12">
        <v>3.83</v>
      </c>
      <c r="N175" s="12">
        <v>3.9</v>
      </c>
      <c r="O175" s="12">
        <v>3.49</v>
      </c>
      <c r="P175" s="12">
        <f t="shared" si="13"/>
        <v>4.17</v>
      </c>
      <c r="Q175" s="12">
        <f t="shared" si="14"/>
        <v>4.17</v>
      </c>
      <c r="R175" s="12">
        <f t="shared" si="15"/>
        <v>3.8240000000000003</v>
      </c>
      <c r="S175" s="28">
        <f>IFERROR(INDEX('Clean Gamification Data'!$B:$B,MATCH($B175,'Clean Gamification Data'!$A:$A,0)),"Not Found")</f>
        <v>83.094271250000006</v>
      </c>
      <c r="T175" s="28">
        <f>IFERROR(INDEX('Clean Gamification Data'!$C:$C,MATCH($B175,'Clean Gamification Data'!$A:$A,0)),"Not Found")</f>
        <v>64.492443530000003</v>
      </c>
      <c r="U175" s="28">
        <f>IFERROR(INDEX('Clean Gamification Data'!$D:$D,MATCH($B175,'Clean Gamification Data'!$A:$A,0)),"Not Found")</f>
        <v>78.019413520000001</v>
      </c>
      <c r="V175" s="28">
        <f>IFERROR(INDEX('Clean Gamification Data'!$E:$E,MATCH($B175,'Clean Gamification Data'!$A:$A,0)),"Not Found")</f>
        <v>67.837452350000007</v>
      </c>
      <c r="W175" s="28">
        <f>IFERROR(INDEX('Clean Gamification Data'!$F:$F,MATCH($B175,'Clean Gamification Data'!$A:$A,0)),"Not Found")</f>
        <v>89.934420320000001</v>
      </c>
      <c r="X175" s="28">
        <f>IFERROR(INDEX('Clean Gamification Data'!$G:$G,MATCH($B175,'Clean Gamification Data'!$A:$A,0)),"Not Found")</f>
        <v>76.941657820000003</v>
      </c>
      <c r="Y175" s="28">
        <f>IFERROR(INDEX('Clean Gamification Data'!$H:$H,MATCH($B175,'Clean Gamification Data'!$A:$A,0)),"Not Found")</f>
        <v>69.326993860000002</v>
      </c>
      <c r="Z175" s="28">
        <f>IFERROR(INDEX('Clean Gamification Data'!$I:$I,MATCH($B175,'Clean Gamification Data'!$A:$A,0)),"Not Found")</f>
        <v>53.554494949999999</v>
      </c>
      <c r="AA175" s="28">
        <f>Table1[[#This Row],[Engagement (Gamification %)]]-Table1[[#This Row],[Engagement (Non-Gamification %)]]</f>
        <v>18.601827720000003</v>
      </c>
      <c r="AB175" s="28">
        <f>Table1[[#This Row],[Motivation (Gamification %)]]-Table1[[#This Row],[Motivation (Non-Gamification %)]]</f>
        <v>10.181961169999994</v>
      </c>
      <c r="AC175" s="28">
        <f>Table1[[#This Row],[Participation (Gamification %)]]-Table1[[#This Row],[Participation (Non-Gamification %)]]</f>
        <v>12.992762499999998</v>
      </c>
      <c r="AD175" s="28">
        <f>Table1[[#This Row],[Learning Outcomes (Gamification %)]]-Table1[[#This Row],[Learning Outcomes (Non-Gamification %)]]</f>
        <v>15.772498910000003</v>
      </c>
      <c r="AE175" s="44" t="str">
        <f>IF(Table1[[#This Row],[Overall Effectiveness]]&lt;3.9,"Low",IF(Table1[[#This Row],[Overall Effectiveness]]&lt;4.2,"Medium","High"))</f>
        <v>Medium</v>
      </c>
      <c r="AF175" s="30" t="str">
        <f t="shared" si="16"/>
        <v>Case Studies</v>
      </c>
      <c r="AG175" s="30" t="str">
        <f t="shared" si="17"/>
        <v>Case Studies</v>
      </c>
      <c r="AH175" s="27">
        <f>COUNTIF(Teacher_Master!$D$2:$D$16,AF175)</f>
        <v>3</v>
      </c>
      <c r="AI175" s="30" t="str">
        <f>INDEX(Teacher_Master!$B$2:$B$16,MATCH(AF175,Teacher_Master!$D$2:$D$16,0))</f>
        <v>Prof. Rajesh Mukherjee</v>
      </c>
    </row>
    <row r="176" spans="1:35" ht="14.25" customHeight="1" x14ac:dyDescent="0.3">
      <c r="A176" s="31" t="s">
        <v>367</v>
      </c>
      <c r="B176" s="31" t="s">
        <v>2209</v>
      </c>
      <c r="C176" s="31" t="s">
        <v>2882</v>
      </c>
      <c r="D176" s="12">
        <f t="shared" ca="1" si="12"/>
        <v>24</v>
      </c>
      <c r="E176" s="12" t="str">
        <f ca="1">IF(Table1[[#This Row],[Age]]&lt;=22,"20-22",IF(Table1[[#This Row],[Age]]&lt;=25,"23-25",IF(Table1[[#This Row],[Age]]&lt;=28,"26-28","29-30")))</f>
        <v>23-25</v>
      </c>
      <c r="F176" s="12">
        <v>4.45</v>
      </c>
      <c r="G176" s="12">
        <v>3.97</v>
      </c>
      <c r="H176" s="12" t="s">
        <v>211</v>
      </c>
      <c r="I176" s="12">
        <v>4.2300000000000004</v>
      </c>
      <c r="J176" s="12">
        <v>4.18</v>
      </c>
      <c r="K176" s="12">
        <v>4.49</v>
      </c>
      <c r="L176" s="12" t="s">
        <v>369</v>
      </c>
      <c r="M176" s="12">
        <v>3.76</v>
      </c>
      <c r="N176" s="12">
        <v>4.4800000000000004</v>
      </c>
      <c r="O176" s="12">
        <v>4.33</v>
      </c>
      <c r="P176" s="12">
        <f t="shared" si="13"/>
        <v>4.2074999999999996</v>
      </c>
      <c r="Q176" s="12">
        <f t="shared" si="14"/>
        <v>4.21</v>
      </c>
      <c r="R176" s="12">
        <f t="shared" si="15"/>
        <v>4.2650000000000006</v>
      </c>
      <c r="S176" s="28">
        <f>IFERROR(INDEX('Clean Gamification Data'!$B:$B,MATCH($B176,'Clean Gamification Data'!$A:$A,0)),"Not Found")</f>
        <v>91.261103599999998</v>
      </c>
      <c r="T176" s="28">
        <f>IFERROR(INDEX('Clean Gamification Data'!$C:$C,MATCH($B176,'Clean Gamification Data'!$A:$A,0)),"Not Found")</f>
        <v>65.008711989999995</v>
      </c>
      <c r="U176" s="28">
        <f>IFERROR(INDEX('Clean Gamification Data'!$D:$D,MATCH($B176,'Clean Gamification Data'!$A:$A,0)),"Not Found")</f>
        <v>74.157482369999997</v>
      </c>
      <c r="V176" s="28">
        <f>IFERROR(INDEX('Clean Gamification Data'!$E:$E,MATCH($B176,'Clean Gamification Data'!$A:$A,0)),"Not Found")</f>
        <v>71.24109009</v>
      </c>
      <c r="W176" s="28">
        <f>IFERROR(INDEX('Clean Gamification Data'!$F:$F,MATCH($B176,'Clean Gamification Data'!$A:$A,0)),"Not Found")</f>
        <v>81.385764839999993</v>
      </c>
      <c r="X176" s="28">
        <f>IFERROR(INDEX('Clean Gamification Data'!$G:$G,MATCH($B176,'Clean Gamification Data'!$A:$A,0)),"Not Found")</f>
        <v>80.769353159999994</v>
      </c>
      <c r="Y176" s="28">
        <f>IFERROR(INDEX('Clean Gamification Data'!$H:$H,MATCH($B176,'Clean Gamification Data'!$A:$A,0)),"Not Found")</f>
        <v>77.482465259999998</v>
      </c>
      <c r="Z176" s="28">
        <f>IFERROR(INDEX('Clean Gamification Data'!$I:$I,MATCH($B176,'Clean Gamification Data'!$A:$A,0)),"Not Found")</f>
        <v>52.774391569999999</v>
      </c>
      <c r="AA176" s="28">
        <f>Table1[[#This Row],[Engagement (Gamification %)]]-Table1[[#This Row],[Engagement (Non-Gamification %)]]</f>
        <v>26.252391610000004</v>
      </c>
      <c r="AB176" s="28">
        <f>Table1[[#This Row],[Motivation (Gamification %)]]-Table1[[#This Row],[Motivation (Non-Gamification %)]]</f>
        <v>2.9163922799999966</v>
      </c>
      <c r="AC176" s="28">
        <f>Table1[[#This Row],[Participation (Gamification %)]]-Table1[[#This Row],[Participation (Non-Gamification %)]]</f>
        <v>0.6164116799999988</v>
      </c>
      <c r="AD176" s="28">
        <f>Table1[[#This Row],[Learning Outcomes (Gamification %)]]-Table1[[#This Row],[Learning Outcomes (Non-Gamification %)]]</f>
        <v>24.708073689999999</v>
      </c>
      <c r="AE176" s="44" t="str">
        <f>IF(Table1[[#This Row],[Overall Effectiveness]]&lt;3.9,"Low",IF(Table1[[#This Row],[Overall Effectiveness]]&lt;4.2,"Medium","High"))</f>
        <v>High</v>
      </c>
      <c r="AF176" s="30" t="str">
        <f t="shared" si="16"/>
        <v>Lectures</v>
      </c>
      <c r="AG176" s="30" t="str">
        <f t="shared" si="17"/>
        <v>Lectures</v>
      </c>
      <c r="AH176" s="27">
        <f>COUNTIF(Teacher_Master!$D$2:$D$16,AF176)</f>
        <v>3</v>
      </c>
      <c r="AI176" s="30" t="str">
        <f>INDEX(Teacher_Master!$B$2:$B$16,MATCH(AF176,Teacher_Master!$D$2:$D$16,0))</f>
        <v>Prof. Vikram Gupta</v>
      </c>
    </row>
    <row r="177" spans="1:35" ht="14.25" customHeight="1" x14ac:dyDescent="0.3">
      <c r="A177" s="31" t="s">
        <v>370</v>
      </c>
      <c r="B177" s="31" t="s">
        <v>2210</v>
      </c>
      <c r="C177" s="31" t="s">
        <v>2881</v>
      </c>
      <c r="D177" s="12">
        <f t="shared" ca="1" si="12"/>
        <v>21</v>
      </c>
      <c r="E177" s="12" t="str">
        <f ca="1">IF(Table1[[#This Row],[Age]]&lt;=22,"20-22",IF(Table1[[#This Row],[Age]]&lt;=25,"23-25",IF(Table1[[#This Row],[Age]]&lt;=28,"26-28","29-30")))</f>
        <v>20-22</v>
      </c>
      <c r="F177" s="12">
        <v>3.99</v>
      </c>
      <c r="G177" s="12">
        <v>4.53</v>
      </c>
      <c r="H177" s="12">
        <v>3.53</v>
      </c>
      <c r="I177" s="12">
        <v>3.66</v>
      </c>
      <c r="J177" s="12">
        <v>4.26</v>
      </c>
      <c r="K177" s="12">
        <v>4.55</v>
      </c>
      <c r="L177" s="12">
        <v>3.98</v>
      </c>
      <c r="M177" s="12">
        <v>3.65</v>
      </c>
      <c r="N177" s="12">
        <v>3.41</v>
      </c>
      <c r="O177" s="12">
        <v>4.13</v>
      </c>
      <c r="P177" s="12">
        <f t="shared" si="13"/>
        <v>3.9939999999999998</v>
      </c>
      <c r="Q177" s="12">
        <f t="shared" si="14"/>
        <v>3.99</v>
      </c>
      <c r="R177" s="12">
        <f t="shared" si="15"/>
        <v>3.944</v>
      </c>
      <c r="S177" s="28">
        <f>IFERROR(INDEX('Clean Gamification Data'!$B:$B,MATCH($B177,'Clean Gamification Data'!$A:$A,0)),"Not Found")</f>
        <v>84.979553780000003</v>
      </c>
      <c r="T177" s="28">
        <f>IFERROR(INDEX('Clean Gamification Data'!$C:$C,MATCH($B177,'Clean Gamification Data'!$A:$A,0)),"Not Found")</f>
        <v>66.490627869999997</v>
      </c>
      <c r="U177" s="28">
        <f>IFERROR(INDEX('Clean Gamification Data'!$D:$D,MATCH($B177,'Clean Gamification Data'!$A:$A,0)),"Not Found")</f>
        <v>79.154959939999998</v>
      </c>
      <c r="V177" s="28">
        <f>IFERROR(INDEX('Clean Gamification Data'!$E:$E,MATCH($B177,'Clean Gamification Data'!$A:$A,0)),"Not Found")</f>
        <v>67.367067739999996</v>
      </c>
      <c r="W177" s="28">
        <f>IFERROR(INDEX('Clean Gamification Data'!$F:$F,MATCH($B177,'Clean Gamification Data'!$A:$A,0)),"Not Found")</f>
        <v>94.978111659999996</v>
      </c>
      <c r="X177" s="28">
        <f>IFERROR(INDEX('Clean Gamification Data'!$G:$G,MATCH($B177,'Clean Gamification Data'!$A:$A,0)),"Not Found")</f>
        <v>81.775970999999998</v>
      </c>
      <c r="Y177" s="28">
        <f>IFERROR(INDEX('Clean Gamification Data'!$H:$H,MATCH($B177,'Clean Gamification Data'!$A:$A,0)),"Not Found")</f>
        <v>76.116478839999999</v>
      </c>
      <c r="Z177" s="28">
        <f>IFERROR(INDEX('Clean Gamification Data'!$I:$I,MATCH($B177,'Clean Gamification Data'!$A:$A,0)),"Not Found")</f>
        <v>55.368677480000002</v>
      </c>
      <c r="AA177" s="28">
        <f>Table1[[#This Row],[Engagement (Gamification %)]]-Table1[[#This Row],[Engagement (Non-Gamification %)]]</f>
        <v>18.488925910000006</v>
      </c>
      <c r="AB177" s="28">
        <f>Table1[[#This Row],[Motivation (Gamification %)]]-Table1[[#This Row],[Motivation (Non-Gamification %)]]</f>
        <v>11.787892200000002</v>
      </c>
      <c r="AC177" s="28">
        <f>Table1[[#This Row],[Participation (Gamification %)]]-Table1[[#This Row],[Participation (Non-Gamification %)]]</f>
        <v>13.202140659999998</v>
      </c>
      <c r="AD177" s="28">
        <f>Table1[[#This Row],[Learning Outcomes (Gamification %)]]-Table1[[#This Row],[Learning Outcomes (Non-Gamification %)]]</f>
        <v>20.747801359999997</v>
      </c>
      <c r="AE177" s="44" t="str">
        <f>IF(Table1[[#This Row],[Overall Effectiveness]]&lt;3.9,"Low",IF(Table1[[#This Row],[Overall Effectiveness]]&lt;4.2,"Medium","High"))</f>
        <v>Medium</v>
      </c>
      <c r="AF177" s="30" t="str">
        <f t="shared" si="16"/>
        <v>Case Studies</v>
      </c>
      <c r="AG177" s="30" t="str">
        <f t="shared" si="17"/>
        <v>Lectures</v>
      </c>
      <c r="AH177" s="27">
        <f>COUNTIF(Teacher_Master!$D$2:$D$16,AF177)</f>
        <v>3</v>
      </c>
      <c r="AI177" s="30" t="str">
        <f>INDEX(Teacher_Master!$B$2:$B$16,MATCH(AF177,Teacher_Master!$D$2:$D$16,0))</f>
        <v>Prof. Rajesh Mukherjee</v>
      </c>
    </row>
    <row r="178" spans="1:35" ht="14.25" customHeight="1" x14ac:dyDescent="0.3">
      <c r="A178" s="31" t="s">
        <v>372</v>
      </c>
      <c r="B178" s="31" t="s">
        <v>2211</v>
      </c>
      <c r="C178" s="31" t="s">
        <v>2881</v>
      </c>
      <c r="D178" s="12">
        <f t="shared" ca="1" si="12"/>
        <v>30</v>
      </c>
      <c r="E178" s="12" t="str">
        <f ca="1">IF(Table1[[#This Row],[Age]]&lt;=22,"20-22",IF(Table1[[#This Row],[Age]]&lt;=25,"23-25",IF(Table1[[#This Row],[Age]]&lt;=28,"26-28","29-30")))</f>
        <v>29-30</v>
      </c>
      <c r="F178" s="12">
        <v>4.0999999999999996</v>
      </c>
      <c r="G178" s="12">
        <v>4.03</v>
      </c>
      <c r="H178" s="12" t="s">
        <v>211</v>
      </c>
      <c r="I178" s="12">
        <v>3.74</v>
      </c>
      <c r="J178" s="12">
        <v>4.9800000000000004</v>
      </c>
      <c r="K178" s="12">
        <v>4.9000000000000004</v>
      </c>
      <c r="L178" s="12">
        <v>3.81</v>
      </c>
      <c r="M178" s="12">
        <v>4.08</v>
      </c>
      <c r="N178" s="12">
        <v>3.88</v>
      </c>
      <c r="O178" s="12">
        <v>3.92</v>
      </c>
      <c r="P178" s="12">
        <f t="shared" si="13"/>
        <v>4.2125000000000004</v>
      </c>
      <c r="Q178" s="12">
        <f t="shared" si="14"/>
        <v>4.21</v>
      </c>
      <c r="R178" s="12">
        <f t="shared" si="15"/>
        <v>4.1180000000000003</v>
      </c>
      <c r="S178" s="28">
        <f>IFERROR(INDEX('Clean Gamification Data'!$B:$B,MATCH($B178,'Clean Gamification Data'!$A:$A,0)),"Not Found")</f>
        <v>82.473481309999997</v>
      </c>
      <c r="T178" s="28">
        <f>IFERROR(INDEX('Clean Gamification Data'!$C:$C,MATCH($B178,'Clean Gamification Data'!$A:$A,0)),"Not Found")</f>
        <v>73.08138769</v>
      </c>
      <c r="U178" s="28">
        <f>IFERROR(INDEX('Clean Gamification Data'!$D:$D,MATCH($B178,'Clean Gamification Data'!$A:$A,0)),"Not Found")</f>
        <v>75.516795590000001</v>
      </c>
      <c r="V178" s="28">
        <f>IFERROR(INDEX('Clean Gamification Data'!$E:$E,MATCH($B178,'Clean Gamification Data'!$A:$A,0)),"Not Found")</f>
        <v>62.172823630000003</v>
      </c>
      <c r="W178" s="28">
        <f>IFERROR(INDEX('Clean Gamification Data'!$F:$F,MATCH($B178,'Clean Gamification Data'!$A:$A,0)),"Not Found")</f>
        <v>88.675771019999999</v>
      </c>
      <c r="X178" s="28">
        <f>IFERROR(INDEX('Clean Gamification Data'!$G:$G,MATCH($B178,'Clean Gamification Data'!$A:$A,0)),"Not Found")</f>
        <v>79.434682330000001</v>
      </c>
      <c r="Y178" s="28">
        <f>IFERROR(INDEX('Clean Gamification Data'!$H:$H,MATCH($B178,'Clean Gamification Data'!$A:$A,0)),"Not Found")</f>
        <v>72.739820609999995</v>
      </c>
      <c r="Z178" s="28">
        <f>IFERROR(INDEX('Clean Gamification Data'!$I:$I,MATCH($B178,'Clean Gamification Data'!$A:$A,0)),"Not Found")</f>
        <v>59.379049639999998</v>
      </c>
      <c r="AA178" s="28">
        <f>Table1[[#This Row],[Engagement (Gamification %)]]-Table1[[#This Row],[Engagement (Non-Gamification %)]]</f>
        <v>9.3920936199999971</v>
      </c>
      <c r="AB178" s="28">
        <f>Table1[[#This Row],[Motivation (Gamification %)]]-Table1[[#This Row],[Motivation (Non-Gamification %)]]</f>
        <v>13.343971959999998</v>
      </c>
      <c r="AC178" s="28">
        <f>Table1[[#This Row],[Participation (Gamification %)]]-Table1[[#This Row],[Participation (Non-Gamification %)]]</f>
        <v>9.241088689999998</v>
      </c>
      <c r="AD178" s="28">
        <f>Table1[[#This Row],[Learning Outcomes (Gamification %)]]-Table1[[#This Row],[Learning Outcomes (Non-Gamification %)]]</f>
        <v>13.360770969999997</v>
      </c>
      <c r="AE178" s="44" t="str">
        <f>IF(Table1[[#This Row],[Overall Effectiveness]]&lt;3.9,"Low",IF(Table1[[#This Row],[Overall Effectiveness]]&lt;4.2,"Medium","High"))</f>
        <v>High</v>
      </c>
      <c r="AF178" s="30" t="str">
        <f t="shared" si="16"/>
        <v>Online Tutorials</v>
      </c>
      <c r="AG178" s="30" t="str">
        <f t="shared" si="17"/>
        <v>Lectures</v>
      </c>
      <c r="AH178" s="27">
        <f>COUNTIF(Teacher_Master!$D$2:$D$16,AF178)</f>
        <v>3</v>
      </c>
      <c r="AI178" s="30" t="str">
        <f>INDEX(Teacher_Master!$B$2:$B$16,MATCH(AF178,Teacher_Master!$D$2:$D$16,0))</f>
        <v>Prof. Kavita Rao</v>
      </c>
    </row>
    <row r="179" spans="1:35" ht="14.25" customHeight="1" x14ac:dyDescent="0.3">
      <c r="A179" s="31" t="s">
        <v>374</v>
      </c>
      <c r="B179" s="31" t="s">
        <v>2212</v>
      </c>
      <c r="C179" s="31" t="s">
        <v>2881</v>
      </c>
      <c r="D179" s="12">
        <f t="shared" ca="1" si="12"/>
        <v>24</v>
      </c>
      <c r="E179" s="12" t="str">
        <f ca="1">IF(Table1[[#This Row],[Age]]&lt;=22,"20-22",IF(Table1[[#This Row],[Age]]&lt;=25,"23-25",IF(Table1[[#This Row],[Age]]&lt;=28,"26-28","29-30")))</f>
        <v>23-25</v>
      </c>
      <c r="F179" s="12">
        <v>4.0999999999999996</v>
      </c>
      <c r="G179" s="12">
        <v>3.74</v>
      </c>
      <c r="H179" s="12">
        <v>3.75</v>
      </c>
      <c r="I179" s="12">
        <v>3.99</v>
      </c>
      <c r="J179" s="12">
        <v>4.0199999999999996</v>
      </c>
      <c r="K179" s="12">
        <v>4.43</v>
      </c>
      <c r="L179" s="12">
        <v>3.9</v>
      </c>
      <c r="M179" s="12">
        <v>4.05</v>
      </c>
      <c r="N179" s="12">
        <v>4.41</v>
      </c>
      <c r="O179" s="12">
        <v>4.01</v>
      </c>
      <c r="P179" s="12">
        <f t="shared" si="13"/>
        <v>3.9200000000000004</v>
      </c>
      <c r="Q179" s="12">
        <f t="shared" si="14"/>
        <v>3.92</v>
      </c>
      <c r="R179" s="12">
        <f t="shared" si="15"/>
        <v>4.1599999999999993</v>
      </c>
      <c r="S179" s="28">
        <f>IFERROR(INDEX('Clean Gamification Data'!$B:$B,MATCH($B179,'Clean Gamification Data'!$A:$A,0)),"Not Found")</f>
        <v>75</v>
      </c>
      <c r="T179" s="28">
        <f>IFERROR(INDEX('Clean Gamification Data'!$C:$C,MATCH($B179,'Clean Gamification Data'!$A:$A,0)),"Not Found")</f>
        <v>74.122847340000007</v>
      </c>
      <c r="U179" s="28">
        <f>IFERROR(INDEX('Clean Gamification Data'!$D:$D,MATCH($B179,'Clean Gamification Data'!$A:$A,0)),"Not Found")</f>
        <v>81.461375709999999</v>
      </c>
      <c r="V179" s="28">
        <f>IFERROR(INDEX('Clean Gamification Data'!$E:$E,MATCH($B179,'Clean Gamification Data'!$A:$A,0)),"Not Found")</f>
        <v>66.956338669999994</v>
      </c>
      <c r="W179" s="28">
        <f>IFERROR(INDEX('Clean Gamification Data'!$F:$F,MATCH($B179,'Clean Gamification Data'!$A:$A,0)),"Not Found")</f>
        <v>85.094939490000002</v>
      </c>
      <c r="X179" s="28">
        <f>IFERROR(INDEX('Clean Gamification Data'!$G:$G,MATCH($B179,'Clean Gamification Data'!$A:$A,0)),"Not Found")</f>
        <v>77.524857240000003</v>
      </c>
      <c r="Y179" s="28">
        <f>IFERROR(INDEX('Clean Gamification Data'!$H:$H,MATCH($B179,'Clean Gamification Data'!$A:$A,0)),"Not Found")</f>
        <v>74.898949459999997</v>
      </c>
      <c r="Z179" s="28">
        <f>IFERROR(INDEX('Clean Gamification Data'!$I:$I,MATCH($B179,'Clean Gamification Data'!$A:$A,0)),"Not Found")</f>
        <v>50</v>
      </c>
      <c r="AA179" s="28">
        <f>Table1[[#This Row],[Engagement (Gamification %)]]-Table1[[#This Row],[Engagement (Non-Gamification %)]]</f>
        <v>0.87715265999999303</v>
      </c>
      <c r="AB179" s="28">
        <f>Table1[[#This Row],[Motivation (Gamification %)]]-Table1[[#This Row],[Motivation (Non-Gamification %)]]</f>
        <v>14.505037040000005</v>
      </c>
      <c r="AC179" s="28">
        <f>Table1[[#This Row],[Participation (Gamification %)]]-Table1[[#This Row],[Participation (Non-Gamification %)]]</f>
        <v>7.5700822499999987</v>
      </c>
      <c r="AD179" s="28">
        <f>Table1[[#This Row],[Learning Outcomes (Gamification %)]]-Table1[[#This Row],[Learning Outcomes (Non-Gamification %)]]</f>
        <v>24.898949459999997</v>
      </c>
      <c r="AE179" s="44" t="str">
        <f>IF(Table1[[#This Row],[Overall Effectiveness]]&lt;3.9,"Low",IF(Table1[[#This Row],[Overall Effectiveness]]&lt;4.2,"Medium","High"))</f>
        <v>Medium</v>
      </c>
      <c r="AF179" s="30" t="str">
        <f t="shared" si="16"/>
        <v>Lectures</v>
      </c>
      <c r="AG179" s="30" t="str">
        <f t="shared" si="17"/>
        <v>Lectures</v>
      </c>
      <c r="AH179" s="27">
        <f>COUNTIF(Teacher_Master!$D$2:$D$16,AF179)</f>
        <v>3</v>
      </c>
      <c r="AI179" s="30" t="str">
        <f>INDEX(Teacher_Master!$B$2:$B$16,MATCH(AF179,Teacher_Master!$D$2:$D$16,0))</f>
        <v>Prof. Vikram Gupta</v>
      </c>
    </row>
    <row r="180" spans="1:35" ht="14.25" customHeight="1" x14ac:dyDescent="0.3">
      <c r="A180" s="31" t="s">
        <v>376</v>
      </c>
      <c r="B180" s="31" t="s">
        <v>377</v>
      </c>
      <c r="C180" s="31" t="s">
        <v>2882</v>
      </c>
      <c r="D180" s="12">
        <f t="shared" ca="1" si="12"/>
        <v>26</v>
      </c>
      <c r="E180" s="12" t="str">
        <f ca="1">IF(Table1[[#This Row],[Age]]&lt;=22,"20-22",IF(Table1[[#This Row],[Age]]&lt;=25,"23-25",IF(Table1[[#This Row],[Age]]&lt;=28,"26-28","29-30")))</f>
        <v>26-28</v>
      </c>
      <c r="F180" s="12">
        <v>3.82</v>
      </c>
      <c r="G180" s="12">
        <v>4.29</v>
      </c>
      <c r="H180" s="12">
        <v>3.84</v>
      </c>
      <c r="I180" s="12">
        <v>3.96</v>
      </c>
      <c r="J180" s="12">
        <v>4.2</v>
      </c>
      <c r="K180" s="12">
        <v>4.25</v>
      </c>
      <c r="L180" s="12">
        <v>4.4400000000000004</v>
      </c>
      <c r="M180" s="12">
        <v>3.88</v>
      </c>
      <c r="N180" s="12">
        <v>3.89</v>
      </c>
      <c r="O180" s="12">
        <v>4.1399999999999997</v>
      </c>
      <c r="P180" s="12">
        <f t="shared" si="13"/>
        <v>4.0220000000000002</v>
      </c>
      <c r="Q180" s="12">
        <f t="shared" si="14"/>
        <v>4.0199999999999996</v>
      </c>
      <c r="R180" s="12">
        <f t="shared" si="15"/>
        <v>4.12</v>
      </c>
      <c r="S180" s="28">
        <f>IFERROR(INDEX('Clean Gamification Data'!$B:$B,MATCH($B180,'Clean Gamification Data'!$A:$A,0)),"Not Found")</f>
        <v>75</v>
      </c>
      <c r="T180" s="28">
        <f>IFERROR(INDEX('Clean Gamification Data'!$C:$C,MATCH($B180,'Clean Gamification Data'!$A:$A,0)),"Not Found")</f>
        <v>70.819245370000004</v>
      </c>
      <c r="U180" s="28">
        <f>IFERROR(INDEX('Clean Gamification Data'!$D:$D,MATCH($B180,'Clean Gamification Data'!$A:$A,0)),"Not Found")</f>
        <v>70.864420580000001</v>
      </c>
      <c r="V180" s="28">
        <f>IFERROR(INDEX('Clean Gamification Data'!$E:$E,MATCH($B180,'Clean Gamification Data'!$A:$A,0)),"Not Found")</f>
        <v>60.218045009999997</v>
      </c>
      <c r="W180" s="28">
        <f>IFERROR(INDEX('Clean Gamification Data'!$F:$F,MATCH($B180,'Clean Gamification Data'!$A:$A,0)),"Not Found")</f>
        <v>80.906584120000005</v>
      </c>
      <c r="X180" s="28">
        <f>IFERROR(INDEX('Clean Gamification Data'!$G:$G,MATCH($B180,'Clean Gamification Data'!$A:$A,0)),"Not Found")</f>
        <v>80.955772069999995</v>
      </c>
      <c r="Y180" s="28">
        <f>IFERROR(INDEX('Clean Gamification Data'!$H:$H,MATCH($B180,'Clean Gamification Data'!$A:$A,0)),"Not Found")</f>
        <v>65.65707587</v>
      </c>
      <c r="Z180" s="28">
        <f>IFERROR(INDEX('Clean Gamification Data'!$I:$I,MATCH($B180,'Clean Gamification Data'!$A:$A,0)),"Not Found")</f>
        <v>63.485246220000001</v>
      </c>
      <c r="AA180" s="28">
        <f>Table1[[#This Row],[Engagement (Gamification %)]]-Table1[[#This Row],[Engagement (Non-Gamification %)]]</f>
        <v>4.1807546299999956</v>
      </c>
      <c r="AB180" s="28">
        <f>Table1[[#This Row],[Motivation (Gamification %)]]-Table1[[#This Row],[Motivation (Non-Gamification %)]]</f>
        <v>10.646375570000004</v>
      </c>
      <c r="AC180" s="28">
        <f>Table1[[#This Row],[Participation (Gamification %)]]-Table1[[#This Row],[Participation (Non-Gamification %)]]</f>
        <v>-4.9187949999989655E-2</v>
      </c>
      <c r="AD180" s="28">
        <f>Table1[[#This Row],[Learning Outcomes (Gamification %)]]-Table1[[#This Row],[Learning Outcomes (Non-Gamification %)]]</f>
        <v>2.1718296499999994</v>
      </c>
      <c r="AE180" s="44" t="str">
        <f>IF(Table1[[#This Row],[Overall Effectiveness]]&lt;3.9,"Low",IF(Table1[[#This Row],[Overall Effectiveness]]&lt;4.2,"Medium","High"))</f>
        <v>Medium</v>
      </c>
      <c r="AF180" s="30" t="str">
        <f t="shared" si="16"/>
        <v>Case Studies</v>
      </c>
      <c r="AG180" s="30" t="str">
        <f t="shared" si="17"/>
        <v>Case Studies</v>
      </c>
      <c r="AH180" s="27">
        <f>COUNTIF(Teacher_Master!$D$2:$D$16,AF180)</f>
        <v>3</v>
      </c>
      <c r="AI180" s="30" t="str">
        <f>INDEX(Teacher_Master!$B$2:$B$16,MATCH(AF180,Teacher_Master!$D$2:$D$16,0))</f>
        <v>Prof. Rajesh Mukherjee</v>
      </c>
    </row>
    <row r="181" spans="1:35" ht="14.25" customHeight="1" x14ac:dyDescent="0.3">
      <c r="A181" s="31" t="s">
        <v>378</v>
      </c>
      <c r="B181" s="31" t="s">
        <v>379</v>
      </c>
      <c r="C181" s="31" t="s">
        <v>2882</v>
      </c>
      <c r="D181" s="12">
        <f t="shared" ca="1" si="12"/>
        <v>27</v>
      </c>
      <c r="E181" s="12" t="str">
        <f ca="1">IF(Table1[[#This Row],[Age]]&lt;=22,"20-22",IF(Table1[[#This Row],[Age]]&lt;=25,"23-25",IF(Table1[[#This Row],[Age]]&lt;=28,"26-28","29-30")))</f>
        <v>26-28</v>
      </c>
      <c r="F181" s="12">
        <v>3.61</v>
      </c>
      <c r="G181" s="12">
        <v>4.47</v>
      </c>
      <c r="H181" s="12">
        <v>3.58</v>
      </c>
      <c r="I181" s="12">
        <v>4.05</v>
      </c>
      <c r="J181" s="12">
        <v>3.95</v>
      </c>
      <c r="K181" s="12">
        <v>3.82</v>
      </c>
      <c r="L181" s="12">
        <v>4.41</v>
      </c>
      <c r="M181" s="12">
        <v>3.3</v>
      </c>
      <c r="N181" s="12">
        <v>3.82</v>
      </c>
      <c r="O181" s="12">
        <v>3.76</v>
      </c>
      <c r="P181" s="12">
        <f t="shared" si="13"/>
        <v>3.9319999999999999</v>
      </c>
      <c r="Q181" s="12">
        <f t="shared" si="14"/>
        <v>3.93</v>
      </c>
      <c r="R181" s="12">
        <f t="shared" si="15"/>
        <v>3.8220000000000001</v>
      </c>
      <c r="S181" s="28">
        <f>IFERROR(INDEX('Clean Gamification Data'!$B:$B,MATCH($B181,'Clean Gamification Data'!$A:$A,0)),"Not Found")</f>
        <v>92.095652869999995</v>
      </c>
      <c r="T181" s="28">
        <f>IFERROR(INDEX('Clean Gamification Data'!$C:$C,MATCH($B181,'Clean Gamification Data'!$A:$A,0)),"Not Found")</f>
        <v>63.926077069999998</v>
      </c>
      <c r="U181" s="28">
        <f>IFERROR(INDEX('Clean Gamification Data'!$D:$D,MATCH($B181,'Clean Gamification Data'!$A:$A,0)),"Not Found")</f>
        <v>83.647232250000002</v>
      </c>
      <c r="V181" s="28">
        <f>IFERROR(INDEX('Clean Gamification Data'!$E:$E,MATCH($B181,'Clean Gamification Data'!$A:$A,0)),"Not Found")</f>
        <v>63.693205319999997</v>
      </c>
      <c r="W181" s="28">
        <f>IFERROR(INDEX('Clean Gamification Data'!$F:$F,MATCH($B181,'Clean Gamification Data'!$A:$A,0)),"Not Found")</f>
        <v>90.660394210000007</v>
      </c>
      <c r="X181" s="28">
        <f>IFERROR(INDEX('Clean Gamification Data'!$G:$G,MATCH($B181,'Clean Gamification Data'!$A:$A,0)),"Not Found")</f>
        <v>73.359782820000007</v>
      </c>
      <c r="Y181" s="28">
        <f>IFERROR(INDEX('Clean Gamification Data'!$H:$H,MATCH($B181,'Clean Gamification Data'!$A:$A,0)),"Not Found")</f>
        <v>73.279249710000002</v>
      </c>
      <c r="Z181" s="28">
        <f>IFERROR(INDEX('Clean Gamification Data'!$I:$I,MATCH($B181,'Clean Gamification Data'!$A:$A,0)),"Not Found")</f>
        <v>57.656059310000003</v>
      </c>
      <c r="AA181" s="28">
        <f>Table1[[#This Row],[Engagement (Gamification %)]]-Table1[[#This Row],[Engagement (Non-Gamification %)]]</f>
        <v>28.169575799999997</v>
      </c>
      <c r="AB181" s="28">
        <f>Table1[[#This Row],[Motivation (Gamification %)]]-Table1[[#This Row],[Motivation (Non-Gamification %)]]</f>
        <v>19.954026930000005</v>
      </c>
      <c r="AC181" s="28">
        <f>Table1[[#This Row],[Participation (Gamification %)]]-Table1[[#This Row],[Participation (Non-Gamification %)]]</f>
        <v>17.30061139</v>
      </c>
      <c r="AD181" s="28">
        <f>Table1[[#This Row],[Learning Outcomes (Gamification %)]]-Table1[[#This Row],[Learning Outcomes (Non-Gamification %)]]</f>
        <v>15.623190399999999</v>
      </c>
      <c r="AE181" s="44" t="str">
        <f>IF(Table1[[#This Row],[Overall Effectiveness]]&lt;3.9,"Low",IF(Table1[[#This Row],[Overall Effectiveness]]&lt;4.2,"Medium","High"))</f>
        <v>Medium</v>
      </c>
      <c r="AF181" s="30" t="str">
        <f t="shared" si="16"/>
        <v>Case Studies</v>
      </c>
      <c r="AG181" s="30" t="str">
        <f t="shared" si="17"/>
        <v>Case Studies</v>
      </c>
      <c r="AH181" s="27">
        <f>COUNTIF(Teacher_Master!$D$2:$D$16,AF181)</f>
        <v>3</v>
      </c>
      <c r="AI181" s="30" t="str">
        <f>INDEX(Teacher_Master!$B$2:$B$16,MATCH(AF181,Teacher_Master!$D$2:$D$16,0))</f>
        <v>Prof. Rajesh Mukherjee</v>
      </c>
    </row>
    <row r="182" spans="1:35" ht="14.25" customHeight="1" x14ac:dyDescent="0.3">
      <c r="A182" s="31" t="s">
        <v>380</v>
      </c>
      <c r="B182" s="31" t="s">
        <v>381</v>
      </c>
      <c r="C182" s="31" t="s">
        <v>2882</v>
      </c>
      <c r="D182" s="12">
        <f t="shared" ca="1" si="12"/>
        <v>23</v>
      </c>
      <c r="E182" s="12" t="str">
        <f ca="1">IF(Table1[[#This Row],[Age]]&lt;=22,"20-22",IF(Table1[[#This Row],[Age]]&lt;=25,"23-25",IF(Table1[[#This Row],[Age]]&lt;=28,"26-28","29-30")))</f>
        <v>23-25</v>
      </c>
      <c r="F182" s="12">
        <v>4.3</v>
      </c>
      <c r="G182" s="12">
        <v>4.5</v>
      </c>
      <c r="H182" s="12" t="s">
        <v>211</v>
      </c>
      <c r="I182" s="12">
        <v>4.0999999999999996</v>
      </c>
      <c r="J182" s="12">
        <v>3.61</v>
      </c>
      <c r="K182" s="12">
        <v>3.93</v>
      </c>
      <c r="L182" s="12">
        <v>4.13</v>
      </c>
      <c r="M182" s="12">
        <v>4.08</v>
      </c>
      <c r="N182" s="12">
        <v>4.49</v>
      </c>
      <c r="O182" s="12">
        <v>3.42</v>
      </c>
      <c r="P182" s="12">
        <f t="shared" si="13"/>
        <v>4.1275000000000004</v>
      </c>
      <c r="Q182" s="12">
        <f t="shared" si="14"/>
        <v>4.13</v>
      </c>
      <c r="R182" s="12">
        <f t="shared" si="15"/>
        <v>4.0100000000000007</v>
      </c>
      <c r="S182" s="28">
        <f>IFERROR(INDEX('Clean Gamification Data'!$B:$B,MATCH($B182,'Clean Gamification Data'!$A:$A,0)),"Not Found")</f>
        <v>88.574790199999995</v>
      </c>
      <c r="T182" s="28">
        <f>IFERROR(INDEX('Clean Gamification Data'!$C:$C,MATCH($B182,'Clean Gamification Data'!$A:$A,0)),"Not Found")</f>
        <v>67.117018079999994</v>
      </c>
      <c r="U182" s="28">
        <f>IFERROR(INDEX('Clean Gamification Data'!$D:$D,MATCH($B182,'Clean Gamification Data'!$A:$A,0)),"Not Found")</f>
        <v>83.707873190000001</v>
      </c>
      <c r="V182" s="28">
        <f>IFERROR(INDEX('Clean Gamification Data'!$E:$E,MATCH($B182,'Clean Gamification Data'!$A:$A,0)),"Not Found")</f>
        <v>72.990214739999999</v>
      </c>
      <c r="W182" s="28">
        <f>IFERROR(INDEX('Clean Gamification Data'!$F:$F,MATCH($B182,'Clean Gamification Data'!$A:$A,0)),"Not Found")</f>
        <v>96.303126719999995</v>
      </c>
      <c r="X182" s="28">
        <f>IFERROR(INDEX('Clean Gamification Data'!$G:$G,MATCH($B182,'Clean Gamification Data'!$A:$A,0)),"Not Found")</f>
        <v>72.05736856</v>
      </c>
      <c r="Y182" s="28">
        <f>IFERROR(INDEX('Clean Gamification Data'!$H:$H,MATCH($B182,'Clean Gamification Data'!$A:$A,0)),"Not Found")</f>
        <v>71.155118130000005</v>
      </c>
      <c r="Z182" s="28">
        <f>IFERROR(INDEX('Clean Gamification Data'!$I:$I,MATCH($B182,'Clean Gamification Data'!$A:$A,0)),"Not Found")</f>
        <v>62.901040109999997</v>
      </c>
      <c r="AA182" s="28">
        <f>Table1[[#This Row],[Engagement (Gamification %)]]-Table1[[#This Row],[Engagement (Non-Gamification %)]]</f>
        <v>21.457772120000001</v>
      </c>
      <c r="AB182" s="28">
        <f>Table1[[#This Row],[Motivation (Gamification %)]]-Table1[[#This Row],[Motivation (Non-Gamification %)]]</f>
        <v>10.717658450000002</v>
      </c>
      <c r="AC182" s="28">
        <f>Table1[[#This Row],[Participation (Gamification %)]]-Table1[[#This Row],[Participation (Non-Gamification %)]]</f>
        <v>24.245758159999994</v>
      </c>
      <c r="AD182" s="28">
        <f>Table1[[#This Row],[Learning Outcomes (Gamification %)]]-Table1[[#This Row],[Learning Outcomes (Non-Gamification %)]]</f>
        <v>8.2540780200000086</v>
      </c>
      <c r="AE182" s="44" t="str">
        <f>IF(Table1[[#This Row],[Overall Effectiveness]]&lt;3.9,"Low",IF(Table1[[#This Row],[Overall Effectiveness]]&lt;4.2,"Medium","High"))</f>
        <v>Medium</v>
      </c>
      <c r="AF182" s="30" t="str">
        <f t="shared" si="16"/>
        <v>Case Studies</v>
      </c>
      <c r="AG182" s="30" t="str">
        <f t="shared" si="17"/>
        <v>Experiments</v>
      </c>
      <c r="AH182" s="27">
        <f>COUNTIF(Teacher_Master!$D$2:$D$16,AF182)</f>
        <v>3</v>
      </c>
      <c r="AI182" s="30" t="str">
        <f>INDEX(Teacher_Master!$B$2:$B$16,MATCH(AF182,Teacher_Master!$D$2:$D$16,0))</f>
        <v>Prof. Rajesh Mukherjee</v>
      </c>
    </row>
    <row r="183" spans="1:35" ht="14.25" customHeight="1" x14ac:dyDescent="0.3">
      <c r="A183" s="31" t="s">
        <v>382</v>
      </c>
      <c r="B183" s="31" t="s">
        <v>2213</v>
      </c>
      <c r="C183" s="31" t="s">
        <v>2882</v>
      </c>
      <c r="D183" s="12">
        <f t="shared" ca="1" si="12"/>
        <v>29</v>
      </c>
      <c r="E183" s="12" t="str">
        <f ca="1">IF(Table1[[#This Row],[Age]]&lt;=22,"20-22",IF(Table1[[#This Row],[Age]]&lt;=25,"23-25",IF(Table1[[#This Row],[Age]]&lt;=28,"26-28","29-30")))</f>
        <v>29-30</v>
      </c>
      <c r="F183" s="12">
        <v>3.53</v>
      </c>
      <c r="G183" s="12">
        <v>4.37</v>
      </c>
      <c r="H183" s="12">
        <v>4.1100000000000003</v>
      </c>
      <c r="I183" s="12">
        <v>4.55</v>
      </c>
      <c r="J183" s="12">
        <v>4.43</v>
      </c>
      <c r="K183" s="12">
        <v>4.07</v>
      </c>
      <c r="L183" s="12">
        <v>3.74</v>
      </c>
      <c r="M183" s="12">
        <v>4.37</v>
      </c>
      <c r="N183" s="12">
        <v>3.83</v>
      </c>
      <c r="O183" s="12">
        <v>3.67</v>
      </c>
      <c r="P183" s="12">
        <f t="shared" si="13"/>
        <v>4.1980000000000004</v>
      </c>
      <c r="Q183" s="12">
        <f t="shared" si="14"/>
        <v>4.2</v>
      </c>
      <c r="R183" s="12">
        <f t="shared" si="15"/>
        <v>3.9359999999999999</v>
      </c>
      <c r="S183" s="28">
        <f>IFERROR(INDEX('Clean Gamification Data'!$B:$B,MATCH($B183,'Clean Gamification Data'!$A:$A,0)),"Not Found")</f>
        <v>89.795153159999998</v>
      </c>
      <c r="T183" s="28">
        <f>IFERROR(INDEX('Clean Gamification Data'!$C:$C,MATCH($B183,'Clean Gamification Data'!$A:$A,0)),"Not Found")</f>
        <v>72.405145349999998</v>
      </c>
      <c r="U183" s="28">
        <f>IFERROR(INDEX('Clean Gamification Data'!$D:$D,MATCH($B183,'Clean Gamification Data'!$A:$A,0)),"Not Found")</f>
        <v>90</v>
      </c>
      <c r="V183" s="28">
        <f>IFERROR(INDEX('Clean Gamification Data'!$E:$E,MATCH($B183,'Clean Gamification Data'!$A:$A,0)),"Not Found")</f>
        <v>68.596407900000003</v>
      </c>
      <c r="W183" s="28">
        <f>IFERROR(INDEX('Clean Gamification Data'!$F:$F,MATCH($B183,'Clean Gamification Data'!$A:$A,0)),"Not Found")</f>
        <v>99.9</v>
      </c>
      <c r="X183" s="28">
        <f>IFERROR(INDEX('Clean Gamification Data'!$G:$G,MATCH($B183,'Clean Gamification Data'!$A:$A,0)),"Not Found")</f>
        <v>82.397292190000002</v>
      </c>
      <c r="Y183" s="28">
        <f>IFERROR(INDEX('Clean Gamification Data'!$H:$H,MATCH($B183,'Clean Gamification Data'!$A:$A,0)),"Not Found")</f>
        <v>70.001469020000002</v>
      </c>
      <c r="Z183" s="28">
        <f>IFERROR(INDEX('Clean Gamification Data'!$I:$I,MATCH($B183,'Clean Gamification Data'!$A:$A,0)),"Not Found")</f>
        <v>54.630869310000001</v>
      </c>
      <c r="AA183" s="28">
        <f>Table1[[#This Row],[Engagement (Gamification %)]]-Table1[[#This Row],[Engagement (Non-Gamification %)]]</f>
        <v>17.39000781</v>
      </c>
      <c r="AB183" s="28">
        <f>Table1[[#This Row],[Motivation (Gamification %)]]-Table1[[#This Row],[Motivation (Non-Gamification %)]]</f>
        <v>21.403592099999997</v>
      </c>
      <c r="AC183" s="28">
        <f>Table1[[#This Row],[Participation (Gamification %)]]-Table1[[#This Row],[Participation (Non-Gamification %)]]</f>
        <v>17.502707810000004</v>
      </c>
      <c r="AD183" s="28">
        <f>Table1[[#This Row],[Learning Outcomes (Gamification %)]]-Table1[[#This Row],[Learning Outcomes (Non-Gamification %)]]</f>
        <v>15.37059971</v>
      </c>
      <c r="AE183" s="44" t="str">
        <f>IF(Table1[[#This Row],[Overall Effectiveness]]&lt;3.9,"Low",IF(Table1[[#This Row],[Overall Effectiveness]]&lt;4.2,"Medium","High"))</f>
        <v>Medium</v>
      </c>
      <c r="AF183" s="30" t="str">
        <f t="shared" si="16"/>
        <v>Experiments</v>
      </c>
      <c r="AG183" s="30" t="str">
        <f t="shared" si="17"/>
        <v>Group Projects</v>
      </c>
      <c r="AH183" s="27">
        <f>COUNTIF(Teacher_Master!$D$2:$D$16,AF183)</f>
        <v>3</v>
      </c>
      <c r="AI183" s="30" t="str">
        <f>INDEX(Teacher_Master!$B$2:$B$16,MATCH(AF183,Teacher_Master!$D$2:$D$16,0))</f>
        <v>Prof. Rahul Singh</v>
      </c>
    </row>
    <row r="184" spans="1:35" ht="14.25" customHeight="1" x14ac:dyDescent="0.3">
      <c r="A184" s="31" t="s">
        <v>384</v>
      </c>
      <c r="B184" s="31" t="s">
        <v>2214</v>
      </c>
      <c r="C184" s="31" t="s">
        <v>2882</v>
      </c>
      <c r="D184" s="12">
        <f t="shared" ca="1" si="12"/>
        <v>21</v>
      </c>
      <c r="E184" s="12" t="str">
        <f ca="1">IF(Table1[[#This Row],[Age]]&lt;=22,"20-22",IF(Table1[[#This Row],[Age]]&lt;=25,"23-25",IF(Table1[[#This Row],[Age]]&lt;=28,"26-28","29-30")))</f>
        <v>20-22</v>
      </c>
      <c r="F184" s="12">
        <v>4.4400000000000004</v>
      </c>
      <c r="G184" s="12">
        <v>4.09</v>
      </c>
      <c r="H184" s="12">
        <v>4</v>
      </c>
      <c r="I184" s="12">
        <v>4.08</v>
      </c>
      <c r="J184" s="12">
        <v>3.98</v>
      </c>
      <c r="K184" s="12">
        <v>3.66</v>
      </c>
      <c r="L184" s="12">
        <v>3.96</v>
      </c>
      <c r="M184" s="12">
        <v>4.42</v>
      </c>
      <c r="N184" s="12">
        <v>3.94</v>
      </c>
      <c r="O184" s="12">
        <v>3.73</v>
      </c>
      <c r="P184" s="12">
        <f t="shared" si="13"/>
        <v>4.1180000000000003</v>
      </c>
      <c r="Q184" s="12">
        <f t="shared" si="14"/>
        <v>4.12</v>
      </c>
      <c r="R184" s="12">
        <f t="shared" si="15"/>
        <v>3.9419999999999993</v>
      </c>
      <c r="S184" s="28">
        <f>IFERROR(INDEX('Clean Gamification Data'!$B:$B,MATCH($B184,'Clean Gamification Data'!$A:$A,0)),"Not Found")</f>
        <v>83.967966989999994</v>
      </c>
      <c r="T184" s="28">
        <f>IFERROR(INDEX('Clean Gamification Data'!$C:$C,MATCH($B184,'Clean Gamification Data'!$A:$A,0)),"Not Found")</f>
        <v>68.761229560000004</v>
      </c>
      <c r="U184" s="28">
        <f>IFERROR(INDEX('Clean Gamification Data'!$D:$D,MATCH($B184,'Clean Gamification Data'!$A:$A,0)),"Not Found")</f>
        <v>78.458342799999997</v>
      </c>
      <c r="V184" s="28">
        <f>IFERROR(INDEX('Clean Gamification Data'!$E:$E,MATCH($B184,'Clean Gamification Data'!$A:$A,0)),"Not Found")</f>
        <v>60.93354377</v>
      </c>
      <c r="W184" s="28">
        <f>IFERROR(INDEX('Clean Gamification Data'!$F:$F,MATCH($B184,'Clean Gamification Data'!$A:$A,0)),"Not Found")</f>
        <v>90.890170909999995</v>
      </c>
      <c r="X184" s="28">
        <f>IFERROR(INDEX('Clean Gamification Data'!$G:$G,MATCH($B184,'Clean Gamification Data'!$A:$A,0)),"Not Found")</f>
        <v>78.619723309999998</v>
      </c>
      <c r="Y184" s="28">
        <f>IFERROR(INDEX('Clean Gamification Data'!$H:$H,MATCH($B184,'Clean Gamification Data'!$A:$A,0)),"Not Found")</f>
        <v>66.191992830000004</v>
      </c>
      <c r="Z184" s="28">
        <f>IFERROR(INDEX('Clean Gamification Data'!$I:$I,MATCH($B184,'Clean Gamification Data'!$A:$A,0)),"Not Found")</f>
        <v>56.23805265</v>
      </c>
      <c r="AA184" s="28">
        <f>Table1[[#This Row],[Engagement (Gamification %)]]-Table1[[#This Row],[Engagement (Non-Gamification %)]]</f>
        <v>15.20673742999999</v>
      </c>
      <c r="AB184" s="28">
        <f>Table1[[#This Row],[Motivation (Gamification %)]]-Table1[[#This Row],[Motivation (Non-Gamification %)]]</f>
        <v>17.524799029999997</v>
      </c>
      <c r="AC184" s="28">
        <f>Table1[[#This Row],[Participation (Gamification %)]]-Table1[[#This Row],[Participation (Non-Gamification %)]]</f>
        <v>12.270447599999997</v>
      </c>
      <c r="AD184" s="28">
        <f>Table1[[#This Row],[Learning Outcomes (Gamification %)]]-Table1[[#This Row],[Learning Outcomes (Non-Gamification %)]]</f>
        <v>9.9539401800000036</v>
      </c>
      <c r="AE184" s="44" t="str">
        <f>IF(Table1[[#This Row],[Overall Effectiveness]]&lt;3.9,"Low",IF(Table1[[#This Row],[Overall Effectiveness]]&lt;4.2,"Medium","High"))</f>
        <v>Medium</v>
      </c>
      <c r="AF184" s="30" t="str">
        <f t="shared" si="16"/>
        <v>Lectures</v>
      </c>
      <c r="AG184" s="30" t="str">
        <f t="shared" si="17"/>
        <v>Group Projects</v>
      </c>
      <c r="AH184" s="27">
        <f>COUNTIF(Teacher_Master!$D$2:$D$16,AF184)</f>
        <v>3</v>
      </c>
      <c r="AI184" s="30" t="str">
        <f>INDEX(Teacher_Master!$B$2:$B$16,MATCH(AF184,Teacher_Master!$D$2:$D$16,0))</f>
        <v>Prof. Vikram Gupta</v>
      </c>
    </row>
    <row r="185" spans="1:35" ht="14.25" customHeight="1" x14ac:dyDescent="0.3">
      <c r="A185" s="31" t="s">
        <v>386</v>
      </c>
      <c r="B185" s="31" t="s">
        <v>387</v>
      </c>
      <c r="C185" s="31" t="s">
        <v>2882</v>
      </c>
      <c r="D185" s="12">
        <f t="shared" ca="1" si="12"/>
        <v>27</v>
      </c>
      <c r="E185" s="12" t="str">
        <f ca="1">IF(Table1[[#This Row],[Age]]&lt;=22,"20-22",IF(Table1[[#This Row],[Age]]&lt;=25,"23-25",IF(Table1[[#This Row],[Age]]&lt;=28,"26-28","29-30")))</f>
        <v>26-28</v>
      </c>
      <c r="F185" s="12">
        <v>4.3899999999999997</v>
      </c>
      <c r="G185" s="12">
        <v>3.86</v>
      </c>
      <c r="H185" s="12">
        <v>4.08</v>
      </c>
      <c r="I185" s="12">
        <v>4.49</v>
      </c>
      <c r="J185" s="12">
        <v>4.05</v>
      </c>
      <c r="K185" s="12">
        <v>4.3499999999999996</v>
      </c>
      <c r="L185" s="12">
        <v>4.09</v>
      </c>
      <c r="M185" s="12">
        <v>3.93</v>
      </c>
      <c r="N185" s="12">
        <v>4.3899999999999997</v>
      </c>
      <c r="O185" s="12">
        <v>3.96</v>
      </c>
      <c r="P185" s="12">
        <f t="shared" si="13"/>
        <v>4.1740000000000004</v>
      </c>
      <c r="Q185" s="12">
        <f t="shared" si="14"/>
        <v>4.17</v>
      </c>
      <c r="R185" s="12">
        <f t="shared" si="15"/>
        <v>4.1440000000000001</v>
      </c>
      <c r="S185" s="28">
        <f>IFERROR(INDEX('Clean Gamification Data'!$B:$B,MATCH($B185,'Clean Gamification Data'!$A:$A,0)),"Not Found")</f>
        <v>88.128469260000003</v>
      </c>
      <c r="T185" s="28">
        <f>IFERROR(INDEX('Clean Gamification Data'!$C:$C,MATCH($B185,'Clean Gamification Data'!$A:$A,0)),"Not Found")</f>
        <v>60.537388030000002</v>
      </c>
      <c r="U185" s="28">
        <f>IFERROR(INDEX('Clean Gamification Data'!$D:$D,MATCH($B185,'Clean Gamification Data'!$A:$A,0)),"Not Found")</f>
        <v>72.530670799999996</v>
      </c>
      <c r="V185" s="28">
        <f>IFERROR(INDEX('Clean Gamification Data'!$E:$E,MATCH($B185,'Clean Gamification Data'!$A:$A,0)),"Not Found")</f>
        <v>62.540465390000001</v>
      </c>
      <c r="W185" s="28">
        <f>IFERROR(INDEX('Clean Gamification Data'!$F:$F,MATCH($B185,'Clean Gamification Data'!$A:$A,0)),"Not Found")</f>
        <v>99.9</v>
      </c>
      <c r="X185" s="28">
        <f>IFERROR(INDEX('Clean Gamification Data'!$G:$G,MATCH($B185,'Clean Gamification Data'!$A:$A,0)),"Not Found")</f>
        <v>75.031686989999997</v>
      </c>
      <c r="Y185" s="28">
        <f>IFERROR(INDEX('Clean Gamification Data'!$H:$H,MATCH($B185,'Clean Gamification Data'!$A:$A,0)),"Not Found")</f>
        <v>68.088839840000006</v>
      </c>
      <c r="Z185" s="28">
        <f>IFERROR(INDEX('Clean Gamification Data'!$I:$I,MATCH($B185,'Clean Gamification Data'!$A:$A,0)),"Not Found")</f>
        <v>58.288879170000001</v>
      </c>
      <c r="AA185" s="28">
        <f>Table1[[#This Row],[Engagement (Gamification %)]]-Table1[[#This Row],[Engagement (Non-Gamification %)]]</f>
        <v>27.59108123</v>
      </c>
      <c r="AB185" s="28">
        <f>Table1[[#This Row],[Motivation (Gamification %)]]-Table1[[#This Row],[Motivation (Non-Gamification %)]]</f>
        <v>9.9902054099999944</v>
      </c>
      <c r="AC185" s="28">
        <f>Table1[[#This Row],[Participation (Gamification %)]]-Table1[[#This Row],[Participation (Non-Gamification %)]]</f>
        <v>24.868313010000008</v>
      </c>
      <c r="AD185" s="28">
        <f>Table1[[#This Row],[Learning Outcomes (Gamification %)]]-Table1[[#This Row],[Learning Outcomes (Non-Gamification %)]]</f>
        <v>9.7999606700000044</v>
      </c>
      <c r="AE185" s="44" t="str">
        <f>IF(Table1[[#This Row],[Overall Effectiveness]]&lt;3.9,"Low",IF(Table1[[#This Row],[Overall Effectiveness]]&lt;4.2,"Medium","High"))</f>
        <v>Medium</v>
      </c>
      <c r="AF185" s="30" t="str">
        <f t="shared" si="16"/>
        <v>Experiments</v>
      </c>
      <c r="AG185" s="30" t="str">
        <f t="shared" si="17"/>
        <v>Experiments</v>
      </c>
      <c r="AH185" s="27">
        <f>COUNTIF(Teacher_Master!$D$2:$D$16,AF185)</f>
        <v>3</v>
      </c>
      <c r="AI185" s="30" t="str">
        <f>INDEX(Teacher_Master!$B$2:$B$16,MATCH(AF185,Teacher_Master!$D$2:$D$16,0))</f>
        <v>Prof. Rahul Singh</v>
      </c>
    </row>
    <row r="186" spans="1:35" ht="14.25" customHeight="1" x14ac:dyDescent="0.3">
      <c r="A186" s="31" t="s">
        <v>388</v>
      </c>
      <c r="B186" s="31" t="s">
        <v>389</v>
      </c>
      <c r="C186" s="31" t="s">
        <v>2882</v>
      </c>
      <c r="D186" s="12">
        <f t="shared" ca="1" si="12"/>
        <v>30</v>
      </c>
      <c r="E186" s="12" t="str">
        <f ca="1">IF(Table1[[#This Row],[Age]]&lt;=22,"20-22",IF(Table1[[#This Row],[Age]]&lt;=25,"23-25",IF(Table1[[#This Row],[Age]]&lt;=28,"26-28","29-30")))</f>
        <v>29-30</v>
      </c>
      <c r="F186" s="12">
        <v>3.86</v>
      </c>
      <c r="G186" s="12">
        <v>4.62</v>
      </c>
      <c r="H186" s="12">
        <v>4.92</v>
      </c>
      <c r="I186" s="12">
        <v>4.53</v>
      </c>
      <c r="J186" s="12">
        <v>4</v>
      </c>
      <c r="K186" s="12">
        <v>3.98</v>
      </c>
      <c r="L186" s="12">
        <v>3.79</v>
      </c>
      <c r="M186" s="12">
        <v>4.22</v>
      </c>
      <c r="N186" s="12">
        <v>3.6</v>
      </c>
      <c r="O186" s="12">
        <v>4.12</v>
      </c>
      <c r="P186" s="12">
        <f t="shared" si="13"/>
        <v>4.3860000000000001</v>
      </c>
      <c r="Q186" s="12">
        <f t="shared" si="14"/>
        <v>4.3899999999999997</v>
      </c>
      <c r="R186" s="12">
        <f t="shared" si="15"/>
        <v>3.9419999999999993</v>
      </c>
      <c r="S186" s="28">
        <f>IFERROR(INDEX('Clean Gamification Data'!$B:$B,MATCH($B186,'Clean Gamification Data'!$A:$A,0)),"Not Found")</f>
        <v>78.638241780000001</v>
      </c>
      <c r="T186" s="28">
        <f>IFERROR(INDEX('Clean Gamification Data'!$C:$C,MATCH($B186,'Clean Gamification Data'!$A:$A,0)),"Not Found")</f>
        <v>64.402135299999998</v>
      </c>
      <c r="U186" s="28">
        <f>IFERROR(INDEX('Clean Gamification Data'!$D:$D,MATCH($B186,'Clean Gamification Data'!$A:$A,0)),"Not Found")</f>
        <v>78.412952829999995</v>
      </c>
      <c r="V186" s="28">
        <f>IFERROR(INDEX('Clean Gamification Data'!$E:$E,MATCH($B186,'Clean Gamification Data'!$A:$A,0)),"Not Found")</f>
        <v>71.449884929999996</v>
      </c>
      <c r="W186" s="28">
        <f>IFERROR(INDEX('Clean Gamification Data'!$F:$F,MATCH($B186,'Clean Gamification Data'!$A:$A,0)),"Not Found")</f>
        <v>99.9</v>
      </c>
      <c r="X186" s="28">
        <f>IFERROR(INDEX('Clean Gamification Data'!$G:$G,MATCH($B186,'Clean Gamification Data'!$A:$A,0)),"Not Found")</f>
        <v>77.451795290000007</v>
      </c>
      <c r="Y186" s="28">
        <f>IFERROR(INDEX('Clean Gamification Data'!$H:$H,MATCH($B186,'Clean Gamification Data'!$A:$A,0)),"Not Found")</f>
        <v>69.284391909999997</v>
      </c>
      <c r="Z186" s="28">
        <f>IFERROR(INDEX('Clean Gamification Data'!$I:$I,MATCH($B186,'Clean Gamification Data'!$A:$A,0)),"Not Found")</f>
        <v>62.600599289999998</v>
      </c>
      <c r="AA186" s="28">
        <f>Table1[[#This Row],[Engagement (Gamification %)]]-Table1[[#This Row],[Engagement (Non-Gamification %)]]</f>
        <v>14.236106480000004</v>
      </c>
      <c r="AB186" s="28">
        <f>Table1[[#This Row],[Motivation (Gamification %)]]-Table1[[#This Row],[Motivation (Non-Gamification %)]]</f>
        <v>6.9630678999999986</v>
      </c>
      <c r="AC186" s="28">
        <f>Table1[[#This Row],[Participation (Gamification %)]]-Table1[[#This Row],[Participation (Non-Gamification %)]]</f>
        <v>22.448204709999999</v>
      </c>
      <c r="AD186" s="28">
        <f>Table1[[#This Row],[Learning Outcomes (Gamification %)]]-Table1[[#This Row],[Learning Outcomes (Non-Gamification %)]]</f>
        <v>6.6837926199999984</v>
      </c>
      <c r="AE186" s="44" t="str">
        <f>IF(Table1[[#This Row],[Overall Effectiveness]]&lt;3.9,"Low",IF(Table1[[#This Row],[Overall Effectiveness]]&lt;4.2,"Medium","High"))</f>
        <v>High</v>
      </c>
      <c r="AF186" s="30" t="str">
        <f t="shared" si="16"/>
        <v>Group Projects</v>
      </c>
      <c r="AG186" s="30" t="str">
        <f t="shared" si="17"/>
        <v>Group Projects</v>
      </c>
      <c r="AH186" s="27">
        <f>COUNTIF(Teacher_Master!$D$2:$D$16,AF186)</f>
        <v>3</v>
      </c>
      <c r="AI186" s="30" t="str">
        <f>INDEX(Teacher_Master!$B$2:$B$16,MATCH(AF186,Teacher_Master!$D$2:$D$16,0))</f>
        <v>Dr. Rohan Dutta</v>
      </c>
    </row>
    <row r="187" spans="1:35" ht="14.25" customHeight="1" x14ac:dyDescent="0.3">
      <c r="A187" s="31" t="s">
        <v>390</v>
      </c>
      <c r="B187" s="31" t="s">
        <v>2215</v>
      </c>
      <c r="C187" s="31" t="s">
        <v>2882</v>
      </c>
      <c r="D187" s="12">
        <f t="shared" ca="1" si="12"/>
        <v>27</v>
      </c>
      <c r="E187" s="12" t="str">
        <f ca="1">IF(Table1[[#This Row],[Age]]&lt;=22,"20-22",IF(Table1[[#This Row],[Age]]&lt;=25,"23-25",IF(Table1[[#This Row],[Age]]&lt;=28,"26-28","29-30")))</f>
        <v>26-28</v>
      </c>
      <c r="F187" s="12">
        <v>3.71</v>
      </c>
      <c r="G187" s="12">
        <v>4.05</v>
      </c>
      <c r="H187" s="12">
        <v>4.1399999999999997</v>
      </c>
      <c r="I187" s="12" t="s">
        <v>211</v>
      </c>
      <c r="J187" s="12">
        <v>4.1399999999999997</v>
      </c>
      <c r="K187" s="12">
        <v>3.94</v>
      </c>
      <c r="L187" s="12">
        <v>3.96</v>
      </c>
      <c r="M187" s="12">
        <v>4.03</v>
      </c>
      <c r="N187" s="12">
        <v>4.2</v>
      </c>
      <c r="O187" s="12">
        <v>4.68</v>
      </c>
      <c r="P187" s="12">
        <f t="shared" si="13"/>
        <v>4.01</v>
      </c>
      <c r="Q187" s="12">
        <f t="shared" si="14"/>
        <v>4.01</v>
      </c>
      <c r="R187" s="12">
        <f t="shared" si="15"/>
        <v>4.1619999999999999</v>
      </c>
      <c r="S187" s="28">
        <f>IFERROR(INDEX('Clean Gamification Data'!$B:$B,MATCH($B187,'Clean Gamification Data'!$A:$A,0)),"Not Found")</f>
        <v>85.867891009999994</v>
      </c>
      <c r="T187" s="28">
        <f>IFERROR(INDEX('Clean Gamification Data'!$C:$C,MATCH($B187,'Clean Gamification Data'!$A:$A,0)),"Not Found")</f>
        <v>72.243142539999994</v>
      </c>
      <c r="U187" s="28">
        <f>IFERROR(INDEX('Clean Gamification Data'!$D:$D,MATCH($B187,'Clean Gamification Data'!$A:$A,0)),"Not Found")</f>
        <v>77.727792489999999</v>
      </c>
      <c r="V187" s="28">
        <f>IFERROR(INDEX('Clean Gamification Data'!$E:$E,MATCH($B187,'Clean Gamification Data'!$A:$A,0)),"Not Found")</f>
        <v>63.354199889999997</v>
      </c>
      <c r="W187" s="28">
        <f>IFERROR(INDEX('Clean Gamification Data'!$F:$F,MATCH($B187,'Clean Gamification Data'!$A:$A,0)),"Not Found")</f>
        <v>84.359922639999994</v>
      </c>
      <c r="X187" s="28">
        <f>IFERROR(INDEX('Clean Gamification Data'!$G:$G,MATCH($B187,'Clean Gamification Data'!$A:$A,0)),"Not Found")</f>
        <v>73.244905900000006</v>
      </c>
      <c r="Y187" s="28">
        <f>IFERROR(INDEX('Clean Gamification Data'!$H:$H,MATCH($B187,'Clean Gamification Data'!$A:$A,0)),"Not Found")</f>
        <v>68.060146320000001</v>
      </c>
      <c r="Z187" s="28">
        <f>IFERROR(INDEX('Clean Gamification Data'!$I:$I,MATCH($B187,'Clean Gamification Data'!$A:$A,0)),"Not Found")</f>
        <v>52.003853280000001</v>
      </c>
      <c r="AA187" s="28">
        <f>Table1[[#This Row],[Engagement (Gamification %)]]-Table1[[#This Row],[Engagement (Non-Gamification %)]]</f>
        <v>13.62474847</v>
      </c>
      <c r="AB187" s="28">
        <f>Table1[[#This Row],[Motivation (Gamification %)]]-Table1[[#This Row],[Motivation (Non-Gamification %)]]</f>
        <v>14.373592600000002</v>
      </c>
      <c r="AC187" s="28">
        <f>Table1[[#This Row],[Participation (Gamification %)]]-Table1[[#This Row],[Participation (Non-Gamification %)]]</f>
        <v>11.115016739999987</v>
      </c>
      <c r="AD187" s="28">
        <f>Table1[[#This Row],[Learning Outcomes (Gamification %)]]-Table1[[#This Row],[Learning Outcomes (Non-Gamification %)]]</f>
        <v>16.05629304</v>
      </c>
      <c r="AE187" s="44" t="str">
        <f>IF(Table1[[#This Row],[Overall Effectiveness]]&lt;3.9,"Low",IF(Table1[[#This Row],[Overall Effectiveness]]&lt;4.2,"Medium","High"))</f>
        <v>Medium</v>
      </c>
      <c r="AF187" s="30" t="str">
        <f t="shared" si="16"/>
        <v>Group Projects</v>
      </c>
      <c r="AG187" s="30" t="str">
        <f t="shared" si="17"/>
        <v>Online Tutorials</v>
      </c>
      <c r="AH187" s="27">
        <f>COUNTIF(Teacher_Master!$D$2:$D$16,AF187)</f>
        <v>3</v>
      </c>
      <c r="AI187" s="30" t="str">
        <f>INDEX(Teacher_Master!$B$2:$B$16,MATCH(AF187,Teacher_Master!$D$2:$D$16,0))</f>
        <v>Dr. Rohan Dutta</v>
      </c>
    </row>
    <row r="188" spans="1:35" ht="14.25" customHeight="1" x14ac:dyDescent="0.3">
      <c r="A188" s="31" t="s">
        <v>392</v>
      </c>
      <c r="B188" s="31" t="s">
        <v>393</v>
      </c>
      <c r="C188" s="31" t="s">
        <v>2882</v>
      </c>
      <c r="D188" s="12">
        <f t="shared" ca="1" si="12"/>
        <v>28</v>
      </c>
      <c r="E188" s="12" t="str">
        <f ca="1">IF(Table1[[#This Row],[Age]]&lt;=22,"20-22",IF(Table1[[#This Row],[Age]]&lt;=25,"23-25",IF(Table1[[#This Row],[Age]]&lt;=28,"26-28","29-30")))</f>
        <v>26-28</v>
      </c>
      <c r="F188" s="12">
        <v>3.95</v>
      </c>
      <c r="G188" s="12">
        <v>4.7699999999999996</v>
      </c>
      <c r="H188" s="12">
        <v>3.95</v>
      </c>
      <c r="I188" s="12">
        <v>3.81</v>
      </c>
      <c r="J188" s="12" t="s">
        <v>211</v>
      </c>
      <c r="K188" s="12">
        <v>3.92</v>
      </c>
      <c r="L188" s="12">
        <v>4.32</v>
      </c>
      <c r="M188" s="12">
        <v>4.6100000000000003</v>
      </c>
      <c r="N188" s="12">
        <v>4.2699999999999996</v>
      </c>
      <c r="O188" s="12">
        <v>4.07</v>
      </c>
      <c r="P188" s="12">
        <f t="shared" si="13"/>
        <v>4.1199999999999992</v>
      </c>
      <c r="Q188" s="12">
        <f t="shared" si="14"/>
        <v>4.12</v>
      </c>
      <c r="R188" s="12">
        <f t="shared" si="15"/>
        <v>4.2380000000000004</v>
      </c>
      <c r="S188" s="28">
        <f>IFERROR(INDEX('Clean Gamification Data'!$B:$B,MATCH($B188,'Clean Gamification Data'!$A:$A,0)),"Not Found")</f>
        <v>83.979177640000003</v>
      </c>
      <c r="T188" s="28">
        <f>IFERROR(INDEX('Clean Gamification Data'!$C:$C,MATCH($B188,'Clean Gamification Data'!$A:$A,0)),"Not Found")</f>
        <v>60</v>
      </c>
      <c r="U188" s="28">
        <f>IFERROR(INDEX('Clean Gamification Data'!$D:$D,MATCH($B188,'Clean Gamification Data'!$A:$A,0)),"Not Found")</f>
        <v>70</v>
      </c>
      <c r="V188" s="28">
        <f>IFERROR(INDEX('Clean Gamification Data'!$E:$E,MATCH($B188,'Clean Gamification Data'!$A:$A,0)),"Not Found")</f>
        <v>70.886956100000006</v>
      </c>
      <c r="W188" s="28">
        <f>IFERROR(INDEX('Clean Gamification Data'!$F:$F,MATCH($B188,'Clean Gamification Data'!$A:$A,0)),"Not Found")</f>
        <v>92.631706960000002</v>
      </c>
      <c r="X188" s="28">
        <f>IFERROR(INDEX('Clean Gamification Data'!$G:$G,MATCH($B188,'Clean Gamification Data'!$A:$A,0)),"Not Found")</f>
        <v>76.873491529999995</v>
      </c>
      <c r="Y188" s="28">
        <f>IFERROR(INDEX('Clean Gamification Data'!$H:$H,MATCH($B188,'Clean Gamification Data'!$A:$A,0)),"Not Found")</f>
        <v>65</v>
      </c>
      <c r="Z188" s="28">
        <f>IFERROR(INDEX('Clean Gamification Data'!$I:$I,MATCH($B188,'Clean Gamification Data'!$A:$A,0)),"Not Found")</f>
        <v>52.9710356</v>
      </c>
      <c r="AA188" s="28">
        <f>Table1[[#This Row],[Engagement (Gamification %)]]-Table1[[#This Row],[Engagement (Non-Gamification %)]]</f>
        <v>23.979177640000003</v>
      </c>
      <c r="AB188" s="28">
        <f>Table1[[#This Row],[Motivation (Gamification %)]]-Table1[[#This Row],[Motivation (Non-Gamification %)]]</f>
        <v>-0.88695610000000613</v>
      </c>
      <c r="AC188" s="28">
        <f>Table1[[#This Row],[Participation (Gamification %)]]-Table1[[#This Row],[Participation (Non-Gamification %)]]</f>
        <v>15.758215430000007</v>
      </c>
      <c r="AD188" s="28">
        <f>Table1[[#This Row],[Learning Outcomes (Gamification %)]]-Table1[[#This Row],[Learning Outcomes (Non-Gamification %)]]</f>
        <v>12.0289644</v>
      </c>
      <c r="AE188" s="44" t="str">
        <f>IF(Table1[[#This Row],[Overall Effectiveness]]&lt;3.9,"Low",IF(Table1[[#This Row],[Overall Effectiveness]]&lt;4.2,"Medium","High"))</f>
        <v>Medium</v>
      </c>
      <c r="AF188" s="30" t="str">
        <f t="shared" si="16"/>
        <v>Case Studies</v>
      </c>
      <c r="AG188" s="30" t="str">
        <f t="shared" si="17"/>
        <v>Group Projects</v>
      </c>
      <c r="AH188" s="27">
        <f>COUNTIF(Teacher_Master!$D$2:$D$16,AF188)</f>
        <v>3</v>
      </c>
      <c r="AI188" s="30" t="str">
        <f>INDEX(Teacher_Master!$B$2:$B$16,MATCH(AF188,Teacher_Master!$D$2:$D$16,0))</f>
        <v>Prof. Rajesh Mukherjee</v>
      </c>
    </row>
    <row r="189" spans="1:35" ht="14.25" customHeight="1" x14ac:dyDescent="0.3">
      <c r="A189" s="31" t="s">
        <v>394</v>
      </c>
      <c r="B189" s="31" t="s">
        <v>2216</v>
      </c>
      <c r="C189" s="31" t="s">
        <v>2881</v>
      </c>
      <c r="D189" s="12">
        <f t="shared" ca="1" si="12"/>
        <v>24</v>
      </c>
      <c r="E189" s="12" t="str">
        <f ca="1">IF(Table1[[#This Row],[Age]]&lt;=22,"20-22",IF(Table1[[#This Row],[Age]]&lt;=25,"23-25",IF(Table1[[#This Row],[Age]]&lt;=28,"26-28","29-30")))</f>
        <v>23-25</v>
      </c>
      <c r="F189" s="12">
        <v>4.29</v>
      </c>
      <c r="G189" s="12">
        <v>3.93</v>
      </c>
      <c r="H189" s="12">
        <v>3.67</v>
      </c>
      <c r="I189" s="12">
        <v>3.89</v>
      </c>
      <c r="J189" s="12">
        <v>4.33</v>
      </c>
      <c r="K189" s="12">
        <v>3.66</v>
      </c>
      <c r="L189" s="12">
        <v>3.75</v>
      </c>
      <c r="M189" s="12">
        <v>3.97</v>
      </c>
      <c r="N189" s="12">
        <v>4.01</v>
      </c>
      <c r="O189" s="12">
        <v>3.49</v>
      </c>
      <c r="P189" s="12">
        <f t="shared" si="13"/>
        <v>4.0220000000000002</v>
      </c>
      <c r="Q189" s="12">
        <f t="shared" si="14"/>
        <v>4.0199999999999996</v>
      </c>
      <c r="R189" s="12">
        <f t="shared" si="15"/>
        <v>3.7760000000000007</v>
      </c>
      <c r="S189" s="28">
        <f>IFERROR(INDEX('Clean Gamification Data'!$B:$B,MATCH($B189,'Clean Gamification Data'!$A:$A,0)),"Not Found")</f>
        <v>81.493159910000003</v>
      </c>
      <c r="T189" s="28">
        <f>IFERROR(INDEX('Clean Gamification Data'!$C:$C,MATCH($B189,'Clean Gamification Data'!$A:$A,0)),"Not Found")</f>
        <v>70.52169791</v>
      </c>
      <c r="U189" s="28">
        <f>IFERROR(INDEX('Clean Gamification Data'!$D:$D,MATCH($B189,'Clean Gamification Data'!$A:$A,0)),"Not Found")</f>
        <v>72.488995410000001</v>
      </c>
      <c r="V189" s="28">
        <f>IFERROR(INDEX('Clean Gamification Data'!$E:$E,MATCH($B189,'Clean Gamification Data'!$A:$A,0)),"Not Found")</f>
        <v>63.017484430000003</v>
      </c>
      <c r="W189" s="28">
        <f>IFERROR(INDEX('Clean Gamification Data'!$F:$F,MATCH($B189,'Clean Gamification Data'!$A:$A,0)),"Not Found")</f>
        <v>99.9</v>
      </c>
      <c r="X189" s="28">
        <f>IFERROR(INDEX('Clean Gamification Data'!$G:$G,MATCH($B189,'Clean Gamification Data'!$A:$A,0)),"Not Found")</f>
        <v>74.659179179999995</v>
      </c>
      <c r="Y189" s="28">
        <f>IFERROR(INDEX('Clean Gamification Data'!$H:$H,MATCH($B189,'Clean Gamification Data'!$A:$A,0)),"Not Found")</f>
        <v>75.937661390000002</v>
      </c>
      <c r="Z189" s="28">
        <f>IFERROR(INDEX('Clean Gamification Data'!$I:$I,MATCH($B189,'Clean Gamification Data'!$A:$A,0)),"Not Found")</f>
        <v>59.654566780000003</v>
      </c>
      <c r="AA189" s="28">
        <f>Table1[[#This Row],[Engagement (Gamification %)]]-Table1[[#This Row],[Engagement (Non-Gamification %)]]</f>
        <v>10.971462000000002</v>
      </c>
      <c r="AB189" s="28">
        <f>Table1[[#This Row],[Motivation (Gamification %)]]-Table1[[#This Row],[Motivation (Non-Gamification %)]]</f>
        <v>9.4715109799999979</v>
      </c>
      <c r="AC189" s="28">
        <f>Table1[[#This Row],[Participation (Gamification %)]]-Table1[[#This Row],[Participation (Non-Gamification %)]]</f>
        <v>25.24082082000001</v>
      </c>
      <c r="AD189" s="28">
        <f>Table1[[#This Row],[Learning Outcomes (Gamification %)]]-Table1[[#This Row],[Learning Outcomes (Non-Gamification %)]]</f>
        <v>16.283094609999999</v>
      </c>
      <c r="AE189" s="44" t="str">
        <f>IF(Table1[[#This Row],[Overall Effectiveness]]&lt;3.9,"Low",IF(Table1[[#This Row],[Overall Effectiveness]]&lt;4.2,"Medium","High"))</f>
        <v>Medium</v>
      </c>
      <c r="AF189" s="30" t="str">
        <f t="shared" si="16"/>
        <v>Online Tutorials</v>
      </c>
      <c r="AG189" s="30" t="str">
        <f t="shared" si="17"/>
        <v>Experiments</v>
      </c>
      <c r="AH189" s="27">
        <f>COUNTIF(Teacher_Master!$D$2:$D$16,AF189)</f>
        <v>3</v>
      </c>
      <c r="AI189" s="30" t="str">
        <f>INDEX(Teacher_Master!$B$2:$B$16,MATCH(AF189,Teacher_Master!$D$2:$D$16,0))</f>
        <v>Prof. Kavita Rao</v>
      </c>
    </row>
    <row r="190" spans="1:35" ht="14.25" customHeight="1" x14ac:dyDescent="0.3">
      <c r="A190" s="31" t="s">
        <v>396</v>
      </c>
      <c r="B190" s="31" t="s">
        <v>2217</v>
      </c>
      <c r="C190" s="31" t="s">
        <v>2882</v>
      </c>
      <c r="D190" s="12">
        <f t="shared" ca="1" si="12"/>
        <v>28</v>
      </c>
      <c r="E190" s="12" t="str">
        <f ca="1">IF(Table1[[#This Row],[Age]]&lt;=22,"20-22",IF(Table1[[#This Row],[Age]]&lt;=25,"23-25",IF(Table1[[#This Row],[Age]]&lt;=28,"26-28","29-30")))</f>
        <v>26-28</v>
      </c>
      <c r="F190" s="12">
        <v>4.04</v>
      </c>
      <c r="G190" s="12">
        <v>3.76</v>
      </c>
      <c r="H190" s="12">
        <v>4.24</v>
      </c>
      <c r="I190" s="12">
        <v>4.18</v>
      </c>
      <c r="J190" s="12">
        <v>4.4400000000000004</v>
      </c>
      <c r="K190" s="12">
        <v>4.25</v>
      </c>
      <c r="L190" s="12">
        <v>3.72</v>
      </c>
      <c r="M190" s="12">
        <v>3.77</v>
      </c>
      <c r="N190" s="12">
        <v>4.33</v>
      </c>
      <c r="O190" s="12">
        <v>3.99</v>
      </c>
      <c r="P190" s="12">
        <f t="shared" si="13"/>
        <v>4.1319999999999997</v>
      </c>
      <c r="Q190" s="12">
        <f t="shared" si="14"/>
        <v>4.13</v>
      </c>
      <c r="R190" s="12">
        <f t="shared" si="15"/>
        <v>4.0120000000000005</v>
      </c>
      <c r="S190" s="28">
        <f>IFERROR(INDEX('Clean Gamification Data'!$B:$B,MATCH($B190,'Clean Gamification Data'!$A:$A,0)),"Not Found")</f>
        <v>75</v>
      </c>
      <c r="T190" s="28">
        <f>IFERROR(INDEX('Clean Gamification Data'!$C:$C,MATCH($B190,'Clean Gamification Data'!$A:$A,0)),"Not Found")</f>
        <v>71.6565777</v>
      </c>
      <c r="U190" s="28">
        <f>IFERROR(INDEX('Clean Gamification Data'!$D:$D,MATCH($B190,'Clean Gamification Data'!$A:$A,0)),"Not Found")</f>
        <v>71.53568568</v>
      </c>
      <c r="V190" s="28">
        <f>IFERROR(INDEX('Clean Gamification Data'!$E:$E,MATCH($B190,'Clean Gamification Data'!$A:$A,0)),"Not Found")</f>
        <v>68.11198263</v>
      </c>
      <c r="W190" s="28">
        <f>IFERROR(INDEX('Clean Gamification Data'!$F:$F,MATCH($B190,'Clean Gamification Data'!$A:$A,0)),"Not Found")</f>
        <v>90.913713360000003</v>
      </c>
      <c r="X190" s="28">
        <f>IFERROR(INDEX('Clean Gamification Data'!$G:$G,MATCH($B190,'Clean Gamification Data'!$A:$A,0)),"Not Found")</f>
        <v>78.288133889999997</v>
      </c>
      <c r="Y190" s="28">
        <f>IFERROR(INDEX('Clean Gamification Data'!$H:$H,MATCH($B190,'Clean Gamification Data'!$A:$A,0)),"Not Found")</f>
        <v>66.054471620000001</v>
      </c>
      <c r="Z190" s="28">
        <f>IFERROR(INDEX('Clean Gamification Data'!$I:$I,MATCH($B190,'Clean Gamification Data'!$A:$A,0)),"Not Found")</f>
        <v>57.96555489</v>
      </c>
      <c r="AA190" s="28">
        <f>Table1[[#This Row],[Engagement (Gamification %)]]-Table1[[#This Row],[Engagement (Non-Gamification %)]]</f>
        <v>3.3434223000000003</v>
      </c>
      <c r="AB190" s="28">
        <f>Table1[[#This Row],[Motivation (Gamification %)]]-Table1[[#This Row],[Motivation (Non-Gamification %)]]</f>
        <v>3.4237030500000003</v>
      </c>
      <c r="AC190" s="28">
        <f>Table1[[#This Row],[Participation (Gamification %)]]-Table1[[#This Row],[Participation (Non-Gamification %)]]</f>
        <v>12.625579470000005</v>
      </c>
      <c r="AD190" s="28">
        <f>Table1[[#This Row],[Learning Outcomes (Gamification %)]]-Table1[[#This Row],[Learning Outcomes (Non-Gamification %)]]</f>
        <v>8.0889167300000011</v>
      </c>
      <c r="AE190" s="44" t="str">
        <f>IF(Table1[[#This Row],[Overall Effectiveness]]&lt;3.9,"Low",IF(Table1[[#This Row],[Overall Effectiveness]]&lt;4.2,"Medium","High"))</f>
        <v>Medium</v>
      </c>
      <c r="AF190" s="30" t="str">
        <f t="shared" si="16"/>
        <v>Online Tutorials</v>
      </c>
      <c r="AG190" s="30" t="str">
        <f t="shared" si="17"/>
        <v>Experiments</v>
      </c>
      <c r="AH190" s="27">
        <f>COUNTIF(Teacher_Master!$D$2:$D$16,AF190)</f>
        <v>3</v>
      </c>
      <c r="AI190" s="30" t="str">
        <f>INDEX(Teacher_Master!$B$2:$B$16,MATCH(AF190,Teacher_Master!$D$2:$D$16,0))</f>
        <v>Prof. Kavita Rao</v>
      </c>
    </row>
    <row r="191" spans="1:35" ht="14.25" customHeight="1" x14ac:dyDescent="0.3">
      <c r="A191" s="31" t="s">
        <v>398</v>
      </c>
      <c r="B191" s="31" t="s">
        <v>2218</v>
      </c>
      <c r="C191" s="31" t="s">
        <v>2882</v>
      </c>
      <c r="D191" s="12">
        <f t="shared" ca="1" si="12"/>
        <v>23</v>
      </c>
      <c r="E191" s="12" t="str">
        <f ca="1">IF(Table1[[#This Row],[Age]]&lt;=22,"20-22",IF(Table1[[#This Row],[Age]]&lt;=25,"23-25",IF(Table1[[#This Row],[Age]]&lt;=28,"26-28","29-30")))</f>
        <v>23-25</v>
      </c>
      <c r="F191" s="12">
        <v>3.75</v>
      </c>
      <c r="G191" s="12">
        <v>4.07</v>
      </c>
      <c r="H191" s="12">
        <v>4.37</v>
      </c>
      <c r="I191" s="12">
        <v>3.93</v>
      </c>
      <c r="J191" s="12">
        <v>3.85</v>
      </c>
      <c r="K191" s="12">
        <v>3.62</v>
      </c>
      <c r="L191" s="12">
        <v>4.43</v>
      </c>
      <c r="M191" s="12">
        <v>4.28</v>
      </c>
      <c r="N191" s="12">
        <v>4.2</v>
      </c>
      <c r="O191" s="12">
        <v>3.57</v>
      </c>
      <c r="P191" s="12">
        <f t="shared" si="13"/>
        <v>3.9940000000000007</v>
      </c>
      <c r="Q191" s="12">
        <f t="shared" si="14"/>
        <v>3.99</v>
      </c>
      <c r="R191" s="12">
        <f t="shared" si="15"/>
        <v>4.0200000000000005</v>
      </c>
      <c r="S191" s="28">
        <f>IFERROR(INDEX('Clean Gamification Data'!$B:$B,MATCH($B191,'Clean Gamification Data'!$A:$A,0)),"Not Found")</f>
        <v>90.132737289999994</v>
      </c>
      <c r="T191" s="28">
        <f>IFERROR(INDEX('Clean Gamification Data'!$C:$C,MATCH($B191,'Clean Gamification Data'!$A:$A,0)),"Not Found")</f>
        <v>71.418915130000002</v>
      </c>
      <c r="U191" s="28">
        <f>IFERROR(INDEX('Clean Gamification Data'!$D:$D,MATCH($B191,'Clean Gamification Data'!$A:$A,0)),"Not Found")</f>
        <v>70</v>
      </c>
      <c r="V191" s="28">
        <f>IFERROR(INDEX('Clean Gamification Data'!$E:$E,MATCH($B191,'Clean Gamification Data'!$A:$A,0)),"Not Found")</f>
        <v>73.171813869999994</v>
      </c>
      <c r="W191" s="28">
        <f>IFERROR(INDEX('Clean Gamification Data'!$F:$F,MATCH($B191,'Clean Gamification Data'!$A:$A,0)),"Not Found")</f>
        <v>87.080196099999995</v>
      </c>
      <c r="X191" s="28">
        <f>IFERROR(INDEX('Clean Gamification Data'!$G:$G,MATCH($B191,'Clean Gamification Data'!$A:$A,0)),"Not Found")</f>
        <v>77.435490799999997</v>
      </c>
      <c r="Y191" s="28">
        <f>IFERROR(INDEX('Clean Gamification Data'!$H:$H,MATCH($B191,'Clean Gamification Data'!$A:$A,0)),"Not Found")</f>
        <v>70.01586519</v>
      </c>
      <c r="Z191" s="28">
        <f>IFERROR(INDEX('Clean Gamification Data'!$I:$I,MATCH($B191,'Clean Gamification Data'!$A:$A,0)),"Not Found")</f>
        <v>54.271774809999997</v>
      </c>
      <c r="AA191" s="28">
        <f>Table1[[#This Row],[Engagement (Gamification %)]]-Table1[[#This Row],[Engagement (Non-Gamification %)]]</f>
        <v>18.713822159999992</v>
      </c>
      <c r="AB191" s="28">
        <f>Table1[[#This Row],[Motivation (Gamification %)]]-Table1[[#This Row],[Motivation (Non-Gamification %)]]</f>
        <v>-3.171813869999994</v>
      </c>
      <c r="AC191" s="28">
        <f>Table1[[#This Row],[Participation (Gamification %)]]-Table1[[#This Row],[Participation (Non-Gamification %)]]</f>
        <v>9.6447052999999983</v>
      </c>
      <c r="AD191" s="28">
        <f>Table1[[#This Row],[Learning Outcomes (Gamification %)]]-Table1[[#This Row],[Learning Outcomes (Non-Gamification %)]]</f>
        <v>15.744090380000003</v>
      </c>
      <c r="AE191" s="44" t="str">
        <f>IF(Table1[[#This Row],[Overall Effectiveness]]&lt;3.9,"Low",IF(Table1[[#This Row],[Overall Effectiveness]]&lt;4.2,"Medium","High"))</f>
        <v>Medium</v>
      </c>
      <c r="AF191" s="30" t="str">
        <f t="shared" si="16"/>
        <v>Group Projects</v>
      </c>
      <c r="AG191" s="30" t="str">
        <f t="shared" si="17"/>
        <v>Case Studies</v>
      </c>
      <c r="AH191" s="27">
        <f>COUNTIF(Teacher_Master!$D$2:$D$16,AF191)</f>
        <v>3</v>
      </c>
      <c r="AI191" s="30" t="str">
        <f>INDEX(Teacher_Master!$B$2:$B$16,MATCH(AF191,Teacher_Master!$D$2:$D$16,0))</f>
        <v>Dr. Rohan Dutta</v>
      </c>
    </row>
    <row r="192" spans="1:35" ht="14.25" customHeight="1" x14ac:dyDescent="0.3">
      <c r="A192" s="31" t="s">
        <v>400</v>
      </c>
      <c r="B192" s="31" t="s">
        <v>2219</v>
      </c>
      <c r="C192" s="31" t="s">
        <v>2882</v>
      </c>
      <c r="D192" s="12">
        <f t="shared" ca="1" si="12"/>
        <v>20</v>
      </c>
      <c r="E192" s="12" t="str">
        <f ca="1">IF(Table1[[#This Row],[Age]]&lt;=22,"20-22",IF(Table1[[#This Row],[Age]]&lt;=25,"23-25",IF(Table1[[#This Row],[Age]]&lt;=28,"26-28","29-30")))</f>
        <v>20-22</v>
      </c>
      <c r="F192" s="12">
        <v>4.34</v>
      </c>
      <c r="G192" s="12">
        <v>4.47</v>
      </c>
      <c r="H192" s="12">
        <v>3.7</v>
      </c>
      <c r="I192" s="12">
        <v>3.66</v>
      </c>
      <c r="J192" s="12">
        <v>3.99</v>
      </c>
      <c r="K192" s="12">
        <v>4.1900000000000004</v>
      </c>
      <c r="L192" s="12">
        <v>4.32</v>
      </c>
      <c r="M192" s="12">
        <v>4.0599999999999996</v>
      </c>
      <c r="N192" s="12">
        <v>3.89</v>
      </c>
      <c r="O192" s="12">
        <v>4.25</v>
      </c>
      <c r="P192" s="12">
        <f t="shared" si="13"/>
        <v>4.0319999999999991</v>
      </c>
      <c r="Q192" s="12">
        <f t="shared" si="14"/>
        <v>4.03</v>
      </c>
      <c r="R192" s="12">
        <f t="shared" si="15"/>
        <v>4.1420000000000003</v>
      </c>
      <c r="S192" s="28">
        <f>IFERROR(INDEX('Clean Gamification Data'!$B:$B,MATCH($B192,'Clean Gamification Data'!$A:$A,0)),"Not Found")</f>
        <v>89.889769720000004</v>
      </c>
      <c r="T192" s="28">
        <f>IFERROR(INDEX('Clean Gamification Data'!$C:$C,MATCH($B192,'Clean Gamification Data'!$A:$A,0)),"Not Found")</f>
        <v>67.679992440000007</v>
      </c>
      <c r="U192" s="28">
        <f>IFERROR(INDEX('Clean Gamification Data'!$D:$D,MATCH($B192,'Clean Gamification Data'!$A:$A,0)),"Not Found")</f>
        <v>85.315805690000005</v>
      </c>
      <c r="V192" s="28">
        <f>IFERROR(INDEX('Clean Gamification Data'!$E:$E,MATCH($B192,'Clean Gamification Data'!$A:$A,0)),"Not Found")</f>
        <v>72.578693470000005</v>
      </c>
      <c r="W192" s="28">
        <f>IFERROR(INDEX('Clean Gamification Data'!$F:$F,MATCH($B192,'Clean Gamification Data'!$A:$A,0)),"Not Found")</f>
        <v>85.200475109999999</v>
      </c>
      <c r="X192" s="28">
        <f>IFERROR(INDEX('Clean Gamification Data'!$G:$G,MATCH($B192,'Clean Gamification Data'!$A:$A,0)),"Not Found")</f>
        <v>82.696912310000002</v>
      </c>
      <c r="Y192" s="28">
        <f>IFERROR(INDEX('Clean Gamification Data'!$H:$H,MATCH($B192,'Clean Gamification Data'!$A:$A,0)),"Not Found")</f>
        <v>72.348058839999993</v>
      </c>
      <c r="Z192" s="28">
        <f>IFERROR(INDEX('Clean Gamification Data'!$I:$I,MATCH($B192,'Clean Gamification Data'!$A:$A,0)),"Not Found")</f>
        <v>50</v>
      </c>
      <c r="AA192" s="28">
        <f>Table1[[#This Row],[Engagement (Gamification %)]]-Table1[[#This Row],[Engagement (Non-Gamification %)]]</f>
        <v>22.209777279999997</v>
      </c>
      <c r="AB192" s="28">
        <f>Table1[[#This Row],[Motivation (Gamification %)]]-Table1[[#This Row],[Motivation (Non-Gamification %)]]</f>
        <v>12.73711222</v>
      </c>
      <c r="AC192" s="28">
        <f>Table1[[#This Row],[Participation (Gamification %)]]-Table1[[#This Row],[Participation (Non-Gamification %)]]</f>
        <v>2.5035627999999974</v>
      </c>
      <c r="AD192" s="28">
        <f>Table1[[#This Row],[Learning Outcomes (Gamification %)]]-Table1[[#This Row],[Learning Outcomes (Non-Gamification %)]]</f>
        <v>22.348058839999993</v>
      </c>
      <c r="AE192" s="44" t="str">
        <f>IF(Table1[[#This Row],[Overall Effectiveness]]&lt;3.9,"Low",IF(Table1[[#This Row],[Overall Effectiveness]]&lt;4.2,"Medium","High"))</f>
        <v>Medium</v>
      </c>
      <c r="AF192" s="30" t="str">
        <f t="shared" si="16"/>
        <v>Case Studies</v>
      </c>
      <c r="AG192" s="30" t="str">
        <f t="shared" si="17"/>
        <v>Case Studies</v>
      </c>
      <c r="AH192" s="27">
        <f>COUNTIF(Teacher_Master!$D$2:$D$16,AF192)</f>
        <v>3</v>
      </c>
      <c r="AI192" s="30" t="str">
        <f>INDEX(Teacher_Master!$B$2:$B$16,MATCH(AF192,Teacher_Master!$D$2:$D$16,0))</f>
        <v>Prof. Rajesh Mukherjee</v>
      </c>
    </row>
    <row r="193" spans="1:35" ht="14.25" customHeight="1" x14ac:dyDescent="0.3">
      <c r="A193" s="31" t="s">
        <v>402</v>
      </c>
      <c r="B193" s="31" t="s">
        <v>2220</v>
      </c>
      <c r="C193" s="31" t="s">
        <v>2881</v>
      </c>
      <c r="D193" s="12">
        <f t="shared" ca="1" si="12"/>
        <v>29</v>
      </c>
      <c r="E193" s="12" t="str">
        <f ca="1">IF(Table1[[#This Row],[Age]]&lt;=22,"20-22",IF(Table1[[#This Row],[Age]]&lt;=25,"23-25",IF(Table1[[#This Row],[Age]]&lt;=28,"26-28","29-30")))</f>
        <v>29-30</v>
      </c>
      <c r="F193" s="12">
        <v>4.18</v>
      </c>
      <c r="G193" s="12">
        <v>4.37</v>
      </c>
      <c r="H193" s="12">
        <v>3.74</v>
      </c>
      <c r="I193" s="12">
        <v>3.94</v>
      </c>
      <c r="J193" s="12">
        <v>4.3499999999999996</v>
      </c>
      <c r="K193" s="12">
        <v>4.0999999999999996</v>
      </c>
      <c r="L193" s="12">
        <v>4.41</v>
      </c>
      <c r="M193" s="12">
        <v>4.29</v>
      </c>
      <c r="N193" s="12">
        <v>3.91</v>
      </c>
      <c r="O193" s="12">
        <v>4.33</v>
      </c>
      <c r="P193" s="12">
        <f t="shared" si="13"/>
        <v>4.1159999999999997</v>
      </c>
      <c r="Q193" s="12">
        <f t="shared" si="14"/>
        <v>4.12</v>
      </c>
      <c r="R193" s="12">
        <f t="shared" si="15"/>
        <v>4.2080000000000002</v>
      </c>
      <c r="S193" s="28">
        <f>IFERROR(INDEX('Clean Gamification Data'!$B:$B,MATCH($B193,'Clean Gamification Data'!$A:$A,0)),"Not Found")</f>
        <v>84.562561650000006</v>
      </c>
      <c r="T193" s="28">
        <f>IFERROR(INDEX('Clean Gamification Data'!$C:$C,MATCH($B193,'Clean Gamification Data'!$A:$A,0)),"Not Found")</f>
        <v>63.820042719999996</v>
      </c>
      <c r="U193" s="28">
        <f>IFERROR(INDEX('Clean Gamification Data'!$D:$D,MATCH($B193,'Clean Gamification Data'!$A:$A,0)),"Not Found")</f>
        <v>84.197783819999998</v>
      </c>
      <c r="V193" s="28">
        <f>IFERROR(INDEX('Clean Gamification Data'!$E:$E,MATCH($B193,'Clean Gamification Data'!$A:$A,0)),"Not Found")</f>
        <v>65.139584810000002</v>
      </c>
      <c r="W193" s="28">
        <f>IFERROR(INDEX('Clean Gamification Data'!$F:$F,MATCH($B193,'Clean Gamification Data'!$A:$A,0)),"Not Found")</f>
        <v>83.848184660000001</v>
      </c>
      <c r="X193" s="28">
        <f>IFERROR(INDEX('Clean Gamification Data'!$G:$G,MATCH($B193,'Clean Gamification Data'!$A:$A,0)),"Not Found")</f>
        <v>72.844035419999997</v>
      </c>
      <c r="Y193" s="28">
        <f>IFERROR(INDEX('Clean Gamification Data'!$H:$H,MATCH($B193,'Clean Gamification Data'!$A:$A,0)),"Not Found")</f>
        <v>75.486611030000006</v>
      </c>
      <c r="Z193" s="28">
        <f>IFERROR(INDEX('Clean Gamification Data'!$I:$I,MATCH($B193,'Clean Gamification Data'!$A:$A,0)),"Not Found")</f>
        <v>63.537459900000002</v>
      </c>
      <c r="AA193" s="28">
        <f>Table1[[#This Row],[Engagement (Gamification %)]]-Table1[[#This Row],[Engagement (Non-Gamification %)]]</f>
        <v>20.74251893000001</v>
      </c>
      <c r="AB193" s="28">
        <f>Table1[[#This Row],[Motivation (Gamification %)]]-Table1[[#This Row],[Motivation (Non-Gamification %)]]</f>
        <v>19.058199009999996</v>
      </c>
      <c r="AC193" s="28">
        <f>Table1[[#This Row],[Participation (Gamification %)]]-Table1[[#This Row],[Participation (Non-Gamification %)]]</f>
        <v>11.004149240000004</v>
      </c>
      <c r="AD193" s="28">
        <f>Table1[[#This Row],[Learning Outcomes (Gamification %)]]-Table1[[#This Row],[Learning Outcomes (Non-Gamification %)]]</f>
        <v>11.949151130000004</v>
      </c>
      <c r="AE193" s="44" t="str">
        <f>IF(Table1[[#This Row],[Overall Effectiveness]]&lt;3.9,"Low",IF(Table1[[#This Row],[Overall Effectiveness]]&lt;4.2,"Medium","High"))</f>
        <v>Medium</v>
      </c>
      <c r="AF193" s="30" t="str">
        <f t="shared" si="16"/>
        <v>Case Studies</v>
      </c>
      <c r="AG193" s="30" t="str">
        <f t="shared" si="17"/>
        <v>Case Studies</v>
      </c>
      <c r="AH193" s="27">
        <f>COUNTIF(Teacher_Master!$D$2:$D$16,AF193)</f>
        <v>3</v>
      </c>
      <c r="AI193" s="30" t="str">
        <f>INDEX(Teacher_Master!$B$2:$B$16,MATCH(AF193,Teacher_Master!$D$2:$D$16,0))</f>
        <v>Prof. Rajesh Mukherjee</v>
      </c>
    </row>
    <row r="194" spans="1:35" ht="14.25" customHeight="1" x14ac:dyDescent="0.3">
      <c r="A194" s="31" t="s">
        <v>404</v>
      </c>
      <c r="B194" s="31" t="s">
        <v>2221</v>
      </c>
      <c r="C194" s="31" t="s">
        <v>2881</v>
      </c>
      <c r="D194" s="12">
        <f t="shared" ref="D194:D257" ca="1" si="18">RANDBETWEEN(20,30)</f>
        <v>28</v>
      </c>
      <c r="E194" s="12" t="str">
        <f ca="1">IF(Table1[[#This Row],[Age]]&lt;=22,"20-22",IF(Table1[[#This Row],[Age]]&lt;=25,"23-25",IF(Table1[[#This Row],[Age]]&lt;=28,"26-28","29-30")))</f>
        <v>26-28</v>
      </c>
      <c r="F194" s="12">
        <v>3.95</v>
      </c>
      <c r="G194" s="12">
        <v>4.1399999999999997</v>
      </c>
      <c r="H194" s="12">
        <v>4.6100000000000003</v>
      </c>
      <c r="I194" s="12">
        <v>3.65</v>
      </c>
      <c r="J194" s="12">
        <v>4.46</v>
      </c>
      <c r="K194" s="12">
        <v>3.99</v>
      </c>
      <c r="L194" s="12">
        <v>4.2</v>
      </c>
      <c r="M194" s="12">
        <v>4.32</v>
      </c>
      <c r="N194" s="12">
        <v>4.22</v>
      </c>
      <c r="O194" s="12">
        <v>4.26</v>
      </c>
      <c r="P194" s="12">
        <f t="shared" ref="P194:P257" si="19">AVERAGE(F194:J194)</f>
        <v>4.1619999999999999</v>
      </c>
      <c r="Q194" s="12">
        <f t="shared" ref="Q194:Q257" si="20">ROUND(P194,2)</f>
        <v>4.16</v>
      </c>
      <c r="R194" s="12">
        <f t="shared" ref="R194:R257" si="21">AVERAGE(K194:O194)</f>
        <v>4.1980000000000004</v>
      </c>
      <c r="S194" s="28">
        <f>IFERROR(INDEX('Clean Gamification Data'!$B:$B,MATCH($B194,'Clean Gamification Data'!$A:$A,0)),"Not Found")</f>
        <v>88.973415329999995</v>
      </c>
      <c r="T194" s="28">
        <f>IFERROR(INDEX('Clean Gamification Data'!$C:$C,MATCH($B194,'Clean Gamification Data'!$A:$A,0)),"Not Found")</f>
        <v>60</v>
      </c>
      <c r="U194" s="28">
        <f>IFERROR(INDEX('Clean Gamification Data'!$D:$D,MATCH($B194,'Clean Gamification Data'!$A:$A,0)),"Not Found")</f>
        <v>80.855168649999996</v>
      </c>
      <c r="V194" s="28">
        <f>IFERROR(INDEX('Clean Gamification Data'!$E:$E,MATCH($B194,'Clean Gamification Data'!$A:$A,0)),"Not Found")</f>
        <v>67.409837859999996</v>
      </c>
      <c r="W194" s="28">
        <f>IFERROR(INDEX('Clean Gamification Data'!$F:$F,MATCH($B194,'Clean Gamification Data'!$A:$A,0)),"Not Found")</f>
        <v>99.9</v>
      </c>
      <c r="X194" s="28">
        <f>IFERROR(INDEX('Clean Gamification Data'!$G:$G,MATCH($B194,'Clean Gamification Data'!$A:$A,0)),"Not Found")</f>
        <v>79.988002129999998</v>
      </c>
      <c r="Y194" s="28">
        <f>IFERROR(INDEX('Clean Gamification Data'!$H:$H,MATCH($B194,'Clean Gamification Data'!$A:$A,0)),"Not Found")</f>
        <v>70.728341909999997</v>
      </c>
      <c r="Z194" s="28">
        <f>IFERROR(INDEX('Clean Gamification Data'!$I:$I,MATCH($B194,'Clean Gamification Data'!$A:$A,0)),"Not Found")</f>
        <v>50.13113405</v>
      </c>
      <c r="AA194" s="28">
        <f>Table1[[#This Row],[Engagement (Gamification %)]]-Table1[[#This Row],[Engagement (Non-Gamification %)]]</f>
        <v>28.973415329999995</v>
      </c>
      <c r="AB194" s="28">
        <f>Table1[[#This Row],[Motivation (Gamification %)]]-Table1[[#This Row],[Motivation (Non-Gamification %)]]</f>
        <v>13.44533079</v>
      </c>
      <c r="AC194" s="28">
        <f>Table1[[#This Row],[Participation (Gamification %)]]-Table1[[#This Row],[Participation (Non-Gamification %)]]</f>
        <v>19.911997870000008</v>
      </c>
      <c r="AD194" s="28">
        <f>Table1[[#This Row],[Learning Outcomes (Gamification %)]]-Table1[[#This Row],[Learning Outcomes (Non-Gamification %)]]</f>
        <v>20.597207859999997</v>
      </c>
      <c r="AE194" s="44" t="str">
        <f>IF(Table1[[#This Row],[Overall Effectiveness]]&lt;3.9,"Low",IF(Table1[[#This Row],[Overall Effectiveness]]&lt;4.2,"Medium","High"))</f>
        <v>Medium</v>
      </c>
      <c r="AF194" s="30" t="str">
        <f t="shared" ref="AF194:AF257" si="22">CHOOSE(MATCH(MAX(F194:J194),F194:J194,0),"Lectures","Case Studies","Group Projects","Experiments","Online Tutorials")</f>
        <v>Group Projects</v>
      </c>
      <c r="AG194" s="30" t="str">
        <f t="shared" ref="AG194:AG257" si="23">CHOOSE(MATCH(MAX(K194:O194),K194:O194,0),"Lectures","Case Studies","Group Projects","Experiments","Online Tutorials")</f>
        <v>Group Projects</v>
      </c>
      <c r="AH194" s="27">
        <f>COUNTIF(Teacher_Master!$D$2:$D$16,AF194)</f>
        <v>3</v>
      </c>
      <c r="AI194" s="30" t="str">
        <f>INDEX(Teacher_Master!$B$2:$B$16,MATCH(AF194,Teacher_Master!$D$2:$D$16,0))</f>
        <v>Dr. Rohan Dutta</v>
      </c>
    </row>
    <row r="195" spans="1:35" ht="14.25" customHeight="1" x14ac:dyDescent="0.3">
      <c r="A195" s="31" t="s">
        <v>406</v>
      </c>
      <c r="B195" s="31" t="s">
        <v>2222</v>
      </c>
      <c r="C195" s="31" t="s">
        <v>2882</v>
      </c>
      <c r="D195" s="12">
        <f t="shared" ca="1" si="18"/>
        <v>23</v>
      </c>
      <c r="E195" s="12" t="str">
        <f ca="1">IF(Table1[[#This Row],[Age]]&lt;=22,"20-22",IF(Table1[[#This Row],[Age]]&lt;=25,"23-25",IF(Table1[[#This Row],[Age]]&lt;=28,"26-28","29-30")))</f>
        <v>23-25</v>
      </c>
      <c r="F195" s="12">
        <v>4.37</v>
      </c>
      <c r="G195" s="12">
        <v>4.18</v>
      </c>
      <c r="H195" s="12">
        <v>3.73</v>
      </c>
      <c r="I195" s="12">
        <v>4.2300000000000004</v>
      </c>
      <c r="J195" s="12">
        <v>4.2699999999999996</v>
      </c>
      <c r="K195" s="12">
        <v>4.16</v>
      </c>
      <c r="L195" s="12">
        <v>4.0599999999999996</v>
      </c>
      <c r="M195" s="12">
        <v>4.5</v>
      </c>
      <c r="N195" s="12">
        <v>3.87</v>
      </c>
      <c r="O195" s="12">
        <v>3.93</v>
      </c>
      <c r="P195" s="12">
        <f t="shared" si="19"/>
        <v>4.1560000000000006</v>
      </c>
      <c r="Q195" s="12">
        <f t="shared" si="20"/>
        <v>4.16</v>
      </c>
      <c r="R195" s="12">
        <f t="shared" si="21"/>
        <v>4.1040000000000001</v>
      </c>
      <c r="S195" s="28">
        <f>IFERROR(INDEX('Clean Gamification Data'!$B:$B,MATCH($B195,'Clean Gamification Data'!$A:$A,0)),"Not Found")</f>
        <v>84.47847702</v>
      </c>
      <c r="T195" s="28">
        <f>IFERROR(INDEX('Clean Gamification Data'!$C:$C,MATCH($B195,'Clean Gamification Data'!$A:$A,0)),"Not Found")</f>
        <v>63.797427550000002</v>
      </c>
      <c r="U195" s="28">
        <f>IFERROR(INDEX('Clean Gamification Data'!$D:$D,MATCH($B195,'Clean Gamification Data'!$A:$A,0)),"Not Found")</f>
        <v>75.758497680000005</v>
      </c>
      <c r="V195" s="28">
        <f>IFERROR(INDEX('Clean Gamification Data'!$E:$E,MATCH($B195,'Clean Gamification Data'!$A:$A,0)),"Not Found")</f>
        <v>69.976062499999998</v>
      </c>
      <c r="W195" s="28">
        <f>IFERROR(INDEX('Clean Gamification Data'!$F:$F,MATCH($B195,'Clean Gamification Data'!$A:$A,0)),"Not Found")</f>
        <v>95.53001845</v>
      </c>
      <c r="X195" s="28">
        <f>IFERROR(INDEX('Clean Gamification Data'!$G:$G,MATCH($B195,'Clean Gamification Data'!$A:$A,0)),"Not Found")</f>
        <v>76.362793300000007</v>
      </c>
      <c r="Y195" s="28">
        <f>IFERROR(INDEX('Clean Gamification Data'!$H:$H,MATCH($B195,'Clean Gamification Data'!$A:$A,0)),"Not Found")</f>
        <v>67.171906840000005</v>
      </c>
      <c r="Z195" s="28">
        <f>IFERROR(INDEX('Clean Gamification Data'!$I:$I,MATCH($B195,'Clean Gamification Data'!$A:$A,0)),"Not Found")</f>
        <v>57.428532920000002</v>
      </c>
      <c r="AA195" s="28">
        <f>Table1[[#This Row],[Engagement (Gamification %)]]-Table1[[#This Row],[Engagement (Non-Gamification %)]]</f>
        <v>20.681049469999998</v>
      </c>
      <c r="AB195" s="28">
        <f>Table1[[#This Row],[Motivation (Gamification %)]]-Table1[[#This Row],[Motivation (Non-Gamification %)]]</f>
        <v>5.7824351800000073</v>
      </c>
      <c r="AC195" s="28">
        <f>Table1[[#This Row],[Participation (Gamification %)]]-Table1[[#This Row],[Participation (Non-Gamification %)]]</f>
        <v>19.167225149999993</v>
      </c>
      <c r="AD195" s="28">
        <f>Table1[[#This Row],[Learning Outcomes (Gamification %)]]-Table1[[#This Row],[Learning Outcomes (Non-Gamification %)]]</f>
        <v>9.7433739200000034</v>
      </c>
      <c r="AE195" s="44" t="str">
        <f>IF(Table1[[#This Row],[Overall Effectiveness]]&lt;3.9,"Low",IF(Table1[[#This Row],[Overall Effectiveness]]&lt;4.2,"Medium","High"))</f>
        <v>Medium</v>
      </c>
      <c r="AF195" s="30" t="str">
        <f t="shared" si="22"/>
        <v>Lectures</v>
      </c>
      <c r="AG195" s="30" t="str">
        <f t="shared" si="23"/>
        <v>Group Projects</v>
      </c>
      <c r="AH195" s="27">
        <f>COUNTIF(Teacher_Master!$D$2:$D$16,AF195)</f>
        <v>3</v>
      </c>
      <c r="AI195" s="30" t="str">
        <f>INDEX(Teacher_Master!$B$2:$B$16,MATCH(AF195,Teacher_Master!$D$2:$D$16,0))</f>
        <v>Prof. Vikram Gupta</v>
      </c>
    </row>
    <row r="196" spans="1:35" ht="14.25" customHeight="1" x14ac:dyDescent="0.3">
      <c r="A196" s="31" t="s">
        <v>408</v>
      </c>
      <c r="B196" s="31" t="s">
        <v>2223</v>
      </c>
      <c r="C196" s="31" t="s">
        <v>2882</v>
      </c>
      <c r="D196" s="12">
        <f t="shared" ca="1" si="18"/>
        <v>20</v>
      </c>
      <c r="E196" s="12" t="str">
        <f ca="1">IF(Table1[[#This Row],[Age]]&lt;=22,"20-22",IF(Table1[[#This Row],[Age]]&lt;=25,"23-25",IF(Table1[[#This Row],[Age]]&lt;=28,"26-28","29-30")))</f>
        <v>20-22</v>
      </c>
      <c r="F196" s="12">
        <v>3.79</v>
      </c>
      <c r="G196" s="12">
        <v>4.78</v>
      </c>
      <c r="H196" s="12">
        <v>3.83</v>
      </c>
      <c r="I196" s="12">
        <v>4.4400000000000004</v>
      </c>
      <c r="J196" s="12">
        <v>4.1500000000000004</v>
      </c>
      <c r="K196" s="12">
        <v>3.78</v>
      </c>
      <c r="L196" s="12">
        <v>3.75</v>
      </c>
      <c r="M196" s="12">
        <v>4.5599999999999996</v>
      </c>
      <c r="N196" s="12">
        <v>4.5999999999999996</v>
      </c>
      <c r="O196" s="12">
        <v>3.38</v>
      </c>
      <c r="P196" s="12">
        <f t="shared" si="19"/>
        <v>4.1980000000000004</v>
      </c>
      <c r="Q196" s="12">
        <f t="shared" si="20"/>
        <v>4.2</v>
      </c>
      <c r="R196" s="12">
        <f t="shared" si="21"/>
        <v>4.0139999999999993</v>
      </c>
      <c r="S196" s="28">
        <f>IFERROR(INDEX('Clean Gamification Data'!$B:$B,MATCH($B196,'Clean Gamification Data'!$A:$A,0)),"Not Found")</f>
        <v>80.412048990000002</v>
      </c>
      <c r="T196" s="28">
        <f>IFERROR(INDEX('Clean Gamification Data'!$C:$C,MATCH($B196,'Clean Gamification Data'!$A:$A,0)),"Not Found")</f>
        <v>68.261750599999999</v>
      </c>
      <c r="U196" s="28">
        <f>IFERROR(INDEX('Clean Gamification Data'!$D:$D,MATCH($B196,'Clean Gamification Data'!$A:$A,0)),"Not Found")</f>
        <v>73.403357009999993</v>
      </c>
      <c r="V196" s="28">
        <f>IFERROR(INDEX('Clean Gamification Data'!$E:$E,MATCH($B196,'Clean Gamification Data'!$A:$A,0)),"Not Found")</f>
        <v>70.45372261</v>
      </c>
      <c r="W196" s="28">
        <f>IFERROR(INDEX('Clean Gamification Data'!$F:$F,MATCH($B196,'Clean Gamification Data'!$A:$A,0)),"Not Found")</f>
        <v>82.5062724</v>
      </c>
      <c r="X196" s="28">
        <f>IFERROR(INDEX('Clean Gamification Data'!$G:$G,MATCH($B196,'Clean Gamification Data'!$A:$A,0)),"Not Found")</f>
        <v>65.62613125</v>
      </c>
      <c r="Y196" s="28">
        <f>IFERROR(INDEX('Clean Gamification Data'!$H:$H,MATCH($B196,'Clean Gamification Data'!$A:$A,0)),"Not Found")</f>
        <v>69.312364209999998</v>
      </c>
      <c r="Z196" s="28">
        <f>IFERROR(INDEX('Clean Gamification Data'!$I:$I,MATCH($B196,'Clean Gamification Data'!$A:$A,0)),"Not Found")</f>
        <v>61.917138559999998</v>
      </c>
      <c r="AA196" s="28">
        <f>Table1[[#This Row],[Engagement (Gamification %)]]-Table1[[#This Row],[Engagement (Non-Gamification %)]]</f>
        <v>12.150298390000003</v>
      </c>
      <c r="AB196" s="28">
        <f>Table1[[#This Row],[Motivation (Gamification %)]]-Table1[[#This Row],[Motivation (Non-Gamification %)]]</f>
        <v>2.9496343999999937</v>
      </c>
      <c r="AC196" s="28">
        <f>Table1[[#This Row],[Participation (Gamification %)]]-Table1[[#This Row],[Participation (Non-Gamification %)]]</f>
        <v>16.88014115</v>
      </c>
      <c r="AD196" s="28">
        <f>Table1[[#This Row],[Learning Outcomes (Gamification %)]]-Table1[[#This Row],[Learning Outcomes (Non-Gamification %)]]</f>
        <v>7.3952256500000004</v>
      </c>
      <c r="AE196" s="44" t="str">
        <f>IF(Table1[[#This Row],[Overall Effectiveness]]&lt;3.9,"Low",IF(Table1[[#This Row],[Overall Effectiveness]]&lt;4.2,"Medium","High"))</f>
        <v>Medium</v>
      </c>
      <c r="AF196" s="30" t="str">
        <f t="shared" si="22"/>
        <v>Case Studies</v>
      </c>
      <c r="AG196" s="30" t="str">
        <f t="shared" si="23"/>
        <v>Experiments</v>
      </c>
      <c r="AH196" s="27">
        <f>COUNTIF(Teacher_Master!$D$2:$D$16,AF196)</f>
        <v>3</v>
      </c>
      <c r="AI196" s="30" t="str">
        <f>INDEX(Teacher_Master!$B$2:$B$16,MATCH(AF196,Teacher_Master!$D$2:$D$16,0))</f>
        <v>Prof. Rajesh Mukherjee</v>
      </c>
    </row>
    <row r="197" spans="1:35" ht="14.25" customHeight="1" x14ac:dyDescent="0.3">
      <c r="A197" s="31" t="s">
        <v>410</v>
      </c>
      <c r="B197" s="31" t="s">
        <v>411</v>
      </c>
      <c r="C197" s="31" t="s">
        <v>2882</v>
      </c>
      <c r="D197" s="12">
        <f t="shared" ca="1" si="18"/>
        <v>26</v>
      </c>
      <c r="E197" s="12" t="str">
        <f ca="1">IF(Table1[[#This Row],[Age]]&lt;=22,"20-22",IF(Table1[[#This Row],[Age]]&lt;=25,"23-25",IF(Table1[[#This Row],[Age]]&lt;=28,"26-28","29-30")))</f>
        <v>26-28</v>
      </c>
      <c r="F197" s="12">
        <v>3.72</v>
      </c>
      <c r="G197" s="12">
        <v>4.75</v>
      </c>
      <c r="H197" s="12">
        <v>4.13</v>
      </c>
      <c r="I197" s="12">
        <v>4.3099999999999996</v>
      </c>
      <c r="J197" s="12" t="s">
        <v>211</v>
      </c>
      <c r="K197" s="12">
        <v>3.86</v>
      </c>
      <c r="L197" s="12">
        <v>3.92</v>
      </c>
      <c r="M197" s="12">
        <v>4.53</v>
      </c>
      <c r="N197" s="12">
        <v>3.63</v>
      </c>
      <c r="O197" s="12">
        <v>4.07</v>
      </c>
      <c r="P197" s="12">
        <f t="shared" si="19"/>
        <v>4.2275</v>
      </c>
      <c r="Q197" s="12">
        <f t="shared" si="20"/>
        <v>4.2300000000000004</v>
      </c>
      <c r="R197" s="12">
        <f t="shared" si="21"/>
        <v>4.0019999999999998</v>
      </c>
      <c r="S197" s="28">
        <f>IFERROR(INDEX('Clean Gamification Data'!$B:$B,MATCH($B197,'Clean Gamification Data'!$A:$A,0)),"Not Found")</f>
        <v>87.235277150000002</v>
      </c>
      <c r="T197" s="28">
        <f>IFERROR(INDEX('Clean Gamification Data'!$C:$C,MATCH($B197,'Clean Gamification Data'!$A:$A,0)),"Not Found")</f>
        <v>64.964181550000006</v>
      </c>
      <c r="U197" s="28">
        <f>IFERROR(INDEX('Clean Gamification Data'!$D:$D,MATCH($B197,'Clean Gamification Data'!$A:$A,0)),"Not Found")</f>
        <v>74.771487989999997</v>
      </c>
      <c r="V197" s="28">
        <f>IFERROR(INDEX('Clean Gamification Data'!$E:$E,MATCH($B197,'Clean Gamification Data'!$A:$A,0)),"Not Found")</f>
        <v>66.364151030000002</v>
      </c>
      <c r="W197" s="28">
        <f>IFERROR(INDEX('Clean Gamification Data'!$F:$F,MATCH($B197,'Clean Gamification Data'!$A:$A,0)),"Not Found")</f>
        <v>86.029331470000002</v>
      </c>
      <c r="X197" s="28">
        <f>IFERROR(INDEX('Clean Gamification Data'!$G:$G,MATCH($B197,'Clean Gamification Data'!$A:$A,0)),"Not Found")</f>
        <v>71.581697309999996</v>
      </c>
      <c r="Y197" s="28">
        <f>IFERROR(INDEX('Clean Gamification Data'!$H:$H,MATCH($B197,'Clean Gamification Data'!$A:$A,0)),"Not Found")</f>
        <v>70.469780670000006</v>
      </c>
      <c r="Z197" s="28">
        <f>IFERROR(INDEX('Clean Gamification Data'!$I:$I,MATCH($B197,'Clean Gamification Data'!$A:$A,0)),"Not Found")</f>
        <v>54.756365879999997</v>
      </c>
      <c r="AA197" s="28">
        <f>Table1[[#This Row],[Engagement (Gamification %)]]-Table1[[#This Row],[Engagement (Non-Gamification %)]]</f>
        <v>22.271095599999995</v>
      </c>
      <c r="AB197" s="28">
        <f>Table1[[#This Row],[Motivation (Gamification %)]]-Table1[[#This Row],[Motivation (Non-Gamification %)]]</f>
        <v>8.407336959999995</v>
      </c>
      <c r="AC197" s="28">
        <f>Table1[[#This Row],[Participation (Gamification %)]]-Table1[[#This Row],[Participation (Non-Gamification %)]]</f>
        <v>14.447634160000007</v>
      </c>
      <c r="AD197" s="28">
        <f>Table1[[#This Row],[Learning Outcomes (Gamification %)]]-Table1[[#This Row],[Learning Outcomes (Non-Gamification %)]]</f>
        <v>15.713414790000009</v>
      </c>
      <c r="AE197" s="44" t="str">
        <f>IF(Table1[[#This Row],[Overall Effectiveness]]&lt;3.9,"Low",IF(Table1[[#This Row],[Overall Effectiveness]]&lt;4.2,"Medium","High"))</f>
        <v>High</v>
      </c>
      <c r="AF197" s="30" t="str">
        <f t="shared" si="22"/>
        <v>Case Studies</v>
      </c>
      <c r="AG197" s="30" t="str">
        <f t="shared" si="23"/>
        <v>Group Projects</v>
      </c>
      <c r="AH197" s="27">
        <f>COUNTIF(Teacher_Master!$D$2:$D$16,AF197)</f>
        <v>3</v>
      </c>
      <c r="AI197" s="30" t="str">
        <f>INDEX(Teacher_Master!$B$2:$B$16,MATCH(AF197,Teacher_Master!$D$2:$D$16,0))</f>
        <v>Prof. Rajesh Mukherjee</v>
      </c>
    </row>
    <row r="198" spans="1:35" ht="14.25" customHeight="1" x14ac:dyDescent="0.3">
      <c r="A198" s="31" t="s">
        <v>412</v>
      </c>
      <c r="B198" s="31" t="s">
        <v>2224</v>
      </c>
      <c r="C198" s="31" t="s">
        <v>2882</v>
      </c>
      <c r="D198" s="12">
        <f t="shared" ca="1" si="18"/>
        <v>21</v>
      </c>
      <c r="E198" s="12" t="str">
        <f ca="1">IF(Table1[[#This Row],[Age]]&lt;=22,"20-22",IF(Table1[[#This Row],[Age]]&lt;=25,"23-25",IF(Table1[[#This Row],[Age]]&lt;=28,"26-28","29-30")))</f>
        <v>20-22</v>
      </c>
      <c r="F198" s="12">
        <v>3.63</v>
      </c>
      <c r="G198" s="12">
        <v>4.46</v>
      </c>
      <c r="H198" s="12">
        <v>3.93</v>
      </c>
      <c r="I198" s="12">
        <v>4.1500000000000004</v>
      </c>
      <c r="J198" s="12">
        <v>3.66</v>
      </c>
      <c r="K198" s="12">
        <v>3.88</v>
      </c>
      <c r="L198" s="12">
        <v>3.59</v>
      </c>
      <c r="M198" s="12">
        <v>3.91</v>
      </c>
      <c r="N198" s="12">
        <v>3.3</v>
      </c>
      <c r="O198" s="12">
        <v>3.8</v>
      </c>
      <c r="P198" s="12">
        <f t="shared" si="19"/>
        <v>3.9660000000000002</v>
      </c>
      <c r="Q198" s="12">
        <f t="shared" si="20"/>
        <v>3.97</v>
      </c>
      <c r="R198" s="12">
        <f t="shared" si="21"/>
        <v>3.6960000000000002</v>
      </c>
      <c r="S198" s="28">
        <f>IFERROR(INDEX('Clean Gamification Data'!$B:$B,MATCH($B198,'Clean Gamification Data'!$A:$A,0)),"Not Found")</f>
        <v>90.023566509999995</v>
      </c>
      <c r="T198" s="28">
        <f>IFERROR(INDEX('Clean Gamification Data'!$C:$C,MATCH($B198,'Clean Gamification Data'!$A:$A,0)),"Not Found")</f>
        <v>70.751348829999998</v>
      </c>
      <c r="U198" s="28">
        <f>IFERROR(INDEX('Clean Gamification Data'!$D:$D,MATCH($B198,'Clean Gamification Data'!$A:$A,0)),"Not Found")</f>
        <v>80.576995629999999</v>
      </c>
      <c r="V198" s="28">
        <f>IFERROR(INDEX('Clean Gamification Data'!$E:$E,MATCH($B198,'Clean Gamification Data'!$A:$A,0)),"Not Found")</f>
        <v>59.506390250000003</v>
      </c>
      <c r="W198" s="28">
        <f>IFERROR(INDEX('Clean Gamification Data'!$F:$F,MATCH($B198,'Clean Gamification Data'!$A:$A,0)),"Not Found")</f>
        <v>84.653444230000005</v>
      </c>
      <c r="X198" s="28">
        <f>IFERROR(INDEX('Clean Gamification Data'!$G:$G,MATCH($B198,'Clean Gamification Data'!$A:$A,0)),"Not Found")</f>
        <v>74.391411390000002</v>
      </c>
      <c r="Y198" s="28">
        <f>IFERROR(INDEX('Clean Gamification Data'!$H:$H,MATCH($B198,'Clean Gamification Data'!$A:$A,0)),"Not Found")</f>
        <v>70.653773380000004</v>
      </c>
      <c r="Z198" s="28">
        <f>IFERROR(INDEX('Clean Gamification Data'!$I:$I,MATCH($B198,'Clean Gamification Data'!$A:$A,0)),"Not Found")</f>
        <v>57.263426559999999</v>
      </c>
      <c r="AA198" s="28">
        <f>Table1[[#This Row],[Engagement (Gamification %)]]-Table1[[#This Row],[Engagement (Non-Gamification %)]]</f>
        <v>19.272217679999997</v>
      </c>
      <c r="AB198" s="28">
        <f>Table1[[#This Row],[Motivation (Gamification %)]]-Table1[[#This Row],[Motivation (Non-Gamification %)]]</f>
        <v>21.070605379999996</v>
      </c>
      <c r="AC198" s="28">
        <f>Table1[[#This Row],[Participation (Gamification %)]]-Table1[[#This Row],[Participation (Non-Gamification %)]]</f>
        <v>10.262032840000003</v>
      </c>
      <c r="AD198" s="28">
        <f>Table1[[#This Row],[Learning Outcomes (Gamification %)]]-Table1[[#This Row],[Learning Outcomes (Non-Gamification %)]]</f>
        <v>13.390346820000005</v>
      </c>
      <c r="AE198" s="44" t="str">
        <f>IF(Table1[[#This Row],[Overall Effectiveness]]&lt;3.9,"Low",IF(Table1[[#This Row],[Overall Effectiveness]]&lt;4.2,"Medium","High"))</f>
        <v>Medium</v>
      </c>
      <c r="AF198" s="30" t="str">
        <f t="shared" si="22"/>
        <v>Case Studies</v>
      </c>
      <c r="AG198" s="30" t="str">
        <f t="shared" si="23"/>
        <v>Group Projects</v>
      </c>
      <c r="AH198" s="27">
        <f>COUNTIF(Teacher_Master!$D$2:$D$16,AF198)</f>
        <v>3</v>
      </c>
      <c r="AI198" s="30" t="str">
        <f>INDEX(Teacher_Master!$B$2:$B$16,MATCH(AF198,Teacher_Master!$D$2:$D$16,0))</f>
        <v>Prof. Rajesh Mukherjee</v>
      </c>
    </row>
    <row r="199" spans="1:35" ht="14.25" customHeight="1" x14ac:dyDescent="0.3">
      <c r="A199" s="31" t="s">
        <v>414</v>
      </c>
      <c r="B199" s="31" t="s">
        <v>415</v>
      </c>
      <c r="C199" s="31" t="s">
        <v>2881</v>
      </c>
      <c r="D199" s="12">
        <f t="shared" ca="1" si="18"/>
        <v>29</v>
      </c>
      <c r="E199" s="12" t="str">
        <f ca="1">IF(Table1[[#This Row],[Age]]&lt;=22,"20-22",IF(Table1[[#This Row],[Age]]&lt;=25,"23-25",IF(Table1[[#This Row],[Age]]&lt;=28,"26-28","29-30")))</f>
        <v>29-30</v>
      </c>
      <c r="F199" s="12">
        <v>3.8</v>
      </c>
      <c r="G199" s="12">
        <v>4.1500000000000004</v>
      </c>
      <c r="H199" s="12">
        <v>3.84</v>
      </c>
      <c r="I199" s="12">
        <v>3.5</v>
      </c>
      <c r="J199" s="12">
        <v>4.1399999999999997</v>
      </c>
      <c r="K199" s="12">
        <v>3.74</v>
      </c>
      <c r="L199" s="12">
        <v>3.6</v>
      </c>
      <c r="M199" s="12">
        <v>4.05</v>
      </c>
      <c r="N199" s="12">
        <v>4.07</v>
      </c>
      <c r="O199" s="12">
        <v>4.5199999999999996</v>
      </c>
      <c r="P199" s="12">
        <f t="shared" si="19"/>
        <v>3.8860000000000001</v>
      </c>
      <c r="Q199" s="12">
        <f t="shared" si="20"/>
        <v>3.89</v>
      </c>
      <c r="R199" s="12">
        <f t="shared" si="21"/>
        <v>3.996</v>
      </c>
      <c r="S199" s="28">
        <f>IFERROR(INDEX('Clean Gamification Data'!$B:$B,MATCH($B199,'Clean Gamification Data'!$A:$A,0)),"Not Found")</f>
        <v>82.014821999999995</v>
      </c>
      <c r="T199" s="28">
        <f>IFERROR(INDEX('Clean Gamification Data'!$C:$C,MATCH($B199,'Clean Gamification Data'!$A:$A,0)),"Not Found")</f>
        <v>60</v>
      </c>
      <c r="U199" s="28">
        <f>IFERROR(INDEX('Clean Gamification Data'!$D:$D,MATCH($B199,'Clean Gamification Data'!$A:$A,0)),"Not Found")</f>
        <v>83.51531233</v>
      </c>
      <c r="V199" s="28">
        <f>IFERROR(INDEX('Clean Gamification Data'!$E:$E,MATCH($B199,'Clean Gamification Data'!$A:$A,0)),"Not Found")</f>
        <v>61.494882429999997</v>
      </c>
      <c r="W199" s="28">
        <f>IFERROR(INDEX('Clean Gamification Data'!$F:$F,MATCH($B199,'Clean Gamification Data'!$A:$A,0)),"Not Found")</f>
        <v>91.878940439999994</v>
      </c>
      <c r="X199" s="28">
        <f>IFERROR(INDEX('Clean Gamification Data'!$G:$G,MATCH($B199,'Clean Gamification Data'!$A:$A,0)),"Not Found")</f>
        <v>78.370627979999995</v>
      </c>
      <c r="Y199" s="28">
        <f>IFERROR(INDEX('Clean Gamification Data'!$H:$H,MATCH($B199,'Clean Gamification Data'!$A:$A,0)),"Not Found")</f>
        <v>67.628413960000003</v>
      </c>
      <c r="Z199" s="28">
        <f>IFERROR(INDEX('Clean Gamification Data'!$I:$I,MATCH($B199,'Clean Gamification Data'!$A:$A,0)),"Not Found")</f>
        <v>55.677062970000001</v>
      </c>
      <c r="AA199" s="28">
        <f>Table1[[#This Row],[Engagement (Gamification %)]]-Table1[[#This Row],[Engagement (Non-Gamification %)]]</f>
        <v>22.014821999999995</v>
      </c>
      <c r="AB199" s="28">
        <f>Table1[[#This Row],[Motivation (Gamification %)]]-Table1[[#This Row],[Motivation (Non-Gamification %)]]</f>
        <v>22.020429900000003</v>
      </c>
      <c r="AC199" s="28">
        <f>Table1[[#This Row],[Participation (Gamification %)]]-Table1[[#This Row],[Participation (Non-Gamification %)]]</f>
        <v>13.508312459999999</v>
      </c>
      <c r="AD199" s="28">
        <f>Table1[[#This Row],[Learning Outcomes (Gamification %)]]-Table1[[#This Row],[Learning Outcomes (Non-Gamification %)]]</f>
        <v>11.951350990000002</v>
      </c>
      <c r="AE199" s="44" t="str">
        <f>IF(Table1[[#This Row],[Overall Effectiveness]]&lt;3.9,"Low",IF(Table1[[#This Row],[Overall Effectiveness]]&lt;4.2,"Medium","High"))</f>
        <v>Low</v>
      </c>
      <c r="AF199" s="30" t="str">
        <f t="shared" si="22"/>
        <v>Case Studies</v>
      </c>
      <c r="AG199" s="30" t="str">
        <f t="shared" si="23"/>
        <v>Online Tutorials</v>
      </c>
      <c r="AH199" s="27">
        <f>COUNTIF(Teacher_Master!$D$2:$D$16,AF199)</f>
        <v>3</v>
      </c>
      <c r="AI199" s="30" t="str">
        <f>INDEX(Teacher_Master!$B$2:$B$16,MATCH(AF199,Teacher_Master!$D$2:$D$16,0))</f>
        <v>Prof. Rajesh Mukherjee</v>
      </c>
    </row>
    <row r="200" spans="1:35" ht="14.25" customHeight="1" x14ac:dyDescent="0.3">
      <c r="A200" s="31" t="s">
        <v>416</v>
      </c>
      <c r="B200" s="31" t="s">
        <v>417</v>
      </c>
      <c r="C200" s="31" t="s">
        <v>2882</v>
      </c>
      <c r="D200" s="12">
        <f t="shared" ca="1" si="18"/>
        <v>29</v>
      </c>
      <c r="E200" s="12" t="str">
        <f ca="1">IF(Table1[[#This Row],[Age]]&lt;=22,"20-22",IF(Table1[[#This Row],[Age]]&lt;=25,"23-25",IF(Table1[[#This Row],[Age]]&lt;=28,"26-28","29-30")))</f>
        <v>29-30</v>
      </c>
      <c r="F200" s="12">
        <v>4.92</v>
      </c>
      <c r="G200" s="12">
        <v>4.49</v>
      </c>
      <c r="H200" s="12">
        <v>3.73</v>
      </c>
      <c r="I200" s="12">
        <v>4.09</v>
      </c>
      <c r="J200" s="12">
        <v>3.33</v>
      </c>
      <c r="K200" s="12">
        <v>4.0199999999999996</v>
      </c>
      <c r="L200" s="12">
        <v>3.91</v>
      </c>
      <c r="M200" s="12">
        <v>3.68</v>
      </c>
      <c r="N200" s="12">
        <v>4.13</v>
      </c>
      <c r="O200" s="12" t="s">
        <v>211</v>
      </c>
      <c r="P200" s="12">
        <f t="shared" si="19"/>
        <v>4.1120000000000001</v>
      </c>
      <c r="Q200" s="12">
        <f t="shared" si="20"/>
        <v>4.1100000000000003</v>
      </c>
      <c r="R200" s="12">
        <f t="shared" si="21"/>
        <v>3.9349999999999996</v>
      </c>
      <c r="S200" s="28">
        <f>IFERROR(INDEX('Clean Gamification Data'!$B:$B,MATCH($B200,'Clean Gamification Data'!$A:$A,0)),"Not Found")</f>
        <v>83.611801</v>
      </c>
      <c r="T200" s="28">
        <f>IFERROR(INDEX('Clean Gamification Data'!$C:$C,MATCH($B200,'Clean Gamification Data'!$A:$A,0)),"Not Found")</f>
        <v>66.984752970000002</v>
      </c>
      <c r="U200" s="28">
        <f>IFERROR(INDEX('Clean Gamification Data'!$D:$D,MATCH($B200,'Clean Gamification Data'!$A:$A,0)),"Not Found")</f>
        <v>82.291154309999996</v>
      </c>
      <c r="V200" s="28">
        <f>IFERROR(INDEX('Clean Gamification Data'!$E:$E,MATCH($B200,'Clean Gamification Data'!$A:$A,0)),"Not Found")</f>
        <v>71.890393720000006</v>
      </c>
      <c r="W200" s="28">
        <f>IFERROR(INDEX('Clean Gamification Data'!$F:$F,MATCH($B200,'Clean Gamification Data'!$A:$A,0)),"Not Found")</f>
        <v>99.9</v>
      </c>
      <c r="X200" s="28">
        <f>IFERROR(INDEX('Clean Gamification Data'!$G:$G,MATCH($B200,'Clean Gamification Data'!$A:$A,0)),"Not Found")</f>
        <v>76.422145839999999</v>
      </c>
      <c r="Y200" s="28">
        <f>IFERROR(INDEX('Clean Gamification Data'!$H:$H,MATCH($B200,'Clean Gamification Data'!$A:$A,0)),"Not Found")</f>
        <v>69.626700940000006</v>
      </c>
      <c r="Z200" s="28">
        <f>IFERROR(INDEX('Clean Gamification Data'!$I:$I,MATCH($B200,'Clean Gamification Data'!$A:$A,0)),"Not Found")</f>
        <v>67.177268859999998</v>
      </c>
      <c r="AA200" s="28">
        <f>Table1[[#This Row],[Engagement (Gamification %)]]-Table1[[#This Row],[Engagement (Non-Gamification %)]]</f>
        <v>16.627048029999997</v>
      </c>
      <c r="AB200" s="28">
        <f>Table1[[#This Row],[Motivation (Gamification %)]]-Table1[[#This Row],[Motivation (Non-Gamification %)]]</f>
        <v>10.40076058999999</v>
      </c>
      <c r="AC200" s="28">
        <f>Table1[[#This Row],[Participation (Gamification %)]]-Table1[[#This Row],[Participation (Non-Gamification %)]]</f>
        <v>23.477854160000007</v>
      </c>
      <c r="AD200" s="28">
        <f>Table1[[#This Row],[Learning Outcomes (Gamification %)]]-Table1[[#This Row],[Learning Outcomes (Non-Gamification %)]]</f>
        <v>2.4494320800000082</v>
      </c>
      <c r="AE200" s="44" t="str">
        <f>IF(Table1[[#This Row],[Overall Effectiveness]]&lt;3.9,"Low",IF(Table1[[#This Row],[Overall Effectiveness]]&lt;4.2,"Medium","High"))</f>
        <v>Medium</v>
      </c>
      <c r="AF200" s="30" t="str">
        <f t="shared" si="22"/>
        <v>Lectures</v>
      </c>
      <c r="AG200" s="30" t="str">
        <f t="shared" si="23"/>
        <v>Experiments</v>
      </c>
      <c r="AH200" s="27">
        <f>COUNTIF(Teacher_Master!$D$2:$D$16,AF200)</f>
        <v>3</v>
      </c>
      <c r="AI200" s="30" t="str">
        <f>INDEX(Teacher_Master!$B$2:$B$16,MATCH(AF200,Teacher_Master!$D$2:$D$16,0))</f>
        <v>Prof. Vikram Gupta</v>
      </c>
    </row>
    <row r="201" spans="1:35" ht="14.25" customHeight="1" x14ac:dyDescent="0.3">
      <c r="A201" s="31" t="s">
        <v>418</v>
      </c>
      <c r="B201" s="31" t="s">
        <v>2225</v>
      </c>
      <c r="C201" s="31" t="s">
        <v>2881</v>
      </c>
      <c r="D201" s="12">
        <f t="shared" ca="1" si="18"/>
        <v>28</v>
      </c>
      <c r="E201" s="12" t="str">
        <f ca="1">IF(Table1[[#This Row],[Age]]&lt;=22,"20-22",IF(Table1[[#This Row],[Age]]&lt;=25,"23-25",IF(Table1[[#This Row],[Age]]&lt;=28,"26-28","29-30")))</f>
        <v>26-28</v>
      </c>
      <c r="F201" s="12">
        <v>4.24</v>
      </c>
      <c r="G201" s="12">
        <v>4.2</v>
      </c>
      <c r="H201" s="12">
        <v>3.95</v>
      </c>
      <c r="I201" s="12">
        <v>3.88</v>
      </c>
      <c r="J201" s="12">
        <v>3.74</v>
      </c>
      <c r="K201" s="12">
        <v>3.78</v>
      </c>
      <c r="L201" s="12">
        <v>3.77</v>
      </c>
      <c r="M201" s="12">
        <v>3.69</v>
      </c>
      <c r="N201" s="12">
        <v>4.33</v>
      </c>
      <c r="O201" s="12">
        <v>3.99</v>
      </c>
      <c r="P201" s="12">
        <f t="shared" si="19"/>
        <v>4.0019999999999998</v>
      </c>
      <c r="Q201" s="12">
        <f t="shared" si="20"/>
        <v>4</v>
      </c>
      <c r="R201" s="12">
        <f t="shared" si="21"/>
        <v>3.9120000000000004</v>
      </c>
      <c r="S201" s="28">
        <f>IFERROR(INDEX('Clean Gamification Data'!$B:$B,MATCH($B201,'Clean Gamification Data'!$A:$A,0)),"Not Found")</f>
        <v>80.391038039999998</v>
      </c>
      <c r="T201" s="28">
        <f>IFERROR(INDEX('Clean Gamification Data'!$C:$C,MATCH($B201,'Clean Gamification Data'!$A:$A,0)),"Not Found")</f>
        <v>76.162504190000007</v>
      </c>
      <c r="U201" s="28">
        <f>IFERROR(INDEX('Clean Gamification Data'!$D:$D,MATCH($B201,'Clean Gamification Data'!$A:$A,0)),"Not Found")</f>
        <v>74.377735139999999</v>
      </c>
      <c r="V201" s="28">
        <f>IFERROR(INDEX('Clean Gamification Data'!$E:$E,MATCH($B201,'Clean Gamification Data'!$A:$A,0)),"Not Found")</f>
        <v>73.822588960000004</v>
      </c>
      <c r="W201" s="28">
        <f>IFERROR(INDEX('Clean Gamification Data'!$F:$F,MATCH($B201,'Clean Gamification Data'!$A:$A,0)),"Not Found")</f>
        <v>93.276271039999997</v>
      </c>
      <c r="X201" s="28">
        <f>IFERROR(INDEX('Clean Gamification Data'!$G:$G,MATCH($B201,'Clean Gamification Data'!$A:$A,0)),"Not Found")</f>
        <v>76.247894900000006</v>
      </c>
      <c r="Y201" s="28">
        <f>IFERROR(INDEX('Clean Gamification Data'!$H:$H,MATCH($B201,'Clean Gamification Data'!$A:$A,0)),"Not Found")</f>
        <v>69.200942139999995</v>
      </c>
      <c r="Z201" s="28">
        <f>IFERROR(INDEX('Clean Gamification Data'!$I:$I,MATCH($B201,'Clean Gamification Data'!$A:$A,0)),"Not Found")</f>
        <v>50</v>
      </c>
      <c r="AA201" s="28">
        <f>Table1[[#This Row],[Engagement (Gamification %)]]-Table1[[#This Row],[Engagement (Non-Gamification %)]]</f>
        <v>4.2285338499999909</v>
      </c>
      <c r="AB201" s="28">
        <f>Table1[[#This Row],[Motivation (Gamification %)]]-Table1[[#This Row],[Motivation (Non-Gamification %)]]</f>
        <v>0.55514617999999416</v>
      </c>
      <c r="AC201" s="28">
        <f>Table1[[#This Row],[Participation (Gamification %)]]-Table1[[#This Row],[Participation (Non-Gamification %)]]</f>
        <v>17.028376139999992</v>
      </c>
      <c r="AD201" s="28">
        <f>Table1[[#This Row],[Learning Outcomes (Gamification %)]]-Table1[[#This Row],[Learning Outcomes (Non-Gamification %)]]</f>
        <v>19.200942139999995</v>
      </c>
      <c r="AE201" s="44" t="str">
        <f>IF(Table1[[#This Row],[Overall Effectiveness]]&lt;3.9,"Low",IF(Table1[[#This Row],[Overall Effectiveness]]&lt;4.2,"Medium","High"))</f>
        <v>Medium</v>
      </c>
      <c r="AF201" s="30" t="str">
        <f t="shared" si="22"/>
        <v>Lectures</v>
      </c>
      <c r="AG201" s="30" t="str">
        <f t="shared" si="23"/>
        <v>Experiments</v>
      </c>
      <c r="AH201" s="27">
        <f>COUNTIF(Teacher_Master!$D$2:$D$16,AF201)</f>
        <v>3</v>
      </c>
      <c r="AI201" s="30" t="str">
        <f>INDEX(Teacher_Master!$B$2:$B$16,MATCH(AF201,Teacher_Master!$D$2:$D$16,0))</f>
        <v>Prof. Vikram Gupta</v>
      </c>
    </row>
    <row r="202" spans="1:35" ht="14.25" customHeight="1" x14ac:dyDescent="0.3">
      <c r="A202" s="31" t="s">
        <v>420</v>
      </c>
      <c r="B202" s="31" t="s">
        <v>421</v>
      </c>
      <c r="C202" s="31" t="s">
        <v>2881</v>
      </c>
      <c r="D202" s="12">
        <f t="shared" ca="1" si="18"/>
        <v>30</v>
      </c>
      <c r="E202" s="12" t="str">
        <f ca="1">IF(Table1[[#This Row],[Age]]&lt;=22,"20-22",IF(Table1[[#This Row],[Age]]&lt;=25,"23-25",IF(Table1[[#This Row],[Age]]&lt;=28,"26-28","29-30")))</f>
        <v>29-30</v>
      </c>
      <c r="F202" s="12">
        <v>4.3</v>
      </c>
      <c r="G202" s="12">
        <v>4.07</v>
      </c>
      <c r="H202" s="12">
        <v>3.66</v>
      </c>
      <c r="I202" s="12">
        <v>4.0199999999999996</v>
      </c>
      <c r="J202" s="12">
        <v>3.68</v>
      </c>
      <c r="K202" s="12" t="s">
        <v>211</v>
      </c>
      <c r="L202" s="12">
        <v>3.75</v>
      </c>
      <c r="M202" s="12">
        <v>4.16</v>
      </c>
      <c r="N202" s="12">
        <v>4.1100000000000003</v>
      </c>
      <c r="O202" s="12">
        <v>3.63</v>
      </c>
      <c r="P202" s="12">
        <f t="shared" si="19"/>
        <v>3.9460000000000002</v>
      </c>
      <c r="Q202" s="12">
        <f t="shared" si="20"/>
        <v>3.95</v>
      </c>
      <c r="R202" s="12">
        <f t="shared" si="21"/>
        <v>3.9124999999999996</v>
      </c>
      <c r="S202" s="28">
        <f>IFERROR(INDEX('Clean Gamification Data'!$B:$B,MATCH($B202,'Clean Gamification Data'!$A:$A,0)),"Not Found")</f>
        <v>90.991873909999995</v>
      </c>
      <c r="T202" s="28">
        <f>IFERROR(INDEX('Clean Gamification Data'!$C:$C,MATCH($B202,'Clean Gamification Data'!$A:$A,0)),"Not Found")</f>
        <v>65.201839340000006</v>
      </c>
      <c r="U202" s="28">
        <f>IFERROR(INDEX('Clean Gamification Data'!$D:$D,MATCH($B202,'Clean Gamification Data'!$A:$A,0)),"Not Found")</f>
        <v>70</v>
      </c>
      <c r="V202" s="28">
        <f>IFERROR(INDEX('Clean Gamification Data'!$E:$E,MATCH($B202,'Clean Gamification Data'!$A:$A,0)),"Not Found")</f>
        <v>67.723875509999999</v>
      </c>
      <c r="W202" s="28">
        <f>IFERROR(INDEX('Clean Gamification Data'!$F:$F,MATCH($B202,'Clean Gamification Data'!$A:$A,0)),"Not Found")</f>
        <v>89.937282909999993</v>
      </c>
      <c r="X202" s="28">
        <f>IFERROR(INDEX('Clean Gamification Data'!$G:$G,MATCH($B202,'Clean Gamification Data'!$A:$A,0)),"Not Found")</f>
        <v>78.580782360000001</v>
      </c>
      <c r="Y202" s="28">
        <f>IFERROR(INDEX('Clean Gamification Data'!$H:$H,MATCH($B202,'Clean Gamification Data'!$A:$A,0)),"Not Found")</f>
        <v>65</v>
      </c>
      <c r="Z202" s="28">
        <f>IFERROR(INDEX('Clean Gamification Data'!$I:$I,MATCH($B202,'Clean Gamification Data'!$A:$A,0)),"Not Found")</f>
        <v>58.482632520000003</v>
      </c>
      <c r="AA202" s="28">
        <f>Table1[[#This Row],[Engagement (Gamification %)]]-Table1[[#This Row],[Engagement (Non-Gamification %)]]</f>
        <v>25.790034569999989</v>
      </c>
      <c r="AB202" s="28">
        <f>Table1[[#This Row],[Motivation (Gamification %)]]-Table1[[#This Row],[Motivation (Non-Gamification %)]]</f>
        <v>2.2761244900000008</v>
      </c>
      <c r="AC202" s="28">
        <f>Table1[[#This Row],[Participation (Gamification %)]]-Table1[[#This Row],[Participation (Non-Gamification %)]]</f>
        <v>11.356500549999993</v>
      </c>
      <c r="AD202" s="28">
        <f>Table1[[#This Row],[Learning Outcomes (Gamification %)]]-Table1[[#This Row],[Learning Outcomes (Non-Gamification %)]]</f>
        <v>6.5173674799999972</v>
      </c>
      <c r="AE202" s="44" t="str">
        <f>IF(Table1[[#This Row],[Overall Effectiveness]]&lt;3.9,"Low",IF(Table1[[#This Row],[Overall Effectiveness]]&lt;4.2,"Medium","High"))</f>
        <v>Medium</v>
      </c>
      <c r="AF202" s="30" t="str">
        <f t="shared" si="22"/>
        <v>Lectures</v>
      </c>
      <c r="AG202" s="30" t="str">
        <f t="shared" si="23"/>
        <v>Group Projects</v>
      </c>
      <c r="AH202" s="27">
        <f>COUNTIF(Teacher_Master!$D$2:$D$16,AF202)</f>
        <v>3</v>
      </c>
      <c r="AI202" s="30" t="str">
        <f>INDEX(Teacher_Master!$B$2:$B$16,MATCH(AF202,Teacher_Master!$D$2:$D$16,0))</f>
        <v>Prof. Vikram Gupta</v>
      </c>
    </row>
    <row r="203" spans="1:35" ht="14.25" customHeight="1" x14ac:dyDescent="0.3">
      <c r="A203" s="31" t="s">
        <v>422</v>
      </c>
      <c r="B203" s="31" t="s">
        <v>2226</v>
      </c>
      <c r="C203" s="31" t="s">
        <v>2882</v>
      </c>
      <c r="D203" s="12">
        <f t="shared" ca="1" si="18"/>
        <v>27</v>
      </c>
      <c r="E203" s="12" t="str">
        <f ca="1">IF(Table1[[#This Row],[Age]]&lt;=22,"20-22",IF(Table1[[#This Row],[Age]]&lt;=25,"23-25",IF(Table1[[#This Row],[Age]]&lt;=28,"26-28","29-30")))</f>
        <v>26-28</v>
      </c>
      <c r="F203" s="12">
        <v>4.01</v>
      </c>
      <c r="G203" s="12">
        <v>4.1100000000000003</v>
      </c>
      <c r="H203" s="12">
        <v>4.3099999999999996</v>
      </c>
      <c r="I203" s="12">
        <v>4.25</v>
      </c>
      <c r="J203" s="12">
        <v>4.2</v>
      </c>
      <c r="K203" s="12">
        <v>4.01</v>
      </c>
      <c r="L203" s="12">
        <v>4.21</v>
      </c>
      <c r="M203" s="12">
        <v>3.99</v>
      </c>
      <c r="N203" s="12">
        <v>3.92</v>
      </c>
      <c r="O203" s="12">
        <v>4.38</v>
      </c>
      <c r="P203" s="12">
        <f t="shared" si="19"/>
        <v>4.1760000000000002</v>
      </c>
      <c r="Q203" s="12">
        <f t="shared" si="20"/>
        <v>4.18</v>
      </c>
      <c r="R203" s="12">
        <f t="shared" si="21"/>
        <v>4.1019999999999994</v>
      </c>
      <c r="S203" s="28">
        <f>IFERROR(INDEX('Clean Gamification Data'!$B:$B,MATCH($B203,'Clean Gamification Data'!$A:$A,0)),"Not Found")</f>
        <v>94.562070289999994</v>
      </c>
      <c r="T203" s="28">
        <f>IFERROR(INDEX('Clean Gamification Data'!$C:$C,MATCH($B203,'Clean Gamification Data'!$A:$A,0)),"Not Found")</f>
        <v>67.919486190000001</v>
      </c>
      <c r="U203" s="28">
        <f>IFERROR(INDEX('Clean Gamification Data'!$D:$D,MATCH($B203,'Clean Gamification Data'!$A:$A,0)),"Not Found")</f>
        <v>85.414079340000001</v>
      </c>
      <c r="V203" s="28">
        <f>IFERROR(INDEX('Clean Gamification Data'!$E:$E,MATCH($B203,'Clean Gamification Data'!$A:$A,0)),"Not Found")</f>
        <v>70.769649180000002</v>
      </c>
      <c r="W203" s="28">
        <f>IFERROR(INDEX('Clean Gamification Data'!$F:$F,MATCH($B203,'Clean Gamification Data'!$A:$A,0)),"Not Found")</f>
        <v>96.713516589999998</v>
      </c>
      <c r="X203" s="28">
        <f>IFERROR(INDEX('Clean Gamification Data'!$G:$G,MATCH($B203,'Clean Gamification Data'!$A:$A,0)),"Not Found")</f>
        <v>73.255885140000004</v>
      </c>
      <c r="Y203" s="28">
        <f>IFERROR(INDEX('Clean Gamification Data'!$H:$H,MATCH($B203,'Clean Gamification Data'!$A:$A,0)),"Not Found")</f>
        <v>68.064838739999999</v>
      </c>
      <c r="Z203" s="28">
        <f>IFERROR(INDEX('Clean Gamification Data'!$I:$I,MATCH($B203,'Clean Gamification Data'!$A:$A,0)),"Not Found")</f>
        <v>60.820444969999997</v>
      </c>
      <c r="AA203" s="28">
        <f>Table1[[#This Row],[Engagement (Gamification %)]]-Table1[[#This Row],[Engagement (Non-Gamification %)]]</f>
        <v>26.642584099999993</v>
      </c>
      <c r="AB203" s="28">
        <f>Table1[[#This Row],[Motivation (Gamification %)]]-Table1[[#This Row],[Motivation (Non-Gamification %)]]</f>
        <v>14.644430159999999</v>
      </c>
      <c r="AC203" s="28">
        <f>Table1[[#This Row],[Participation (Gamification %)]]-Table1[[#This Row],[Participation (Non-Gamification %)]]</f>
        <v>23.457631449999994</v>
      </c>
      <c r="AD203" s="28">
        <f>Table1[[#This Row],[Learning Outcomes (Gamification %)]]-Table1[[#This Row],[Learning Outcomes (Non-Gamification %)]]</f>
        <v>7.2443937700000021</v>
      </c>
      <c r="AE203" s="44" t="str">
        <f>IF(Table1[[#This Row],[Overall Effectiveness]]&lt;3.9,"Low",IF(Table1[[#This Row],[Overall Effectiveness]]&lt;4.2,"Medium","High"))</f>
        <v>Medium</v>
      </c>
      <c r="AF203" s="30" t="str">
        <f t="shared" si="22"/>
        <v>Group Projects</v>
      </c>
      <c r="AG203" s="30" t="str">
        <f t="shared" si="23"/>
        <v>Online Tutorials</v>
      </c>
      <c r="AH203" s="27">
        <f>COUNTIF(Teacher_Master!$D$2:$D$16,AF203)</f>
        <v>3</v>
      </c>
      <c r="AI203" s="30" t="str">
        <f>INDEX(Teacher_Master!$B$2:$B$16,MATCH(AF203,Teacher_Master!$D$2:$D$16,0))</f>
        <v>Dr. Rohan Dutta</v>
      </c>
    </row>
    <row r="204" spans="1:35" ht="14.25" customHeight="1" x14ac:dyDescent="0.3">
      <c r="A204" s="31" t="s">
        <v>424</v>
      </c>
      <c r="B204" s="31" t="s">
        <v>425</v>
      </c>
      <c r="C204" s="31" t="s">
        <v>2882</v>
      </c>
      <c r="D204" s="12">
        <f t="shared" ca="1" si="18"/>
        <v>24</v>
      </c>
      <c r="E204" s="12" t="str">
        <f ca="1">IF(Table1[[#This Row],[Age]]&lt;=22,"20-22",IF(Table1[[#This Row],[Age]]&lt;=25,"23-25",IF(Table1[[#This Row],[Age]]&lt;=28,"26-28","29-30")))</f>
        <v>23-25</v>
      </c>
      <c r="F204" s="12">
        <v>3.69</v>
      </c>
      <c r="G204" s="12">
        <v>4.09</v>
      </c>
      <c r="H204" s="12">
        <v>3.59</v>
      </c>
      <c r="I204" s="12">
        <v>4.24</v>
      </c>
      <c r="J204" s="12">
        <v>3.94</v>
      </c>
      <c r="K204" s="12">
        <v>4.3</v>
      </c>
      <c r="L204" s="12">
        <v>4.1100000000000003</v>
      </c>
      <c r="M204" s="12">
        <v>3.9</v>
      </c>
      <c r="N204" s="12">
        <v>4.32</v>
      </c>
      <c r="O204" s="12">
        <v>3.67</v>
      </c>
      <c r="P204" s="12">
        <f t="shared" si="19"/>
        <v>3.91</v>
      </c>
      <c r="Q204" s="12">
        <f t="shared" si="20"/>
        <v>3.91</v>
      </c>
      <c r="R204" s="12">
        <f t="shared" si="21"/>
        <v>4.0600000000000005</v>
      </c>
      <c r="S204" s="28">
        <f>IFERROR(INDEX('Clean Gamification Data'!$B:$B,MATCH($B204,'Clean Gamification Data'!$A:$A,0)),"Not Found")</f>
        <v>81.194732200000004</v>
      </c>
      <c r="T204" s="28">
        <f>IFERROR(INDEX('Clean Gamification Data'!$C:$C,MATCH($B204,'Clean Gamification Data'!$A:$A,0)),"Not Found")</f>
        <v>80</v>
      </c>
      <c r="U204" s="28">
        <f>IFERROR(INDEX('Clean Gamification Data'!$D:$D,MATCH($B204,'Clean Gamification Data'!$A:$A,0)),"Not Found")</f>
        <v>78.273943380000006</v>
      </c>
      <c r="V204" s="28">
        <f>IFERROR(INDEX('Clean Gamification Data'!$E:$E,MATCH($B204,'Clean Gamification Data'!$A:$A,0)),"Not Found")</f>
        <v>66.985173369999998</v>
      </c>
      <c r="W204" s="28">
        <f>IFERROR(INDEX('Clean Gamification Data'!$F:$F,MATCH($B204,'Clean Gamification Data'!$A:$A,0)),"Not Found")</f>
        <v>99.478283509999997</v>
      </c>
      <c r="X204" s="28">
        <f>IFERROR(INDEX('Clean Gamification Data'!$G:$G,MATCH($B204,'Clean Gamification Data'!$A:$A,0)),"Not Found")</f>
        <v>77.063816239999994</v>
      </c>
      <c r="Y204" s="28">
        <f>IFERROR(INDEX('Clean Gamification Data'!$H:$H,MATCH($B204,'Clean Gamification Data'!$A:$A,0)),"Not Found")</f>
        <v>68.533067790000004</v>
      </c>
      <c r="Z204" s="28">
        <f>IFERROR(INDEX('Clean Gamification Data'!$I:$I,MATCH($B204,'Clean Gamification Data'!$A:$A,0)),"Not Found")</f>
        <v>50</v>
      </c>
      <c r="AA204" s="28">
        <f>Table1[[#This Row],[Engagement (Gamification %)]]-Table1[[#This Row],[Engagement (Non-Gamification %)]]</f>
        <v>1.1947322000000042</v>
      </c>
      <c r="AB204" s="28">
        <f>Table1[[#This Row],[Motivation (Gamification %)]]-Table1[[#This Row],[Motivation (Non-Gamification %)]]</f>
        <v>11.288770010000007</v>
      </c>
      <c r="AC204" s="28">
        <f>Table1[[#This Row],[Participation (Gamification %)]]-Table1[[#This Row],[Participation (Non-Gamification %)]]</f>
        <v>22.414467270000003</v>
      </c>
      <c r="AD204" s="28">
        <f>Table1[[#This Row],[Learning Outcomes (Gamification %)]]-Table1[[#This Row],[Learning Outcomes (Non-Gamification %)]]</f>
        <v>18.533067790000004</v>
      </c>
      <c r="AE204" s="44" t="str">
        <f>IF(Table1[[#This Row],[Overall Effectiveness]]&lt;3.9,"Low",IF(Table1[[#This Row],[Overall Effectiveness]]&lt;4.2,"Medium","High"))</f>
        <v>Medium</v>
      </c>
      <c r="AF204" s="30" t="str">
        <f t="shared" si="22"/>
        <v>Experiments</v>
      </c>
      <c r="AG204" s="30" t="str">
        <f t="shared" si="23"/>
        <v>Experiments</v>
      </c>
      <c r="AH204" s="27">
        <f>COUNTIF(Teacher_Master!$D$2:$D$16,AF204)</f>
        <v>3</v>
      </c>
      <c r="AI204" s="30" t="str">
        <f>INDEX(Teacher_Master!$B$2:$B$16,MATCH(AF204,Teacher_Master!$D$2:$D$16,0))</f>
        <v>Prof. Rahul Singh</v>
      </c>
    </row>
    <row r="205" spans="1:35" ht="14.25" customHeight="1" x14ac:dyDescent="0.3">
      <c r="A205" s="31" t="s">
        <v>426</v>
      </c>
      <c r="B205" s="31" t="s">
        <v>2227</v>
      </c>
      <c r="C205" s="31" t="s">
        <v>2881</v>
      </c>
      <c r="D205" s="12">
        <f t="shared" ca="1" si="18"/>
        <v>25</v>
      </c>
      <c r="E205" s="12" t="str">
        <f ca="1">IF(Table1[[#This Row],[Age]]&lt;=22,"20-22",IF(Table1[[#This Row],[Age]]&lt;=25,"23-25",IF(Table1[[#This Row],[Age]]&lt;=28,"26-28","29-30")))</f>
        <v>23-25</v>
      </c>
      <c r="F205" s="12">
        <v>3.65</v>
      </c>
      <c r="G205" s="12">
        <v>4.01</v>
      </c>
      <c r="H205" s="12">
        <v>3.89</v>
      </c>
      <c r="I205" s="12">
        <v>4.34</v>
      </c>
      <c r="J205" s="12">
        <v>3.49</v>
      </c>
      <c r="K205" s="12">
        <v>4.1900000000000004</v>
      </c>
      <c r="L205" s="12">
        <v>3.91</v>
      </c>
      <c r="M205" s="12">
        <v>3.9</v>
      </c>
      <c r="N205" s="12">
        <v>3.87</v>
      </c>
      <c r="O205" s="12">
        <v>3.78</v>
      </c>
      <c r="P205" s="12">
        <f t="shared" si="19"/>
        <v>3.8760000000000003</v>
      </c>
      <c r="Q205" s="12">
        <f t="shared" si="20"/>
        <v>3.88</v>
      </c>
      <c r="R205" s="12">
        <f t="shared" si="21"/>
        <v>3.9300000000000006</v>
      </c>
      <c r="S205" s="28">
        <f>IFERROR(INDEX('Clean Gamification Data'!$B:$B,MATCH($B205,'Clean Gamification Data'!$A:$A,0)),"Not Found")</f>
        <v>85.337027550000002</v>
      </c>
      <c r="T205" s="28">
        <f>IFERROR(INDEX('Clean Gamification Data'!$C:$C,MATCH($B205,'Clean Gamification Data'!$A:$A,0)),"Not Found")</f>
        <v>75.321914039999996</v>
      </c>
      <c r="U205" s="28">
        <f>IFERROR(INDEX('Clean Gamification Data'!$D:$D,MATCH($B205,'Clean Gamification Data'!$A:$A,0)),"Not Found")</f>
        <v>80.751964650000005</v>
      </c>
      <c r="V205" s="28">
        <f>IFERROR(INDEX('Clean Gamification Data'!$E:$E,MATCH($B205,'Clean Gamification Data'!$A:$A,0)),"Not Found")</f>
        <v>69.031172819999995</v>
      </c>
      <c r="W205" s="28">
        <f>IFERROR(INDEX('Clean Gamification Data'!$F:$F,MATCH($B205,'Clean Gamification Data'!$A:$A,0)),"Not Found")</f>
        <v>84.330848189999998</v>
      </c>
      <c r="X205" s="28">
        <f>IFERROR(INDEX('Clean Gamification Data'!$G:$G,MATCH($B205,'Clean Gamification Data'!$A:$A,0)),"Not Found")</f>
        <v>80.597787289999999</v>
      </c>
      <c r="Y205" s="28">
        <f>IFERROR(INDEX('Clean Gamification Data'!$H:$H,MATCH($B205,'Clean Gamification Data'!$A:$A,0)),"Not Found")</f>
        <v>65.343708789999994</v>
      </c>
      <c r="Z205" s="28">
        <f>IFERROR(INDEX('Clean Gamification Data'!$I:$I,MATCH($B205,'Clean Gamification Data'!$A:$A,0)),"Not Found")</f>
        <v>50</v>
      </c>
      <c r="AA205" s="28">
        <f>Table1[[#This Row],[Engagement (Gamification %)]]-Table1[[#This Row],[Engagement (Non-Gamification %)]]</f>
        <v>10.015113510000006</v>
      </c>
      <c r="AB205" s="28">
        <f>Table1[[#This Row],[Motivation (Gamification %)]]-Table1[[#This Row],[Motivation (Non-Gamification %)]]</f>
        <v>11.72079183000001</v>
      </c>
      <c r="AC205" s="28">
        <f>Table1[[#This Row],[Participation (Gamification %)]]-Table1[[#This Row],[Participation (Non-Gamification %)]]</f>
        <v>3.7330608999999981</v>
      </c>
      <c r="AD205" s="28">
        <f>Table1[[#This Row],[Learning Outcomes (Gamification %)]]-Table1[[#This Row],[Learning Outcomes (Non-Gamification %)]]</f>
        <v>15.343708789999994</v>
      </c>
      <c r="AE205" s="44" t="str">
        <f>IF(Table1[[#This Row],[Overall Effectiveness]]&lt;3.9,"Low",IF(Table1[[#This Row],[Overall Effectiveness]]&lt;4.2,"Medium","High"))</f>
        <v>Low</v>
      </c>
      <c r="AF205" s="30" t="str">
        <f t="shared" si="22"/>
        <v>Experiments</v>
      </c>
      <c r="AG205" s="30" t="str">
        <f t="shared" si="23"/>
        <v>Lectures</v>
      </c>
      <c r="AH205" s="27">
        <f>COUNTIF(Teacher_Master!$D$2:$D$16,AF205)</f>
        <v>3</v>
      </c>
      <c r="AI205" s="30" t="str">
        <f>INDEX(Teacher_Master!$B$2:$B$16,MATCH(AF205,Teacher_Master!$D$2:$D$16,0))</f>
        <v>Prof. Rahul Singh</v>
      </c>
    </row>
    <row r="206" spans="1:35" ht="14.25" customHeight="1" x14ac:dyDescent="0.3">
      <c r="A206" s="31" t="s">
        <v>428</v>
      </c>
      <c r="B206" s="31" t="s">
        <v>429</v>
      </c>
      <c r="C206" s="31" t="s">
        <v>2881</v>
      </c>
      <c r="D206" s="12">
        <f t="shared" ca="1" si="18"/>
        <v>23</v>
      </c>
      <c r="E206" s="12" t="str">
        <f ca="1">IF(Table1[[#This Row],[Age]]&lt;=22,"20-22",IF(Table1[[#This Row],[Age]]&lt;=25,"23-25",IF(Table1[[#This Row],[Age]]&lt;=28,"26-28","29-30")))</f>
        <v>23-25</v>
      </c>
      <c r="F206" s="12">
        <v>3.73</v>
      </c>
      <c r="G206" s="12">
        <v>4.16</v>
      </c>
      <c r="H206" s="12">
        <v>4.2699999999999996</v>
      </c>
      <c r="I206" s="12">
        <v>4.0599999999999996</v>
      </c>
      <c r="J206" s="12" t="s">
        <v>211</v>
      </c>
      <c r="K206" s="12">
        <v>4.54</v>
      </c>
      <c r="L206" s="12">
        <v>4.17</v>
      </c>
      <c r="M206" s="12">
        <v>3.65</v>
      </c>
      <c r="N206" s="12" t="s">
        <v>211</v>
      </c>
      <c r="O206" s="12">
        <v>3.67</v>
      </c>
      <c r="P206" s="12">
        <f t="shared" si="19"/>
        <v>4.0549999999999997</v>
      </c>
      <c r="Q206" s="12">
        <f t="shared" si="20"/>
        <v>4.0599999999999996</v>
      </c>
      <c r="R206" s="12">
        <f t="shared" si="21"/>
        <v>4.0075000000000003</v>
      </c>
      <c r="S206" s="28">
        <f>IFERROR(INDEX('Clean Gamification Data'!$B:$B,MATCH($B206,'Clean Gamification Data'!$A:$A,0)),"Not Found")</f>
        <v>85.458773170000001</v>
      </c>
      <c r="T206" s="28">
        <f>IFERROR(INDEX('Clean Gamification Data'!$C:$C,MATCH($B206,'Clean Gamification Data'!$A:$A,0)),"Not Found")</f>
        <v>70.653345540000004</v>
      </c>
      <c r="U206" s="28">
        <f>IFERROR(INDEX('Clean Gamification Data'!$D:$D,MATCH($B206,'Clean Gamification Data'!$A:$A,0)),"Not Found")</f>
        <v>73.407889019999999</v>
      </c>
      <c r="V206" s="28">
        <f>IFERROR(INDEX('Clean Gamification Data'!$E:$E,MATCH($B206,'Clean Gamification Data'!$A:$A,0)),"Not Found")</f>
        <v>67.592665499999995</v>
      </c>
      <c r="W206" s="28">
        <f>IFERROR(INDEX('Clean Gamification Data'!$F:$F,MATCH($B206,'Clean Gamification Data'!$A:$A,0)),"Not Found")</f>
        <v>99.9</v>
      </c>
      <c r="X206" s="28">
        <f>IFERROR(INDEX('Clean Gamification Data'!$G:$G,MATCH($B206,'Clean Gamification Data'!$A:$A,0)),"Not Found")</f>
        <v>84.610771839999998</v>
      </c>
      <c r="Y206" s="28">
        <f>IFERROR(INDEX('Clean Gamification Data'!$H:$H,MATCH($B206,'Clean Gamification Data'!$A:$A,0)),"Not Found")</f>
        <v>72.595919019999997</v>
      </c>
      <c r="Z206" s="28">
        <f>IFERROR(INDEX('Clean Gamification Data'!$I:$I,MATCH($B206,'Clean Gamification Data'!$A:$A,0)),"Not Found")</f>
        <v>56.584915909999999</v>
      </c>
      <c r="AA206" s="28">
        <f>Table1[[#This Row],[Engagement (Gamification %)]]-Table1[[#This Row],[Engagement (Non-Gamification %)]]</f>
        <v>14.805427629999997</v>
      </c>
      <c r="AB206" s="28">
        <f>Table1[[#This Row],[Motivation (Gamification %)]]-Table1[[#This Row],[Motivation (Non-Gamification %)]]</f>
        <v>5.8152235200000035</v>
      </c>
      <c r="AC206" s="28">
        <f>Table1[[#This Row],[Participation (Gamification %)]]-Table1[[#This Row],[Participation (Non-Gamification %)]]</f>
        <v>15.289228160000008</v>
      </c>
      <c r="AD206" s="28">
        <f>Table1[[#This Row],[Learning Outcomes (Gamification %)]]-Table1[[#This Row],[Learning Outcomes (Non-Gamification %)]]</f>
        <v>16.011003109999997</v>
      </c>
      <c r="AE206" s="44" t="str">
        <f>IF(Table1[[#This Row],[Overall Effectiveness]]&lt;3.9,"Low",IF(Table1[[#This Row],[Overall Effectiveness]]&lt;4.2,"Medium","High"))</f>
        <v>Medium</v>
      </c>
      <c r="AF206" s="30" t="str">
        <f t="shared" si="22"/>
        <v>Group Projects</v>
      </c>
      <c r="AG206" s="30" t="str">
        <f t="shared" si="23"/>
        <v>Lectures</v>
      </c>
      <c r="AH206" s="27">
        <f>COUNTIF(Teacher_Master!$D$2:$D$16,AF206)</f>
        <v>3</v>
      </c>
      <c r="AI206" s="30" t="str">
        <f>INDEX(Teacher_Master!$B$2:$B$16,MATCH(AF206,Teacher_Master!$D$2:$D$16,0))</f>
        <v>Dr. Rohan Dutta</v>
      </c>
    </row>
    <row r="207" spans="1:35" ht="14.25" customHeight="1" x14ac:dyDescent="0.3">
      <c r="A207" s="31" t="s">
        <v>430</v>
      </c>
      <c r="B207" s="31" t="s">
        <v>2228</v>
      </c>
      <c r="C207" s="31" t="s">
        <v>2882</v>
      </c>
      <c r="D207" s="12">
        <f t="shared" ca="1" si="18"/>
        <v>28</v>
      </c>
      <c r="E207" s="12" t="str">
        <f ca="1">IF(Table1[[#This Row],[Age]]&lt;=22,"20-22",IF(Table1[[#This Row],[Age]]&lt;=25,"23-25",IF(Table1[[#This Row],[Age]]&lt;=28,"26-28","29-30")))</f>
        <v>26-28</v>
      </c>
      <c r="F207" s="12">
        <v>4.0999999999999996</v>
      </c>
      <c r="G207" s="12">
        <v>4.2</v>
      </c>
      <c r="H207" s="12">
        <v>3.87</v>
      </c>
      <c r="I207" s="12">
        <v>3.72</v>
      </c>
      <c r="J207" s="12">
        <v>4.32</v>
      </c>
      <c r="K207" s="12">
        <v>3.99</v>
      </c>
      <c r="L207" s="12">
        <v>3.81</v>
      </c>
      <c r="M207" s="12">
        <v>4.26</v>
      </c>
      <c r="N207" s="12">
        <v>4.2699999999999996</v>
      </c>
      <c r="O207" s="12">
        <v>4.25</v>
      </c>
      <c r="P207" s="12">
        <f t="shared" si="19"/>
        <v>4.0419999999999998</v>
      </c>
      <c r="Q207" s="12">
        <f t="shared" si="20"/>
        <v>4.04</v>
      </c>
      <c r="R207" s="12">
        <f t="shared" si="21"/>
        <v>4.1159999999999997</v>
      </c>
      <c r="S207" s="28">
        <f>IFERROR(INDEX('Clean Gamification Data'!$B:$B,MATCH($B207,'Clean Gamification Data'!$A:$A,0)),"Not Found")</f>
        <v>81.171503439999995</v>
      </c>
      <c r="T207" s="28">
        <f>IFERROR(INDEX('Clean Gamification Data'!$C:$C,MATCH($B207,'Clean Gamification Data'!$A:$A,0)),"Not Found")</f>
        <v>65.956043589999993</v>
      </c>
      <c r="U207" s="28">
        <f>IFERROR(INDEX('Clean Gamification Data'!$D:$D,MATCH($B207,'Clean Gamification Data'!$A:$A,0)),"Not Found")</f>
        <v>70</v>
      </c>
      <c r="V207" s="28">
        <f>IFERROR(INDEX('Clean Gamification Data'!$E:$E,MATCH($B207,'Clean Gamification Data'!$A:$A,0)),"Not Found")</f>
        <v>64.333356859999995</v>
      </c>
      <c r="W207" s="28">
        <f>IFERROR(INDEX('Clean Gamification Data'!$F:$F,MATCH($B207,'Clean Gamification Data'!$A:$A,0)),"Not Found")</f>
        <v>91.500725040000006</v>
      </c>
      <c r="X207" s="28">
        <f>IFERROR(INDEX('Clean Gamification Data'!$G:$G,MATCH($B207,'Clean Gamification Data'!$A:$A,0)),"Not Found")</f>
        <v>78.886869090000005</v>
      </c>
      <c r="Y207" s="28">
        <f>IFERROR(INDEX('Clean Gamification Data'!$H:$H,MATCH($B207,'Clean Gamification Data'!$A:$A,0)),"Not Found")</f>
        <v>67.107257739999994</v>
      </c>
      <c r="Z207" s="28">
        <f>IFERROR(INDEX('Clean Gamification Data'!$I:$I,MATCH($B207,'Clean Gamification Data'!$A:$A,0)),"Not Found")</f>
        <v>70</v>
      </c>
      <c r="AA207" s="28">
        <f>Table1[[#This Row],[Engagement (Gamification %)]]-Table1[[#This Row],[Engagement (Non-Gamification %)]]</f>
        <v>15.215459850000002</v>
      </c>
      <c r="AB207" s="28">
        <f>Table1[[#This Row],[Motivation (Gamification %)]]-Table1[[#This Row],[Motivation (Non-Gamification %)]]</f>
        <v>5.666643140000005</v>
      </c>
      <c r="AC207" s="28">
        <f>Table1[[#This Row],[Participation (Gamification %)]]-Table1[[#This Row],[Participation (Non-Gamification %)]]</f>
        <v>12.613855950000001</v>
      </c>
      <c r="AD207" s="28">
        <f>Table1[[#This Row],[Learning Outcomes (Gamification %)]]-Table1[[#This Row],[Learning Outcomes (Non-Gamification %)]]</f>
        <v>-2.8927422600000057</v>
      </c>
      <c r="AE207" s="44" t="str">
        <f>IF(Table1[[#This Row],[Overall Effectiveness]]&lt;3.9,"Low",IF(Table1[[#This Row],[Overall Effectiveness]]&lt;4.2,"Medium","High"))</f>
        <v>Medium</v>
      </c>
      <c r="AF207" s="30" t="str">
        <f t="shared" si="22"/>
        <v>Online Tutorials</v>
      </c>
      <c r="AG207" s="30" t="str">
        <f t="shared" si="23"/>
        <v>Experiments</v>
      </c>
      <c r="AH207" s="27">
        <f>COUNTIF(Teacher_Master!$D$2:$D$16,AF207)</f>
        <v>3</v>
      </c>
      <c r="AI207" s="30" t="str">
        <f>INDEX(Teacher_Master!$B$2:$B$16,MATCH(AF207,Teacher_Master!$D$2:$D$16,0))</f>
        <v>Prof. Kavita Rao</v>
      </c>
    </row>
    <row r="208" spans="1:35" ht="14.25" customHeight="1" x14ac:dyDescent="0.3">
      <c r="A208" s="31" t="s">
        <v>432</v>
      </c>
      <c r="B208" s="31" t="s">
        <v>433</v>
      </c>
      <c r="C208" s="31" t="s">
        <v>2881</v>
      </c>
      <c r="D208" s="12">
        <f t="shared" ca="1" si="18"/>
        <v>25</v>
      </c>
      <c r="E208" s="12" t="str">
        <f ca="1">IF(Table1[[#This Row],[Age]]&lt;=22,"20-22",IF(Table1[[#This Row],[Age]]&lt;=25,"23-25",IF(Table1[[#This Row],[Age]]&lt;=28,"26-28","29-30")))</f>
        <v>23-25</v>
      </c>
      <c r="F208" s="12">
        <v>4.25</v>
      </c>
      <c r="G208" s="12">
        <v>3.59</v>
      </c>
      <c r="H208" s="12">
        <v>3.92</v>
      </c>
      <c r="I208" s="12">
        <v>4.47</v>
      </c>
      <c r="J208" s="12">
        <v>4.2</v>
      </c>
      <c r="K208" s="12">
        <v>4.1399999999999997</v>
      </c>
      <c r="L208" s="12">
        <v>4.25</v>
      </c>
      <c r="M208" s="12">
        <v>4.2300000000000004</v>
      </c>
      <c r="N208" s="12">
        <v>4.25</v>
      </c>
      <c r="O208" s="12">
        <v>4.5</v>
      </c>
      <c r="P208" s="12">
        <f t="shared" si="19"/>
        <v>4.0860000000000003</v>
      </c>
      <c r="Q208" s="12">
        <f t="shared" si="20"/>
        <v>4.09</v>
      </c>
      <c r="R208" s="12">
        <f t="shared" si="21"/>
        <v>4.274</v>
      </c>
      <c r="S208" s="28">
        <f>IFERROR(INDEX('Clean Gamification Data'!$B:$B,MATCH($B208,'Clean Gamification Data'!$A:$A,0)),"Not Found")</f>
        <v>87.754539789999995</v>
      </c>
      <c r="T208" s="28">
        <f>IFERROR(INDEX('Clean Gamification Data'!$C:$C,MATCH($B208,'Clean Gamification Data'!$A:$A,0)),"Not Found")</f>
        <v>61.38054108</v>
      </c>
      <c r="U208" s="28">
        <f>IFERROR(INDEX('Clean Gamification Data'!$D:$D,MATCH($B208,'Clean Gamification Data'!$A:$A,0)),"Not Found")</f>
        <v>82.73368232</v>
      </c>
      <c r="V208" s="28">
        <f>IFERROR(INDEX('Clean Gamification Data'!$E:$E,MATCH($B208,'Clean Gamification Data'!$A:$A,0)),"Not Found")</f>
        <v>65.822374449999998</v>
      </c>
      <c r="W208" s="28">
        <f>IFERROR(INDEX('Clean Gamification Data'!$F:$F,MATCH($B208,'Clean Gamification Data'!$A:$A,0)),"Not Found")</f>
        <v>89.312035789999996</v>
      </c>
      <c r="X208" s="28">
        <f>IFERROR(INDEX('Clean Gamification Data'!$G:$G,MATCH($B208,'Clean Gamification Data'!$A:$A,0)),"Not Found")</f>
        <v>83.186745959999996</v>
      </c>
      <c r="Y208" s="28">
        <f>IFERROR(INDEX('Clean Gamification Data'!$H:$H,MATCH($B208,'Clean Gamification Data'!$A:$A,0)),"Not Found")</f>
        <v>74.857822709999994</v>
      </c>
      <c r="Z208" s="28">
        <f>IFERROR(INDEX('Clean Gamification Data'!$I:$I,MATCH($B208,'Clean Gamification Data'!$A:$A,0)),"Not Found")</f>
        <v>64.382629890000004</v>
      </c>
      <c r="AA208" s="28">
        <f>Table1[[#This Row],[Engagement (Gamification %)]]-Table1[[#This Row],[Engagement (Non-Gamification %)]]</f>
        <v>26.373998709999995</v>
      </c>
      <c r="AB208" s="28">
        <f>Table1[[#This Row],[Motivation (Gamification %)]]-Table1[[#This Row],[Motivation (Non-Gamification %)]]</f>
        <v>16.911307870000002</v>
      </c>
      <c r="AC208" s="28">
        <f>Table1[[#This Row],[Participation (Gamification %)]]-Table1[[#This Row],[Participation (Non-Gamification %)]]</f>
        <v>6.1252898299999998</v>
      </c>
      <c r="AD208" s="28">
        <f>Table1[[#This Row],[Learning Outcomes (Gamification %)]]-Table1[[#This Row],[Learning Outcomes (Non-Gamification %)]]</f>
        <v>10.47519281999999</v>
      </c>
      <c r="AE208" s="44" t="str">
        <f>IF(Table1[[#This Row],[Overall Effectiveness]]&lt;3.9,"Low",IF(Table1[[#This Row],[Overall Effectiveness]]&lt;4.2,"Medium","High"))</f>
        <v>Medium</v>
      </c>
      <c r="AF208" s="30" t="str">
        <f t="shared" si="22"/>
        <v>Experiments</v>
      </c>
      <c r="AG208" s="30" t="str">
        <f t="shared" si="23"/>
        <v>Online Tutorials</v>
      </c>
      <c r="AH208" s="27">
        <f>COUNTIF(Teacher_Master!$D$2:$D$16,AF208)</f>
        <v>3</v>
      </c>
      <c r="AI208" s="30" t="str">
        <f>INDEX(Teacher_Master!$B$2:$B$16,MATCH(AF208,Teacher_Master!$D$2:$D$16,0))</f>
        <v>Prof. Rahul Singh</v>
      </c>
    </row>
    <row r="209" spans="1:35" ht="14.25" customHeight="1" x14ac:dyDescent="0.3">
      <c r="A209" s="31" t="s">
        <v>434</v>
      </c>
      <c r="B209" s="31" t="s">
        <v>435</v>
      </c>
      <c r="C209" s="31" t="s">
        <v>2881</v>
      </c>
      <c r="D209" s="12">
        <f t="shared" ca="1" si="18"/>
        <v>30</v>
      </c>
      <c r="E209" s="12" t="str">
        <f ca="1">IF(Table1[[#This Row],[Age]]&lt;=22,"20-22",IF(Table1[[#This Row],[Age]]&lt;=25,"23-25",IF(Table1[[#This Row],[Age]]&lt;=28,"26-28","29-30")))</f>
        <v>29-30</v>
      </c>
      <c r="F209" s="12">
        <v>3.9</v>
      </c>
      <c r="G209" s="12">
        <v>4.1399999999999997</v>
      </c>
      <c r="H209" s="12">
        <v>3.9</v>
      </c>
      <c r="I209" s="12">
        <v>4.1900000000000004</v>
      </c>
      <c r="J209" s="12">
        <v>3.73</v>
      </c>
      <c r="K209" s="12">
        <v>3.68</v>
      </c>
      <c r="L209" s="12">
        <v>3.21</v>
      </c>
      <c r="M209" s="12">
        <v>2.96</v>
      </c>
      <c r="N209" s="12">
        <v>3.7</v>
      </c>
      <c r="O209" s="12">
        <v>3.92</v>
      </c>
      <c r="P209" s="12">
        <f t="shared" si="19"/>
        <v>3.972</v>
      </c>
      <c r="Q209" s="12">
        <f t="shared" si="20"/>
        <v>3.97</v>
      </c>
      <c r="R209" s="12">
        <f t="shared" si="21"/>
        <v>3.4939999999999998</v>
      </c>
      <c r="S209" s="28">
        <f>IFERROR(INDEX('Clean Gamification Data'!$B:$B,MATCH($B209,'Clean Gamification Data'!$A:$A,0)),"Not Found")</f>
        <v>84.156447420000006</v>
      </c>
      <c r="T209" s="28">
        <f>IFERROR(INDEX('Clean Gamification Data'!$C:$C,MATCH($B209,'Clean Gamification Data'!$A:$A,0)),"Not Found")</f>
        <v>73.179023090000001</v>
      </c>
      <c r="U209" s="28">
        <f>IFERROR(INDEX('Clean Gamification Data'!$D:$D,MATCH($B209,'Clean Gamification Data'!$A:$A,0)),"Not Found")</f>
        <v>81.373337179999993</v>
      </c>
      <c r="V209" s="28">
        <f>IFERROR(INDEX('Clean Gamification Data'!$E:$E,MATCH($B209,'Clean Gamification Data'!$A:$A,0)),"Not Found")</f>
        <v>61.716651749999997</v>
      </c>
      <c r="W209" s="28">
        <f>IFERROR(INDEX('Clean Gamification Data'!$F:$F,MATCH($B209,'Clean Gamification Data'!$A:$A,0)),"Not Found")</f>
        <v>89.276915770000002</v>
      </c>
      <c r="X209" s="28">
        <f>IFERROR(INDEX('Clean Gamification Data'!$G:$G,MATCH($B209,'Clean Gamification Data'!$A:$A,0)),"Not Found")</f>
        <v>74.638605769999998</v>
      </c>
      <c r="Y209" s="28">
        <f>IFERROR(INDEX('Clean Gamification Data'!$H:$H,MATCH($B209,'Clean Gamification Data'!$A:$A,0)),"Not Found")</f>
        <v>77.432950230000003</v>
      </c>
      <c r="Z209" s="28">
        <f>IFERROR(INDEX('Clean Gamification Data'!$I:$I,MATCH($B209,'Clean Gamification Data'!$A:$A,0)),"Not Found")</f>
        <v>59.735841000000001</v>
      </c>
      <c r="AA209" s="28">
        <f>Table1[[#This Row],[Engagement (Gamification %)]]-Table1[[#This Row],[Engagement (Non-Gamification %)]]</f>
        <v>10.977424330000005</v>
      </c>
      <c r="AB209" s="28">
        <f>Table1[[#This Row],[Motivation (Gamification %)]]-Table1[[#This Row],[Motivation (Non-Gamification %)]]</f>
        <v>19.656685429999996</v>
      </c>
      <c r="AC209" s="28">
        <f>Table1[[#This Row],[Participation (Gamification %)]]-Table1[[#This Row],[Participation (Non-Gamification %)]]</f>
        <v>14.638310000000004</v>
      </c>
      <c r="AD209" s="28">
        <f>Table1[[#This Row],[Learning Outcomes (Gamification %)]]-Table1[[#This Row],[Learning Outcomes (Non-Gamification %)]]</f>
        <v>17.697109230000002</v>
      </c>
      <c r="AE209" s="44" t="str">
        <f>IF(Table1[[#This Row],[Overall Effectiveness]]&lt;3.9,"Low",IF(Table1[[#This Row],[Overall Effectiveness]]&lt;4.2,"Medium","High"))</f>
        <v>Medium</v>
      </c>
      <c r="AF209" s="30" t="str">
        <f t="shared" si="22"/>
        <v>Experiments</v>
      </c>
      <c r="AG209" s="30" t="str">
        <f t="shared" si="23"/>
        <v>Online Tutorials</v>
      </c>
      <c r="AH209" s="27">
        <f>COUNTIF(Teacher_Master!$D$2:$D$16,AF209)</f>
        <v>3</v>
      </c>
      <c r="AI209" s="30" t="str">
        <f>INDEX(Teacher_Master!$B$2:$B$16,MATCH(AF209,Teacher_Master!$D$2:$D$16,0))</f>
        <v>Prof. Rahul Singh</v>
      </c>
    </row>
    <row r="210" spans="1:35" ht="14.25" customHeight="1" x14ac:dyDescent="0.3">
      <c r="A210" s="31" t="s">
        <v>436</v>
      </c>
      <c r="B210" s="31" t="s">
        <v>2229</v>
      </c>
      <c r="C210" s="31" t="s">
        <v>2882</v>
      </c>
      <c r="D210" s="12">
        <f t="shared" ca="1" si="18"/>
        <v>22</v>
      </c>
      <c r="E210" s="12" t="str">
        <f ca="1">IF(Table1[[#This Row],[Age]]&lt;=22,"20-22",IF(Table1[[#This Row],[Age]]&lt;=25,"23-25",IF(Table1[[#This Row],[Age]]&lt;=28,"26-28","29-30")))</f>
        <v>20-22</v>
      </c>
      <c r="F210" s="12">
        <v>3.91</v>
      </c>
      <c r="G210" s="12" t="s">
        <v>438</v>
      </c>
      <c r="H210" s="12">
        <v>4.33</v>
      </c>
      <c r="I210" s="12">
        <v>4.1500000000000004</v>
      </c>
      <c r="J210" s="12">
        <v>4.22</v>
      </c>
      <c r="K210" s="12">
        <v>4.0599999999999996</v>
      </c>
      <c r="L210" s="12">
        <v>4.38</v>
      </c>
      <c r="M210" s="12">
        <v>3.29</v>
      </c>
      <c r="N210" s="12">
        <v>3.68</v>
      </c>
      <c r="O210" s="12">
        <v>4.04</v>
      </c>
      <c r="P210" s="12">
        <f t="shared" si="19"/>
        <v>4.1524999999999999</v>
      </c>
      <c r="Q210" s="12">
        <f t="shared" si="20"/>
        <v>4.1500000000000004</v>
      </c>
      <c r="R210" s="12">
        <f t="shared" si="21"/>
        <v>3.8899999999999997</v>
      </c>
      <c r="S210" s="28">
        <f>IFERROR(INDEX('Clean Gamification Data'!$B:$B,MATCH($B210,'Clean Gamification Data'!$A:$A,0)),"Not Found")</f>
        <v>79.760589150000001</v>
      </c>
      <c r="T210" s="28">
        <f>IFERROR(INDEX('Clean Gamification Data'!$C:$C,MATCH($B210,'Clean Gamification Data'!$A:$A,0)),"Not Found")</f>
        <v>72.908185119999999</v>
      </c>
      <c r="U210" s="28">
        <f>IFERROR(INDEX('Clean Gamification Data'!$D:$D,MATCH($B210,'Clean Gamification Data'!$A:$A,0)),"Not Found")</f>
        <v>78.543117199999998</v>
      </c>
      <c r="V210" s="28">
        <f>IFERROR(INDEX('Clean Gamification Data'!$E:$E,MATCH($B210,'Clean Gamification Data'!$A:$A,0)),"Not Found")</f>
        <v>59.271720420000001</v>
      </c>
      <c r="W210" s="28">
        <f>IFERROR(INDEX('Clean Gamification Data'!$F:$F,MATCH($B210,'Clean Gamification Data'!$A:$A,0)),"Not Found")</f>
        <v>92.089285410000002</v>
      </c>
      <c r="X210" s="28">
        <f>IFERROR(INDEX('Clean Gamification Data'!$G:$G,MATCH($B210,'Clean Gamification Data'!$A:$A,0)),"Not Found")</f>
        <v>73.963232640000001</v>
      </c>
      <c r="Y210" s="28">
        <f>IFERROR(INDEX('Clean Gamification Data'!$H:$H,MATCH($B210,'Clean Gamification Data'!$A:$A,0)),"Not Found")</f>
        <v>70.780723820000006</v>
      </c>
      <c r="Z210" s="28">
        <f>IFERROR(INDEX('Clean Gamification Data'!$I:$I,MATCH($B210,'Clean Gamification Data'!$A:$A,0)),"Not Found")</f>
        <v>51.465626700000001</v>
      </c>
      <c r="AA210" s="28">
        <f>Table1[[#This Row],[Engagement (Gamification %)]]-Table1[[#This Row],[Engagement (Non-Gamification %)]]</f>
        <v>6.8524040300000024</v>
      </c>
      <c r="AB210" s="28">
        <f>Table1[[#This Row],[Motivation (Gamification %)]]-Table1[[#This Row],[Motivation (Non-Gamification %)]]</f>
        <v>19.271396779999996</v>
      </c>
      <c r="AC210" s="28">
        <f>Table1[[#This Row],[Participation (Gamification %)]]-Table1[[#This Row],[Participation (Non-Gamification %)]]</f>
        <v>18.126052770000001</v>
      </c>
      <c r="AD210" s="28">
        <f>Table1[[#This Row],[Learning Outcomes (Gamification %)]]-Table1[[#This Row],[Learning Outcomes (Non-Gamification %)]]</f>
        <v>19.315097120000004</v>
      </c>
      <c r="AE210" s="44" t="str">
        <f>IF(Table1[[#This Row],[Overall Effectiveness]]&lt;3.9,"Low",IF(Table1[[#This Row],[Overall Effectiveness]]&lt;4.2,"Medium","High"))</f>
        <v>Medium</v>
      </c>
      <c r="AF210" s="30" t="str">
        <f t="shared" si="22"/>
        <v>Group Projects</v>
      </c>
      <c r="AG210" s="30" t="str">
        <f t="shared" si="23"/>
        <v>Case Studies</v>
      </c>
      <c r="AH210" s="27">
        <f>COUNTIF(Teacher_Master!$D$2:$D$16,AF210)</f>
        <v>3</v>
      </c>
      <c r="AI210" s="30" t="str">
        <f>INDEX(Teacher_Master!$B$2:$B$16,MATCH(AF210,Teacher_Master!$D$2:$D$16,0))</f>
        <v>Dr. Rohan Dutta</v>
      </c>
    </row>
    <row r="211" spans="1:35" ht="14.25" customHeight="1" x14ac:dyDescent="0.3">
      <c r="A211" s="31" t="s">
        <v>439</v>
      </c>
      <c r="B211" s="31" t="s">
        <v>2230</v>
      </c>
      <c r="C211" s="31" t="s">
        <v>2882</v>
      </c>
      <c r="D211" s="12">
        <f t="shared" ca="1" si="18"/>
        <v>24</v>
      </c>
      <c r="E211" s="12" t="str">
        <f ca="1">IF(Table1[[#This Row],[Age]]&lt;=22,"20-22",IF(Table1[[#This Row],[Age]]&lt;=25,"23-25",IF(Table1[[#This Row],[Age]]&lt;=28,"26-28","29-30")))</f>
        <v>23-25</v>
      </c>
      <c r="F211" s="12">
        <v>3.96</v>
      </c>
      <c r="G211" s="12">
        <v>3.71</v>
      </c>
      <c r="H211" s="12">
        <v>4.26</v>
      </c>
      <c r="I211" s="12">
        <v>4.41</v>
      </c>
      <c r="J211" s="12">
        <v>4.1100000000000003</v>
      </c>
      <c r="K211" s="12">
        <v>3.83</v>
      </c>
      <c r="L211" s="12">
        <v>4.2699999999999996</v>
      </c>
      <c r="M211" s="12">
        <v>4.0999999999999996</v>
      </c>
      <c r="N211" s="12">
        <v>3.92</v>
      </c>
      <c r="O211" s="12">
        <v>4.59</v>
      </c>
      <c r="P211" s="12">
        <f t="shared" si="19"/>
        <v>4.09</v>
      </c>
      <c r="Q211" s="12">
        <f t="shared" si="20"/>
        <v>4.09</v>
      </c>
      <c r="R211" s="12">
        <f t="shared" si="21"/>
        <v>4.1419999999999995</v>
      </c>
      <c r="S211" s="28">
        <f>IFERROR(INDEX('Clean Gamification Data'!$B:$B,MATCH($B211,'Clean Gamification Data'!$A:$A,0)),"Not Found")</f>
        <v>84.855911680000006</v>
      </c>
      <c r="T211" s="28">
        <f>IFERROR(INDEX('Clean Gamification Data'!$C:$C,MATCH($B211,'Clean Gamification Data'!$A:$A,0)),"Not Found")</f>
        <v>69.921018239999995</v>
      </c>
      <c r="U211" s="28">
        <f>IFERROR(INDEX('Clean Gamification Data'!$D:$D,MATCH($B211,'Clean Gamification Data'!$A:$A,0)),"Not Found")</f>
        <v>73.382733040000005</v>
      </c>
      <c r="V211" s="28">
        <f>IFERROR(INDEX('Clean Gamification Data'!$E:$E,MATCH($B211,'Clean Gamification Data'!$A:$A,0)),"Not Found")</f>
        <v>65.642790329999997</v>
      </c>
      <c r="W211" s="28">
        <f>IFERROR(INDEX('Clean Gamification Data'!$F:$F,MATCH($B211,'Clean Gamification Data'!$A:$A,0)),"Not Found")</f>
        <v>92.882880779999994</v>
      </c>
      <c r="X211" s="28">
        <f>IFERROR(INDEX('Clean Gamification Data'!$G:$G,MATCH($B211,'Clean Gamification Data'!$A:$A,0)),"Not Found")</f>
        <v>78.314792080000004</v>
      </c>
      <c r="Y211" s="28">
        <f>IFERROR(INDEX('Clean Gamification Data'!$H:$H,MATCH($B211,'Clean Gamification Data'!$A:$A,0)),"Not Found")</f>
        <v>67.339512810000002</v>
      </c>
      <c r="Z211" s="28">
        <f>IFERROR(INDEX('Clean Gamification Data'!$I:$I,MATCH($B211,'Clean Gamification Data'!$A:$A,0)),"Not Found")</f>
        <v>55.782162659999997</v>
      </c>
      <c r="AA211" s="28">
        <f>Table1[[#This Row],[Engagement (Gamification %)]]-Table1[[#This Row],[Engagement (Non-Gamification %)]]</f>
        <v>14.93489344000001</v>
      </c>
      <c r="AB211" s="28">
        <f>Table1[[#This Row],[Motivation (Gamification %)]]-Table1[[#This Row],[Motivation (Non-Gamification %)]]</f>
        <v>7.7399427100000082</v>
      </c>
      <c r="AC211" s="28">
        <f>Table1[[#This Row],[Participation (Gamification %)]]-Table1[[#This Row],[Participation (Non-Gamification %)]]</f>
        <v>14.56808869999999</v>
      </c>
      <c r="AD211" s="28">
        <f>Table1[[#This Row],[Learning Outcomes (Gamification %)]]-Table1[[#This Row],[Learning Outcomes (Non-Gamification %)]]</f>
        <v>11.557350150000005</v>
      </c>
      <c r="AE211" s="44" t="str">
        <f>IF(Table1[[#This Row],[Overall Effectiveness]]&lt;3.9,"Low",IF(Table1[[#This Row],[Overall Effectiveness]]&lt;4.2,"Medium","High"))</f>
        <v>Medium</v>
      </c>
      <c r="AF211" s="30" t="str">
        <f t="shared" si="22"/>
        <v>Experiments</v>
      </c>
      <c r="AG211" s="30" t="str">
        <f t="shared" si="23"/>
        <v>Online Tutorials</v>
      </c>
      <c r="AH211" s="27">
        <f>COUNTIF(Teacher_Master!$D$2:$D$16,AF211)</f>
        <v>3</v>
      </c>
      <c r="AI211" s="30" t="str">
        <f>INDEX(Teacher_Master!$B$2:$B$16,MATCH(AF211,Teacher_Master!$D$2:$D$16,0))</f>
        <v>Prof. Rahul Singh</v>
      </c>
    </row>
    <row r="212" spans="1:35" ht="14.25" customHeight="1" x14ac:dyDescent="0.3">
      <c r="A212" s="31" t="s">
        <v>441</v>
      </c>
      <c r="B212" s="31" t="s">
        <v>2231</v>
      </c>
      <c r="C212" s="31" t="s">
        <v>2882</v>
      </c>
      <c r="D212" s="12">
        <f t="shared" ca="1" si="18"/>
        <v>22</v>
      </c>
      <c r="E212" s="12" t="str">
        <f ca="1">IF(Table1[[#This Row],[Age]]&lt;=22,"20-22",IF(Table1[[#This Row],[Age]]&lt;=25,"23-25",IF(Table1[[#This Row],[Age]]&lt;=28,"26-28","29-30")))</f>
        <v>20-22</v>
      </c>
      <c r="F212" s="12">
        <v>3.9</v>
      </c>
      <c r="G212" s="12">
        <v>4</v>
      </c>
      <c r="H212" s="12">
        <v>4.47</v>
      </c>
      <c r="I212" s="12">
        <v>4.41</v>
      </c>
      <c r="J212" s="12">
        <v>4.1900000000000004</v>
      </c>
      <c r="K212" s="12">
        <v>3.78</v>
      </c>
      <c r="L212" s="12">
        <v>4.09</v>
      </c>
      <c r="M212" s="12">
        <v>3.97</v>
      </c>
      <c r="N212" s="12" t="s">
        <v>211</v>
      </c>
      <c r="O212" s="12">
        <v>3.66</v>
      </c>
      <c r="P212" s="12">
        <f t="shared" si="19"/>
        <v>4.1940000000000008</v>
      </c>
      <c r="Q212" s="12">
        <f t="shared" si="20"/>
        <v>4.1900000000000004</v>
      </c>
      <c r="R212" s="12">
        <f t="shared" si="21"/>
        <v>3.875</v>
      </c>
      <c r="S212" s="28">
        <f>IFERROR(INDEX('Clean Gamification Data'!$B:$B,MATCH($B212,'Clean Gamification Data'!$A:$A,0)),"Not Found")</f>
        <v>92.479264729999997</v>
      </c>
      <c r="T212" s="28">
        <f>IFERROR(INDEX('Clean Gamification Data'!$C:$C,MATCH($B212,'Clean Gamification Data'!$A:$A,0)),"Not Found")</f>
        <v>70.24382842</v>
      </c>
      <c r="U212" s="28">
        <f>IFERROR(INDEX('Clean Gamification Data'!$D:$D,MATCH($B212,'Clean Gamification Data'!$A:$A,0)),"Not Found")</f>
        <v>73.660501670000002</v>
      </c>
      <c r="V212" s="28">
        <f>IFERROR(INDEX('Clean Gamification Data'!$E:$E,MATCH($B212,'Clean Gamification Data'!$A:$A,0)),"Not Found")</f>
        <v>72.235612040000007</v>
      </c>
      <c r="W212" s="28">
        <f>IFERROR(INDEX('Clean Gamification Data'!$F:$F,MATCH($B212,'Clean Gamification Data'!$A:$A,0)),"Not Found")</f>
        <v>82.228348940000004</v>
      </c>
      <c r="X212" s="28">
        <f>IFERROR(INDEX('Clean Gamification Data'!$G:$G,MATCH($B212,'Clean Gamification Data'!$A:$A,0)),"Not Found")</f>
        <v>73.542073810000005</v>
      </c>
      <c r="Y212" s="28">
        <f>IFERROR(INDEX('Clean Gamification Data'!$H:$H,MATCH($B212,'Clean Gamification Data'!$A:$A,0)),"Not Found")</f>
        <v>67.388828660000001</v>
      </c>
      <c r="Z212" s="28">
        <f>IFERROR(INDEX('Clean Gamification Data'!$I:$I,MATCH($B212,'Clean Gamification Data'!$A:$A,0)),"Not Found")</f>
        <v>56.091679929999998</v>
      </c>
      <c r="AA212" s="28">
        <f>Table1[[#This Row],[Engagement (Gamification %)]]-Table1[[#This Row],[Engagement (Non-Gamification %)]]</f>
        <v>22.235436309999997</v>
      </c>
      <c r="AB212" s="28">
        <f>Table1[[#This Row],[Motivation (Gamification %)]]-Table1[[#This Row],[Motivation (Non-Gamification %)]]</f>
        <v>1.4248896299999956</v>
      </c>
      <c r="AC212" s="28">
        <f>Table1[[#This Row],[Participation (Gamification %)]]-Table1[[#This Row],[Participation (Non-Gamification %)]]</f>
        <v>8.6862751299999985</v>
      </c>
      <c r="AD212" s="28">
        <f>Table1[[#This Row],[Learning Outcomes (Gamification %)]]-Table1[[#This Row],[Learning Outcomes (Non-Gamification %)]]</f>
        <v>11.297148730000004</v>
      </c>
      <c r="AE212" s="44" t="str">
        <f>IF(Table1[[#This Row],[Overall Effectiveness]]&lt;3.9,"Low",IF(Table1[[#This Row],[Overall Effectiveness]]&lt;4.2,"Medium","High"))</f>
        <v>Medium</v>
      </c>
      <c r="AF212" s="30" t="str">
        <f t="shared" si="22"/>
        <v>Group Projects</v>
      </c>
      <c r="AG212" s="30" t="str">
        <f t="shared" si="23"/>
        <v>Case Studies</v>
      </c>
      <c r="AH212" s="27">
        <f>COUNTIF(Teacher_Master!$D$2:$D$16,AF212)</f>
        <v>3</v>
      </c>
      <c r="AI212" s="30" t="str">
        <f>INDEX(Teacher_Master!$B$2:$B$16,MATCH(AF212,Teacher_Master!$D$2:$D$16,0))</f>
        <v>Dr. Rohan Dutta</v>
      </c>
    </row>
    <row r="213" spans="1:35" ht="14.25" customHeight="1" x14ac:dyDescent="0.3">
      <c r="A213" s="31" t="s">
        <v>443</v>
      </c>
      <c r="B213" s="31" t="s">
        <v>2232</v>
      </c>
      <c r="C213" s="31" t="s">
        <v>2882</v>
      </c>
      <c r="D213" s="12">
        <f t="shared" ca="1" si="18"/>
        <v>24</v>
      </c>
      <c r="E213" s="12" t="str">
        <f ca="1">IF(Table1[[#This Row],[Age]]&lt;=22,"20-22",IF(Table1[[#This Row],[Age]]&lt;=25,"23-25",IF(Table1[[#This Row],[Age]]&lt;=28,"26-28","29-30")))</f>
        <v>23-25</v>
      </c>
      <c r="F213" s="12">
        <v>4.01</v>
      </c>
      <c r="G213" s="12">
        <v>3.59</v>
      </c>
      <c r="H213" s="12">
        <v>4.0599999999999996</v>
      </c>
      <c r="I213" s="12">
        <v>4.7</v>
      </c>
      <c r="J213" s="12" t="s">
        <v>445</v>
      </c>
      <c r="K213" s="12">
        <v>4.0999999999999996</v>
      </c>
      <c r="L213" s="12">
        <v>4.1399999999999997</v>
      </c>
      <c r="M213" s="12">
        <v>3.95</v>
      </c>
      <c r="N213" s="12">
        <v>4.16</v>
      </c>
      <c r="O213" s="12">
        <v>3.93</v>
      </c>
      <c r="P213" s="12">
        <f t="shared" si="19"/>
        <v>4.09</v>
      </c>
      <c r="Q213" s="12">
        <f t="shared" si="20"/>
        <v>4.09</v>
      </c>
      <c r="R213" s="12">
        <f t="shared" si="21"/>
        <v>4.0559999999999992</v>
      </c>
      <c r="S213" s="28">
        <f>IFERROR(INDEX('Clean Gamification Data'!$B:$B,MATCH($B213,'Clean Gamification Data'!$A:$A,0)),"Not Found")</f>
        <v>75</v>
      </c>
      <c r="T213" s="28">
        <f>IFERROR(INDEX('Clean Gamification Data'!$C:$C,MATCH($B213,'Clean Gamification Data'!$A:$A,0)),"Not Found")</f>
        <v>72.316748090000004</v>
      </c>
      <c r="U213" s="28">
        <f>IFERROR(INDEX('Clean Gamification Data'!$D:$D,MATCH($B213,'Clean Gamification Data'!$A:$A,0)),"Not Found")</f>
        <v>81.192079509999999</v>
      </c>
      <c r="V213" s="28">
        <f>IFERROR(INDEX('Clean Gamification Data'!$E:$E,MATCH($B213,'Clean Gamification Data'!$A:$A,0)),"Not Found")</f>
        <v>67.190934429999999</v>
      </c>
      <c r="W213" s="28">
        <f>IFERROR(INDEX('Clean Gamification Data'!$F:$F,MATCH($B213,'Clean Gamification Data'!$A:$A,0)),"Not Found")</f>
        <v>86.63065813</v>
      </c>
      <c r="X213" s="28">
        <f>IFERROR(INDEX('Clean Gamification Data'!$G:$G,MATCH($B213,'Clean Gamification Data'!$A:$A,0)),"Not Found")</f>
        <v>76.110341669999997</v>
      </c>
      <c r="Y213" s="28">
        <f>IFERROR(INDEX('Clean Gamification Data'!$H:$H,MATCH($B213,'Clean Gamification Data'!$A:$A,0)),"Not Found")</f>
        <v>77.665023230000003</v>
      </c>
      <c r="Z213" s="28">
        <f>IFERROR(INDEX('Clean Gamification Data'!$I:$I,MATCH($B213,'Clean Gamification Data'!$A:$A,0)),"Not Found")</f>
        <v>53.663354380000001</v>
      </c>
      <c r="AA213" s="28">
        <f>Table1[[#This Row],[Engagement (Gamification %)]]-Table1[[#This Row],[Engagement (Non-Gamification %)]]</f>
        <v>2.6832519099999956</v>
      </c>
      <c r="AB213" s="28">
        <f>Table1[[#This Row],[Motivation (Gamification %)]]-Table1[[#This Row],[Motivation (Non-Gamification %)]]</f>
        <v>14.001145080000001</v>
      </c>
      <c r="AC213" s="28">
        <f>Table1[[#This Row],[Participation (Gamification %)]]-Table1[[#This Row],[Participation (Non-Gamification %)]]</f>
        <v>10.520316460000004</v>
      </c>
      <c r="AD213" s="28">
        <f>Table1[[#This Row],[Learning Outcomes (Gamification %)]]-Table1[[#This Row],[Learning Outcomes (Non-Gamification %)]]</f>
        <v>24.001668850000001</v>
      </c>
      <c r="AE213" s="44" t="str">
        <f>IF(Table1[[#This Row],[Overall Effectiveness]]&lt;3.9,"Low",IF(Table1[[#This Row],[Overall Effectiveness]]&lt;4.2,"Medium","High"))</f>
        <v>Medium</v>
      </c>
      <c r="AF213" s="30" t="str">
        <f t="shared" si="22"/>
        <v>Experiments</v>
      </c>
      <c r="AG213" s="30" t="str">
        <f t="shared" si="23"/>
        <v>Experiments</v>
      </c>
      <c r="AH213" s="27">
        <f>COUNTIF(Teacher_Master!$D$2:$D$16,AF213)</f>
        <v>3</v>
      </c>
      <c r="AI213" s="30" t="str">
        <f>INDEX(Teacher_Master!$B$2:$B$16,MATCH(AF213,Teacher_Master!$D$2:$D$16,0))</f>
        <v>Prof. Rahul Singh</v>
      </c>
    </row>
    <row r="214" spans="1:35" ht="14.25" customHeight="1" x14ac:dyDescent="0.3">
      <c r="A214" s="31" t="s">
        <v>446</v>
      </c>
      <c r="B214" s="31" t="s">
        <v>447</v>
      </c>
      <c r="C214" s="31" t="s">
        <v>2882</v>
      </c>
      <c r="D214" s="12">
        <f t="shared" ca="1" si="18"/>
        <v>30</v>
      </c>
      <c r="E214" s="12" t="str">
        <f ca="1">IF(Table1[[#This Row],[Age]]&lt;=22,"20-22",IF(Table1[[#This Row],[Age]]&lt;=25,"23-25",IF(Table1[[#This Row],[Age]]&lt;=28,"26-28","29-30")))</f>
        <v>29-30</v>
      </c>
      <c r="F214" s="12">
        <v>4.21</v>
      </c>
      <c r="G214" s="12">
        <v>3.65</v>
      </c>
      <c r="H214" s="12">
        <v>3.75</v>
      </c>
      <c r="I214" s="12">
        <v>4.46</v>
      </c>
      <c r="J214" s="12">
        <v>3.92</v>
      </c>
      <c r="K214" s="12">
        <v>3.91</v>
      </c>
      <c r="L214" s="12">
        <v>4.1900000000000004</v>
      </c>
      <c r="M214" s="12">
        <v>4.22</v>
      </c>
      <c r="N214" s="12">
        <v>4.08</v>
      </c>
      <c r="O214" s="12">
        <v>4.16</v>
      </c>
      <c r="P214" s="12">
        <f t="shared" si="19"/>
        <v>3.9980000000000002</v>
      </c>
      <c r="Q214" s="12">
        <f t="shared" si="20"/>
        <v>4</v>
      </c>
      <c r="R214" s="12">
        <f t="shared" si="21"/>
        <v>4.1120000000000001</v>
      </c>
      <c r="S214" s="28">
        <f>IFERROR(INDEX('Clean Gamification Data'!$B:$B,MATCH($B214,'Clean Gamification Data'!$A:$A,0)),"Not Found")</f>
        <v>93.033923169999994</v>
      </c>
      <c r="T214" s="28">
        <f>IFERROR(INDEX('Clean Gamification Data'!$C:$C,MATCH($B214,'Clean Gamification Data'!$A:$A,0)),"Not Found")</f>
        <v>72.202705269999996</v>
      </c>
      <c r="U214" s="28">
        <f>IFERROR(INDEX('Clean Gamification Data'!$D:$D,MATCH($B214,'Clean Gamification Data'!$A:$A,0)),"Not Found")</f>
        <v>73.130546109999997</v>
      </c>
      <c r="V214" s="28">
        <f>IFERROR(INDEX('Clean Gamification Data'!$E:$E,MATCH($B214,'Clean Gamification Data'!$A:$A,0)),"Not Found")</f>
        <v>68.594059659999999</v>
      </c>
      <c r="W214" s="28">
        <f>IFERROR(INDEX('Clean Gamification Data'!$F:$F,MATCH($B214,'Clean Gamification Data'!$A:$A,0)),"Not Found")</f>
        <v>91.823899780000005</v>
      </c>
      <c r="X214" s="28">
        <f>IFERROR(INDEX('Clean Gamification Data'!$G:$G,MATCH($B214,'Clean Gamification Data'!$A:$A,0)),"Not Found")</f>
        <v>81.984049150000004</v>
      </c>
      <c r="Y214" s="28">
        <f>IFERROR(INDEX('Clean Gamification Data'!$H:$H,MATCH($B214,'Clean Gamification Data'!$A:$A,0)),"Not Found")</f>
        <v>71.321374030000001</v>
      </c>
      <c r="Z214" s="28">
        <f>IFERROR(INDEX('Clean Gamification Data'!$I:$I,MATCH($B214,'Clean Gamification Data'!$A:$A,0)),"Not Found")</f>
        <v>57.319026780000002</v>
      </c>
      <c r="AA214" s="28">
        <f>Table1[[#This Row],[Engagement (Gamification %)]]-Table1[[#This Row],[Engagement (Non-Gamification %)]]</f>
        <v>20.831217899999999</v>
      </c>
      <c r="AB214" s="28">
        <f>Table1[[#This Row],[Motivation (Gamification %)]]-Table1[[#This Row],[Motivation (Non-Gamification %)]]</f>
        <v>4.5364864499999982</v>
      </c>
      <c r="AC214" s="28">
        <f>Table1[[#This Row],[Participation (Gamification %)]]-Table1[[#This Row],[Participation (Non-Gamification %)]]</f>
        <v>9.8398506300000008</v>
      </c>
      <c r="AD214" s="28">
        <f>Table1[[#This Row],[Learning Outcomes (Gamification %)]]-Table1[[#This Row],[Learning Outcomes (Non-Gamification %)]]</f>
        <v>14.00234725</v>
      </c>
      <c r="AE214" s="44" t="str">
        <f>IF(Table1[[#This Row],[Overall Effectiveness]]&lt;3.9,"Low",IF(Table1[[#This Row],[Overall Effectiveness]]&lt;4.2,"Medium","High"))</f>
        <v>Medium</v>
      </c>
      <c r="AF214" s="30" t="str">
        <f t="shared" si="22"/>
        <v>Experiments</v>
      </c>
      <c r="AG214" s="30" t="str">
        <f t="shared" si="23"/>
        <v>Group Projects</v>
      </c>
      <c r="AH214" s="27">
        <f>COUNTIF(Teacher_Master!$D$2:$D$16,AF214)</f>
        <v>3</v>
      </c>
      <c r="AI214" s="30" t="str">
        <f>INDEX(Teacher_Master!$B$2:$B$16,MATCH(AF214,Teacher_Master!$D$2:$D$16,0))</f>
        <v>Prof. Rahul Singh</v>
      </c>
    </row>
    <row r="215" spans="1:35" ht="14.25" customHeight="1" x14ac:dyDescent="0.3">
      <c r="A215" s="31" t="s">
        <v>448</v>
      </c>
      <c r="B215" s="31" t="s">
        <v>449</v>
      </c>
      <c r="C215" s="31" t="s">
        <v>2882</v>
      </c>
      <c r="D215" s="12">
        <f t="shared" ca="1" si="18"/>
        <v>21</v>
      </c>
      <c r="E215" s="12" t="str">
        <f ca="1">IF(Table1[[#This Row],[Age]]&lt;=22,"20-22",IF(Table1[[#This Row],[Age]]&lt;=25,"23-25",IF(Table1[[#This Row],[Age]]&lt;=28,"26-28","29-30")))</f>
        <v>20-22</v>
      </c>
      <c r="F215" s="12">
        <v>3.97</v>
      </c>
      <c r="G215" s="12">
        <v>4.4400000000000004</v>
      </c>
      <c r="H215" s="12">
        <v>3.83</v>
      </c>
      <c r="I215" s="12">
        <v>4.5</v>
      </c>
      <c r="J215" s="12">
        <v>3.99</v>
      </c>
      <c r="K215" s="12">
        <v>4.29</v>
      </c>
      <c r="L215" s="12">
        <v>4.63</v>
      </c>
      <c r="M215" s="12">
        <v>3.33</v>
      </c>
      <c r="N215" s="12">
        <v>3.99</v>
      </c>
      <c r="O215" s="12">
        <v>3.92</v>
      </c>
      <c r="P215" s="12">
        <f t="shared" si="19"/>
        <v>4.1460000000000008</v>
      </c>
      <c r="Q215" s="12">
        <f t="shared" si="20"/>
        <v>4.1500000000000004</v>
      </c>
      <c r="R215" s="12">
        <f t="shared" si="21"/>
        <v>4.0320000000000009</v>
      </c>
      <c r="S215" s="28">
        <f>IFERROR(INDEX('Clean Gamification Data'!$B:$B,MATCH($B215,'Clean Gamification Data'!$A:$A,0)),"Not Found")</f>
        <v>83.761449170000006</v>
      </c>
      <c r="T215" s="28">
        <f>IFERROR(INDEX('Clean Gamification Data'!$C:$C,MATCH($B215,'Clean Gamification Data'!$A:$A,0)),"Not Found")</f>
        <v>73.903689200000002</v>
      </c>
      <c r="U215" s="28">
        <f>IFERROR(INDEX('Clean Gamification Data'!$D:$D,MATCH($B215,'Clean Gamification Data'!$A:$A,0)),"Not Found")</f>
        <v>70</v>
      </c>
      <c r="V215" s="28">
        <f>IFERROR(INDEX('Clean Gamification Data'!$E:$E,MATCH($B215,'Clean Gamification Data'!$A:$A,0)),"Not Found")</f>
        <v>55.277154959999997</v>
      </c>
      <c r="W215" s="28">
        <f>IFERROR(INDEX('Clean Gamification Data'!$F:$F,MATCH($B215,'Clean Gamification Data'!$A:$A,0)),"Not Found")</f>
        <v>85.336364630000006</v>
      </c>
      <c r="X215" s="28">
        <f>IFERROR(INDEX('Clean Gamification Data'!$G:$G,MATCH($B215,'Clean Gamification Data'!$A:$A,0)),"Not Found")</f>
        <v>77.966070529999996</v>
      </c>
      <c r="Y215" s="28">
        <f>IFERROR(INDEX('Clean Gamification Data'!$H:$H,MATCH($B215,'Clean Gamification Data'!$A:$A,0)),"Not Found")</f>
        <v>68.138830150000004</v>
      </c>
      <c r="Z215" s="28">
        <f>IFERROR(INDEX('Clean Gamification Data'!$I:$I,MATCH($B215,'Clean Gamification Data'!$A:$A,0)),"Not Found")</f>
        <v>70</v>
      </c>
      <c r="AA215" s="28">
        <f>Table1[[#This Row],[Engagement (Gamification %)]]-Table1[[#This Row],[Engagement (Non-Gamification %)]]</f>
        <v>9.8577599700000036</v>
      </c>
      <c r="AB215" s="28">
        <f>Table1[[#This Row],[Motivation (Gamification %)]]-Table1[[#This Row],[Motivation (Non-Gamification %)]]</f>
        <v>14.722845040000003</v>
      </c>
      <c r="AC215" s="28">
        <f>Table1[[#This Row],[Participation (Gamification %)]]-Table1[[#This Row],[Participation (Non-Gamification %)]]</f>
        <v>7.3702941000000095</v>
      </c>
      <c r="AD215" s="28">
        <f>Table1[[#This Row],[Learning Outcomes (Gamification %)]]-Table1[[#This Row],[Learning Outcomes (Non-Gamification %)]]</f>
        <v>-1.861169849999996</v>
      </c>
      <c r="AE215" s="44" t="str">
        <f>IF(Table1[[#This Row],[Overall Effectiveness]]&lt;3.9,"Low",IF(Table1[[#This Row],[Overall Effectiveness]]&lt;4.2,"Medium","High"))</f>
        <v>Medium</v>
      </c>
      <c r="AF215" s="30" t="str">
        <f t="shared" si="22"/>
        <v>Experiments</v>
      </c>
      <c r="AG215" s="30" t="str">
        <f t="shared" si="23"/>
        <v>Case Studies</v>
      </c>
      <c r="AH215" s="27">
        <f>COUNTIF(Teacher_Master!$D$2:$D$16,AF215)</f>
        <v>3</v>
      </c>
      <c r="AI215" s="30" t="str">
        <f>INDEX(Teacher_Master!$B$2:$B$16,MATCH(AF215,Teacher_Master!$D$2:$D$16,0))</f>
        <v>Prof. Rahul Singh</v>
      </c>
    </row>
    <row r="216" spans="1:35" ht="14.25" customHeight="1" x14ac:dyDescent="0.3">
      <c r="A216" s="31" t="s">
        <v>450</v>
      </c>
      <c r="B216" s="31" t="s">
        <v>451</v>
      </c>
      <c r="C216" s="31" t="s">
        <v>2882</v>
      </c>
      <c r="D216" s="12">
        <f t="shared" ca="1" si="18"/>
        <v>27</v>
      </c>
      <c r="E216" s="12" t="str">
        <f ca="1">IF(Table1[[#This Row],[Age]]&lt;=22,"20-22",IF(Table1[[#This Row],[Age]]&lt;=25,"23-25",IF(Table1[[#This Row],[Age]]&lt;=28,"26-28","29-30")))</f>
        <v>26-28</v>
      </c>
      <c r="F216" s="12">
        <v>4.6900000000000004</v>
      </c>
      <c r="G216" s="12">
        <v>4.0199999999999996</v>
      </c>
      <c r="H216" s="12">
        <v>4.5</v>
      </c>
      <c r="I216" s="12">
        <v>4.51</v>
      </c>
      <c r="J216" s="12">
        <v>4.05</v>
      </c>
      <c r="K216" s="12">
        <v>4.55</v>
      </c>
      <c r="L216" s="12">
        <v>4.3099999999999996</v>
      </c>
      <c r="M216" s="12">
        <v>3.57</v>
      </c>
      <c r="N216" s="12">
        <v>3.88</v>
      </c>
      <c r="O216" s="12">
        <v>3.72</v>
      </c>
      <c r="P216" s="12">
        <f t="shared" si="19"/>
        <v>4.3540000000000001</v>
      </c>
      <c r="Q216" s="12">
        <f t="shared" si="20"/>
        <v>4.3499999999999996</v>
      </c>
      <c r="R216" s="12">
        <f t="shared" si="21"/>
        <v>4.0059999999999993</v>
      </c>
      <c r="S216" s="28">
        <f>IFERROR(INDEX('Clean Gamification Data'!$B:$B,MATCH($B216,'Clean Gamification Data'!$A:$A,0)),"Not Found")</f>
        <v>86.245571530000007</v>
      </c>
      <c r="T216" s="28">
        <f>IFERROR(INDEX('Clean Gamification Data'!$C:$C,MATCH($B216,'Clean Gamification Data'!$A:$A,0)),"Not Found")</f>
        <v>68.750883729999998</v>
      </c>
      <c r="U216" s="28">
        <f>IFERROR(INDEX('Clean Gamification Data'!$D:$D,MATCH($B216,'Clean Gamification Data'!$A:$A,0)),"Not Found")</f>
        <v>71.138585070000005</v>
      </c>
      <c r="V216" s="28">
        <f>IFERROR(INDEX('Clean Gamification Data'!$E:$E,MATCH($B216,'Clean Gamification Data'!$A:$A,0)),"Not Found")</f>
        <v>65.942212359999999</v>
      </c>
      <c r="W216" s="28">
        <f>IFERROR(INDEX('Clean Gamification Data'!$F:$F,MATCH($B216,'Clean Gamification Data'!$A:$A,0)),"Not Found")</f>
        <v>86.001749860000004</v>
      </c>
      <c r="X216" s="28">
        <f>IFERROR(INDEX('Clean Gamification Data'!$G:$G,MATCH($B216,'Clean Gamification Data'!$A:$A,0)),"Not Found")</f>
        <v>85</v>
      </c>
      <c r="Y216" s="28">
        <f>IFERROR(INDEX('Clean Gamification Data'!$H:$H,MATCH($B216,'Clean Gamification Data'!$A:$A,0)),"Not Found")</f>
        <v>68.742426100000003</v>
      </c>
      <c r="Z216" s="28">
        <f>IFERROR(INDEX('Clean Gamification Data'!$I:$I,MATCH($B216,'Clean Gamification Data'!$A:$A,0)),"Not Found")</f>
        <v>50</v>
      </c>
      <c r="AA216" s="28">
        <f>Table1[[#This Row],[Engagement (Gamification %)]]-Table1[[#This Row],[Engagement (Non-Gamification %)]]</f>
        <v>17.494687800000008</v>
      </c>
      <c r="AB216" s="28">
        <f>Table1[[#This Row],[Motivation (Gamification %)]]-Table1[[#This Row],[Motivation (Non-Gamification %)]]</f>
        <v>5.1963727100000057</v>
      </c>
      <c r="AC216" s="28">
        <f>Table1[[#This Row],[Participation (Gamification %)]]-Table1[[#This Row],[Participation (Non-Gamification %)]]</f>
        <v>1.0017498600000039</v>
      </c>
      <c r="AD216" s="28">
        <f>Table1[[#This Row],[Learning Outcomes (Gamification %)]]-Table1[[#This Row],[Learning Outcomes (Non-Gamification %)]]</f>
        <v>18.742426100000003</v>
      </c>
      <c r="AE216" s="44" t="str">
        <f>IF(Table1[[#This Row],[Overall Effectiveness]]&lt;3.9,"Low",IF(Table1[[#This Row],[Overall Effectiveness]]&lt;4.2,"Medium","High"))</f>
        <v>High</v>
      </c>
      <c r="AF216" s="30" t="str">
        <f t="shared" si="22"/>
        <v>Lectures</v>
      </c>
      <c r="AG216" s="30" t="str">
        <f t="shared" si="23"/>
        <v>Lectures</v>
      </c>
      <c r="AH216" s="27">
        <f>COUNTIF(Teacher_Master!$D$2:$D$16,AF216)</f>
        <v>3</v>
      </c>
      <c r="AI216" s="30" t="str">
        <f>INDEX(Teacher_Master!$B$2:$B$16,MATCH(AF216,Teacher_Master!$D$2:$D$16,0))</f>
        <v>Prof. Vikram Gupta</v>
      </c>
    </row>
    <row r="217" spans="1:35" ht="14.25" customHeight="1" x14ac:dyDescent="0.3">
      <c r="A217" s="31" t="s">
        <v>452</v>
      </c>
      <c r="B217" s="31" t="s">
        <v>2233</v>
      </c>
      <c r="C217" s="31" t="s">
        <v>2882</v>
      </c>
      <c r="D217" s="12">
        <f t="shared" ca="1" si="18"/>
        <v>23</v>
      </c>
      <c r="E217" s="12" t="str">
        <f ca="1">IF(Table1[[#This Row],[Age]]&lt;=22,"20-22",IF(Table1[[#This Row],[Age]]&lt;=25,"23-25",IF(Table1[[#This Row],[Age]]&lt;=28,"26-28","29-30")))</f>
        <v>23-25</v>
      </c>
      <c r="F217" s="12">
        <v>3.83</v>
      </c>
      <c r="G217" s="12">
        <v>3.83</v>
      </c>
      <c r="H217" s="12">
        <v>4.5599999999999996</v>
      </c>
      <c r="I217" s="12">
        <v>4.3099999999999996</v>
      </c>
      <c r="J217" s="12">
        <v>4.09</v>
      </c>
      <c r="K217" s="12">
        <v>3.73</v>
      </c>
      <c r="L217" s="12">
        <v>4.05</v>
      </c>
      <c r="M217" s="12">
        <v>3.56</v>
      </c>
      <c r="N217" s="12">
        <v>4.3</v>
      </c>
      <c r="O217" s="12">
        <v>3.8</v>
      </c>
      <c r="P217" s="12">
        <f t="shared" si="19"/>
        <v>4.1239999999999997</v>
      </c>
      <c r="Q217" s="12">
        <f t="shared" si="20"/>
        <v>4.12</v>
      </c>
      <c r="R217" s="12">
        <f t="shared" si="21"/>
        <v>3.8880000000000003</v>
      </c>
      <c r="S217" s="28">
        <f>IFERROR(INDEX('Clean Gamification Data'!$B:$B,MATCH($B217,'Clean Gamification Data'!$A:$A,0)),"Not Found")</f>
        <v>81.586771970000001</v>
      </c>
      <c r="T217" s="28">
        <f>IFERROR(INDEX('Clean Gamification Data'!$C:$C,MATCH($B217,'Clean Gamification Data'!$A:$A,0)),"Not Found")</f>
        <v>60.004607030000003</v>
      </c>
      <c r="U217" s="28">
        <f>IFERROR(INDEX('Clean Gamification Data'!$D:$D,MATCH($B217,'Clean Gamification Data'!$A:$A,0)),"Not Found")</f>
        <v>75.089527509999996</v>
      </c>
      <c r="V217" s="28">
        <f>IFERROR(INDEX('Clean Gamification Data'!$E:$E,MATCH($B217,'Clean Gamification Data'!$A:$A,0)),"Not Found")</f>
        <v>64.664229719999994</v>
      </c>
      <c r="W217" s="28">
        <f>IFERROR(INDEX('Clean Gamification Data'!$F:$F,MATCH($B217,'Clean Gamification Data'!$A:$A,0)),"Not Found")</f>
        <v>86.652203180000001</v>
      </c>
      <c r="X217" s="28">
        <f>IFERROR(INDEX('Clean Gamification Data'!$G:$G,MATCH($B217,'Clean Gamification Data'!$A:$A,0)),"Not Found")</f>
        <v>74.8047988</v>
      </c>
      <c r="Y217" s="28">
        <f>IFERROR(INDEX('Clean Gamification Data'!$H:$H,MATCH($B217,'Clean Gamification Data'!$A:$A,0)),"Not Found")</f>
        <v>69.386514349999999</v>
      </c>
      <c r="Z217" s="28">
        <f>IFERROR(INDEX('Clean Gamification Data'!$I:$I,MATCH($B217,'Clean Gamification Data'!$A:$A,0)),"Not Found")</f>
        <v>59.60072005</v>
      </c>
      <c r="AA217" s="28">
        <f>Table1[[#This Row],[Engagement (Gamification %)]]-Table1[[#This Row],[Engagement (Non-Gamification %)]]</f>
        <v>21.582164939999998</v>
      </c>
      <c r="AB217" s="28">
        <f>Table1[[#This Row],[Motivation (Gamification %)]]-Table1[[#This Row],[Motivation (Non-Gamification %)]]</f>
        <v>10.425297790000002</v>
      </c>
      <c r="AC217" s="28">
        <f>Table1[[#This Row],[Participation (Gamification %)]]-Table1[[#This Row],[Participation (Non-Gamification %)]]</f>
        <v>11.84740438</v>
      </c>
      <c r="AD217" s="28">
        <f>Table1[[#This Row],[Learning Outcomes (Gamification %)]]-Table1[[#This Row],[Learning Outcomes (Non-Gamification %)]]</f>
        <v>9.7857942999999992</v>
      </c>
      <c r="AE217" s="44" t="str">
        <f>IF(Table1[[#This Row],[Overall Effectiveness]]&lt;3.9,"Low",IF(Table1[[#This Row],[Overall Effectiveness]]&lt;4.2,"Medium","High"))</f>
        <v>Medium</v>
      </c>
      <c r="AF217" s="30" t="str">
        <f t="shared" si="22"/>
        <v>Group Projects</v>
      </c>
      <c r="AG217" s="30" t="str">
        <f t="shared" si="23"/>
        <v>Experiments</v>
      </c>
      <c r="AH217" s="27">
        <f>COUNTIF(Teacher_Master!$D$2:$D$16,AF217)</f>
        <v>3</v>
      </c>
      <c r="AI217" s="30" t="str">
        <f>INDEX(Teacher_Master!$B$2:$B$16,MATCH(AF217,Teacher_Master!$D$2:$D$16,0))</f>
        <v>Dr. Rohan Dutta</v>
      </c>
    </row>
    <row r="218" spans="1:35" ht="14.25" customHeight="1" x14ac:dyDescent="0.3">
      <c r="A218" s="31" t="s">
        <v>454</v>
      </c>
      <c r="B218" s="31" t="s">
        <v>2234</v>
      </c>
      <c r="C218" s="31" t="s">
        <v>2882</v>
      </c>
      <c r="D218" s="12">
        <f t="shared" ca="1" si="18"/>
        <v>28</v>
      </c>
      <c r="E218" s="12" t="str">
        <f ca="1">IF(Table1[[#This Row],[Age]]&lt;=22,"20-22",IF(Table1[[#This Row],[Age]]&lt;=25,"23-25",IF(Table1[[#This Row],[Age]]&lt;=28,"26-28","29-30")))</f>
        <v>26-28</v>
      </c>
      <c r="F218" s="12">
        <v>3.49</v>
      </c>
      <c r="G218" s="12">
        <v>3.73</v>
      </c>
      <c r="H218" s="12">
        <v>4.13</v>
      </c>
      <c r="I218" s="12">
        <v>3.93</v>
      </c>
      <c r="J218" s="12">
        <v>4.5</v>
      </c>
      <c r="K218" s="12">
        <v>3.97</v>
      </c>
      <c r="L218" s="12">
        <v>3.85</v>
      </c>
      <c r="M218" s="12">
        <v>3.46</v>
      </c>
      <c r="N218" s="12">
        <v>4.1399999999999997</v>
      </c>
      <c r="O218" s="12">
        <v>3.74</v>
      </c>
      <c r="P218" s="12">
        <f t="shared" si="19"/>
        <v>3.9560000000000004</v>
      </c>
      <c r="Q218" s="12">
        <f t="shared" si="20"/>
        <v>3.96</v>
      </c>
      <c r="R218" s="12">
        <f t="shared" si="21"/>
        <v>3.8320000000000007</v>
      </c>
      <c r="S218" s="28">
        <f>IFERROR(INDEX('Clean Gamification Data'!$B:$B,MATCH($B218,'Clean Gamification Data'!$A:$A,0)),"Not Found")</f>
        <v>82.288507339999995</v>
      </c>
      <c r="T218" s="28">
        <f>IFERROR(INDEX('Clean Gamification Data'!$C:$C,MATCH($B218,'Clean Gamification Data'!$A:$A,0)),"Not Found")</f>
        <v>77.079798120000007</v>
      </c>
      <c r="U218" s="28">
        <f>IFERROR(INDEX('Clean Gamification Data'!$D:$D,MATCH($B218,'Clean Gamification Data'!$A:$A,0)),"Not Found")</f>
        <v>70</v>
      </c>
      <c r="V218" s="28">
        <f>IFERROR(INDEX('Clean Gamification Data'!$E:$E,MATCH($B218,'Clean Gamification Data'!$A:$A,0)),"Not Found")</f>
        <v>69.319751960000005</v>
      </c>
      <c r="W218" s="28">
        <f>IFERROR(INDEX('Clean Gamification Data'!$F:$F,MATCH($B218,'Clean Gamification Data'!$A:$A,0)),"Not Found")</f>
        <v>87.810209709999995</v>
      </c>
      <c r="X218" s="28">
        <f>IFERROR(INDEX('Clean Gamification Data'!$G:$G,MATCH($B218,'Clean Gamification Data'!$A:$A,0)),"Not Found")</f>
        <v>71.688164659999998</v>
      </c>
      <c r="Y218" s="28">
        <f>IFERROR(INDEX('Clean Gamification Data'!$H:$H,MATCH($B218,'Clean Gamification Data'!$A:$A,0)),"Not Found")</f>
        <v>67.138495699999993</v>
      </c>
      <c r="Z218" s="28">
        <f>IFERROR(INDEX('Clean Gamification Data'!$I:$I,MATCH($B218,'Clean Gamification Data'!$A:$A,0)),"Not Found")</f>
        <v>52.62442051</v>
      </c>
      <c r="AA218" s="28">
        <f>Table1[[#This Row],[Engagement (Gamification %)]]-Table1[[#This Row],[Engagement (Non-Gamification %)]]</f>
        <v>5.2087092199999887</v>
      </c>
      <c r="AB218" s="28">
        <f>Table1[[#This Row],[Motivation (Gamification %)]]-Table1[[#This Row],[Motivation (Non-Gamification %)]]</f>
        <v>0.68024803999999506</v>
      </c>
      <c r="AC218" s="28">
        <f>Table1[[#This Row],[Participation (Gamification %)]]-Table1[[#This Row],[Participation (Non-Gamification %)]]</f>
        <v>16.122045049999997</v>
      </c>
      <c r="AD218" s="28">
        <f>Table1[[#This Row],[Learning Outcomes (Gamification %)]]-Table1[[#This Row],[Learning Outcomes (Non-Gamification %)]]</f>
        <v>14.514075189999993</v>
      </c>
      <c r="AE218" s="44" t="str">
        <f>IF(Table1[[#This Row],[Overall Effectiveness]]&lt;3.9,"Low",IF(Table1[[#This Row],[Overall Effectiveness]]&lt;4.2,"Medium","High"))</f>
        <v>Medium</v>
      </c>
      <c r="AF218" s="30" t="str">
        <f t="shared" si="22"/>
        <v>Online Tutorials</v>
      </c>
      <c r="AG218" s="30" t="str">
        <f t="shared" si="23"/>
        <v>Experiments</v>
      </c>
      <c r="AH218" s="27">
        <f>COUNTIF(Teacher_Master!$D$2:$D$16,AF218)</f>
        <v>3</v>
      </c>
      <c r="AI218" s="30" t="str">
        <f>INDEX(Teacher_Master!$B$2:$B$16,MATCH(AF218,Teacher_Master!$D$2:$D$16,0))</f>
        <v>Prof. Kavita Rao</v>
      </c>
    </row>
    <row r="219" spans="1:35" ht="14.25" customHeight="1" x14ac:dyDescent="0.3">
      <c r="A219" s="31" t="s">
        <v>456</v>
      </c>
      <c r="B219" s="31" t="s">
        <v>2235</v>
      </c>
      <c r="C219" s="31" t="s">
        <v>2881</v>
      </c>
      <c r="D219" s="12">
        <f t="shared" ca="1" si="18"/>
        <v>22</v>
      </c>
      <c r="E219" s="12" t="str">
        <f ca="1">IF(Table1[[#This Row],[Age]]&lt;=22,"20-22",IF(Table1[[#This Row],[Age]]&lt;=25,"23-25",IF(Table1[[#This Row],[Age]]&lt;=28,"26-28","29-30")))</f>
        <v>20-22</v>
      </c>
      <c r="F219" s="12">
        <v>3.77</v>
      </c>
      <c r="G219" s="12">
        <v>4.0599999999999996</v>
      </c>
      <c r="H219" s="12">
        <v>3.97</v>
      </c>
      <c r="I219" s="12">
        <v>4.4400000000000004</v>
      </c>
      <c r="J219" s="12" t="s">
        <v>211</v>
      </c>
      <c r="K219" s="12">
        <v>4.51</v>
      </c>
      <c r="L219" s="12">
        <v>4.21</v>
      </c>
      <c r="M219" s="12">
        <v>3.39</v>
      </c>
      <c r="N219" s="12">
        <v>4.0599999999999996</v>
      </c>
      <c r="O219" s="12">
        <v>3.95</v>
      </c>
      <c r="P219" s="12">
        <f t="shared" si="19"/>
        <v>4.0600000000000005</v>
      </c>
      <c r="Q219" s="12">
        <f t="shared" si="20"/>
        <v>4.0599999999999996</v>
      </c>
      <c r="R219" s="12">
        <f t="shared" si="21"/>
        <v>4.0239999999999991</v>
      </c>
      <c r="S219" s="28">
        <f>IFERROR(INDEX('Clean Gamification Data'!$B:$B,MATCH($B219,'Clean Gamification Data'!$A:$A,0)),"Not Found")</f>
        <v>88.896593289999998</v>
      </c>
      <c r="T219" s="28">
        <f>IFERROR(INDEX('Clean Gamification Data'!$C:$C,MATCH($B219,'Clean Gamification Data'!$A:$A,0)),"Not Found")</f>
        <v>65.218197180000004</v>
      </c>
      <c r="U219" s="28">
        <f>IFERROR(INDEX('Clean Gamification Data'!$D:$D,MATCH($B219,'Clean Gamification Data'!$A:$A,0)),"Not Found")</f>
        <v>70.263144409999995</v>
      </c>
      <c r="V219" s="28">
        <f>IFERROR(INDEX('Clean Gamification Data'!$E:$E,MATCH($B219,'Clean Gamification Data'!$A:$A,0)),"Not Found")</f>
        <v>62.83333184</v>
      </c>
      <c r="W219" s="28">
        <f>IFERROR(INDEX('Clean Gamification Data'!$F:$F,MATCH($B219,'Clean Gamification Data'!$A:$A,0)),"Not Found")</f>
        <v>93.679423630000002</v>
      </c>
      <c r="X219" s="28">
        <f>IFERROR(INDEX('Clean Gamification Data'!$G:$G,MATCH($B219,'Clean Gamification Data'!$A:$A,0)),"Not Found")</f>
        <v>85</v>
      </c>
      <c r="Y219" s="28">
        <f>IFERROR(INDEX('Clean Gamification Data'!$H:$H,MATCH($B219,'Clean Gamification Data'!$A:$A,0)),"Not Found")</f>
        <v>76.293393649999999</v>
      </c>
      <c r="Z219" s="28">
        <f>IFERROR(INDEX('Clean Gamification Data'!$I:$I,MATCH($B219,'Clean Gamification Data'!$A:$A,0)),"Not Found")</f>
        <v>53.09498439</v>
      </c>
      <c r="AA219" s="28">
        <f>Table1[[#This Row],[Engagement (Gamification %)]]-Table1[[#This Row],[Engagement (Non-Gamification %)]]</f>
        <v>23.678396109999994</v>
      </c>
      <c r="AB219" s="28">
        <f>Table1[[#This Row],[Motivation (Gamification %)]]-Table1[[#This Row],[Motivation (Non-Gamification %)]]</f>
        <v>7.4298125699999957</v>
      </c>
      <c r="AC219" s="28">
        <f>Table1[[#This Row],[Participation (Gamification %)]]-Table1[[#This Row],[Participation (Non-Gamification %)]]</f>
        <v>8.6794236300000023</v>
      </c>
      <c r="AD219" s="28">
        <f>Table1[[#This Row],[Learning Outcomes (Gamification %)]]-Table1[[#This Row],[Learning Outcomes (Non-Gamification %)]]</f>
        <v>23.198409259999998</v>
      </c>
      <c r="AE219" s="44" t="str">
        <f>IF(Table1[[#This Row],[Overall Effectiveness]]&lt;3.9,"Low",IF(Table1[[#This Row],[Overall Effectiveness]]&lt;4.2,"Medium","High"))</f>
        <v>Medium</v>
      </c>
      <c r="AF219" s="30" t="str">
        <f t="shared" si="22"/>
        <v>Experiments</v>
      </c>
      <c r="AG219" s="30" t="str">
        <f t="shared" si="23"/>
        <v>Lectures</v>
      </c>
      <c r="AH219" s="27">
        <f>COUNTIF(Teacher_Master!$D$2:$D$16,AF219)</f>
        <v>3</v>
      </c>
      <c r="AI219" s="30" t="str">
        <f>INDEX(Teacher_Master!$B$2:$B$16,MATCH(AF219,Teacher_Master!$D$2:$D$16,0))</f>
        <v>Prof. Rahul Singh</v>
      </c>
    </row>
    <row r="220" spans="1:35" ht="14.25" customHeight="1" x14ac:dyDescent="0.3">
      <c r="A220" s="31" t="s">
        <v>458</v>
      </c>
      <c r="B220" s="31" t="s">
        <v>2236</v>
      </c>
      <c r="C220" s="31" t="s">
        <v>2881</v>
      </c>
      <c r="D220" s="12">
        <f t="shared" ca="1" si="18"/>
        <v>20</v>
      </c>
      <c r="E220" s="12" t="str">
        <f ca="1">IF(Table1[[#This Row],[Age]]&lt;=22,"20-22",IF(Table1[[#This Row],[Age]]&lt;=25,"23-25",IF(Table1[[#This Row],[Age]]&lt;=28,"26-28","29-30")))</f>
        <v>20-22</v>
      </c>
      <c r="F220" s="12">
        <v>4.5</v>
      </c>
      <c r="G220" s="12">
        <v>4.49</v>
      </c>
      <c r="H220" s="12">
        <v>4.04</v>
      </c>
      <c r="I220" s="12">
        <v>4.05</v>
      </c>
      <c r="J220" s="12">
        <v>4.26</v>
      </c>
      <c r="K220" s="12">
        <v>3.99</v>
      </c>
      <c r="L220" s="12">
        <v>3.99</v>
      </c>
      <c r="M220" s="12">
        <v>3.89</v>
      </c>
      <c r="N220" s="12">
        <v>3.94</v>
      </c>
      <c r="O220" s="12">
        <v>3.9</v>
      </c>
      <c r="P220" s="12">
        <f t="shared" si="19"/>
        <v>4.2680000000000007</v>
      </c>
      <c r="Q220" s="12">
        <f t="shared" si="20"/>
        <v>4.2699999999999996</v>
      </c>
      <c r="R220" s="12">
        <f t="shared" si="21"/>
        <v>3.9420000000000002</v>
      </c>
      <c r="S220" s="28">
        <f>IFERROR(INDEX('Clean Gamification Data'!$B:$B,MATCH($B220,'Clean Gamification Data'!$A:$A,0)),"Not Found")</f>
        <v>89.333140229999998</v>
      </c>
      <c r="T220" s="28">
        <f>IFERROR(INDEX('Clean Gamification Data'!$C:$C,MATCH($B220,'Clean Gamification Data'!$A:$A,0)),"Not Found")</f>
        <v>65.900417469999994</v>
      </c>
      <c r="U220" s="28">
        <f>IFERROR(INDEX('Clean Gamification Data'!$D:$D,MATCH($B220,'Clean Gamification Data'!$A:$A,0)),"Not Found")</f>
        <v>70</v>
      </c>
      <c r="V220" s="28">
        <f>IFERROR(INDEX('Clean Gamification Data'!$E:$E,MATCH($B220,'Clean Gamification Data'!$A:$A,0)),"Not Found")</f>
        <v>69.941239719999999</v>
      </c>
      <c r="W220" s="28">
        <f>IFERROR(INDEX('Clean Gamification Data'!$F:$F,MATCH($B220,'Clean Gamification Data'!$A:$A,0)),"Not Found")</f>
        <v>99.08038569</v>
      </c>
      <c r="X220" s="28">
        <f>IFERROR(INDEX('Clean Gamification Data'!$G:$G,MATCH($B220,'Clean Gamification Data'!$A:$A,0)),"Not Found")</f>
        <v>84.001188540000001</v>
      </c>
      <c r="Y220" s="28">
        <f>IFERROR(INDEX('Clean Gamification Data'!$H:$H,MATCH($B220,'Clean Gamification Data'!$A:$A,0)),"Not Found")</f>
        <v>71.207294640000001</v>
      </c>
      <c r="Z220" s="28">
        <f>IFERROR(INDEX('Clean Gamification Data'!$I:$I,MATCH($B220,'Clean Gamification Data'!$A:$A,0)),"Not Found")</f>
        <v>50.103714689999997</v>
      </c>
      <c r="AA220" s="28">
        <f>Table1[[#This Row],[Engagement (Gamification %)]]-Table1[[#This Row],[Engagement (Non-Gamification %)]]</f>
        <v>23.432722760000004</v>
      </c>
      <c r="AB220" s="28">
        <f>Table1[[#This Row],[Motivation (Gamification %)]]-Table1[[#This Row],[Motivation (Non-Gamification %)]]</f>
        <v>5.876028000000133E-2</v>
      </c>
      <c r="AC220" s="28">
        <f>Table1[[#This Row],[Participation (Gamification %)]]-Table1[[#This Row],[Participation (Non-Gamification %)]]</f>
        <v>15.079197149999999</v>
      </c>
      <c r="AD220" s="28">
        <f>Table1[[#This Row],[Learning Outcomes (Gamification %)]]-Table1[[#This Row],[Learning Outcomes (Non-Gamification %)]]</f>
        <v>21.103579950000004</v>
      </c>
      <c r="AE220" s="44" t="str">
        <f>IF(Table1[[#This Row],[Overall Effectiveness]]&lt;3.9,"Low",IF(Table1[[#This Row],[Overall Effectiveness]]&lt;4.2,"Medium","High"))</f>
        <v>High</v>
      </c>
      <c r="AF220" s="30" t="str">
        <f t="shared" si="22"/>
        <v>Lectures</v>
      </c>
      <c r="AG220" s="30" t="str">
        <f t="shared" si="23"/>
        <v>Lectures</v>
      </c>
      <c r="AH220" s="27">
        <f>COUNTIF(Teacher_Master!$D$2:$D$16,AF220)</f>
        <v>3</v>
      </c>
      <c r="AI220" s="30" t="str">
        <f>INDEX(Teacher_Master!$B$2:$B$16,MATCH(AF220,Teacher_Master!$D$2:$D$16,0))</f>
        <v>Prof. Vikram Gupta</v>
      </c>
    </row>
    <row r="221" spans="1:35" ht="14.25" customHeight="1" x14ac:dyDescent="0.3">
      <c r="A221" s="31" t="s">
        <v>460</v>
      </c>
      <c r="B221" s="31" t="s">
        <v>2237</v>
      </c>
      <c r="C221" s="31" t="s">
        <v>2881</v>
      </c>
      <c r="D221" s="12">
        <f t="shared" ca="1" si="18"/>
        <v>28</v>
      </c>
      <c r="E221" s="12" t="str">
        <f ca="1">IF(Table1[[#This Row],[Age]]&lt;=22,"20-22",IF(Table1[[#This Row],[Age]]&lt;=25,"23-25",IF(Table1[[#This Row],[Age]]&lt;=28,"26-28","29-30")))</f>
        <v>26-28</v>
      </c>
      <c r="F221" s="12" t="s">
        <v>211</v>
      </c>
      <c r="G221" s="12">
        <v>3.85</v>
      </c>
      <c r="H221" s="12">
        <v>3.57</v>
      </c>
      <c r="I221" s="12">
        <v>4.55</v>
      </c>
      <c r="J221" s="12">
        <v>4.21</v>
      </c>
      <c r="K221" s="12">
        <v>4.33</v>
      </c>
      <c r="L221" s="12">
        <v>3.88</v>
      </c>
      <c r="M221" s="12">
        <v>4.5199999999999996</v>
      </c>
      <c r="N221" s="12">
        <v>4.0999999999999996</v>
      </c>
      <c r="O221" s="12">
        <v>4.51</v>
      </c>
      <c r="P221" s="12">
        <f t="shared" si="19"/>
        <v>4.0449999999999999</v>
      </c>
      <c r="Q221" s="12">
        <f t="shared" si="20"/>
        <v>4.05</v>
      </c>
      <c r="R221" s="12">
        <f t="shared" si="21"/>
        <v>4.2679999999999989</v>
      </c>
      <c r="S221" s="28">
        <f>IFERROR(INDEX('Clean Gamification Data'!$B:$B,MATCH($B221,'Clean Gamification Data'!$A:$A,0)),"Not Found")</f>
        <v>87.025054150000003</v>
      </c>
      <c r="T221" s="28">
        <f>IFERROR(INDEX('Clean Gamification Data'!$C:$C,MATCH($B221,'Clean Gamification Data'!$A:$A,0)),"Not Found")</f>
        <v>60</v>
      </c>
      <c r="U221" s="28">
        <f>IFERROR(INDEX('Clean Gamification Data'!$D:$D,MATCH($B221,'Clean Gamification Data'!$A:$A,0)),"Not Found")</f>
        <v>75.070424650000007</v>
      </c>
      <c r="V221" s="28">
        <f>IFERROR(INDEX('Clean Gamification Data'!$E:$E,MATCH($B221,'Clean Gamification Data'!$A:$A,0)),"Not Found")</f>
        <v>55.85854338</v>
      </c>
      <c r="W221" s="28">
        <f>IFERROR(INDEX('Clean Gamification Data'!$F:$F,MATCH($B221,'Clean Gamification Data'!$A:$A,0)),"Not Found")</f>
        <v>96.337171409999996</v>
      </c>
      <c r="X221" s="28">
        <f>IFERROR(INDEX('Clean Gamification Data'!$G:$G,MATCH($B221,'Clean Gamification Data'!$A:$A,0)),"Not Found")</f>
        <v>85</v>
      </c>
      <c r="Y221" s="28">
        <f>IFERROR(INDEX('Clean Gamification Data'!$H:$H,MATCH($B221,'Clean Gamification Data'!$A:$A,0)),"Not Found")</f>
        <v>67.44768723</v>
      </c>
      <c r="Z221" s="28">
        <f>IFERROR(INDEX('Clean Gamification Data'!$I:$I,MATCH($B221,'Clean Gamification Data'!$A:$A,0)),"Not Found")</f>
        <v>50</v>
      </c>
      <c r="AA221" s="28">
        <f>Table1[[#This Row],[Engagement (Gamification %)]]-Table1[[#This Row],[Engagement (Non-Gamification %)]]</f>
        <v>27.025054150000003</v>
      </c>
      <c r="AB221" s="28">
        <f>Table1[[#This Row],[Motivation (Gamification %)]]-Table1[[#This Row],[Motivation (Non-Gamification %)]]</f>
        <v>19.211881270000006</v>
      </c>
      <c r="AC221" s="28">
        <f>Table1[[#This Row],[Participation (Gamification %)]]-Table1[[#This Row],[Participation (Non-Gamification %)]]</f>
        <v>11.337171409999996</v>
      </c>
      <c r="AD221" s="28">
        <f>Table1[[#This Row],[Learning Outcomes (Gamification %)]]-Table1[[#This Row],[Learning Outcomes (Non-Gamification %)]]</f>
        <v>17.44768723</v>
      </c>
      <c r="AE221" s="44" t="str">
        <f>IF(Table1[[#This Row],[Overall Effectiveness]]&lt;3.9,"Low",IF(Table1[[#This Row],[Overall Effectiveness]]&lt;4.2,"Medium","High"))</f>
        <v>Medium</v>
      </c>
      <c r="AF221" s="30" t="str">
        <f t="shared" si="22"/>
        <v>Experiments</v>
      </c>
      <c r="AG221" s="30" t="str">
        <f t="shared" si="23"/>
        <v>Group Projects</v>
      </c>
      <c r="AH221" s="27">
        <f>COUNTIF(Teacher_Master!$D$2:$D$16,AF221)</f>
        <v>3</v>
      </c>
      <c r="AI221" s="30" t="str">
        <f>INDEX(Teacher_Master!$B$2:$B$16,MATCH(AF221,Teacher_Master!$D$2:$D$16,0))</f>
        <v>Prof. Rahul Singh</v>
      </c>
    </row>
    <row r="222" spans="1:35" ht="14.25" customHeight="1" x14ac:dyDescent="0.3">
      <c r="A222" s="31" t="s">
        <v>462</v>
      </c>
      <c r="B222" s="31" t="s">
        <v>463</v>
      </c>
      <c r="C222" s="31" t="s">
        <v>2882</v>
      </c>
      <c r="D222" s="12">
        <f t="shared" ca="1" si="18"/>
        <v>26</v>
      </c>
      <c r="E222" s="12" t="str">
        <f ca="1">IF(Table1[[#This Row],[Age]]&lt;=22,"20-22",IF(Table1[[#This Row],[Age]]&lt;=25,"23-25",IF(Table1[[#This Row],[Age]]&lt;=28,"26-28","29-30")))</f>
        <v>26-28</v>
      </c>
      <c r="F222" s="12">
        <v>4.08</v>
      </c>
      <c r="G222" s="12">
        <v>4.18</v>
      </c>
      <c r="H222" s="12">
        <v>3.73</v>
      </c>
      <c r="I222" s="12">
        <v>3.83</v>
      </c>
      <c r="J222" s="12">
        <v>4.01</v>
      </c>
      <c r="K222" s="12">
        <v>4.0599999999999996</v>
      </c>
      <c r="L222" s="12">
        <v>3.96</v>
      </c>
      <c r="M222" s="12">
        <v>4.18</v>
      </c>
      <c r="N222" s="12">
        <v>4.3600000000000003</v>
      </c>
      <c r="O222" s="12">
        <v>3.67</v>
      </c>
      <c r="P222" s="12">
        <f t="shared" si="19"/>
        <v>3.9659999999999997</v>
      </c>
      <c r="Q222" s="12">
        <f t="shared" si="20"/>
        <v>3.97</v>
      </c>
      <c r="R222" s="12">
        <f t="shared" si="21"/>
        <v>4.0459999999999994</v>
      </c>
      <c r="S222" s="28">
        <f>IFERROR(INDEX('Clean Gamification Data'!$B:$B,MATCH($B222,'Clean Gamification Data'!$A:$A,0)),"Not Found")</f>
        <v>84.419188120000001</v>
      </c>
      <c r="T222" s="28">
        <f>IFERROR(INDEX('Clean Gamification Data'!$C:$C,MATCH($B222,'Clean Gamification Data'!$A:$A,0)),"Not Found")</f>
        <v>60</v>
      </c>
      <c r="U222" s="28">
        <f>IFERROR(INDEX('Clean Gamification Data'!$D:$D,MATCH($B222,'Clean Gamification Data'!$A:$A,0)),"Not Found")</f>
        <v>70</v>
      </c>
      <c r="V222" s="28">
        <f>IFERROR(INDEX('Clean Gamification Data'!$E:$E,MATCH($B222,'Clean Gamification Data'!$A:$A,0)),"Not Found")</f>
        <v>65.484841180000004</v>
      </c>
      <c r="W222" s="28">
        <f>IFERROR(INDEX('Clean Gamification Data'!$F:$F,MATCH($B222,'Clean Gamification Data'!$A:$A,0)),"Not Found")</f>
        <v>89.789359250000004</v>
      </c>
      <c r="X222" s="28">
        <f>IFERROR(INDEX('Clean Gamification Data'!$G:$G,MATCH($B222,'Clean Gamification Data'!$A:$A,0)),"Not Found")</f>
        <v>85</v>
      </c>
      <c r="Y222" s="28">
        <f>IFERROR(INDEX('Clean Gamification Data'!$H:$H,MATCH($B222,'Clean Gamification Data'!$A:$A,0)),"Not Found")</f>
        <v>71.643594609999994</v>
      </c>
      <c r="Z222" s="28">
        <f>IFERROR(INDEX('Clean Gamification Data'!$I:$I,MATCH($B222,'Clean Gamification Data'!$A:$A,0)),"Not Found")</f>
        <v>60.142575780000001</v>
      </c>
      <c r="AA222" s="28">
        <f>Table1[[#This Row],[Engagement (Gamification %)]]-Table1[[#This Row],[Engagement (Non-Gamification %)]]</f>
        <v>24.419188120000001</v>
      </c>
      <c r="AB222" s="28">
        <f>Table1[[#This Row],[Motivation (Gamification %)]]-Table1[[#This Row],[Motivation (Non-Gamification %)]]</f>
        <v>4.5151588199999964</v>
      </c>
      <c r="AC222" s="28">
        <f>Table1[[#This Row],[Participation (Gamification %)]]-Table1[[#This Row],[Participation (Non-Gamification %)]]</f>
        <v>4.789359250000004</v>
      </c>
      <c r="AD222" s="28">
        <f>Table1[[#This Row],[Learning Outcomes (Gamification %)]]-Table1[[#This Row],[Learning Outcomes (Non-Gamification %)]]</f>
        <v>11.501018829999992</v>
      </c>
      <c r="AE222" s="44" t="str">
        <f>IF(Table1[[#This Row],[Overall Effectiveness]]&lt;3.9,"Low",IF(Table1[[#This Row],[Overall Effectiveness]]&lt;4.2,"Medium","High"))</f>
        <v>Medium</v>
      </c>
      <c r="AF222" s="30" t="str">
        <f t="shared" si="22"/>
        <v>Case Studies</v>
      </c>
      <c r="AG222" s="30" t="str">
        <f t="shared" si="23"/>
        <v>Experiments</v>
      </c>
      <c r="AH222" s="27">
        <f>COUNTIF(Teacher_Master!$D$2:$D$16,AF222)</f>
        <v>3</v>
      </c>
      <c r="AI222" s="30" t="str">
        <f>INDEX(Teacher_Master!$B$2:$B$16,MATCH(AF222,Teacher_Master!$D$2:$D$16,0))</f>
        <v>Prof. Rajesh Mukherjee</v>
      </c>
    </row>
    <row r="223" spans="1:35" ht="14.25" customHeight="1" x14ac:dyDescent="0.3">
      <c r="A223" s="31" t="s">
        <v>464</v>
      </c>
      <c r="B223" s="31" t="s">
        <v>2238</v>
      </c>
      <c r="C223" s="31" t="s">
        <v>2882</v>
      </c>
      <c r="D223" s="12">
        <f t="shared" ca="1" si="18"/>
        <v>21</v>
      </c>
      <c r="E223" s="12" t="str">
        <f ca="1">IF(Table1[[#This Row],[Age]]&lt;=22,"20-22",IF(Table1[[#This Row],[Age]]&lt;=25,"23-25",IF(Table1[[#This Row],[Age]]&lt;=28,"26-28","29-30")))</f>
        <v>20-22</v>
      </c>
      <c r="F223" s="12">
        <v>4.07</v>
      </c>
      <c r="G223" s="12">
        <v>4.1900000000000004</v>
      </c>
      <c r="H223" s="12">
        <v>4.0999999999999996</v>
      </c>
      <c r="I223" s="12">
        <v>3.91</v>
      </c>
      <c r="J223" s="12">
        <v>3.87</v>
      </c>
      <c r="K223" s="12">
        <v>4.25</v>
      </c>
      <c r="L223" s="12">
        <v>3.62</v>
      </c>
      <c r="M223" s="12">
        <v>4.4400000000000004</v>
      </c>
      <c r="N223" s="12">
        <v>4.37</v>
      </c>
      <c r="O223" s="12">
        <v>3.72</v>
      </c>
      <c r="P223" s="12">
        <f t="shared" si="19"/>
        <v>4.0280000000000005</v>
      </c>
      <c r="Q223" s="12">
        <f t="shared" si="20"/>
        <v>4.03</v>
      </c>
      <c r="R223" s="12">
        <f t="shared" si="21"/>
        <v>4.08</v>
      </c>
      <c r="S223" s="28">
        <f>IFERROR(INDEX('Clean Gamification Data'!$B:$B,MATCH($B223,'Clean Gamification Data'!$A:$A,0)),"Not Found")</f>
        <v>89.865038479999996</v>
      </c>
      <c r="T223" s="28">
        <f>IFERROR(INDEX('Clean Gamification Data'!$C:$C,MATCH($B223,'Clean Gamification Data'!$A:$A,0)),"Not Found")</f>
        <v>60.821949850000003</v>
      </c>
      <c r="U223" s="28">
        <f>IFERROR(INDEX('Clean Gamification Data'!$D:$D,MATCH($B223,'Clean Gamification Data'!$A:$A,0)),"Not Found")</f>
        <v>70</v>
      </c>
      <c r="V223" s="28">
        <f>IFERROR(INDEX('Clean Gamification Data'!$E:$E,MATCH($B223,'Clean Gamification Data'!$A:$A,0)),"Not Found")</f>
        <v>69.779954939999996</v>
      </c>
      <c r="W223" s="28">
        <f>IFERROR(INDEX('Clean Gamification Data'!$F:$F,MATCH($B223,'Clean Gamification Data'!$A:$A,0)),"Not Found")</f>
        <v>81.504229330000001</v>
      </c>
      <c r="X223" s="28">
        <f>IFERROR(INDEX('Clean Gamification Data'!$G:$G,MATCH($B223,'Clean Gamification Data'!$A:$A,0)),"Not Found")</f>
        <v>78.490661380000006</v>
      </c>
      <c r="Y223" s="28">
        <f>IFERROR(INDEX('Clean Gamification Data'!$H:$H,MATCH($B223,'Clean Gamification Data'!$A:$A,0)),"Not Found")</f>
        <v>72.479346590000006</v>
      </c>
      <c r="Z223" s="28">
        <f>IFERROR(INDEX('Clean Gamification Data'!$I:$I,MATCH($B223,'Clean Gamification Data'!$A:$A,0)),"Not Found")</f>
        <v>64.601657369999998</v>
      </c>
      <c r="AA223" s="28">
        <f>Table1[[#This Row],[Engagement (Gamification %)]]-Table1[[#This Row],[Engagement (Non-Gamification %)]]</f>
        <v>29.043088629999993</v>
      </c>
      <c r="AB223" s="28">
        <f>Table1[[#This Row],[Motivation (Gamification %)]]-Table1[[#This Row],[Motivation (Non-Gamification %)]]</f>
        <v>0.2200450600000039</v>
      </c>
      <c r="AC223" s="28">
        <f>Table1[[#This Row],[Participation (Gamification %)]]-Table1[[#This Row],[Participation (Non-Gamification %)]]</f>
        <v>3.0135679499999952</v>
      </c>
      <c r="AD223" s="28">
        <f>Table1[[#This Row],[Learning Outcomes (Gamification %)]]-Table1[[#This Row],[Learning Outcomes (Non-Gamification %)]]</f>
        <v>7.8776892200000077</v>
      </c>
      <c r="AE223" s="44" t="str">
        <f>IF(Table1[[#This Row],[Overall Effectiveness]]&lt;3.9,"Low",IF(Table1[[#This Row],[Overall Effectiveness]]&lt;4.2,"Medium","High"))</f>
        <v>Medium</v>
      </c>
      <c r="AF223" s="30" t="str">
        <f t="shared" si="22"/>
        <v>Case Studies</v>
      </c>
      <c r="AG223" s="30" t="str">
        <f t="shared" si="23"/>
        <v>Group Projects</v>
      </c>
      <c r="AH223" s="27">
        <f>COUNTIF(Teacher_Master!$D$2:$D$16,AF223)</f>
        <v>3</v>
      </c>
      <c r="AI223" s="30" t="str">
        <f>INDEX(Teacher_Master!$B$2:$B$16,MATCH(AF223,Teacher_Master!$D$2:$D$16,0))</f>
        <v>Prof. Rajesh Mukherjee</v>
      </c>
    </row>
    <row r="224" spans="1:35" ht="14.25" customHeight="1" x14ac:dyDescent="0.3">
      <c r="A224" s="31" t="s">
        <v>466</v>
      </c>
      <c r="B224" s="31" t="s">
        <v>467</v>
      </c>
      <c r="C224" s="31" t="s">
        <v>2881</v>
      </c>
      <c r="D224" s="12">
        <f t="shared" ca="1" si="18"/>
        <v>23</v>
      </c>
      <c r="E224" s="12" t="str">
        <f ca="1">IF(Table1[[#This Row],[Age]]&lt;=22,"20-22",IF(Table1[[#This Row],[Age]]&lt;=25,"23-25",IF(Table1[[#This Row],[Age]]&lt;=28,"26-28","29-30")))</f>
        <v>23-25</v>
      </c>
      <c r="F224" s="12">
        <v>4.01</v>
      </c>
      <c r="G224" s="12">
        <v>4.04</v>
      </c>
      <c r="H224" s="12">
        <v>3.85</v>
      </c>
      <c r="I224" s="12">
        <v>3.77</v>
      </c>
      <c r="J224" s="12">
        <v>3.97</v>
      </c>
      <c r="K224" s="12">
        <v>3.61</v>
      </c>
      <c r="L224" s="12">
        <v>4.24</v>
      </c>
      <c r="M224" s="12">
        <v>4.32</v>
      </c>
      <c r="N224" s="12">
        <v>3.8</v>
      </c>
      <c r="O224" s="12">
        <v>3.47</v>
      </c>
      <c r="P224" s="12">
        <f t="shared" si="19"/>
        <v>3.9279999999999999</v>
      </c>
      <c r="Q224" s="12">
        <f t="shared" si="20"/>
        <v>3.93</v>
      </c>
      <c r="R224" s="12">
        <f t="shared" si="21"/>
        <v>3.8879999999999995</v>
      </c>
      <c r="S224" s="28">
        <f>IFERROR(INDEX('Clean Gamification Data'!$B:$B,MATCH($B224,'Clean Gamification Data'!$A:$A,0)),"Not Found")</f>
        <v>82.168582529999995</v>
      </c>
      <c r="T224" s="28">
        <f>IFERROR(INDEX('Clean Gamification Data'!$C:$C,MATCH($B224,'Clean Gamification Data'!$A:$A,0)),"Not Found")</f>
        <v>67.205210280000003</v>
      </c>
      <c r="U224" s="28">
        <f>IFERROR(INDEX('Clean Gamification Data'!$D:$D,MATCH($B224,'Clean Gamification Data'!$A:$A,0)),"Not Found")</f>
        <v>78.809719290000004</v>
      </c>
      <c r="V224" s="28">
        <f>IFERROR(INDEX('Clean Gamification Data'!$E:$E,MATCH($B224,'Clean Gamification Data'!$A:$A,0)),"Not Found")</f>
        <v>62.367041729999997</v>
      </c>
      <c r="W224" s="28">
        <f>IFERROR(INDEX('Clean Gamification Data'!$F:$F,MATCH($B224,'Clean Gamification Data'!$A:$A,0)),"Not Found")</f>
        <v>90.796812090000003</v>
      </c>
      <c r="X224" s="28">
        <f>IFERROR(INDEX('Clean Gamification Data'!$G:$G,MATCH($B224,'Clean Gamification Data'!$A:$A,0)),"Not Found")</f>
        <v>74.000027880000005</v>
      </c>
      <c r="Y224" s="28">
        <f>IFERROR(INDEX('Clean Gamification Data'!$H:$H,MATCH($B224,'Clean Gamification Data'!$A:$A,0)),"Not Found")</f>
        <v>71.094154860000003</v>
      </c>
      <c r="Z224" s="28">
        <f>IFERROR(INDEX('Clean Gamification Data'!$I:$I,MATCH($B224,'Clean Gamification Data'!$A:$A,0)),"Not Found")</f>
        <v>67.667721560000004</v>
      </c>
      <c r="AA224" s="28">
        <f>Table1[[#This Row],[Engagement (Gamification %)]]-Table1[[#This Row],[Engagement (Non-Gamification %)]]</f>
        <v>14.963372249999992</v>
      </c>
      <c r="AB224" s="28">
        <f>Table1[[#This Row],[Motivation (Gamification %)]]-Table1[[#This Row],[Motivation (Non-Gamification %)]]</f>
        <v>16.442677560000007</v>
      </c>
      <c r="AC224" s="28">
        <f>Table1[[#This Row],[Participation (Gamification %)]]-Table1[[#This Row],[Participation (Non-Gamification %)]]</f>
        <v>16.796784209999998</v>
      </c>
      <c r="AD224" s="28">
        <f>Table1[[#This Row],[Learning Outcomes (Gamification %)]]-Table1[[#This Row],[Learning Outcomes (Non-Gamification %)]]</f>
        <v>3.4264332999999993</v>
      </c>
      <c r="AE224" s="44" t="str">
        <f>IF(Table1[[#This Row],[Overall Effectiveness]]&lt;3.9,"Low",IF(Table1[[#This Row],[Overall Effectiveness]]&lt;4.2,"Medium","High"))</f>
        <v>Medium</v>
      </c>
      <c r="AF224" s="30" t="str">
        <f t="shared" si="22"/>
        <v>Case Studies</v>
      </c>
      <c r="AG224" s="30" t="str">
        <f t="shared" si="23"/>
        <v>Group Projects</v>
      </c>
      <c r="AH224" s="27">
        <f>COUNTIF(Teacher_Master!$D$2:$D$16,AF224)</f>
        <v>3</v>
      </c>
      <c r="AI224" s="30" t="str">
        <f>INDEX(Teacher_Master!$B$2:$B$16,MATCH(AF224,Teacher_Master!$D$2:$D$16,0))</f>
        <v>Prof. Rajesh Mukherjee</v>
      </c>
    </row>
    <row r="225" spans="1:35" ht="14.25" customHeight="1" x14ac:dyDescent="0.3">
      <c r="A225" s="31" t="s">
        <v>468</v>
      </c>
      <c r="B225" s="31" t="s">
        <v>2239</v>
      </c>
      <c r="C225" s="31" t="s">
        <v>2881</v>
      </c>
      <c r="D225" s="12">
        <f t="shared" ca="1" si="18"/>
        <v>24</v>
      </c>
      <c r="E225" s="12" t="str">
        <f ca="1">IF(Table1[[#This Row],[Age]]&lt;=22,"20-22",IF(Table1[[#This Row],[Age]]&lt;=25,"23-25",IF(Table1[[#This Row],[Age]]&lt;=28,"26-28","29-30")))</f>
        <v>23-25</v>
      </c>
      <c r="F225" s="12">
        <v>4.1500000000000004</v>
      </c>
      <c r="G225" s="12">
        <v>4.18</v>
      </c>
      <c r="H225" s="12">
        <v>4.01</v>
      </c>
      <c r="I225" s="12">
        <v>3.75</v>
      </c>
      <c r="J225" s="12" t="s">
        <v>211</v>
      </c>
      <c r="K225" s="12">
        <v>4.29</v>
      </c>
      <c r="L225" s="12">
        <v>4.0599999999999996</v>
      </c>
      <c r="M225" s="12">
        <v>4.51</v>
      </c>
      <c r="N225" s="12">
        <v>4.05</v>
      </c>
      <c r="O225" s="12">
        <v>4.4800000000000004</v>
      </c>
      <c r="P225" s="12">
        <f t="shared" si="19"/>
        <v>4.0225</v>
      </c>
      <c r="Q225" s="12">
        <f t="shared" si="20"/>
        <v>4.0199999999999996</v>
      </c>
      <c r="R225" s="12">
        <f t="shared" si="21"/>
        <v>4.2780000000000005</v>
      </c>
      <c r="S225" s="28">
        <f>IFERROR(INDEX('Clean Gamification Data'!$B:$B,MATCH($B225,'Clean Gamification Data'!$A:$A,0)),"Not Found")</f>
        <v>84.67655542</v>
      </c>
      <c r="T225" s="28">
        <f>IFERROR(INDEX('Clean Gamification Data'!$C:$C,MATCH($B225,'Clean Gamification Data'!$A:$A,0)),"Not Found")</f>
        <v>68.131714239999994</v>
      </c>
      <c r="U225" s="28">
        <f>IFERROR(INDEX('Clean Gamification Data'!$D:$D,MATCH($B225,'Clean Gamification Data'!$A:$A,0)),"Not Found")</f>
        <v>82.740466679999997</v>
      </c>
      <c r="V225" s="28">
        <f>IFERROR(INDEX('Clean Gamification Data'!$E:$E,MATCH($B225,'Clean Gamification Data'!$A:$A,0)),"Not Found")</f>
        <v>72.009457670000003</v>
      </c>
      <c r="W225" s="28">
        <f>IFERROR(INDEX('Clean Gamification Data'!$F:$F,MATCH($B225,'Clean Gamification Data'!$A:$A,0)),"Not Found")</f>
        <v>87.815135560000002</v>
      </c>
      <c r="X225" s="28">
        <f>IFERROR(INDEX('Clean Gamification Data'!$G:$G,MATCH($B225,'Clean Gamification Data'!$A:$A,0)),"Not Found")</f>
        <v>66.800371040000002</v>
      </c>
      <c r="Y225" s="28">
        <f>IFERROR(INDEX('Clean Gamification Data'!$H:$H,MATCH($B225,'Clean Gamification Data'!$A:$A,0)),"Not Found")</f>
        <v>70.457384930000003</v>
      </c>
      <c r="Z225" s="28">
        <f>IFERROR(INDEX('Clean Gamification Data'!$I:$I,MATCH($B225,'Clean Gamification Data'!$A:$A,0)),"Not Found")</f>
        <v>60.99453089</v>
      </c>
      <c r="AA225" s="28">
        <f>Table1[[#This Row],[Engagement (Gamification %)]]-Table1[[#This Row],[Engagement (Non-Gamification %)]]</f>
        <v>16.544841180000006</v>
      </c>
      <c r="AB225" s="28">
        <f>Table1[[#This Row],[Motivation (Gamification %)]]-Table1[[#This Row],[Motivation (Non-Gamification %)]]</f>
        <v>10.731009009999994</v>
      </c>
      <c r="AC225" s="28">
        <f>Table1[[#This Row],[Participation (Gamification %)]]-Table1[[#This Row],[Participation (Non-Gamification %)]]</f>
        <v>21.01476452</v>
      </c>
      <c r="AD225" s="28">
        <f>Table1[[#This Row],[Learning Outcomes (Gamification %)]]-Table1[[#This Row],[Learning Outcomes (Non-Gamification %)]]</f>
        <v>9.4628540400000034</v>
      </c>
      <c r="AE225" s="44" t="str">
        <f>IF(Table1[[#This Row],[Overall Effectiveness]]&lt;3.9,"Low",IF(Table1[[#This Row],[Overall Effectiveness]]&lt;4.2,"Medium","High"))</f>
        <v>Medium</v>
      </c>
      <c r="AF225" s="30" t="str">
        <f t="shared" si="22"/>
        <v>Case Studies</v>
      </c>
      <c r="AG225" s="30" t="str">
        <f t="shared" si="23"/>
        <v>Group Projects</v>
      </c>
      <c r="AH225" s="27">
        <f>COUNTIF(Teacher_Master!$D$2:$D$16,AF225)</f>
        <v>3</v>
      </c>
      <c r="AI225" s="30" t="str">
        <f>INDEX(Teacher_Master!$B$2:$B$16,MATCH(AF225,Teacher_Master!$D$2:$D$16,0))</f>
        <v>Prof. Rajesh Mukherjee</v>
      </c>
    </row>
    <row r="226" spans="1:35" ht="14.25" customHeight="1" x14ac:dyDescent="0.3">
      <c r="A226" s="31" t="s">
        <v>470</v>
      </c>
      <c r="B226" s="31" t="s">
        <v>471</v>
      </c>
      <c r="C226" s="31" t="s">
        <v>2881</v>
      </c>
      <c r="D226" s="12">
        <f t="shared" ca="1" si="18"/>
        <v>27</v>
      </c>
      <c r="E226" s="12" t="str">
        <f ca="1">IF(Table1[[#This Row],[Age]]&lt;=22,"20-22",IF(Table1[[#This Row],[Age]]&lt;=25,"23-25",IF(Table1[[#This Row],[Age]]&lt;=28,"26-28","29-30")))</f>
        <v>26-28</v>
      </c>
      <c r="F226" s="12">
        <v>4.1399999999999997</v>
      </c>
      <c r="G226" s="12" t="s">
        <v>211</v>
      </c>
      <c r="H226" s="12">
        <v>4.32</v>
      </c>
      <c r="I226" s="12">
        <v>3.67</v>
      </c>
      <c r="J226" s="12">
        <v>3.93</v>
      </c>
      <c r="K226" s="12">
        <v>4.42</v>
      </c>
      <c r="L226" s="12">
        <v>3.52</v>
      </c>
      <c r="M226" s="12">
        <v>4.0199999999999996</v>
      </c>
      <c r="N226" s="12">
        <v>4.0199999999999996</v>
      </c>
      <c r="O226" s="12">
        <v>4.1500000000000004</v>
      </c>
      <c r="P226" s="12">
        <f t="shared" si="19"/>
        <v>4.0150000000000006</v>
      </c>
      <c r="Q226" s="12">
        <f t="shared" si="20"/>
        <v>4.0199999999999996</v>
      </c>
      <c r="R226" s="12">
        <f t="shared" si="21"/>
        <v>4.0259999999999998</v>
      </c>
      <c r="S226" s="28">
        <f>IFERROR(INDEX('Clean Gamification Data'!$B:$B,MATCH($B226,'Clean Gamification Data'!$A:$A,0)),"Not Found")</f>
        <v>82.840585110000006</v>
      </c>
      <c r="T226" s="28">
        <f>IFERROR(INDEX('Clean Gamification Data'!$C:$C,MATCH($B226,'Clean Gamification Data'!$A:$A,0)),"Not Found")</f>
        <v>69.048073919999993</v>
      </c>
      <c r="U226" s="28">
        <f>IFERROR(INDEX('Clean Gamification Data'!$D:$D,MATCH($B226,'Clean Gamification Data'!$A:$A,0)),"Not Found")</f>
        <v>80.88701141</v>
      </c>
      <c r="V226" s="28">
        <f>IFERROR(INDEX('Clean Gamification Data'!$E:$E,MATCH($B226,'Clean Gamification Data'!$A:$A,0)),"Not Found")</f>
        <v>68.511928459999993</v>
      </c>
      <c r="W226" s="28">
        <f>IFERROR(INDEX('Clean Gamification Data'!$F:$F,MATCH($B226,'Clean Gamification Data'!$A:$A,0)),"Not Found")</f>
        <v>86.505445100000003</v>
      </c>
      <c r="X226" s="28">
        <f>IFERROR(INDEX('Clean Gamification Data'!$G:$G,MATCH($B226,'Clean Gamification Data'!$A:$A,0)),"Not Found")</f>
        <v>78.591462460000002</v>
      </c>
      <c r="Y226" s="28">
        <f>IFERROR(INDEX('Clean Gamification Data'!$H:$H,MATCH($B226,'Clean Gamification Data'!$A:$A,0)),"Not Found")</f>
        <v>65.946060599999996</v>
      </c>
      <c r="Z226" s="28">
        <f>IFERROR(INDEX('Clean Gamification Data'!$I:$I,MATCH($B226,'Clean Gamification Data'!$A:$A,0)),"Not Found")</f>
        <v>60.146838410000001</v>
      </c>
      <c r="AA226" s="28">
        <f>Table1[[#This Row],[Engagement (Gamification %)]]-Table1[[#This Row],[Engagement (Non-Gamification %)]]</f>
        <v>13.792511190000013</v>
      </c>
      <c r="AB226" s="28">
        <f>Table1[[#This Row],[Motivation (Gamification %)]]-Table1[[#This Row],[Motivation (Non-Gamification %)]]</f>
        <v>12.375082950000007</v>
      </c>
      <c r="AC226" s="28">
        <f>Table1[[#This Row],[Participation (Gamification %)]]-Table1[[#This Row],[Participation (Non-Gamification %)]]</f>
        <v>7.9139826400000004</v>
      </c>
      <c r="AD226" s="28">
        <f>Table1[[#This Row],[Learning Outcomes (Gamification %)]]-Table1[[#This Row],[Learning Outcomes (Non-Gamification %)]]</f>
        <v>5.7992221899999947</v>
      </c>
      <c r="AE226" s="44" t="str">
        <f>IF(Table1[[#This Row],[Overall Effectiveness]]&lt;3.9,"Low",IF(Table1[[#This Row],[Overall Effectiveness]]&lt;4.2,"Medium","High"))</f>
        <v>Medium</v>
      </c>
      <c r="AF226" s="30" t="str">
        <f t="shared" si="22"/>
        <v>Group Projects</v>
      </c>
      <c r="AG226" s="30" t="str">
        <f t="shared" si="23"/>
        <v>Lectures</v>
      </c>
      <c r="AH226" s="27">
        <f>COUNTIF(Teacher_Master!$D$2:$D$16,AF226)</f>
        <v>3</v>
      </c>
      <c r="AI226" s="30" t="str">
        <f>INDEX(Teacher_Master!$B$2:$B$16,MATCH(AF226,Teacher_Master!$D$2:$D$16,0))</f>
        <v>Dr. Rohan Dutta</v>
      </c>
    </row>
    <row r="227" spans="1:35" ht="14.25" customHeight="1" x14ac:dyDescent="0.3">
      <c r="A227" s="31" t="s">
        <v>472</v>
      </c>
      <c r="B227" s="31" t="s">
        <v>2240</v>
      </c>
      <c r="C227" s="31" t="s">
        <v>2881</v>
      </c>
      <c r="D227" s="12">
        <f t="shared" ca="1" si="18"/>
        <v>28</v>
      </c>
      <c r="E227" s="12" t="str">
        <f ca="1">IF(Table1[[#This Row],[Age]]&lt;=22,"20-22",IF(Table1[[#This Row],[Age]]&lt;=25,"23-25",IF(Table1[[#This Row],[Age]]&lt;=28,"26-28","29-30")))</f>
        <v>26-28</v>
      </c>
      <c r="F227" s="12">
        <v>3.87</v>
      </c>
      <c r="G227" s="12">
        <v>4.21</v>
      </c>
      <c r="H227" s="12">
        <v>3.97</v>
      </c>
      <c r="I227" s="12">
        <v>3.96</v>
      </c>
      <c r="J227" s="12">
        <v>4.09</v>
      </c>
      <c r="K227" s="12">
        <v>4.0199999999999996</v>
      </c>
      <c r="L227" s="12">
        <v>3.87</v>
      </c>
      <c r="M227" s="12">
        <v>4.26</v>
      </c>
      <c r="N227" s="12">
        <v>3.59</v>
      </c>
      <c r="O227" s="12">
        <v>4.45</v>
      </c>
      <c r="P227" s="12">
        <f t="shared" si="19"/>
        <v>4.0200000000000005</v>
      </c>
      <c r="Q227" s="12">
        <f t="shared" si="20"/>
        <v>4.0199999999999996</v>
      </c>
      <c r="R227" s="12">
        <f t="shared" si="21"/>
        <v>4.0379999999999994</v>
      </c>
      <c r="S227" s="28">
        <f>IFERROR(INDEX('Clean Gamification Data'!$B:$B,MATCH($B227,'Clean Gamification Data'!$A:$A,0)),"Not Found")</f>
        <v>82.288291630000003</v>
      </c>
      <c r="T227" s="28">
        <f>IFERROR(INDEX('Clean Gamification Data'!$C:$C,MATCH($B227,'Clean Gamification Data'!$A:$A,0)),"Not Found")</f>
        <v>64.44685106</v>
      </c>
      <c r="U227" s="28">
        <f>IFERROR(INDEX('Clean Gamification Data'!$D:$D,MATCH($B227,'Clean Gamification Data'!$A:$A,0)),"Not Found")</f>
        <v>75.051744659999997</v>
      </c>
      <c r="V227" s="28">
        <f>IFERROR(INDEX('Clean Gamification Data'!$E:$E,MATCH($B227,'Clean Gamification Data'!$A:$A,0)),"Not Found")</f>
        <v>66.868430689999997</v>
      </c>
      <c r="W227" s="28">
        <f>IFERROR(INDEX('Clean Gamification Data'!$F:$F,MATCH($B227,'Clean Gamification Data'!$A:$A,0)),"Not Found")</f>
        <v>82.732921039999994</v>
      </c>
      <c r="X227" s="28">
        <f>IFERROR(INDEX('Clean Gamification Data'!$G:$G,MATCH($B227,'Clean Gamification Data'!$A:$A,0)),"Not Found")</f>
        <v>78.203869589999996</v>
      </c>
      <c r="Y227" s="28">
        <f>IFERROR(INDEX('Clean Gamification Data'!$H:$H,MATCH($B227,'Clean Gamification Data'!$A:$A,0)),"Not Found")</f>
        <v>70.288324759999995</v>
      </c>
      <c r="Z227" s="28">
        <f>IFERROR(INDEX('Clean Gamification Data'!$I:$I,MATCH($B227,'Clean Gamification Data'!$A:$A,0)),"Not Found")</f>
        <v>63.585956690000003</v>
      </c>
      <c r="AA227" s="28">
        <f>Table1[[#This Row],[Engagement (Gamification %)]]-Table1[[#This Row],[Engagement (Non-Gamification %)]]</f>
        <v>17.841440570000003</v>
      </c>
      <c r="AB227" s="28">
        <f>Table1[[#This Row],[Motivation (Gamification %)]]-Table1[[#This Row],[Motivation (Non-Gamification %)]]</f>
        <v>8.1833139700000004</v>
      </c>
      <c r="AC227" s="28">
        <f>Table1[[#This Row],[Participation (Gamification %)]]-Table1[[#This Row],[Participation (Non-Gamification %)]]</f>
        <v>4.5290514499999972</v>
      </c>
      <c r="AD227" s="28">
        <f>Table1[[#This Row],[Learning Outcomes (Gamification %)]]-Table1[[#This Row],[Learning Outcomes (Non-Gamification %)]]</f>
        <v>6.7023680699999915</v>
      </c>
      <c r="AE227" s="44" t="str">
        <f>IF(Table1[[#This Row],[Overall Effectiveness]]&lt;3.9,"Low",IF(Table1[[#This Row],[Overall Effectiveness]]&lt;4.2,"Medium","High"))</f>
        <v>Medium</v>
      </c>
      <c r="AF227" s="30" t="str">
        <f t="shared" si="22"/>
        <v>Case Studies</v>
      </c>
      <c r="AG227" s="30" t="str">
        <f t="shared" si="23"/>
        <v>Online Tutorials</v>
      </c>
      <c r="AH227" s="27">
        <f>COUNTIF(Teacher_Master!$D$2:$D$16,AF227)</f>
        <v>3</v>
      </c>
      <c r="AI227" s="30" t="str">
        <f>INDEX(Teacher_Master!$B$2:$B$16,MATCH(AF227,Teacher_Master!$D$2:$D$16,0))</f>
        <v>Prof. Rajesh Mukherjee</v>
      </c>
    </row>
    <row r="228" spans="1:35" ht="14.25" customHeight="1" x14ac:dyDescent="0.3">
      <c r="A228" s="31" t="s">
        <v>474</v>
      </c>
      <c r="B228" s="31" t="s">
        <v>2241</v>
      </c>
      <c r="C228" s="31" t="s">
        <v>2882</v>
      </c>
      <c r="D228" s="12">
        <f t="shared" ca="1" si="18"/>
        <v>27</v>
      </c>
      <c r="E228" s="12" t="str">
        <f ca="1">IF(Table1[[#This Row],[Age]]&lt;=22,"20-22",IF(Table1[[#This Row],[Age]]&lt;=25,"23-25",IF(Table1[[#This Row],[Age]]&lt;=28,"26-28","29-30")))</f>
        <v>26-28</v>
      </c>
      <c r="F228" s="12">
        <v>3.86</v>
      </c>
      <c r="G228" s="12">
        <v>3.99</v>
      </c>
      <c r="H228" s="12">
        <v>3.12</v>
      </c>
      <c r="I228" s="12">
        <v>4.22</v>
      </c>
      <c r="J228" s="12">
        <v>4.43</v>
      </c>
      <c r="K228" s="12">
        <v>4.24</v>
      </c>
      <c r="L228" s="12">
        <v>4.2699999999999996</v>
      </c>
      <c r="M228" s="12">
        <v>4.07</v>
      </c>
      <c r="N228" s="12">
        <v>4.74</v>
      </c>
      <c r="O228" s="12">
        <v>3.69</v>
      </c>
      <c r="P228" s="12">
        <f t="shared" si="19"/>
        <v>3.9239999999999995</v>
      </c>
      <c r="Q228" s="12">
        <f t="shared" si="20"/>
        <v>3.92</v>
      </c>
      <c r="R228" s="12">
        <f t="shared" si="21"/>
        <v>4.202</v>
      </c>
      <c r="S228" s="28">
        <f>IFERROR(INDEX('Clean Gamification Data'!$B:$B,MATCH($B228,'Clean Gamification Data'!$A:$A,0)),"Not Found")</f>
        <v>85.343022980000001</v>
      </c>
      <c r="T228" s="28">
        <f>IFERROR(INDEX('Clean Gamification Data'!$C:$C,MATCH($B228,'Clean Gamification Data'!$A:$A,0)),"Not Found")</f>
        <v>61.33786362</v>
      </c>
      <c r="U228" s="28">
        <f>IFERROR(INDEX('Clean Gamification Data'!$D:$D,MATCH($B228,'Clean Gamification Data'!$A:$A,0)),"Not Found")</f>
        <v>80.234636109999997</v>
      </c>
      <c r="V228" s="28">
        <f>IFERROR(INDEX('Clean Gamification Data'!$E:$E,MATCH($B228,'Clean Gamification Data'!$A:$A,0)),"Not Found")</f>
        <v>66.483022770000005</v>
      </c>
      <c r="W228" s="28">
        <f>IFERROR(INDEX('Clean Gamification Data'!$F:$F,MATCH($B228,'Clean Gamification Data'!$A:$A,0)),"Not Found")</f>
        <v>82.872128919999994</v>
      </c>
      <c r="X228" s="28">
        <f>IFERROR(INDEX('Clean Gamification Data'!$G:$G,MATCH($B228,'Clean Gamification Data'!$A:$A,0)),"Not Found")</f>
        <v>82.218704169999995</v>
      </c>
      <c r="Y228" s="28">
        <f>IFERROR(INDEX('Clean Gamification Data'!$H:$H,MATCH($B228,'Clean Gamification Data'!$A:$A,0)),"Not Found")</f>
        <v>69.07511581</v>
      </c>
      <c r="Z228" s="28">
        <f>IFERROR(INDEX('Clean Gamification Data'!$I:$I,MATCH($B228,'Clean Gamification Data'!$A:$A,0)),"Not Found")</f>
        <v>50</v>
      </c>
      <c r="AA228" s="28">
        <f>Table1[[#This Row],[Engagement (Gamification %)]]-Table1[[#This Row],[Engagement (Non-Gamification %)]]</f>
        <v>24.00515936</v>
      </c>
      <c r="AB228" s="28">
        <f>Table1[[#This Row],[Motivation (Gamification %)]]-Table1[[#This Row],[Motivation (Non-Gamification %)]]</f>
        <v>13.751613339999992</v>
      </c>
      <c r="AC228" s="28">
        <f>Table1[[#This Row],[Participation (Gamification %)]]-Table1[[#This Row],[Participation (Non-Gamification %)]]</f>
        <v>0.65342474999999922</v>
      </c>
      <c r="AD228" s="28">
        <f>Table1[[#This Row],[Learning Outcomes (Gamification %)]]-Table1[[#This Row],[Learning Outcomes (Non-Gamification %)]]</f>
        <v>19.07511581</v>
      </c>
      <c r="AE228" s="44" t="str">
        <f>IF(Table1[[#This Row],[Overall Effectiveness]]&lt;3.9,"Low",IF(Table1[[#This Row],[Overall Effectiveness]]&lt;4.2,"Medium","High"))</f>
        <v>Medium</v>
      </c>
      <c r="AF228" s="30" t="str">
        <f t="shared" si="22"/>
        <v>Online Tutorials</v>
      </c>
      <c r="AG228" s="30" t="str">
        <f t="shared" si="23"/>
        <v>Experiments</v>
      </c>
      <c r="AH228" s="27">
        <f>COUNTIF(Teacher_Master!$D$2:$D$16,AF228)</f>
        <v>3</v>
      </c>
      <c r="AI228" s="30" t="str">
        <f>INDEX(Teacher_Master!$B$2:$B$16,MATCH(AF228,Teacher_Master!$D$2:$D$16,0))</f>
        <v>Prof. Kavita Rao</v>
      </c>
    </row>
    <row r="229" spans="1:35" ht="14.25" customHeight="1" x14ac:dyDescent="0.3">
      <c r="A229" s="31" t="s">
        <v>476</v>
      </c>
      <c r="B229" s="31" t="s">
        <v>477</v>
      </c>
      <c r="C229" s="31" t="s">
        <v>2882</v>
      </c>
      <c r="D229" s="12">
        <f t="shared" ca="1" si="18"/>
        <v>29</v>
      </c>
      <c r="E229" s="12" t="str">
        <f ca="1">IF(Table1[[#This Row],[Age]]&lt;=22,"20-22",IF(Table1[[#This Row],[Age]]&lt;=25,"23-25",IF(Table1[[#This Row],[Age]]&lt;=28,"26-28","29-30")))</f>
        <v>29-30</v>
      </c>
      <c r="F229" s="12">
        <v>3.94</v>
      </c>
      <c r="G229" s="12">
        <v>4.54</v>
      </c>
      <c r="H229" s="12">
        <v>4.09</v>
      </c>
      <c r="I229" s="12">
        <v>3.72</v>
      </c>
      <c r="J229" s="12">
        <v>3.68</v>
      </c>
      <c r="K229" s="12">
        <v>4.3099999999999996</v>
      </c>
      <c r="L229" s="12">
        <v>3.87</v>
      </c>
      <c r="M229" s="12">
        <v>4.01</v>
      </c>
      <c r="N229" s="12">
        <v>4.16</v>
      </c>
      <c r="O229" s="12">
        <v>4.12</v>
      </c>
      <c r="P229" s="12">
        <f t="shared" si="19"/>
        <v>3.9939999999999998</v>
      </c>
      <c r="Q229" s="12">
        <f t="shared" si="20"/>
        <v>3.99</v>
      </c>
      <c r="R229" s="12">
        <f t="shared" si="21"/>
        <v>4.0940000000000003</v>
      </c>
      <c r="S229" s="28">
        <f>IFERROR(INDEX('Clean Gamification Data'!$B:$B,MATCH($B229,'Clean Gamification Data'!$A:$A,0)),"Not Found")</f>
        <v>82.397869389999997</v>
      </c>
      <c r="T229" s="28">
        <f>IFERROR(INDEX('Clean Gamification Data'!$C:$C,MATCH($B229,'Clean Gamification Data'!$A:$A,0)),"Not Found")</f>
        <v>79.383048079999995</v>
      </c>
      <c r="U229" s="28">
        <f>IFERROR(INDEX('Clean Gamification Data'!$D:$D,MATCH($B229,'Clean Gamification Data'!$A:$A,0)),"Not Found")</f>
        <v>79.590918310000006</v>
      </c>
      <c r="V229" s="28">
        <f>IFERROR(INDEX('Clean Gamification Data'!$E:$E,MATCH($B229,'Clean Gamification Data'!$A:$A,0)),"Not Found")</f>
        <v>69.859038499999997</v>
      </c>
      <c r="W229" s="28">
        <f>IFERROR(INDEX('Clean Gamification Data'!$F:$F,MATCH($B229,'Clean Gamification Data'!$A:$A,0)),"Not Found")</f>
        <v>94.059761710000004</v>
      </c>
      <c r="X229" s="28">
        <f>IFERROR(INDEX('Clean Gamification Data'!$G:$G,MATCH($B229,'Clean Gamification Data'!$A:$A,0)),"Not Found")</f>
        <v>81.224553319999998</v>
      </c>
      <c r="Y229" s="28">
        <f>IFERROR(INDEX('Clean Gamification Data'!$H:$H,MATCH($B229,'Clean Gamification Data'!$A:$A,0)),"Not Found")</f>
        <v>72.396336969999993</v>
      </c>
      <c r="Z229" s="28">
        <f>IFERROR(INDEX('Clean Gamification Data'!$I:$I,MATCH($B229,'Clean Gamification Data'!$A:$A,0)),"Not Found")</f>
        <v>58.009448710000001</v>
      </c>
      <c r="AA229" s="28">
        <f>Table1[[#This Row],[Engagement (Gamification %)]]-Table1[[#This Row],[Engagement (Non-Gamification %)]]</f>
        <v>3.0148213100000021</v>
      </c>
      <c r="AB229" s="28">
        <f>Table1[[#This Row],[Motivation (Gamification %)]]-Table1[[#This Row],[Motivation (Non-Gamification %)]]</f>
        <v>9.7318798100000095</v>
      </c>
      <c r="AC229" s="28">
        <f>Table1[[#This Row],[Participation (Gamification %)]]-Table1[[#This Row],[Participation (Non-Gamification %)]]</f>
        <v>12.835208390000005</v>
      </c>
      <c r="AD229" s="28">
        <f>Table1[[#This Row],[Learning Outcomes (Gamification %)]]-Table1[[#This Row],[Learning Outcomes (Non-Gamification %)]]</f>
        <v>14.386888259999992</v>
      </c>
      <c r="AE229" s="44" t="str">
        <f>IF(Table1[[#This Row],[Overall Effectiveness]]&lt;3.9,"Low",IF(Table1[[#This Row],[Overall Effectiveness]]&lt;4.2,"Medium","High"))</f>
        <v>Medium</v>
      </c>
      <c r="AF229" s="30" t="str">
        <f t="shared" si="22"/>
        <v>Case Studies</v>
      </c>
      <c r="AG229" s="30" t="str">
        <f t="shared" si="23"/>
        <v>Lectures</v>
      </c>
      <c r="AH229" s="27">
        <f>COUNTIF(Teacher_Master!$D$2:$D$16,AF229)</f>
        <v>3</v>
      </c>
      <c r="AI229" s="30" t="str">
        <f>INDEX(Teacher_Master!$B$2:$B$16,MATCH(AF229,Teacher_Master!$D$2:$D$16,0))</f>
        <v>Prof. Rajesh Mukherjee</v>
      </c>
    </row>
    <row r="230" spans="1:35" ht="14.25" customHeight="1" x14ac:dyDescent="0.3">
      <c r="A230" s="31" t="s">
        <v>478</v>
      </c>
      <c r="B230" s="31" t="s">
        <v>479</v>
      </c>
      <c r="C230" s="31" t="s">
        <v>2882</v>
      </c>
      <c r="D230" s="12">
        <f t="shared" ca="1" si="18"/>
        <v>27</v>
      </c>
      <c r="E230" s="12" t="str">
        <f ca="1">IF(Table1[[#This Row],[Age]]&lt;=22,"20-22",IF(Table1[[#This Row],[Age]]&lt;=25,"23-25",IF(Table1[[#This Row],[Age]]&lt;=28,"26-28","29-30")))</f>
        <v>26-28</v>
      </c>
      <c r="F230" s="12">
        <v>3.74</v>
      </c>
      <c r="G230" s="12">
        <v>3.98</v>
      </c>
      <c r="H230" s="12">
        <v>3.65</v>
      </c>
      <c r="I230" s="12">
        <v>3.6</v>
      </c>
      <c r="J230" s="12">
        <v>4</v>
      </c>
      <c r="K230" s="12">
        <v>3.94</v>
      </c>
      <c r="L230" s="12">
        <v>3.89</v>
      </c>
      <c r="M230" s="12">
        <v>3.56</v>
      </c>
      <c r="N230" s="12">
        <v>4.1100000000000003</v>
      </c>
      <c r="O230" s="12">
        <v>3.96</v>
      </c>
      <c r="P230" s="12">
        <f t="shared" si="19"/>
        <v>3.7939999999999996</v>
      </c>
      <c r="Q230" s="12">
        <f t="shared" si="20"/>
        <v>3.79</v>
      </c>
      <c r="R230" s="12">
        <f t="shared" si="21"/>
        <v>3.8920000000000003</v>
      </c>
      <c r="S230" s="28">
        <f>IFERROR(INDEX('Clean Gamification Data'!$B:$B,MATCH($B230,'Clean Gamification Data'!$A:$A,0)),"Not Found")</f>
        <v>75.773156950000001</v>
      </c>
      <c r="T230" s="28">
        <f>IFERROR(INDEX('Clean Gamification Data'!$C:$C,MATCH($B230,'Clean Gamification Data'!$A:$A,0)),"Not Found")</f>
        <v>61.443256920000003</v>
      </c>
      <c r="U230" s="28">
        <f>IFERROR(INDEX('Clean Gamification Data'!$D:$D,MATCH($B230,'Clean Gamification Data'!$A:$A,0)),"Not Found")</f>
        <v>84.445422879999995</v>
      </c>
      <c r="V230" s="28">
        <f>IFERROR(INDEX('Clean Gamification Data'!$E:$E,MATCH($B230,'Clean Gamification Data'!$A:$A,0)),"Not Found")</f>
        <v>68.739205269999999</v>
      </c>
      <c r="W230" s="28">
        <f>IFERROR(INDEX('Clean Gamification Data'!$F:$F,MATCH($B230,'Clean Gamification Data'!$A:$A,0)),"Not Found")</f>
        <v>85.093166179999997</v>
      </c>
      <c r="X230" s="28">
        <f>IFERROR(INDEX('Clean Gamification Data'!$G:$G,MATCH($B230,'Clean Gamification Data'!$A:$A,0)),"Not Found")</f>
        <v>81.172712399999995</v>
      </c>
      <c r="Y230" s="28">
        <f>IFERROR(INDEX('Clean Gamification Data'!$H:$H,MATCH($B230,'Clean Gamification Data'!$A:$A,0)),"Not Found")</f>
        <v>70.621270060000001</v>
      </c>
      <c r="Z230" s="28">
        <f>IFERROR(INDEX('Clean Gamification Data'!$I:$I,MATCH($B230,'Clean Gamification Data'!$A:$A,0)),"Not Found")</f>
        <v>66.909858569999997</v>
      </c>
      <c r="AA230" s="28">
        <f>Table1[[#This Row],[Engagement (Gamification %)]]-Table1[[#This Row],[Engagement (Non-Gamification %)]]</f>
        <v>14.329900029999997</v>
      </c>
      <c r="AB230" s="28">
        <f>Table1[[#This Row],[Motivation (Gamification %)]]-Table1[[#This Row],[Motivation (Non-Gamification %)]]</f>
        <v>15.706217609999996</v>
      </c>
      <c r="AC230" s="28">
        <f>Table1[[#This Row],[Participation (Gamification %)]]-Table1[[#This Row],[Participation (Non-Gamification %)]]</f>
        <v>3.9204537800000026</v>
      </c>
      <c r="AD230" s="28">
        <f>Table1[[#This Row],[Learning Outcomes (Gamification %)]]-Table1[[#This Row],[Learning Outcomes (Non-Gamification %)]]</f>
        <v>3.7114114900000033</v>
      </c>
      <c r="AE230" s="44" t="str">
        <f>IF(Table1[[#This Row],[Overall Effectiveness]]&lt;3.9,"Low",IF(Table1[[#This Row],[Overall Effectiveness]]&lt;4.2,"Medium","High"))</f>
        <v>Low</v>
      </c>
      <c r="AF230" s="30" t="str">
        <f t="shared" si="22"/>
        <v>Online Tutorials</v>
      </c>
      <c r="AG230" s="30" t="str">
        <f t="shared" si="23"/>
        <v>Experiments</v>
      </c>
      <c r="AH230" s="27">
        <f>COUNTIF(Teacher_Master!$D$2:$D$16,AF230)</f>
        <v>3</v>
      </c>
      <c r="AI230" s="30" t="str">
        <f>INDEX(Teacher_Master!$B$2:$B$16,MATCH(AF230,Teacher_Master!$D$2:$D$16,0))</f>
        <v>Prof. Kavita Rao</v>
      </c>
    </row>
    <row r="231" spans="1:35" ht="14.25" customHeight="1" x14ac:dyDescent="0.3">
      <c r="A231" s="31" t="s">
        <v>480</v>
      </c>
      <c r="B231" s="31" t="s">
        <v>2242</v>
      </c>
      <c r="C231" s="31" t="s">
        <v>2881</v>
      </c>
      <c r="D231" s="12">
        <f t="shared" ca="1" si="18"/>
        <v>21</v>
      </c>
      <c r="E231" s="12" t="str">
        <f ca="1">IF(Table1[[#This Row],[Age]]&lt;=22,"20-22",IF(Table1[[#This Row],[Age]]&lt;=25,"23-25",IF(Table1[[#This Row],[Age]]&lt;=28,"26-28","29-30")))</f>
        <v>20-22</v>
      </c>
      <c r="F231" s="12">
        <v>4.38</v>
      </c>
      <c r="G231" s="12">
        <v>4.34</v>
      </c>
      <c r="H231" s="12">
        <v>4.5</v>
      </c>
      <c r="I231" s="12">
        <v>4.21</v>
      </c>
      <c r="J231" s="12">
        <v>3.94</v>
      </c>
      <c r="K231" s="12">
        <v>3.88</v>
      </c>
      <c r="L231" s="12">
        <v>4.22</v>
      </c>
      <c r="M231" s="12">
        <v>4.0599999999999996</v>
      </c>
      <c r="N231" s="12">
        <v>4.42</v>
      </c>
      <c r="O231" s="12">
        <v>4.08</v>
      </c>
      <c r="P231" s="12">
        <f t="shared" si="19"/>
        <v>4.274</v>
      </c>
      <c r="Q231" s="12">
        <f t="shared" si="20"/>
        <v>4.2699999999999996</v>
      </c>
      <c r="R231" s="12">
        <f t="shared" si="21"/>
        <v>4.1319999999999997</v>
      </c>
      <c r="S231" s="28">
        <f>IFERROR(INDEX('Clean Gamification Data'!$B:$B,MATCH($B231,'Clean Gamification Data'!$A:$A,0)),"Not Found")</f>
        <v>92.356135460000004</v>
      </c>
      <c r="T231" s="28">
        <f>IFERROR(INDEX('Clean Gamification Data'!$C:$C,MATCH($B231,'Clean Gamification Data'!$A:$A,0)),"Not Found")</f>
        <v>69.035594509999996</v>
      </c>
      <c r="U231" s="28">
        <f>IFERROR(INDEX('Clean Gamification Data'!$D:$D,MATCH($B231,'Clean Gamification Data'!$A:$A,0)),"Not Found")</f>
        <v>70</v>
      </c>
      <c r="V231" s="28">
        <f>IFERROR(INDEX('Clean Gamification Data'!$E:$E,MATCH($B231,'Clean Gamification Data'!$A:$A,0)),"Not Found")</f>
        <v>65.648643140000004</v>
      </c>
      <c r="W231" s="28">
        <f>IFERROR(INDEX('Clean Gamification Data'!$F:$F,MATCH($B231,'Clean Gamification Data'!$A:$A,0)),"Not Found")</f>
        <v>91.008646959999993</v>
      </c>
      <c r="X231" s="28">
        <f>IFERROR(INDEX('Clean Gamification Data'!$G:$G,MATCH($B231,'Clean Gamification Data'!$A:$A,0)),"Not Found")</f>
        <v>82.183533949999998</v>
      </c>
      <c r="Y231" s="28">
        <f>IFERROR(INDEX('Clean Gamification Data'!$H:$H,MATCH($B231,'Clean Gamification Data'!$A:$A,0)),"Not Found")</f>
        <v>66.752572790000002</v>
      </c>
      <c r="Z231" s="28">
        <f>IFERROR(INDEX('Clean Gamification Data'!$I:$I,MATCH($B231,'Clean Gamification Data'!$A:$A,0)),"Not Found")</f>
        <v>60.922009959999997</v>
      </c>
      <c r="AA231" s="28">
        <f>Table1[[#This Row],[Engagement (Gamification %)]]-Table1[[#This Row],[Engagement (Non-Gamification %)]]</f>
        <v>23.320540950000009</v>
      </c>
      <c r="AB231" s="28">
        <f>Table1[[#This Row],[Motivation (Gamification %)]]-Table1[[#This Row],[Motivation (Non-Gamification %)]]</f>
        <v>4.3513568599999957</v>
      </c>
      <c r="AC231" s="28">
        <f>Table1[[#This Row],[Participation (Gamification %)]]-Table1[[#This Row],[Participation (Non-Gamification %)]]</f>
        <v>8.8251130099999955</v>
      </c>
      <c r="AD231" s="28">
        <f>Table1[[#This Row],[Learning Outcomes (Gamification %)]]-Table1[[#This Row],[Learning Outcomes (Non-Gamification %)]]</f>
        <v>5.8305628300000052</v>
      </c>
      <c r="AE231" s="44" t="str">
        <f>IF(Table1[[#This Row],[Overall Effectiveness]]&lt;3.9,"Low",IF(Table1[[#This Row],[Overall Effectiveness]]&lt;4.2,"Medium","High"))</f>
        <v>High</v>
      </c>
      <c r="AF231" s="30" t="str">
        <f t="shared" si="22"/>
        <v>Group Projects</v>
      </c>
      <c r="AG231" s="30" t="str">
        <f t="shared" si="23"/>
        <v>Experiments</v>
      </c>
      <c r="AH231" s="27">
        <f>COUNTIF(Teacher_Master!$D$2:$D$16,AF231)</f>
        <v>3</v>
      </c>
      <c r="AI231" s="30" t="str">
        <f>INDEX(Teacher_Master!$B$2:$B$16,MATCH(AF231,Teacher_Master!$D$2:$D$16,0))</f>
        <v>Dr. Rohan Dutta</v>
      </c>
    </row>
    <row r="232" spans="1:35" ht="14.25" customHeight="1" x14ac:dyDescent="0.3">
      <c r="A232" s="31" t="s">
        <v>482</v>
      </c>
      <c r="B232" s="31" t="s">
        <v>483</v>
      </c>
      <c r="C232" s="31" t="s">
        <v>2881</v>
      </c>
      <c r="D232" s="12">
        <f t="shared" ca="1" si="18"/>
        <v>27</v>
      </c>
      <c r="E232" s="12" t="str">
        <f ca="1">IF(Table1[[#This Row],[Age]]&lt;=22,"20-22",IF(Table1[[#This Row],[Age]]&lt;=25,"23-25",IF(Table1[[#This Row],[Age]]&lt;=28,"26-28","29-30")))</f>
        <v>26-28</v>
      </c>
      <c r="F232" s="12">
        <v>3.46</v>
      </c>
      <c r="G232" s="12">
        <v>3.99</v>
      </c>
      <c r="H232" s="12">
        <v>4.03</v>
      </c>
      <c r="I232" s="12">
        <v>4.3600000000000003</v>
      </c>
      <c r="J232" s="12">
        <v>4.05</v>
      </c>
      <c r="K232" s="12">
        <v>3.4</v>
      </c>
      <c r="L232" s="12">
        <v>4.03</v>
      </c>
      <c r="M232" s="12">
        <v>3.89</v>
      </c>
      <c r="N232" s="12">
        <v>4.28</v>
      </c>
      <c r="O232" s="12">
        <v>3.88</v>
      </c>
      <c r="P232" s="12">
        <f t="shared" si="19"/>
        <v>3.9780000000000002</v>
      </c>
      <c r="Q232" s="12">
        <f t="shared" si="20"/>
        <v>3.98</v>
      </c>
      <c r="R232" s="12">
        <f t="shared" si="21"/>
        <v>3.8959999999999999</v>
      </c>
      <c r="S232" s="28">
        <f>IFERROR(INDEX('Clean Gamification Data'!$B:$B,MATCH($B232,'Clean Gamification Data'!$A:$A,0)),"Not Found")</f>
        <v>82.355349869999998</v>
      </c>
      <c r="T232" s="28">
        <f>IFERROR(INDEX('Clean Gamification Data'!$C:$C,MATCH($B232,'Clean Gamification Data'!$A:$A,0)),"Not Found")</f>
        <v>72.253007569999994</v>
      </c>
      <c r="U232" s="28">
        <f>IFERROR(INDEX('Clean Gamification Data'!$D:$D,MATCH($B232,'Clean Gamification Data'!$A:$A,0)),"Not Found")</f>
        <v>73.81440345</v>
      </c>
      <c r="V232" s="28">
        <f>IFERROR(INDEX('Clean Gamification Data'!$E:$E,MATCH($B232,'Clean Gamification Data'!$A:$A,0)),"Not Found")</f>
        <v>68.287176209999998</v>
      </c>
      <c r="W232" s="28">
        <f>IFERROR(INDEX('Clean Gamification Data'!$F:$F,MATCH($B232,'Clean Gamification Data'!$A:$A,0)),"Not Found")</f>
        <v>99.393762409999994</v>
      </c>
      <c r="X232" s="28">
        <f>IFERROR(INDEX('Clean Gamification Data'!$G:$G,MATCH($B232,'Clean Gamification Data'!$A:$A,0)),"Not Found")</f>
        <v>79.024106459999999</v>
      </c>
      <c r="Y232" s="28">
        <f>IFERROR(INDEX('Clean Gamification Data'!$H:$H,MATCH($B232,'Clean Gamification Data'!$A:$A,0)),"Not Found")</f>
        <v>69.49281028</v>
      </c>
      <c r="Z232" s="28">
        <f>IFERROR(INDEX('Clean Gamification Data'!$I:$I,MATCH($B232,'Clean Gamification Data'!$A:$A,0)),"Not Found")</f>
        <v>67.436531099999996</v>
      </c>
      <c r="AA232" s="28">
        <f>Table1[[#This Row],[Engagement (Gamification %)]]-Table1[[#This Row],[Engagement (Non-Gamification %)]]</f>
        <v>10.102342300000004</v>
      </c>
      <c r="AB232" s="28">
        <f>Table1[[#This Row],[Motivation (Gamification %)]]-Table1[[#This Row],[Motivation (Non-Gamification %)]]</f>
        <v>5.527227240000002</v>
      </c>
      <c r="AC232" s="28">
        <f>Table1[[#This Row],[Participation (Gamification %)]]-Table1[[#This Row],[Participation (Non-Gamification %)]]</f>
        <v>20.369655949999995</v>
      </c>
      <c r="AD232" s="28">
        <f>Table1[[#This Row],[Learning Outcomes (Gamification %)]]-Table1[[#This Row],[Learning Outcomes (Non-Gamification %)]]</f>
        <v>2.0562791800000042</v>
      </c>
      <c r="AE232" s="44" t="str">
        <f>IF(Table1[[#This Row],[Overall Effectiveness]]&lt;3.9,"Low",IF(Table1[[#This Row],[Overall Effectiveness]]&lt;4.2,"Medium","High"))</f>
        <v>Medium</v>
      </c>
      <c r="AF232" s="30" t="str">
        <f t="shared" si="22"/>
        <v>Experiments</v>
      </c>
      <c r="AG232" s="30" t="str">
        <f t="shared" si="23"/>
        <v>Experiments</v>
      </c>
      <c r="AH232" s="27">
        <f>COUNTIF(Teacher_Master!$D$2:$D$16,AF232)</f>
        <v>3</v>
      </c>
      <c r="AI232" s="30" t="str">
        <f>INDEX(Teacher_Master!$B$2:$B$16,MATCH(AF232,Teacher_Master!$D$2:$D$16,0))</f>
        <v>Prof. Rahul Singh</v>
      </c>
    </row>
    <row r="233" spans="1:35" ht="14.25" customHeight="1" x14ac:dyDescent="0.3">
      <c r="A233" s="31" t="s">
        <v>484</v>
      </c>
      <c r="B233" s="31" t="s">
        <v>2243</v>
      </c>
      <c r="C233" s="31" t="s">
        <v>2881</v>
      </c>
      <c r="D233" s="12">
        <f t="shared" ca="1" si="18"/>
        <v>25</v>
      </c>
      <c r="E233" s="12" t="str">
        <f ca="1">IF(Table1[[#This Row],[Age]]&lt;=22,"20-22",IF(Table1[[#This Row],[Age]]&lt;=25,"23-25",IF(Table1[[#This Row],[Age]]&lt;=28,"26-28","29-30")))</f>
        <v>23-25</v>
      </c>
      <c r="F233" s="12">
        <v>3.8</v>
      </c>
      <c r="G233" s="12">
        <v>4.01</v>
      </c>
      <c r="H233" s="12">
        <v>4.49</v>
      </c>
      <c r="I233" s="12">
        <v>3.98</v>
      </c>
      <c r="J233" s="12">
        <v>3.67</v>
      </c>
      <c r="K233" s="12">
        <v>4.0599999999999996</v>
      </c>
      <c r="L233" s="12">
        <v>4.6500000000000004</v>
      </c>
      <c r="M233" s="12">
        <v>4.2699999999999996</v>
      </c>
      <c r="N233" s="12">
        <v>4.1399999999999997</v>
      </c>
      <c r="O233" s="12">
        <v>4.21</v>
      </c>
      <c r="P233" s="12">
        <f t="shared" si="19"/>
        <v>3.9900000000000007</v>
      </c>
      <c r="Q233" s="12">
        <f t="shared" si="20"/>
        <v>3.99</v>
      </c>
      <c r="R233" s="12">
        <f t="shared" si="21"/>
        <v>4.266</v>
      </c>
      <c r="S233" s="28">
        <f>IFERROR(INDEX('Clean Gamification Data'!$B:$B,MATCH($B233,'Clean Gamification Data'!$A:$A,0)),"Not Found")</f>
        <v>95.719510749999998</v>
      </c>
      <c r="T233" s="28">
        <f>IFERROR(INDEX('Clean Gamification Data'!$C:$C,MATCH($B233,'Clean Gamification Data'!$A:$A,0)),"Not Found")</f>
        <v>75.909041020000004</v>
      </c>
      <c r="U233" s="28">
        <f>IFERROR(INDEX('Clean Gamification Data'!$D:$D,MATCH($B233,'Clean Gamification Data'!$A:$A,0)),"Not Found")</f>
        <v>70</v>
      </c>
      <c r="V233" s="28">
        <f>IFERROR(INDEX('Clean Gamification Data'!$E:$E,MATCH($B233,'Clean Gamification Data'!$A:$A,0)),"Not Found")</f>
        <v>60.836695200000001</v>
      </c>
      <c r="W233" s="28">
        <f>IFERROR(INDEX('Clean Gamification Data'!$F:$F,MATCH($B233,'Clean Gamification Data'!$A:$A,0)),"Not Found")</f>
        <v>80</v>
      </c>
      <c r="X233" s="28">
        <f>IFERROR(INDEX('Clean Gamification Data'!$G:$G,MATCH($B233,'Clean Gamification Data'!$A:$A,0)),"Not Found")</f>
        <v>84.055806450000006</v>
      </c>
      <c r="Y233" s="28">
        <f>IFERROR(INDEX('Clean Gamification Data'!$H:$H,MATCH($B233,'Clean Gamification Data'!$A:$A,0)),"Not Found")</f>
        <v>72.533170819999995</v>
      </c>
      <c r="Z233" s="28">
        <f>IFERROR(INDEX('Clean Gamification Data'!$I:$I,MATCH($B233,'Clean Gamification Data'!$A:$A,0)),"Not Found")</f>
        <v>55.26673392</v>
      </c>
      <c r="AA233" s="28">
        <f>Table1[[#This Row],[Engagement (Gamification %)]]-Table1[[#This Row],[Engagement (Non-Gamification %)]]</f>
        <v>19.810469729999994</v>
      </c>
      <c r="AB233" s="28">
        <f>Table1[[#This Row],[Motivation (Gamification %)]]-Table1[[#This Row],[Motivation (Non-Gamification %)]]</f>
        <v>9.1633047999999988</v>
      </c>
      <c r="AC233" s="28">
        <f>Table1[[#This Row],[Participation (Gamification %)]]-Table1[[#This Row],[Participation (Non-Gamification %)]]</f>
        <v>-4.0558064500000057</v>
      </c>
      <c r="AD233" s="28">
        <f>Table1[[#This Row],[Learning Outcomes (Gamification %)]]-Table1[[#This Row],[Learning Outcomes (Non-Gamification %)]]</f>
        <v>17.266436899999995</v>
      </c>
      <c r="AE233" s="44" t="str">
        <f>IF(Table1[[#This Row],[Overall Effectiveness]]&lt;3.9,"Low",IF(Table1[[#This Row],[Overall Effectiveness]]&lt;4.2,"Medium","High"))</f>
        <v>Medium</v>
      </c>
      <c r="AF233" s="30" t="str">
        <f t="shared" si="22"/>
        <v>Group Projects</v>
      </c>
      <c r="AG233" s="30" t="str">
        <f t="shared" si="23"/>
        <v>Case Studies</v>
      </c>
      <c r="AH233" s="27">
        <f>COUNTIF(Teacher_Master!$D$2:$D$16,AF233)</f>
        <v>3</v>
      </c>
      <c r="AI233" s="30" t="str">
        <f>INDEX(Teacher_Master!$B$2:$B$16,MATCH(AF233,Teacher_Master!$D$2:$D$16,0))</f>
        <v>Dr. Rohan Dutta</v>
      </c>
    </row>
    <row r="234" spans="1:35" ht="14.25" customHeight="1" x14ac:dyDescent="0.3">
      <c r="A234" s="31" t="s">
        <v>486</v>
      </c>
      <c r="B234" s="31" t="s">
        <v>2244</v>
      </c>
      <c r="C234" s="31" t="s">
        <v>2882</v>
      </c>
      <c r="D234" s="12">
        <f t="shared" ca="1" si="18"/>
        <v>25</v>
      </c>
      <c r="E234" s="12" t="str">
        <f ca="1">IF(Table1[[#This Row],[Age]]&lt;=22,"20-22",IF(Table1[[#This Row],[Age]]&lt;=25,"23-25",IF(Table1[[#This Row],[Age]]&lt;=28,"26-28","29-30")))</f>
        <v>23-25</v>
      </c>
      <c r="F234" s="12">
        <v>4.0999999999999996</v>
      </c>
      <c r="G234" s="12">
        <v>4.43</v>
      </c>
      <c r="H234" s="12">
        <v>4.66</v>
      </c>
      <c r="I234" s="12">
        <v>4.22</v>
      </c>
      <c r="J234" s="12">
        <v>4.0599999999999996</v>
      </c>
      <c r="K234" s="12">
        <v>4.41</v>
      </c>
      <c r="L234" s="12">
        <v>3.91</v>
      </c>
      <c r="M234" s="12">
        <v>4.17</v>
      </c>
      <c r="N234" s="12">
        <v>4.62</v>
      </c>
      <c r="O234" s="12">
        <v>3.79</v>
      </c>
      <c r="P234" s="12">
        <f t="shared" si="19"/>
        <v>4.2939999999999996</v>
      </c>
      <c r="Q234" s="12">
        <f t="shared" si="20"/>
        <v>4.29</v>
      </c>
      <c r="R234" s="12">
        <f t="shared" si="21"/>
        <v>4.18</v>
      </c>
      <c r="S234" s="28">
        <f>IFERROR(INDEX('Clean Gamification Data'!$B:$B,MATCH($B234,'Clean Gamification Data'!$A:$A,0)),"Not Found")</f>
        <v>75.773145459999995</v>
      </c>
      <c r="T234" s="28">
        <f>IFERROR(INDEX('Clean Gamification Data'!$C:$C,MATCH($B234,'Clean Gamification Data'!$A:$A,0)),"Not Found")</f>
        <v>76.406340839999999</v>
      </c>
      <c r="U234" s="28">
        <f>IFERROR(INDEX('Clean Gamification Data'!$D:$D,MATCH($B234,'Clean Gamification Data'!$A:$A,0)),"Not Found")</f>
        <v>73.566826539999994</v>
      </c>
      <c r="V234" s="28">
        <f>IFERROR(INDEX('Clean Gamification Data'!$E:$E,MATCH($B234,'Clean Gamification Data'!$A:$A,0)),"Not Found")</f>
        <v>56.160130590000001</v>
      </c>
      <c r="W234" s="28">
        <f>IFERROR(INDEX('Clean Gamification Data'!$F:$F,MATCH($B234,'Clean Gamification Data'!$A:$A,0)),"Not Found")</f>
        <v>83.226124850000005</v>
      </c>
      <c r="X234" s="28">
        <f>IFERROR(INDEX('Clean Gamification Data'!$G:$G,MATCH($B234,'Clean Gamification Data'!$A:$A,0)),"Not Found")</f>
        <v>77.40610787</v>
      </c>
      <c r="Y234" s="28">
        <f>IFERROR(INDEX('Clean Gamification Data'!$H:$H,MATCH($B234,'Clean Gamification Data'!$A:$A,0)),"Not Found")</f>
        <v>75.535278570000003</v>
      </c>
      <c r="Z234" s="28">
        <f>IFERROR(INDEX('Clean Gamification Data'!$I:$I,MATCH($B234,'Clean Gamification Data'!$A:$A,0)),"Not Found")</f>
        <v>53.862244939999997</v>
      </c>
      <c r="AA234" s="28">
        <f>Table1[[#This Row],[Engagement (Gamification %)]]-Table1[[#This Row],[Engagement (Non-Gamification %)]]</f>
        <v>-0.63319538000000364</v>
      </c>
      <c r="AB234" s="28">
        <f>Table1[[#This Row],[Motivation (Gamification %)]]-Table1[[#This Row],[Motivation (Non-Gamification %)]]</f>
        <v>17.406695949999992</v>
      </c>
      <c r="AC234" s="28">
        <f>Table1[[#This Row],[Participation (Gamification %)]]-Table1[[#This Row],[Participation (Non-Gamification %)]]</f>
        <v>5.8200169800000054</v>
      </c>
      <c r="AD234" s="28">
        <f>Table1[[#This Row],[Learning Outcomes (Gamification %)]]-Table1[[#This Row],[Learning Outcomes (Non-Gamification %)]]</f>
        <v>21.673033630000006</v>
      </c>
      <c r="AE234" s="44" t="str">
        <f>IF(Table1[[#This Row],[Overall Effectiveness]]&lt;3.9,"Low",IF(Table1[[#This Row],[Overall Effectiveness]]&lt;4.2,"Medium","High"))</f>
        <v>High</v>
      </c>
      <c r="AF234" s="30" t="str">
        <f t="shared" si="22"/>
        <v>Group Projects</v>
      </c>
      <c r="AG234" s="30" t="str">
        <f t="shared" si="23"/>
        <v>Experiments</v>
      </c>
      <c r="AH234" s="27">
        <f>COUNTIF(Teacher_Master!$D$2:$D$16,AF234)</f>
        <v>3</v>
      </c>
      <c r="AI234" s="30" t="str">
        <f>INDEX(Teacher_Master!$B$2:$B$16,MATCH(AF234,Teacher_Master!$D$2:$D$16,0))</f>
        <v>Dr. Rohan Dutta</v>
      </c>
    </row>
    <row r="235" spans="1:35" ht="14.25" customHeight="1" x14ac:dyDescent="0.3">
      <c r="A235" s="31" t="s">
        <v>488</v>
      </c>
      <c r="B235" s="31" t="s">
        <v>489</v>
      </c>
      <c r="C235" s="31" t="s">
        <v>2882</v>
      </c>
      <c r="D235" s="12">
        <f t="shared" ca="1" si="18"/>
        <v>26</v>
      </c>
      <c r="E235" s="12" t="str">
        <f ca="1">IF(Table1[[#This Row],[Age]]&lt;=22,"20-22",IF(Table1[[#This Row],[Age]]&lt;=25,"23-25",IF(Table1[[#This Row],[Age]]&lt;=28,"26-28","29-30")))</f>
        <v>26-28</v>
      </c>
      <c r="F235" s="12">
        <v>4.09</v>
      </c>
      <c r="G235" s="12">
        <v>4.29</v>
      </c>
      <c r="H235" s="12">
        <v>4.29</v>
      </c>
      <c r="I235" s="12">
        <v>3.91</v>
      </c>
      <c r="J235" s="12">
        <v>4.24</v>
      </c>
      <c r="K235" s="12">
        <v>3.68</v>
      </c>
      <c r="L235" s="12">
        <v>4.4000000000000004</v>
      </c>
      <c r="M235" s="12">
        <v>4.38</v>
      </c>
      <c r="N235" s="12">
        <v>4.2699999999999996</v>
      </c>
      <c r="O235" s="12">
        <v>4.12</v>
      </c>
      <c r="P235" s="12">
        <f t="shared" si="19"/>
        <v>4.1639999999999997</v>
      </c>
      <c r="Q235" s="12">
        <f t="shared" si="20"/>
        <v>4.16</v>
      </c>
      <c r="R235" s="12">
        <f t="shared" si="21"/>
        <v>4.17</v>
      </c>
      <c r="S235" s="28">
        <f>IFERROR(INDEX('Clean Gamification Data'!$B:$B,MATCH($B235,'Clean Gamification Data'!$A:$A,0)),"Not Found")</f>
        <v>86.004465350000004</v>
      </c>
      <c r="T235" s="28">
        <f>IFERROR(INDEX('Clean Gamification Data'!$C:$C,MATCH($B235,'Clean Gamification Data'!$A:$A,0)),"Not Found")</f>
        <v>66.585501590000007</v>
      </c>
      <c r="U235" s="28">
        <f>IFERROR(INDEX('Clean Gamification Data'!$D:$D,MATCH($B235,'Clean Gamification Data'!$A:$A,0)),"Not Found")</f>
        <v>73.913586539999997</v>
      </c>
      <c r="V235" s="28">
        <f>IFERROR(INDEX('Clean Gamification Data'!$E:$E,MATCH($B235,'Clean Gamification Data'!$A:$A,0)),"Not Found")</f>
        <v>66.299697269999996</v>
      </c>
      <c r="W235" s="28">
        <f>IFERROR(INDEX('Clean Gamification Data'!$F:$F,MATCH($B235,'Clean Gamification Data'!$A:$A,0)),"Not Found")</f>
        <v>86.950475769999997</v>
      </c>
      <c r="X235" s="28">
        <f>IFERROR(INDEX('Clean Gamification Data'!$G:$G,MATCH($B235,'Clean Gamification Data'!$A:$A,0)),"Not Found")</f>
        <v>74.53101384</v>
      </c>
      <c r="Y235" s="28">
        <f>IFERROR(INDEX('Clean Gamification Data'!$H:$H,MATCH($B235,'Clean Gamification Data'!$A:$A,0)),"Not Found")</f>
        <v>68.879243979999998</v>
      </c>
      <c r="Z235" s="28">
        <f>IFERROR(INDEX('Clean Gamification Data'!$I:$I,MATCH($B235,'Clean Gamification Data'!$A:$A,0)),"Not Found")</f>
        <v>53.608794340000003</v>
      </c>
      <c r="AA235" s="28">
        <f>Table1[[#This Row],[Engagement (Gamification %)]]-Table1[[#This Row],[Engagement (Non-Gamification %)]]</f>
        <v>19.418963759999997</v>
      </c>
      <c r="AB235" s="28">
        <f>Table1[[#This Row],[Motivation (Gamification %)]]-Table1[[#This Row],[Motivation (Non-Gamification %)]]</f>
        <v>7.6138892700000014</v>
      </c>
      <c r="AC235" s="28">
        <f>Table1[[#This Row],[Participation (Gamification %)]]-Table1[[#This Row],[Participation (Non-Gamification %)]]</f>
        <v>12.419461929999997</v>
      </c>
      <c r="AD235" s="28">
        <f>Table1[[#This Row],[Learning Outcomes (Gamification %)]]-Table1[[#This Row],[Learning Outcomes (Non-Gamification %)]]</f>
        <v>15.270449639999995</v>
      </c>
      <c r="AE235" s="44" t="str">
        <f>IF(Table1[[#This Row],[Overall Effectiveness]]&lt;3.9,"Low",IF(Table1[[#This Row],[Overall Effectiveness]]&lt;4.2,"Medium","High"))</f>
        <v>Medium</v>
      </c>
      <c r="AF235" s="30" t="str">
        <f t="shared" si="22"/>
        <v>Case Studies</v>
      </c>
      <c r="AG235" s="30" t="str">
        <f t="shared" si="23"/>
        <v>Case Studies</v>
      </c>
      <c r="AH235" s="27">
        <f>COUNTIF(Teacher_Master!$D$2:$D$16,AF235)</f>
        <v>3</v>
      </c>
      <c r="AI235" s="30" t="str">
        <f>INDEX(Teacher_Master!$B$2:$B$16,MATCH(AF235,Teacher_Master!$D$2:$D$16,0))</f>
        <v>Prof. Rajesh Mukherjee</v>
      </c>
    </row>
    <row r="236" spans="1:35" ht="14.25" customHeight="1" x14ac:dyDescent="0.3">
      <c r="A236" s="31" t="s">
        <v>490</v>
      </c>
      <c r="B236" s="31" t="s">
        <v>2245</v>
      </c>
      <c r="C236" s="31" t="s">
        <v>2881</v>
      </c>
      <c r="D236" s="12">
        <f t="shared" ca="1" si="18"/>
        <v>29</v>
      </c>
      <c r="E236" s="12" t="str">
        <f ca="1">IF(Table1[[#This Row],[Age]]&lt;=22,"20-22",IF(Table1[[#This Row],[Age]]&lt;=25,"23-25",IF(Table1[[#This Row],[Age]]&lt;=28,"26-28","29-30")))</f>
        <v>29-30</v>
      </c>
      <c r="F236" s="12">
        <v>4.17</v>
      </c>
      <c r="G236" s="12">
        <v>4.0199999999999996</v>
      </c>
      <c r="H236" s="12">
        <v>3.8</v>
      </c>
      <c r="I236" s="12">
        <v>4.1100000000000003</v>
      </c>
      <c r="J236" s="12">
        <v>4.21</v>
      </c>
      <c r="K236" s="12">
        <v>3.81</v>
      </c>
      <c r="L236" s="12">
        <v>4.01</v>
      </c>
      <c r="M236" s="12">
        <v>4.04</v>
      </c>
      <c r="N236" s="12">
        <v>4.18</v>
      </c>
      <c r="O236" s="12">
        <v>4.4400000000000004</v>
      </c>
      <c r="P236" s="12">
        <f t="shared" si="19"/>
        <v>4.0619999999999994</v>
      </c>
      <c r="Q236" s="12">
        <f t="shared" si="20"/>
        <v>4.0599999999999996</v>
      </c>
      <c r="R236" s="12">
        <f t="shared" si="21"/>
        <v>4.0960000000000001</v>
      </c>
      <c r="S236" s="28">
        <f>IFERROR(INDEX('Clean Gamification Data'!$B:$B,MATCH($B236,'Clean Gamification Data'!$A:$A,0)),"Not Found")</f>
        <v>92.016264109999995</v>
      </c>
      <c r="T236" s="28">
        <f>IFERROR(INDEX('Clean Gamification Data'!$C:$C,MATCH($B236,'Clean Gamification Data'!$A:$A,0)),"Not Found")</f>
        <v>80</v>
      </c>
      <c r="U236" s="28">
        <f>IFERROR(INDEX('Clean Gamification Data'!$D:$D,MATCH($B236,'Clean Gamification Data'!$A:$A,0)),"Not Found")</f>
        <v>85.791305739999999</v>
      </c>
      <c r="V236" s="28">
        <f>IFERROR(INDEX('Clean Gamification Data'!$E:$E,MATCH($B236,'Clean Gamification Data'!$A:$A,0)),"Not Found")</f>
        <v>69.061064090000002</v>
      </c>
      <c r="W236" s="28">
        <f>IFERROR(INDEX('Clean Gamification Data'!$F:$F,MATCH($B236,'Clean Gamification Data'!$A:$A,0)),"Not Found")</f>
        <v>80</v>
      </c>
      <c r="X236" s="28">
        <f>IFERROR(INDEX('Clean Gamification Data'!$G:$G,MATCH($B236,'Clean Gamification Data'!$A:$A,0)),"Not Found")</f>
        <v>78.409910920000002</v>
      </c>
      <c r="Y236" s="28">
        <f>IFERROR(INDEX('Clean Gamification Data'!$H:$H,MATCH($B236,'Clean Gamification Data'!$A:$A,0)),"Not Found")</f>
        <v>68.645409520000001</v>
      </c>
      <c r="Z236" s="28">
        <f>IFERROR(INDEX('Clean Gamification Data'!$I:$I,MATCH($B236,'Clean Gamification Data'!$A:$A,0)),"Not Found")</f>
        <v>50</v>
      </c>
      <c r="AA236" s="28">
        <f>Table1[[#This Row],[Engagement (Gamification %)]]-Table1[[#This Row],[Engagement (Non-Gamification %)]]</f>
        <v>12.016264109999995</v>
      </c>
      <c r="AB236" s="28">
        <f>Table1[[#This Row],[Motivation (Gamification %)]]-Table1[[#This Row],[Motivation (Non-Gamification %)]]</f>
        <v>16.730241649999996</v>
      </c>
      <c r="AC236" s="28">
        <f>Table1[[#This Row],[Participation (Gamification %)]]-Table1[[#This Row],[Participation (Non-Gamification %)]]</f>
        <v>1.5900890799999985</v>
      </c>
      <c r="AD236" s="28">
        <f>Table1[[#This Row],[Learning Outcomes (Gamification %)]]-Table1[[#This Row],[Learning Outcomes (Non-Gamification %)]]</f>
        <v>18.645409520000001</v>
      </c>
      <c r="AE236" s="44" t="str">
        <f>IF(Table1[[#This Row],[Overall Effectiveness]]&lt;3.9,"Low",IF(Table1[[#This Row],[Overall Effectiveness]]&lt;4.2,"Medium","High"))</f>
        <v>Medium</v>
      </c>
      <c r="AF236" s="30" t="str">
        <f t="shared" si="22"/>
        <v>Online Tutorials</v>
      </c>
      <c r="AG236" s="30" t="str">
        <f t="shared" si="23"/>
        <v>Online Tutorials</v>
      </c>
      <c r="AH236" s="27">
        <f>COUNTIF(Teacher_Master!$D$2:$D$16,AF236)</f>
        <v>3</v>
      </c>
      <c r="AI236" s="30" t="str">
        <f>INDEX(Teacher_Master!$B$2:$B$16,MATCH(AF236,Teacher_Master!$D$2:$D$16,0))</f>
        <v>Prof. Kavita Rao</v>
      </c>
    </row>
    <row r="237" spans="1:35" ht="14.25" customHeight="1" x14ac:dyDescent="0.3">
      <c r="A237" s="31" t="s">
        <v>492</v>
      </c>
      <c r="B237" s="31" t="s">
        <v>493</v>
      </c>
      <c r="C237" s="31" t="s">
        <v>2882</v>
      </c>
      <c r="D237" s="12">
        <f t="shared" ca="1" si="18"/>
        <v>22</v>
      </c>
      <c r="E237" s="12" t="str">
        <f ca="1">IF(Table1[[#This Row],[Age]]&lt;=22,"20-22",IF(Table1[[#This Row],[Age]]&lt;=25,"23-25",IF(Table1[[#This Row],[Age]]&lt;=28,"26-28","29-30")))</f>
        <v>20-22</v>
      </c>
      <c r="F237" s="12">
        <v>3.63</v>
      </c>
      <c r="G237" s="12">
        <v>4.1500000000000004</v>
      </c>
      <c r="H237" s="12">
        <v>3.5</v>
      </c>
      <c r="I237" s="12">
        <v>4.07</v>
      </c>
      <c r="J237" s="12">
        <v>4.28</v>
      </c>
      <c r="K237" s="12">
        <v>4.7</v>
      </c>
      <c r="L237" s="12">
        <v>4.07</v>
      </c>
      <c r="M237" s="12">
        <v>3.81</v>
      </c>
      <c r="N237" s="12">
        <v>4.38</v>
      </c>
      <c r="O237" s="12">
        <v>4.0599999999999996</v>
      </c>
      <c r="P237" s="12">
        <f t="shared" si="19"/>
        <v>3.9260000000000006</v>
      </c>
      <c r="Q237" s="12">
        <f t="shared" si="20"/>
        <v>3.93</v>
      </c>
      <c r="R237" s="12">
        <f t="shared" si="21"/>
        <v>4.2039999999999997</v>
      </c>
      <c r="S237" s="28">
        <f>IFERROR(INDEX('Clean Gamification Data'!$B:$B,MATCH($B237,'Clean Gamification Data'!$A:$A,0)),"Not Found")</f>
        <v>85.115088360000001</v>
      </c>
      <c r="T237" s="28">
        <f>IFERROR(INDEX('Clean Gamification Data'!$C:$C,MATCH($B237,'Clean Gamification Data'!$A:$A,0)),"Not Found")</f>
        <v>65.314799320000006</v>
      </c>
      <c r="U237" s="28">
        <f>IFERROR(INDEX('Clean Gamification Data'!$D:$D,MATCH($B237,'Clean Gamification Data'!$A:$A,0)),"Not Found")</f>
        <v>83.857208999999997</v>
      </c>
      <c r="V237" s="28">
        <f>IFERROR(INDEX('Clean Gamification Data'!$E:$E,MATCH($B237,'Clean Gamification Data'!$A:$A,0)),"Not Found")</f>
        <v>69.106279130000004</v>
      </c>
      <c r="W237" s="28">
        <f>IFERROR(INDEX('Clean Gamification Data'!$F:$F,MATCH($B237,'Clean Gamification Data'!$A:$A,0)),"Not Found")</f>
        <v>95.095628590000004</v>
      </c>
      <c r="X237" s="28">
        <f>IFERROR(INDEX('Clean Gamification Data'!$G:$G,MATCH($B237,'Clean Gamification Data'!$A:$A,0)),"Not Found")</f>
        <v>78.854456799999994</v>
      </c>
      <c r="Y237" s="28">
        <f>IFERROR(INDEX('Clean Gamification Data'!$H:$H,MATCH($B237,'Clean Gamification Data'!$A:$A,0)),"Not Found")</f>
        <v>65</v>
      </c>
      <c r="Z237" s="28">
        <f>IFERROR(INDEX('Clean Gamification Data'!$I:$I,MATCH($B237,'Clean Gamification Data'!$A:$A,0)),"Not Found")</f>
        <v>50.890751629999997</v>
      </c>
      <c r="AA237" s="28">
        <f>Table1[[#This Row],[Engagement (Gamification %)]]-Table1[[#This Row],[Engagement (Non-Gamification %)]]</f>
        <v>19.800289039999996</v>
      </c>
      <c r="AB237" s="28">
        <f>Table1[[#This Row],[Motivation (Gamification %)]]-Table1[[#This Row],[Motivation (Non-Gamification %)]]</f>
        <v>14.750929869999993</v>
      </c>
      <c r="AC237" s="28">
        <f>Table1[[#This Row],[Participation (Gamification %)]]-Table1[[#This Row],[Participation (Non-Gamification %)]]</f>
        <v>16.24117179000001</v>
      </c>
      <c r="AD237" s="28">
        <f>Table1[[#This Row],[Learning Outcomes (Gamification %)]]-Table1[[#This Row],[Learning Outcomes (Non-Gamification %)]]</f>
        <v>14.109248370000003</v>
      </c>
      <c r="AE237" s="44" t="str">
        <f>IF(Table1[[#This Row],[Overall Effectiveness]]&lt;3.9,"Low",IF(Table1[[#This Row],[Overall Effectiveness]]&lt;4.2,"Medium","High"))</f>
        <v>Medium</v>
      </c>
      <c r="AF237" s="30" t="str">
        <f t="shared" si="22"/>
        <v>Online Tutorials</v>
      </c>
      <c r="AG237" s="30" t="str">
        <f t="shared" si="23"/>
        <v>Lectures</v>
      </c>
      <c r="AH237" s="27">
        <f>COUNTIF(Teacher_Master!$D$2:$D$16,AF237)</f>
        <v>3</v>
      </c>
      <c r="AI237" s="30" t="str">
        <f>INDEX(Teacher_Master!$B$2:$B$16,MATCH(AF237,Teacher_Master!$D$2:$D$16,0))</f>
        <v>Prof. Kavita Rao</v>
      </c>
    </row>
    <row r="238" spans="1:35" ht="14.25" customHeight="1" x14ac:dyDescent="0.3">
      <c r="A238" s="31" t="s">
        <v>494</v>
      </c>
      <c r="B238" s="31" t="s">
        <v>2246</v>
      </c>
      <c r="C238" s="31" t="s">
        <v>2882</v>
      </c>
      <c r="D238" s="12">
        <f t="shared" ca="1" si="18"/>
        <v>26</v>
      </c>
      <c r="E238" s="12" t="str">
        <f ca="1">IF(Table1[[#This Row],[Age]]&lt;=22,"20-22",IF(Table1[[#This Row],[Age]]&lt;=25,"23-25",IF(Table1[[#This Row],[Age]]&lt;=28,"26-28","29-30")))</f>
        <v>26-28</v>
      </c>
      <c r="F238" s="12">
        <v>3.7</v>
      </c>
      <c r="G238" s="12">
        <v>4.55</v>
      </c>
      <c r="H238" s="12">
        <v>4.6100000000000003</v>
      </c>
      <c r="I238" s="12">
        <v>3.5</v>
      </c>
      <c r="J238" s="12">
        <v>4.5199999999999996</v>
      </c>
      <c r="K238" s="12">
        <v>4.05</v>
      </c>
      <c r="L238" s="12">
        <v>4.3499999999999996</v>
      </c>
      <c r="M238" s="12">
        <v>3.63</v>
      </c>
      <c r="N238" s="12">
        <v>4.3600000000000003</v>
      </c>
      <c r="O238" s="12">
        <v>4.29</v>
      </c>
      <c r="P238" s="12">
        <f t="shared" si="19"/>
        <v>4.1760000000000002</v>
      </c>
      <c r="Q238" s="12">
        <f t="shared" si="20"/>
        <v>4.18</v>
      </c>
      <c r="R238" s="12">
        <f t="shared" si="21"/>
        <v>4.1359999999999992</v>
      </c>
      <c r="S238" s="28">
        <f>IFERROR(INDEX('Clean Gamification Data'!$B:$B,MATCH($B238,'Clean Gamification Data'!$A:$A,0)),"Not Found")</f>
        <v>91.66310824</v>
      </c>
      <c r="T238" s="28">
        <f>IFERROR(INDEX('Clean Gamification Data'!$C:$C,MATCH($B238,'Clean Gamification Data'!$A:$A,0)),"Not Found")</f>
        <v>65.595411080000005</v>
      </c>
      <c r="U238" s="28">
        <f>IFERROR(INDEX('Clean Gamification Data'!$D:$D,MATCH($B238,'Clean Gamification Data'!$A:$A,0)),"Not Found")</f>
        <v>76.092566329999997</v>
      </c>
      <c r="V238" s="28">
        <f>IFERROR(INDEX('Clean Gamification Data'!$E:$E,MATCH($B238,'Clean Gamification Data'!$A:$A,0)),"Not Found")</f>
        <v>60.193912869999998</v>
      </c>
      <c r="W238" s="28">
        <f>IFERROR(INDEX('Clean Gamification Data'!$F:$F,MATCH($B238,'Clean Gamification Data'!$A:$A,0)),"Not Found")</f>
        <v>93.120716790000003</v>
      </c>
      <c r="X238" s="28">
        <f>IFERROR(INDEX('Clean Gamification Data'!$G:$G,MATCH($B238,'Clean Gamification Data'!$A:$A,0)),"Not Found")</f>
        <v>85</v>
      </c>
      <c r="Y238" s="28">
        <f>IFERROR(INDEX('Clean Gamification Data'!$H:$H,MATCH($B238,'Clean Gamification Data'!$A:$A,0)),"Not Found")</f>
        <v>72.633790059999995</v>
      </c>
      <c r="Z238" s="28">
        <f>IFERROR(INDEX('Clean Gamification Data'!$I:$I,MATCH($B238,'Clean Gamification Data'!$A:$A,0)),"Not Found")</f>
        <v>61.424800689999998</v>
      </c>
      <c r="AA238" s="28">
        <f>Table1[[#This Row],[Engagement (Gamification %)]]-Table1[[#This Row],[Engagement (Non-Gamification %)]]</f>
        <v>26.067697159999994</v>
      </c>
      <c r="AB238" s="28">
        <f>Table1[[#This Row],[Motivation (Gamification %)]]-Table1[[#This Row],[Motivation (Non-Gamification %)]]</f>
        <v>15.898653459999998</v>
      </c>
      <c r="AC238" s="28">
        <f>Table1[[#This Row],[Participation (Gamification %)]]-Table1[[#This Row],[Participation (Non-Gamification %)]]</f>
        <v>8.120716790000003</v>
      </c>
      <c r="AD238" s="28">
        <f>Table1[[#This Row],[Learning Outcomes (Gamification %)]]-Table1[[#This Row],[Learning Outcomes (Non-Gamification %)]]</f>
        <v>11.208989369999998</v>
      </c>
      <c r="AE238" s="44" t="str">
        <f>IF(Table1[[#This Row],[Overall Effectiveness]]&lt;3.9,"Low",IF(Table1[[#This Row],[Overall Effectiveness]]&lt;4.2,"Medium","High"))</f>
        <v>Medium</v>
      </c>
      <c r="AF238" s="30" t="str">
        <f t="shared" si="22"/>
        <v>Group Projects</v>
      </c>
      <c r="AG238" s="30" t="str">
        <f t="shared" si="23"/>
        <v>Experiments</v>
      </c>
      <c r="AH238" s="27">
        <f>COUNTIF(Teacher_Master!$D$2:$D$16,AF238)</f>
        <v>3</v>
      </c>
      <c r="AI238" s="30" t="str">
        <f>INDEX(Teacher_Master!$B$2:$B$16,MATCH(AF238,Teacher_Master!$D$2:$D$16,0))</f>
        <v>Dr. Rohan Dutta</v>
      </c>
    </row>
    <row r="239" spans="1:35" ht="14.25" customHeight="1" x14ac:dyDescent="0.3">
      <c r="A239" s="31" t="s">
        <v>496</v>
      </c>
      <c r="B239" s="31" t="s">
        <v>2247</v>
      </c>
      <c r="C239" s="31" t="s">
        <v>2882</v>
      </c>
      <c r="D239" s="12">
        <f t="shared" ca="1" si="18"/>
        <v>21</v>
      </c>
      <c r="E239" s="12" t="str">
        <f ca="1">IF(Table1[[#This Row],[Age]]&lt;=22,"20-22",IF(Table1[[#This Row],[Age]]&lt;=25,"23-25",IF(Table1[[#This Row],[Age]]&lt;=28,"26-28","29-30")))</f>
        <v>20-22</v>
      </c>
      <c r="F239" s="12">
        <v>3.94</v>
      </c>
      <c r="G239" s="12">
        <v>4.0599999999999996</v>
      </c>
      <c r="H239" s="12">
        <v>4.55</v>
      </c>
      <c r="I239" s="12" t="s">
        <v>211</v>
      </c>
      <c r="J239" s="12">
        <v>4.6500000000000004</v>
      </c>
      <c r="K239" s="12">
        <v>4.45</v>
      </c>
      <c r="L239" s="12">
        <v>4.3600000000000003</v>
      </c>
      <c r="M239" s="12">
        <v>3.82</v>
      </c>
      <c r="N239" s="12">
        <v>3.96</v>
      </c>
      <c r="O239" s="12">
        <v>3.76</v>
      </c>
      <c r="P239" s="12">
        <f t="shared" si="19"/>
        <v>4.3000000000000007</v>
      </c>
      <c r="Q239" s="12">
        <f t="shared" si="20"/>
        <v>4.3</v>
      </c>
      <c r="R239" s="12">
        <f t="shared" si="21"/>
        <v>4.07</v>
      </c>
      <c r="S239" s="28">
        <f>IFERROR(INDEX('Clean Gamification Data'!$B:$B,MATCH($B239,'Clean Gamification Data'!$A:$A,0)),"Not Found")</f>
        <v>87.508720150000002</v>
      </c>
      <c r="T239" s="28">
        <f>IFERROR(INDEX('Clean Gamification Data'!$C:$C,MATCH($B239,'Clean Gamification Data'!$A:$A,0)),"Not Found")</f>
        <v>75.643950419999996</v>
      </c>
      <c r="U239" s="28">
        <f>IFERROR(INDEX('Clean Gamification Data'!$D:$D,MATCH($B239,'Clean Gamification Data'!$A:$A,0)),"Not Found")</f>
        <v>70</v>
      </c>
      <c r="V239" s="28">
        <f>IFERROR(INDEX('Clean Gamification Data'!$E:$E,MATCH($B239,'Clean Gamification Data'!$A:$A,0)),"Not Found")</f>
        <v>73.172561049999999</v>
      </c>
      <c r="W239" s="28">
        <f>IFERROR(INDEX('Clean Gamification Data'!$F:$F,MATCH($B239,'Clean Gamification Data'!$A:$A,0)),"Not Found")</f>
        <v>95.588173569999995</v>
      </c>
      <c r="X239" s="28">
        <f>IFERROR(INDEX('Clean Gamification Data'!$G:$G,MATCH($B239,'Clean Gamification Data'!$A:$A,0)),"Not Found")</f>
        <v>83.680823540000006</v>
      </c>
      <c r="Y239" s="28">
        <f>IFERROR(INDEX('Clean Gamification Data'!$H:$H,MATCH($B239,'Clean Gamification Data'!$A:$A,0)),"Not Found")</f>
        <v>74.913554959999999</v>
      </c>
      <c r="Z239" s="28">
        <f>IFERROR(INDEX('Clean Gamification Data'!$I:$I,MATCH($B239,'Clean Gamification Data'!$A:$A,0)),"Not Found")</f>
        <v>55.478216639999999</v>
      </c>
      <c r="AA239" s="28">
        <f>Table1[[#This Row],[Engagement (Gamification %)]]-Table1[[#This Row],[Engagement (Non-Gamification %)]]</f>
        <v>11.864769730000006</v>
      </c>
      <c r="AB239" s="28">
        <f>Table1[[#This Row],[Motivation (Gamification %)]]-Table1[[#This Row],[Motivation (Non-Gamification %)]]</f>
        <v>-3.1725610499999988</v>
      </c>
      <c r="AC239" s="28">
        <f>Table1[[#This Row],[Participation (Gamification %)]]-Table1[[#This Row],[Participation (Non-Gamification %)]]</f>
        <v>11.907350029999989</v>
      </c>
      <c r="AD239" s="28">
        <f>Table1[[#This Row],[Learning Outcomes (Gamification %)]]-Table1[[#This Row],[Learning Outcomes (Non-Gamification %)]]</f>
        <v>19.43533832</v>
      </c>
      <c r="AE239" s="44" t="str">
        <f>IF(Table1[[#This Row],[Overall Effectiveness]]&lt;3.9,"Low",IF(Table1[[#This Row],[Overall Effectiveness]]&lt;4.2,"Medium","High"))</f>
        <v>High</v>
      </c>
      <c r="AF239" s="30" t="str">
        <f t="shared" si="22"/>
        <v>Online Tutorials</v>
      </c>
      <c r="AG239" s="30" t="str">
        <f t="shared" si="23"/>
        <v>Lectures</v>
      </c>
      <c r="AH239" s="27">
        <f>COUNTIF(Teacher_Master!$D$2:$D$16,AF239)</f>
        <v>3</v>
      </c>
      <c r="AI239" s="30" t="str">
        <f>INDEX(Teacher_Master!$B$2:$B$16,MATCH(AF239,Teacher_Master!$D$2:$D$16,0))</f>
        <v>Prof. Kavita Rao</v>
      </c>
    </row>
    <row r="240" spans="1:35" ht="14.25" customHeight="1" x14ac:dyDescent="0.3">
      <c r="A240" s="31" t="s">
        <v>498</v>
      </c>
      <c r="B240" s="31" t="s">
        <v>2248</v>
      </c>
      <c r="C240" s="31" t="s">
        <v>2882</v>
      </c>
      <c r="D240" s="12">
        <f t="shared" ca="1" si="18"/>
        <v>21</v>
      </c>
      <c r="E240" s="12" t="str">
        <f ca="1">IF(Table1[[#This Row],[Age]]&lt;=22,"20-22",IF(Table1[[#This Row],[Age]]&lt;=25,"23-25",IF(Table1[[#This Row],[Age]]&lt;=28,"26-28","29-30")))</f>
        <v>20-22</v>
      </c>
      <c r="F240" s="12">
        <v>3.59</v>
      </c>
      <c r="G240" s="12">
        <v>4.03</v>
      </c>
      <c r="H240" s="12">
        <v>3.71</v>
      </c>
      <c r="I240" s="12">
        <v>4.3099999999999996</v>
      </c>
      <c r="J240" s="12">
        <v>4.49</v>
      </c>
      <c r="K240" s="12">
        <v>4.2300000000000004</v>
      </c>
      <c r="L240" s="12">
        <v>4.2300000000000004</v>
      </c>
      <c r="M240" s="12">
        <v>4.24</v>
      </c>
      <c r="N240" s="12">
        <v>4.4800000000000004</v>
      </c>
      <c r="O240" s="12">
        <v>3.46</v>
      </c>
      <c r="P240" s="12">
        <f t="shared" si="19"/>
        <v>4.0260000000000007</v>
      </c>
      <c r="Q240" s="12">
        <f t="shared" si="20"/>
        <v>4.03</v>
      </c>
      <c r="R240" s="12">
        <f t="shared" si="21"/>
        <v>4.1280000000000001</v>
      </c>
      <c r="S240" s="28">
        <f>IFERROR(INDEX('Clean Gamification Data'!$B:$B,MATCH($B240,'Clean Gamification Data'!$A:$A,0)),"Not Found")</f>
        <v>80.177421359999997</v>
      </c>
      <c r="T240" s="28">
        <f>IFERROR(INDEX('Clean Gamification Data'!$C:$C,MATCH($B240,'Clean Gamification Data'!$A:$A,0)),"Not Found")</f>
        <v>74.961046600000003</v>
      </c>
      <c r="U240" s="28">
        <f>IFERROR(INDEX('Clean Gamification Data'!$D:$D,MATCH($B240,'Clean Gamification Data'!$A:$A,0)),"Not Found")</f>
        <v>74.958754420000005</v>
      </c>
      <c r="V240" s="28">
        <f>IFERROR(INDEX('Clean Gamification Data'!$E:$E,MATCH($B240,'Clean Gamification Data'!$A:$A,0)),"Not Found")</f>
        <v>68.596965479999994</v>
      </c>
      <c r="W240" s="28">
        <f>IFERROR(INDEX('Clean Gamification Data'!$F:$F,MATCH($B240,'Clean Gamification Data'!$A:$A,0)),"Not Found")</f>
        <v>82.225604410000003</v>
      </c>
      <c r="X240" s="28">
        <f>IFERROR(INDEX('Clean Gamification Data'!$G:$G,MATCH($B240,'Clean Gamification Data'!$A:$A,0)),"Not Found")</f>
        <v>74.478538479999997</v>
      </c>
      <c r="Y240" s="28">
        <f>IFERROR(INDEX('Clean Gamification Data'!$H:$H,MATCH($B240,'Clean Gamification Data'!$A:$A,0)),"Not Found")</f>
        <v>67.511450859999997</v>
      </c>
      <c r="Z240" s="28">
        <f>IFERROR(INDEX('Clean Gamification Data'!$I:$I,MATCH($B240,'Clean Gamification Data'!$A:$A,0)),"Not Found")</f>
        <v>60.248254109999998</v>
      </c>
      <c r="AA240" s="28">
        <f>Table1[[#This Row],[Engagement (Gamification %)]]-Table1[[#This Row],[Engagement (Non-Gamification %)]]</f>
        <v>5.2163747599999937</v>
      </c>
      <c r="AB240" s="28">
        <f>Table1[[#This Row],[Motivation (Gamification %)]]-Table1[[#This Row],[Motivation (Non-Gamification %)]]</f>
        <v>6.3617889400000109</v>
      </c>
      <c r="AC240" s="28">
        <f>Table1[[#This Row],[Participation (Gamification %)]]-Table1[[#This Row],[Participation (Non-Gamification %)]]</f>
        <v>7.7470659300000051</v>
      </c>
      <c r="AD240" s="28">
        <f>Table1[[#This Row],[Learning Outcomes (Gamification %)]]-Table1[[#This Row],[Learning Outcomes (Non-Gamification %)]]</f>
        <v>7.2631967499999988</v>
      </c>
      <c r="AE240" s="44" t="str">
        <f>IF(Table1[[#This Row],[Overall Effectiveness]]&lt;3.9,"Low",IF(Table1[[#This Row],[Overall Effectiveness]]&lt;4.2,"Medium","High"))</f>
        <v>Medium</v>
      </c>
      <c r="AF240" s="30" t="str">
        <f t="shared" si="22"/>
        <v>Online Tutorials</v>
      </c>
      <c r="AG240" s="30" t="str">
        <f t="shared" si="23"/>
        <v>Experiments</v>
      </c>
      <c r="AH240" s="27">
        <f>COUNTIF(Teacher_Master!$D$2:$D$16,AF240)</f>
        <v>3</v>
      </c>
      <c r="AI240" s="30" t="str">
        <f>INDEX(Teacher_Master!$B$2:$B$16,MATCH(AF240,Teacher_Master!$D$2:$D$16,0))</f>
        <v>Prof. Kavita Rao</v>
      </c>
    </row>
    <row r="241" spans="1:35" ht="14.25" customHeight="1" x14ac:dyDescent="0.3">
      <c r="A241" s="31" t="s">
        <v>500</v>
      </c>
      <c r="B241" s="31" t="s">
        <v>2249</v>
      </c>
      <c r="C241" s="31" t="s">
        <v>2882</v>
      </c>
      <c r="D241" s="12">
        <f t="shared" ca="1" si="18"/>
        <v>21</v>
      </c>
      <c r="E241" s="12" t="str">
        <f ca="1">IF(Table1[[#This Row],[Age]]&lt;=22,"20-22",IF(Table1[[#This Row],[Age]]&lt;=25,"23-25",IF(Table1[[#This Row],[Age]]&lt;=28,"26-28","29-30")))</f>
        <v>20-22</v>
      </c>
      <c r="F241" s="12">
        <v>3.94</v>
      </c>
      <c r="G241" s="12">
        <v>4.28</v>
      </c>
      <c r="H241" s="12">
        <v>4.24</v>
      </c>
      <c r="I241" s="12">
        <v>4.1500000000000004</v>
      </c>
      <c r="J241" s="12">
        <v>4.13</v>
      </c>
      <c r="K241" s="12">
        <v>3.63</v>
      </c>
      <c r="L241" s="12">
        <v>4.16</v>
      </c>
      <c r="M241" s="12">
        <v>4.21</v>
      </c>
      <c r="N241" s="12">
        <v>3.73</v>
      </c>
      <c r="O241" s="12">
        <v>4.12</v>
      </c>
      <c r="P241" s="12">
        <f t="shared" si="19"/>
        <v>4.1479999999999997</v>
      </c>
      <c r="Q241" s="12">
        <f t="shared" si="20"/>
        <v>4.1500000000000004</v>
      </c>
      <c r="R241" s="12">
        <f t="shared" si="21"/>
        <v>3.97</v>
      </c>
      <c r="S241" s="28">
        <f>IFERROR(INDEX('Clean Gamification Data'!$B:$B,MATCH($B241,'Clean Gamification Data'!$A:$A,0)),"Not Found")</f>
        <v>85.805062340000006</v>
      </c>
      <c r="T241" s="28">
        <f>IFERROR(INDEX('Clean Gamification Data'!$C:$C,MATCH($B241,'Clean Gamification Data'!$A:$A,0)),"Not Found")</f>
        <v>72.534881170000006</v>
      </c>
      <c r="U241" s="28">
        <f>IFERROR(INDEX('Clean Gamification Data'!$D:$D,MATCH($B241,'Clean Gamification Data'!$A:$A,0)),"Not Found")</f>
        <v>88.724679379999998</v>
      </c>
      <c r="V241" s="28">
        <f>IFERROR(INDEX('Clean Gamification Data'!$E:$E,MATCH($B241,'Clean Gamification Data'!$A:$A,0)),"Not Found")</f>
        <v>61.99321054</v>
      </c>
      <c r="W241" s="28">
        <f>IFERROR(INDEX('Clean Gamification Data'!$F:$F,MATCH($B241,'Clean Gamification Data'!$A:$A,0)),"Not Found")</f>
        <v>92.914847300000005</v>
      </c>
      <c r="X241" s="28">
        <f>IFERROR(INDEX('Clean Gamification Data'!$G:$G,MATCH($B241,'Clean Gamification Data'!$A:$A,0)),"Not Found")</f>
        <v>79.486691919999998</v>
      </c>
      <c r="Y241" s="28">
        <f>IFERROR(INDEX('Clean Gamification Data'!$H:$H,MATCH($B241,'Clean Gamification Data'!$A:$A,0)),"Not Found")</f>
        <v>68.89648803</v>
      </c>
      <c r="Z241" s="28">
        <f>IFERROR(INDEX('Clean Gamification Data'!$I:$I,MATCH($B241,'Clean Gamification Data'!$A:$A,0)),"Not Found")</f>
        <v>60.051692959999997</v>
      </c>
      <c r="AA241" s="28">
        <f>Table1[[#This Row],[Engagement (Gamification %)]]-Table1[[#This Row],[Engagement (Non-Gamification %)]]</f>
        <v>13.270181170000001</v>
      </c>
      <c r="AB241" s="28">
        <f>Table1[[#This Row],[Motivation (Gamification %)]]-Table1[[#This Row],[Motivation (Non-Gamification %)]]</f>
        <v>26.731468839999998</v>
      </c>
      <c r="AC241" s="28">
        <f>Table1[[#This Row],[Participation (Gamification %)]]-Table1[[#This Row],[Participation (Non-Gamification %)]]</f>
        <v>13.428155380000007</v>
      </c>
      <c r="AD241" s="28">
        <f>Table1[[#This Row],[Learning Outcomes (Gamification %)]]-Table1[[#This Row],[Learning Outcomes (Non-Gamification %)]]</f>
        <v>8.8447950700000035</v>
      </c>
      <c r="AE241" s="44" t="str">
        <f>IF(Table1[[#This Row],[Overall Effectiveness]]&lt;3.9,"Low",IF(Table1[[#This Row],[Overall Effectiveness]]&lt;4.2,"Medium","High"))</f>
        <v>Medium</v>
      </c>
      <c r="AF241" s="30" t="str">
        <f t="shared" si="22"/>
        <v>Case Studies</v>
      </c>
      <c r="AG241" s="30" t="str">
        <f t="shared" si="23"/>
        <v>Group Projects</v>
      </c>
      <c r="AH241" s="27">
        <f>COUNTIF(Teacher_Master!$D$2:$D$16,AF241)</f>
        <v>3</v>
      </c>
      <c r="AI241" s="30" t="str">
        <f>INDEX(Teacher_Master!$B$2:$B$16,MATCH(AF241,Teacher_Master!$D$2:$D$16,0))</f>
        <v>Prof. Rajesh Mukherjee</v>
      </c>
    </row>
    <row r="242" spans="1:35" ht="14.25" customHeight="1" x14ac:dyDescent="0.3">
      <c r="A242" s="31" t="s">
        <v>502</v>
      </c>
      <c r="B242" s="31" t="s">
        <v>2250</v>
      </c>
      <c r="C242" s="31" t="s">
        <v>2881</v>
      </c>
      <c r="D242" s="12">
        <f t="shared" ca="1" si="18"/>
        <v>22</v>
      </c>
      <c r="E242" s="12" t="str">
        <f ca="1">IF(Table1[[#This Row],[Age]]&lt;=22,"20-22",IF(Table1[[#This Row],[Age]]&lt;=25,"23-25",IF(Table1[[#This Row],[Age]]&lt;=28,"26-28","29-30")))</f>
        <v>20-22</v>
      </c>
      <c r="F242" s="12">
        <v>4.26</v>
      </c>
      <c r="G242" s="12">
        <v>4</v>
      </c>
      <c r="H242" s="12">
        <v>3.96</v>
      </c>
      <c r="I242" s="12">
        <v>4.28</v>
      </c>
      <c r="J242" s="12">
        <v>4.1900000000000004</v>
      </c>
      <c r="K242" s="12">
        <v>4.18</v>
      </c>
      <c r="L242" s="12">
        <v>3.82</v>
      </c>
      <c r="M242" s="12">
        <v>3.5</v>
      </c>
      <c r="N242" s="12">
        <v>4.0199999999999996</v>
      </c>
      <c r="O242" s="12">
        <v>3.96</v>
      </c>
      <c r="P242" s="12">
        <f t="shared" si="19"/>
        <v>4.1379999999999999</v>
      </c>
      <c r="Q242" s="12">
        <f t="shared" si="20"/>
        <v>4.1399999999999997</v>
      </c>
      <c r="R242" s="12">
        <f t="shared" si="21"/>
        <v>3.8959999999999999</v>
      </c>
      <c r="S242" s="28">
        <f>IFERROR(INDEX('Clean Gamification Data'!$B:$B,MATCH($B242,'Clean Gamification Data'!$A:$A,0)),"Not Found")</f>
        <v>90.182664200000005</v>
      </c>
      <c r="T242" s="28">
        <f>IFERROR(INDEX('Clean Gamification Data'!$C:$C,MATCH($B242,'Clean Gamification Data'!$A:$A,0)),"Not Found")</f>
        <v>74.36544404</v>
      </c>
      <c r="U242" s="28">
        <f>IFERROR(INDEX('Clean Gamification Data'!$D:$D,MATCH($B242,'Clean Gamification Data'!$A:$A,0)),"Not Found")</f>
        <v>76.17817119</v>
      </c>
      <c r="V242" s="28">
        <f>IFERROR(INDEX('Clean Gamification Data'!$E:$E,MATCH($B242,'Clean Gamification Data'!$A:$A,0)),"Not Found")</f>
        <v>75</v>
      </c>
      <c r="W242" s="28">
        <f>IFERROR(INDEX('Clean Gamification Data'!$F:$F,MATCH($B242,'Clean Gamification Data'!$A:$A,0)),"Not Found")</f>
        <v>99.9</v>
      </c>
      <c r="X242" s="28">
        <f>IFERROR(INDEX('Clean Gamification Data'!$G:$G,MATCH($B242,'Clean Gamification Data'!$A:$A,0)),"Not Found")</f>
        <v>85</v>
      </c>
      <c r="Y242" s="28">
        <f>IFERROR(INDEX('Clean Gamification Data'!$H:$H,MATCH($B242,'Clean Gamification Data'!$A:$A,0)),"Not Found")</f>
        <v>65.539464769999995</v>
      </c>
      <c r="Z242" s="28">
        <f>IFERROR(INDEX('Clean Gamification Data'!$I:$I,MATCH($B242,'Clean Gamification Data'!$A:$A,0)),"Not Found")</f>
        <v>62.135893379999999</v>
      </c>
      <c r="AA242" s="28">
        <f>Table1[[#This Row],[Engagement (Gamification %)]]-Table1[[#This Row],[Engagement (Non-Gamification %)]]</f>
        <v>15.817220160000005</v>
      </c>
      <c r="AB242" s="28">
        <f>Table1[[#This Row],[Motivation (Gamification %)]]-Table1[[#This Row],[Motivation (Non-Gamification %)]]</f>
        <v>1.1781711900000005</v>
      </c>
      <c r="AC242" s="28">
        <f>Table1[[#This Row],[Participation (Gamification %)]]-Table1[[#This Row],[Participation (Non-Gamification %)]]</f>
        <v>14.900000000000006</v>
      </c>
      <c r="AD242" s="28">
        <f>Table1[[#This Row],[Learning Outcomes (Gamification %)]]-Table1[[#This Row],[Learning Outcomes (Non-Gamification %)]]</f>
        <v>3.4035713899999962</v>
      </c>
      <c r="AE242" s="44" t="str">
        <f>IF(Table1[[#This Row],[Overall Effectiveness]]&lt;3.9,"Low",IF(Table1[[#This Row],[Overall Effectiveness]]&lt;4.2,"Medium","High"))</f>
        <v>Medium</v>
      </c>
      <c r="AF242" s="30" t="str">
        <f t="shared" si="22"/>
        <v>Experiments</v>
      </c>
      <c r="AG242" s="30" t="str">
        <f t="shared" si="23"/>
        <v>Lectures</v>
      </c>
      <c r="AH242" s="27">
        <f>COUNTIF(Teacher_Master!$D$2:$D$16,AF242)</f>
        <v>3</v>
      </c>
      <c r="AI242" s="30" t="str">
        <f>INDEX(Teacher_Master!$B$2:$B$16,MATCH(AF242,Teacher_Master!$D$2:$D$16,0))</f>
        <v>Prof. Rahul Singh</v>
      </c>
    </row>
    <row r="243" spans="1:35" ht="14.25" customHeight="1" x14ac:dyDescent="0.3">
      <c r="A243" s="31" t="s">
        <v>504</v>
      </c>
      <c r="B243" s="31" t="s">
        <v>2251</v>
      </c>
      <c r="C243" s="31" t="s">
        <v>2881</v>
      </c>
      <c r="D243" s="12">
        <f t="shared" ca="1" si="18"/>
        <v>20</v>
      </c>
      <c r="E243" s="12" t="str">
        <f ca="1">IF(Table1[[#This Row],[Age]]&lt;=22,"20-22",IF(Table1[[#This Row],[Age]]&lt;=25,"23-25",IF(Table1[[#This Row],[Age]]&lt;=28,"26-28","29-30")))</f>
        <v>20-22</v>
      </c>
      <c r="F243" s="12">
        <v>4.25</v>
      </c>
      <c r="G243" s="12">
        <v>4.18</v>
      </c>
      <c r="H243" s="12">
        <v>3.81</v>
      </c>
      <c r="I243" s="12">
        <v>4.3499999999999996</v>
      </c>
      <c r="J243" s="12">
        <v>3.94</v>
      </c>
      <c r="K243" s="12">
        <v>3.83</v>
      </c>
      <c r="L243" s="12">
        <v>4.13</v>
      </c>
      <c r="M243" s="12">
        <v>4.05</v>
      </c>
      <c r="N243" s="12">
        <v>3.76</v>
      </c>
      <c r="O243" s="12">
        <v>4.25</v>
      </c>
      <c r="P243" s="12">
        <f t="shared" si="19"/>
        <v>4.1059999999999999</v>
      </c>
      <c r="Q243" s="12">
        <f t="shared" si="20"/>
        <v>4.1100000000000003</v>
      </c>
      <c r="R243" s="12">
        <f t="shared" si="21"/>
        <v>4.0039999999999996</v>
      </c>
      <c r="S243" s="28">
        <f>IFERROR(INDEX('Clean Gamification Data'!$B:$B,MATCH($B243,'Clean Gamification Data'!$A:$A,0)),"Not Found")</f>
        <v>75.87921833</v>
      </c>
      <c r="T243" s="28">
        <f>IFERROR(INDEX('Clean Gamification Data'!$C:$C,MATCH($B243,'Clean Gamification Data'!$A:$A,0)),"Not Found")</f>
        <v>69.434238559999997</v>
      </c>
      <c r="U243" s="28">
        <f>IFERROR(INDEX('Clean Gamification Data'!$D:$D,MATCH($B243,'Clean Gamification Data'!$A:$A,0)),"Not Found")</f>
        <v>77.217792000000003</v>
      </c>
      <c r="V243" s="28">
        <f>IFERROR(INDEX('Clean Gamification Data'!$E:$E,MATCH($B243,'Clean Gamification Data'!$A:$A,0)),"Not Found")</f>
        <v>68.990551740000001</v>
      </c>
      <c r="W243" s="28">
        <f>IFERROR(INDEX('Clean Gamification Data'!$F:$F,MATCH($B243,'Clean Gamification Data'!$A:$A,0)),"Not Found")</f>
        <v>95.347232669999997</v>
      </c>
      <c r="X243" s="28">
        <f>IFERROR(INDEX('Clean Gamification Data'!$G:$G,MATCH($B243,'Clean Gamification Data'!$A:$A,0)),"Not Found")</f>
        <v>76.398142949999993</v>
      </c>
      <c r="Y243" s="28">
        <f>IFERROR(INDEX('Clean Gamification Data'!$H:$H,MATCH($B243,'Clean Gamification Data'!$A:$A,0)),"Not Found")</f>
        <v>77.497587940000003</v>
      </c>
      <c r="Z243" s="28">
        <f>IFERROR(INDEX('Clean Gamification Data'!$I:$I,MATCH($B243,'Clean Gamification Data'!$A:$A,0)),"Not Found")</f>
        <v>61.429701540000003</v>
      </c>
      <c r="AA243" s="28">
        <f>Table1[[#This Row],[Engagement (Gamification %)]]-Table1[[#This Row],[Engagement (Non-Gamification %)]]</f>
        <v>6.4449797700000033</v>
      </c>
      <c r="AB243" s="28">
        <f>Table1[[#This Row],[Motivation (Gamification %)]]-Table1[[#This Row],[Motivation (Non-Gamification %)]]</f>
        <v>8.2272402600000021</v>
      </c>
      <c r="AC243" s="28">
        <f>Table1[[#This Row],[Participation (Gamification %)]]-Table1[[#This Row],[Participation (Non-Gamification %)]]</f>
        <v>18.949089720000003</v>
      </c>
      <c r="AD243" s="28">
        <f>Table1[[#This Row],[Learning Outcomes (Gamification %)]]-Table1[[#This Row],[Learning Outcomes (Non-Gamification %)]]</f>
        <v>16.067886399999999</v>
      </c>
      <c r="AE243" s="44" t="str">
        <f>IF(Table1[[#This Row],[Overall Effectiveness]]&lt;3.9,"Low",IF(Table1[[#This Row],[Overall Effectiveness]]&lt;4.2,"Medium","High"))</f>
        <v>Medium</v>
      </c>
      <c r="AF243" s="30" t="str">
        <f t="shared" si="22"/>
        <v>Experiments</v>
      </c>
      <c r="AG243" s="30" t="str">
        <f t="shared" si="23"/>
        <v>Online Tutorials</v>
      </c>
      <c r="AH243" s="27">
        <f>COUNTIF(Teacher_Master!$D$2:$D$16,AF243)</f>
        <v>3</v>
      </c>
      <c r="AI243" s="30" t="str">
        <f>INDEX(Teacher_Master!$B$2:$B$16,MATCH(AF243,Teacher_Master!$D$2:$D$16,0))</f>
        <v>Prof. Rahul Singh</v>
      </c>
    </row>
    <row r="244" spans="1:35" ht="14.25" customHeight="1" x14ac:dyDescent="0.3">
      <c r="A244" s="31" t="s">
        <v>506</v>
      </c>
      <c r="B244" s="31" t="s">
        <v>507</v>
      </c>
      <c r="C244" s="31" t="s">
        <v>2882</v>
      </c>
      <c r="D244" s="12">
        <f t="shared" ca="1" si="18"/>
        <v>24</v>
      </c>
      <c r="E244" s="12" t="str">
        <f ca="1">IF(Table1[[#This Row],[Age]]&lt;=22,"20-22",IF(Table1[[#This Row],[Age]]&lt;=25,"23-25",IF(Table1[[#This Row],[Age]]&lt;=28,"26-28","29-30")))</f>
        <v>23-25</v>
      </c>
      <c r="F244" s="12">
        <v>4.17</v>
      </c>
      <c r="G244" s="12">
        <v>4.13</v>
      </c>
      <c r="H244" s="12">
        <v>4.09</v>
      </c>
      <c r="I244" s="12">
        <v>3.89</v>
      </c>
      <c r="J244" s="12">
        <v>4.57</v>
      </c>
      <c r="K244" s="12">
        <v>4.26</v>
      </c>
      <c r="L244" s="12">
        <v>4.09</v>
      </c>
      <c r="M244" s="12">
        <v>4.26</v>
      </c>
      <c r="N244" s="12">
        <v>3.65</v>
      </c>
      <c r="O244" s="12">
        <v>4.33</v>
      </c>
      <c r="P244" s="12">
        <f t="shared" si="19"/>
        <v>4.17</v>
      </c>
      <c r="Q244" s="12">
        <f t="shared" si="20"/>
        <v>4.17</v>
      </c>
      <c r="R244" s="12">
        <f t="shared" si="21"/>
        <v>4.1179999999999994</v>
      </c>
      <c r="S244" s="28">
        <f>IFERROR(INDEX('Clean Gamification Data'!$B:$B,MATCH($B244,'Clean Gamification Data'!$A:$A,0)),"Not Found")</f>
        <v>97.546615489999994</v>
      </c>
      <c r="T244" s="28">
        <f>IFERROR(INDEX('Clean Gamification Data'!$C:$C,MATCH($B244,'Clean Gamification Data'!$A:$A,0)),"Not Found")</f>
        <v>63.434898259999997</v>
      </c>
      <c r="U244" s="28">
        <f>IFERROR(INDEX('Clean Gamification Data'!$D:$D,MATCH($B244,'Clean Gamification Data'!$A:$A,0)),"Not Found")</f>
        <v>74.226256789999994</v>
      </c>
      <c r="V244" s="28">
        <f>IFERROR(INDEX('Clean Gamification Data'!$E:$E,MATCH($B244,'Clean Gamification Data'!$A:$A,0)),"Not Found")</f>
        <v>62.254904830000001</v>
      </c>
      <c r="W244" s="28">
        <f>IFERROR(INDEX('Clean Gamification Data'!$F:$F,MATCH($B244,'Clean Gamification Data'!$A:$A,0)),"Not Found")</f>
        <v>89.021165589999995</v>
      </c>
      <c r="X244" s="28">
        <f>IFERROR(INDEX('Clean Gamification Data'!$G:$G,MATCH($B244,'Clean Gamification Data'!$A:$A,0)),"Not Found")</f>
        <v>65</v>
      </c>
      <c r="Y244" s="28">
        <f>IFERROR(INDEX('Clean Gamification Data'!$H:$H,MATCH($B244,'Clean Gamification Data'!$A:$A,0)),"Not Found")</f>
        <v>76.436769260000005</v>
      </c>
      <c r="Z244" s="28">
        <f>IFERROR(INDEX('Clean Gamification Data'!$I:$I,MATCH($B244,'Clean Gamification Data'!$A:$A,0)),"Not Found")</f>
        <v>52.662892069999998</v>
      </c>
      <c r="AA244" s="28">
        <f>Table1[[#This Row],[Engagement (Gamification %)]]-Table1[[#This Row],[Engagement (Non-Gamification %)]]</f>
        <v>34.111717229999996</v>
      </c>
      <c r="AB244" s="28">
        <f>Table1[[#This Row],[Motivation (Gamification %)]]-Table1[[#This Row],[Motivation (Non-Gamification %)]]</f>
        <v>11.971351959999993</v>
      </c>
      <c r="AC244" s="28">
        <f>Table1[[#This Row],[Participation (Gamification %)]]-Table1[[#This Row],[Participation (Non-Gamification %)]]</f>
        <v>24.021165589999995</v>
      </c>
      <c r="AD244" s="28">
        <f>Table1[[#This Row],[Learning Outcomes (Gamification %)]]-Table1[[#This Row],[Learning Outcomes (Non-Gamification %)]]</f>
        <v>23.773877190000007</v>
      </c>
      <c r="AE244" s="44" t="str">
        <f>IF(Table1[[#This Row],[Overall Effectiveness]]&lt;3.9,"Low",IF(Table1[[#This Row],[Overall Effectiveness]]&lt;4.2,"Medium","High"))</f>
        <v>Medium</v>
      </c>
      <c r="AF244" s="30" t="str">
        <f t="shared" si="22"/>
        <v>Online Tutorials</v>
      </c>
      <c r="AG244" s="30" t="str">
        <f t="shared" si="23"/>
        <v>Online Tutorials</v>
      </c>
      <c r="AH244" s="27">
        <f>COUNTIF(Teacher_Master!$D$2:$D$16,AF244)</f>
        <v>3</v>
      </c>
      <c r="AI244" s="30" t="str">
        <f>INDEX(Teacher_Master!$B$2:$B$16,MATCH(AF244,Teacher_Master!$D$2:$D$16,0))</f>
        <v>Prof. Kavita Rao</v>
      </c>
    </row>
    <row r="245" spans="1:35" ht="14.25" customHeight="1" x14ac:dyDescent="0.3">
      <c r="A245" s="31" t="s">
        <v>508</v>
      </c>
      <c r="B245" s="31" t="s">
        <v>2252</v>
      </c>
      <c r="C245" s="31" t="s">
        <v>2882</v>
      </c>
      <c r="D245" s="12">
        <f t="shared" ca="1" si="18"/>
        <v>20</v>
      </c>
      <c r="E245" s="12" t="str">
        <f ca="1">IF(Table1[[#This Row],[Age]]&lt;=22,"20-22",IF(Table1[[#This Row],[Age]]&lt;=25,"23-25",IF(Table1[[#This Row],[Age]]&lt;=28,"26-28","29-30")))</f>
        <v>20-22</v>
      </c>
      <c r="F245" s="12">
        <v>4.16</v>
      </c>
      <c r="G245" s="12">
        <v>3.99</v>
      </c>
      <c r="H245" s="12">
        <v>4.26</v>
      </c>
      <c r="I245" s="12">
        <v>4.05</v>
      </c>
      <c r="J245" s="12">
        <v>3.7</v>
      </c>
      <c r="K245" s="12">
        <v>3.59</v>
      </c>
      <c r="L245" s="12">
        <v>4.57</v>
      </c>
      <c r="M245" s="12">
        <v>4.3899999999999997</v>
      </c>
      <c r="N245" s="12">
        <v>4.1100000000000003</v>
      </c>
      <c r="O245" s="12">
        <v>3.9</v>
      </c>
      <c r="P245" s="12">
        <f t="shared" si="19"/>
        <v>4.032</v>
      </c>
      <c r="Q245" s="12">
        <f t="shared" si="20"/>
        <v>4.03</v>
      </c>
      <c r="R245" s="12">
        <f t="shared" si="21"/>
        <v>4.1120000000000001</v>
      </c>
      <c r="S245" s="28">
        <f>IFERROR(INDEX('Clean Gamification Data'!$B:$B,MATCH($B245,'Clean Gamification Data'!$A:$A,0)),"Not Found")</f>
        <v>83.344916679999997</v>
      </c>
      <c r="T245" s="28">
        <f>IFERROR(INDEX('Clean Gamification Data'!$C:$C,MATCH($B245,'Clean Gamification Data'!$A:$A,0)),"Not Found")</f>
        <v>78.272604759999993</v>
      </c>
      <c r="U245" s="28">
        <f>IFERROR(INDEX('Clean Gamification Data'!$D:$D,MATCH($B245,'Clean Gamification Data'!$A:$A,0)),"Not Found")</f>
        <v>83.332403900000003</v>
      </c>
      <c r="V245" s="28">
        <f>IFERROR(INDEX('Clean Gamification Data'!$E:$E,MATCH($B245,'Clean Gamification Data'!$A:$A,0)),"Not Found")</f>
        <v>75</v>
      </c>
      <c r="W245" s="28">
        <f>IFERROR(INDEX('Clean Gamification Data'!$F:$F,MATCH($B245,'Clean Gamification Data'!$A:$A,0)),"Not Found")</f>
        <v>83.518831300000002</v>
      </c>
      <c r="X245" s="28">
        <f>IFERROR(INDEX('Clean Gamification Data'!$G:$G,MATCH($B245,'Clean Gamification Data'!$A:$A,0)),"Not Found")</f>
        <v>78.309067200000001</v>
      </c>
      <c r="Y245" s="28">
        <f>IFERROR(INDEX('Clean Gamification Data'!$H:$H,MATCH($B245,'Clean Gamification Data'!$A:$A,0)),"Not Found")</f>
        <v>67.865038720000001</v>
      </c>
      <c r="Z245" s="28">
        <f>IFERROR(INDEX('Clean Gamification Data'!$I:$I,MATCH($B245,'Clean Gamification Data'!$A:$A,0)),"Not Found")</f>
        <v>56.414930869999999</v>
      </c>
      <c r="AA245" s="28">
        <f>Table1[[#This Row],[Engagement (Gamification %)]]-Table1[[#This Row],[Engagement (Non-Gamification %)]]</f>
        <v>5.0723119200000042</v>
      </c>
      <c r="AB245" s="28">
        <f>Table1[[#This Row],[Motivation (Gamification %)]]-Table1[[#This Row],[Motivation (Non-Gamification %)]]</f>
        <v>8.3324039000000027</v>
      </c>
      <c r="AC245" s="28">
        <f>Table1[[#This Row],[Participation (Gamification %)]]-Table1[[#This Row],[Participation (Non-Gamification %)]]</f>
        <v>5.209764100000001</v>
      </c>
      <c r="AD245" s="28">
        <f>Table1[[#This Row],[Learning Outcomes (Gamification %)]]-Table1[[#This Row],[Learning Outcomes (Non-Gamification %)]]</f>
        <v>11.450107850000002</v>
      </c>
      <c r="AE245" s="44" t="str">
        <f>IF(Table1[[#This Row],[Overall Effectiveness]]&lt;3.9,"Low",IF(Table1[[#This Row],[Overall Effectiveness]]&lt;4.2,"Medium","High"))</f>
        <v>Medium</v>
      </c>
      <c r="AF245" s="30" t="str">
        <f t="shared" si="22"/>
        <v>Group Projects</v>
      </c>
      <c r="AG245" s="30" t="str">
        <f t="shared" si="23"/>
        <v>Case Studies</v>
      </c>
      <c r="AH245" s="27">
        <f>COUNTIF(Teacher_Master!$D$2:$D$16,AF245)</f>
        <v>3</v>
      </c>
      <c r="AI245" s="30" t="str">
        <f>INDEX(Teacher_Master!$B$2:$B$16,MATCH(AF245,Teacher_Master!$D$2:$D$16,0))</f>
        <v>Dr. Rohan Dutta</v>
      </c>
    </row>
    <row r="246" spans="1:35" ht="14.25" customHeight="1" x14ac:dyDescent="0.3">
      <c r="A246" s="31" t="s">
        <v>510</v>
      </c>
      <c r="B246" s="31" t="s">
        <v>2253</v>
      </c>
      <c r="C246" s="31" t="s">
        <v>2881</v>
      </c>
      <c r="D246" s="12">
        <f t="shared" ca="1" si="18"/>
        <v>21</v>
      </c>
      <c r="E246" s="12" t="str">
        <f ca="1">IF(Table1[[#This Row],[Age]]&lt;=22,"20-22",IF(Table1[[#This Row],[Age]]&lt;=25,"23-25",IF(Table1[[#This Row],[Age]]&lt;=28,"26-28","29-30")))</f>
        <v>20-22</v>
      </c>
      <c r="F246" s="12">
        <v>4.26</v>
      </c>
      <c r="G246" s="12">
        <v>4.41</v>
      </c>
      <c r="H246" s="12">
        <v>4.1900000000000004</v>
      </c>
      <c r="I246" s="12">
        <v>3.76</v>
      </c>
      <c r="J246" s="12">
        <v>4.53</v>
      </c>
      <c r="K246" s="12">
        <v>4.1399999999999997</v>
      </c>
      <c r="L246" s="12">
        <v>4.1500000000000004</v>
      </c>
      <c r="M246" s="12">
        <v>4.25</v>
      </c>
      <c r="N246" s="12">
        <v>4.1500000000000004</v>
      </c>
      <c r="O246" s="12">
        <v>4.29</v>
      </c>
      <c r="P246" s="12">
        <f t="shared" si="19"/>
        <v>4.2299999999999995</v>
      </c>
      <c r="Q246" s="12">
        <f t="shared" si="20"/>
        <v>4.2300000000000004</v>
      </c>
      <c r="R246" s="12">
        <f t="shared" si="21"/>
        <v>4.1959999999999997</v>
      </c>
      <c r="S246" s="28">
        <f>IFERROR(INDEX('Clean Gamification Data'!$B:$B,MATCH($B246,'Clean Gamification Data'!$A:$A,0)),"Not Found")</f>
        <v>89.521651489999996</v>
      </c>
      <c r="T246" s="28">
        <f>IFERROR(INDEX('Clean Gamification Data'!$C:$C,MATCH($B246,'Clean Gamification Data'!$A:$A,0)),"Not Found")</f>
        <v>75.158267940000002</v>
      </c>
      <c r="U246" s="28">
        <f>IFERROR(INDEX('Clean Gamification Data'!$D:$D,MATCH($B246,'Clean Gamification Data'!$A:$A,0)),"Not Found")</f>
        <v>81.228836650000005</v>
      </c>
      <c r="V246" s="28">
        <f>IFERROR(INDEX('Clean Gamification Data'!$E:$E,MATCH($B246,'Clean Gamification Data'!$A:$A,0)),"Not Found")</f>
        <v>74.113316949999998</v>
      </c>
      <c r="W246" s="28">
        <f>IFERROR(INDEX('Clean Gamification Data'!$F:$F,MATCH($B246,'Clean Gamification Data'!$A:$A,0)),"Not Found")</f>
        <v>90.919157870000006</v>
      </c>
      <c r="X246" s="28">
        <f>IFERROR(INDEX('Clean Gamification Data'!$G:$G,MATCH($B246,'Clean Gamification Data'!$A:$A,0)),"Not Found")</f>
        <v>83.999343920000001</v>
      </c>
      <c r="Y246" s="28">
        <f>IFERROR(INDEX('Clean Gamification Data'!$H:$H,MATCH($B246,'Clean Gamification Data'!$A:$A,0)),"Not Found")</f>
        <v>66.601245719999994</v>
      </c>
      <c r="Z246" s="28">
        <f>IFERROR(INDEX('Clean Gamification Data'!$I:$I,MATCH($B246,'Clean Gamification Data'!$A:$A,0)),"Not Found")</f>
        <v>52.857003939999998</v>
      </c>
      <c r="AA246" s="28">
        <f>Table1[[#This Row],[Engagement (Gamification %)]]-Table1[[#This Row],[Engagement (Non-Gamification %)]]</f>
        <v>14.363383549999995</v>
      </c>
      <c r="AB246" s="28">
        <f>Table1[[#This Row],[Motivation (Gamification %)]]-Table1[[#This Row],[Motivation (Non-Gamification %)]]</f>
        <v>7.1155197000000072</v>
      </c>
      <c r="AC246" s="28">
        <f>Table1[[#This Row],[Participation (Gamification %)]]-Table1[[#This Row],[Participation (Non-Gamification %)]]</f>
        <v>6.9198139500000053</v>
      </c>
      <c r="AD246" s="28">
        <f>Table1[[#This Row],[Learning Outcomes (Gamification %)]]-Table1[[#This Row],[Learning Outcomes (Non-Gamification %)]]</f>
        <v>13.744241779999996</v>
      </c>
      <c r="AE246" s="44" t="str">
        <f>IF(Table1[[#This Row],[Overall Effectiveness]]&lt;3.9,"Low",IF(Table1[[#This Row],[Overall Effectiveness]]&lt;4.2,"Medium","High"))</f>
        <v>High</v>
      </c>
      <c r="AF246" s="30" t="str">
        <f t="shared" si="22"/>
        <v>Online Tutorials</v>
      </c>
      <c r="AG246" s="30" t="str">
        <f t="shared" si="23"/>
        <v>Online Tutorials</v>
      </c>
      <c r="AH246" s="27">
        <f>COUNTIF(Teacher_Master!$D$2:$D$16,AF246)</f>
        <v>3</v>
      </c>
      <c r="AI246" s="30" t="str">
        <f>INDEX(Teacher_Master!$B$2:$B$16,MATCH(AF246,Teacher_Master!$D$2:$D$16,0))</f>
        <v>Prof. Kavita Rao</v>
      </c>
    </row>
    <row r="247" spans="1:35" ht="14.25" customHeight="1" x14ac:dyDescent="0.3">
      <c r="A247" s="31" t="s">
        <v>512</v>
      </c>
      <c r="B247" s="31" t="s">
        <v>2254</v>
      </c>
      <c r="C247" s="31" t="s">
        <v>2881</v>
      </c>
      <c r="D247" s="12">
        <f t="shared" ca="1" si="18"/>
        <v>26</v>
      </c>
      <c r="E247" s="12" t="str">
        <f ca="1">IF(Table1[[#This Row],[Age]]&lt;=22,"20-22",IF(Table1[[#This Row],[Age]]&lt;=25,"23-25",IF(Table1[[#This Row],[Age]]&lt;=28,"26-28","29-30")))</f>
        <v>26-28</v>
      </c>
      <c r="F247" s="12">
        <v>3.72</v>
      </c>
      <c r="G247" s="12">
        <v>3.76</v>
      </c>
      <c r="H247" s="12">
        <v>3.82</v>
      </c>
      <c r="I247" s="12">
        <v>3.75</v>
      </c>
      <c r="J247" s="12">
        <v>4.32</v>
      </c>
      <c r="K247" s="12">
        <v>3.8</v>
      </c>
      <c r="L247" s="12">
        <v>4.32</v>
      </c>
      <c r="M247" s="12">
        <v>4.21</v>
      </c>
      <c r="N247" s="12">
        <v>3.65</v>
      </c>
      <c r="O247" s="12">
        <v>4.2699999999999996</v>
      </c>
      <c r="P247" s="12">
        <f t="shared" si="19"/>
        <v>3.8740000000000001</v>
      </c>
      <c r="Q247" s="12">
        <f t="shared" si="20"/>
        <v>3.87</v>
      </c>
      <c r="R247" s="12">
        <f t="shared" si="21"/>
        <v>4.05</v>
      </c>
      <c r="S247" s="28">
        <f>IFERROR(INDEX('Clean Gamification Data'!$B:$B,MATCH($B247,'Clean Gamification Data'!$A:$A,0)),"Not Found")</f>
        <v>95.822804129999994</v>
      </c>
      <c r="T247" s="28">
        <f>IFERROR(INDEX('Clean Gamification Data'!$C:$C,MATCH($B247,'Clean Gamification Data'!$A:$A,0)),"Not Found")</f>
        <v>66.054595230000004</v>
      </c>
      <c r="U247" s="28">
        <f>IFERROR(INDEX('Clean Gamification Data'!$D:$D,MATCH($B247,'Clean Gamification Data'!$A:$A,0)),"Not Found")</f>
        <v>79.924984159999994</v>
      </c>
      <c r="V247" s="28">
        <f>IFERROR(INDEX('Clean Gamification Data'!$E:$E,MATCH($B247,'Clean Gamification Data'!$A:$A,0)),"Not Found")</f>
        <v>68.658870190000002</v>
      </c>
      <c r="W247" s="28">
        <f>IFERROR(INDEX('Clean Gamification Data'!$F:$F,MATCH($B247,'Clean Gamification Data'!$A:$A,0)),"Not Found")</f>
        <v>86.665440380000007</v>
      </c>
      <c r="X247" s="28">
        <f>IFERROR(INDEX('Clean Gamification Data'!$G:$G,MATCH($B247,'Clean Gamification Data'!$A:$A,0)),"Not Found")</f>
        <v>82.320874059999994</v>
      </c>
      <c r="Y247" s="28">
        <f>IFERROR(INDEX('Clean Gamification Data'!$H:$H,MATCH($B247,'Clean Gamification Data'!$A:$A,0)),"Not Found")</f>
        <v>66.806075440000001</v>
      </c>
      <c r="Z247" s="28">
        <f>IFERROR(INDEX('Clean Gamification Data'!$I:$I,MATCH($B247,'Clean Gamification Data'!$A:$A,0)),"Not Found")</f>
        <v>52.225083699999999</v>
      </c>
      <c r="AA247" s="28">
        <f>Table1[[#This Row],[Engagement (Gamification %)]]-Table1[[#This Row],[Engagement (Non-Gamification %)]]</f>
        <v>29.768208899999991</v>
      </c>
      <c r="AB247" s="28">
        <f>Table1[[#This Row],[Motivation (Gamification %)]]-Table1[[#This Row],[Motivation (Non-Gamification %)]]</f>
        <v>11.266113969999992</v>
      </c>
      <c r="AC247" s="28">
        <f>Table1[[#This Row],[Participation (Gamification %)]]-Table1[[#This Row],[Participation (Non-Gamification %)]]</f>
        <v>4.3445663200000126</v>
      </c>
      <c r="AD247" s="28">
        <f>Table1[[#This Row],[Learning Outcomes (Gamification %)]]-Table1[[#This Row],[Learning Outcomes (Non-Gamification %)]]</f>
        <v>14.580991740000002</v>
      </c>
      <c r="AE247" s="44" t="str">
        <f>IF(Table1[[#This Row],[Overall Effectiveness]]&lt;3.9,"Low",IF(Table1[[#This Row],[Overall Effectiveness]]&lt;4.2,"Medium","High"))</f>
        <v>Low</v>
      </c>
      <c r="AF247" s="30" t="str">
        <f t="shared" si="22"/>
        <v>Online Tutorials</v>
      </c>
      <c r="AG247" s="30" t="str">
        <f t="shared" si="23"/>
        <v>Case Studies</v>
      </c>
      <c r="AH247" s="27">
        <f>COUNTIF(Teacher_Master!$D$2:$D$16,AF247)</f>
        <v>3</v>
      </c>
      <c r="AI247" s="30" t="str">
        <f>INDEX(Teacher_Master!$B$2:$B$16,MATCH(AF247,Teacher_Master!$D$2:$D$16,0))</f>
        <v>Prof. Kavita Rao</v>
      </c>
    </row>
    <row r="248" spans="1:35" ht="14.25" customHeight="1" x14ac:dyDescent="0.3">
      <c r="A248" s="31" t="s">
        <v>514</v>
      </c>
      <c r="B248" s="31" t="s">
        <v>2255</v>
      </c>
      <c r="C248" s="31" t="s">
        <v>2881</v>
      </c>
      <c r="D248" s="12">
        <f t="shared" ca="1" si="18"/>
        <v>30</v>
      </c>
      <c r="E248" s="12" t="str">
        <f ca="1">IF(Table1[[#This Row],[Age]]&lt;=22,"20-22",IF(Table1[[#This Row],[Age]]&lt;=25,"23-25",IF(Table1[[#This Row],[Age]]&lt;=28,"26-28","29-30")))</f>
        <v>29-30</v>
      </c>
      <c r="F248" s="12">
        <v>3.66</v>
      </c>
      <c r="G248" s="12" t="s">
        <v>211</v>
      </c>
      <c r="H248" s="12">
        <v>4.32</v>
      </c>
      <c r="I248" s="12">
        <v>3.12</v>
      </c>
      <c r="J248" s="12">
        <v>4.1100000000000003</v>
      </c>
      <c r="K248" s="12">
        <v>3.75</v>
      </c>
      <c r="L248" s="12">
        <v>3.7</v>
      </c>
      <c r="M248" s="12">
        <v>3.95</v>
      </c>
      <c r="N248" s="12">
        <v>4.37</v>
      </c>
      <c r="O248" s="12">
        <v>3.85</v>
      </c>
      <c r="P248" s="12">
        <f t="shared" si="19"/>
        <v>3.8025000000000002</v>
      </c>
      <c r="Q248" s="12">
        <f t="shared" si="20"/>
        <v>3.8</v>
      </c>
      <c r="R248" s="12">
        <f t="shared" si="21"/>
        <v>3.9240000000000004</v>
      </c>
      <c r="S248" s="28">
        <f>IFERROR(INDEX('Clean Gamification Data'!$B:$B,MATCH($B248,'Clean Gamification Data'!$A:$A,0)),"Not Found")</f>
        <v>82.927173150000002</v>
      </c>
      <c r="T248" s="28">
        <f>IFERROR(INDEX('Clean Gamification Data'!$C:$C,MATCH($B248,'Clean Gamification Data'!$A:$A,0)),"Not Found")</f>
        <v>64.011066450000001</v>
      </c>
      <c r="U248" s="28">
        <f>IFERROR(INDEX('Clean Gamification Data'!$D:$D,MATCH($B248,'Clean Gamification Data'!$A:$A,0)),"Not Found")</f>
        <v>72.876398660000007</v>
      </c>
      <c r="V248" s="28">
        <f>IFERROR(INDEX('Clean Gamification Data'!$E:$E,MATCH($B248,'Clean Gamification Data'!$A:$A,0)),"Not Found")</f>
        <v>68.196279880000006</v>
      </c>
      <c r="W248" s="28">
        <f>IFERROR(INDEX('Clean Gamification Data'!$F:$F,MATCH($B248,'Clean Gamification Data'!$A:$A,0)),"Not Found")</f>
        <v>88.702910099999997</v>
      </c>
      <c r="X248" s="28">
        <f>IFERROR(INDEX('Clean Gamification Data'!$G:$G,MATCH($B248,'Clean Gamification Data'!$A:$A,0)),"Not Found")</f>
        <v>77.694670560000006</v>
      </c>
      <c r="Y248" s="28">
        <f>IFERROR(INDEX('Clean Gamification Data'!$H:$H,MATCH($B248,'Clean Gamification Data'!$A:$A,0)),"Not Found")</f>
        <v>65.681245309999994</v>
      </c>
      <c r="Z248" s="28">
        <f>IFERROR(INDEX('Clean Gamification Data'!$I:$I,MATCH($B248,'Clean Gamification Data'!$A:$A,0)),"Not Found")</f>
        <v>60.6583921</v>
      </c>
      <c r="AA248" s="28">
        <f>Table1[[#This Row],[Engagement (Gamification %)]]-Table1[[#This Row],[Engagement (Non-Gamification %)]]</f>
        <v>18.9161067</v>
      </c>
      <c r="AB248" s="28">
        <f>Table1[[#This Row],[Motivation (Gamification %)]]-Table1[[#This Row],[Motivation (Non-Gamification %)]]</f>
        <v>4.6801187800000008</v>
      </c>
      <c r="AC248" s="28">
        <f>Table1[[#This Row],[Participation (Gamification %)]]-Table1[[#This Row],[Participation (Non-Gamification %)]]</f>
        <v>11.008239539999991</v>
      </c>
      <c r="AD248" s="28">
        <f>Table1[[#This Row],[Learning Outcomes (Gamification %)]]-Table1[[#This Row],[Learning Outcomes (Non-Gamification %)]]</f>
        <v>5.0228532099999939</v>
      </c>
      <c r="AE248" s="44" t="str">
        <f>IF(Table1[[#This Row],[Overall Effectiveness]]&lt;3.9,"Low",IF(Table1[[#This Row],[Overall Effectiveness]]&lt;4.2,"Medium","High"))</f>
        <v>Low</v>
      </c>
      <c r="AF248" s="30" t="str">
        <f t="shared" si="22"/>
        <v>Group Projects</v>
      </c>
      <c r="AG248" s="30" t="str">
        <f t="shared" si="23"/>
        <v>Experiments</v>
      </c>
      <c r="AH248" s="27">
        <f>COUNTIF(Teacher_Master!$D$2:$D$16,AF248)</f>
        <v>3</v>
      </c>
      <c r="AI248" s="30" t="str">
        <f>INDEX(Teacher_Master!$B$2:$B$16,MATCH(AF248,Teacher_Master!$D$2:$D$16,0))</f>
        <v>Dr. Rohan Dutta</v>
      </c>
    </row>
    <row r="249" spans="1:35" ht="14.25" customHeight="1" x14ac:dyDescent="0.3">
      <c r="A249" s="31" t="s">
        <v>516</v>
      </c>
      <c r="B249" s="31" t="s">
        <v>2256</v>
      </c>
      <c r="C249" s="31" t="s">
        <v>2882</v>
      </c>
      <c r="D249" s="12">
        <f t="shared" ca="1" si="18"/>
        <v>23</v>
      </c>
      <c r="E249" s="12" t="str">
        <f ca="1">IF(Table1[[#This Row],[Age]]&lt;=22,"20-22",IF(Table1[[#This Row],[Age]]&lt;=25,"23-25",IF(Table1[[#This Row],[Age]]&lt;=28,"26-28","29-30")))</f>
        <v>23-25</v>
      </c>
      <c r="F249" s="12">
        <v>4.17</v>
      </c>
      <c r="G249" s="12">
        <v>4.3</v>
      </c>
      <c r="H249" s="12">
        <v>4.18</v>
      </c>
      <c r="I249" s="12">
        <v>4.72</v>
      </c>
      <c r="J249" s="12">
        <v>4.07</v>
      </c>
      <c r="K249" s="12">
        <v>3.94</v>
      </c>
      <c r="L249" s="12">
        <v>4.4400000000000004</v>
      </c>
      <c r="M249" s="12">
        <v>4.03</v>
      </c>
      <c r="N249" s="12">
        <v>4.18</v>
      </c>
      <c r="O249" s="12">
        <v>2.8</v>
      </c>
      <c r="P249" s="12">
        <f t="shared" si="19"/>
        <v>4.2879999999999994</v>
      </c>
      <c r="Q249" s="12">
        <f t="shared" si="20"/>
        <v>4.29</v>
      </c>
      <c r="R249" s="12">
        <f t="shared" si="21"/>
        <v>3.8780000000000001</v>
      </c>
      <c r="S249" s="28">
        <f>IFERROR(INDEX('Clean Gamification Data'!$B:$B,MATCH($B249,'Clean Gamification Data'!$A:$A,0)),"Not Found")</f>
        <v>86.042076219999998</v>
      </c>
      <c r="T249" s="28">
        <f>IFERROR(INDEX('Clean Gamification Data'!$C:$C,MATCH($B249,'Clean Gamification Data'!$A:$A,0)),"Not Found")</f>
        <v>69.033263270000006</v>
      </c>
      <c r="U249" s="28">
        <f>IFERROR(INDEX('Clean Gamification Data'!$D:$D,MATCH($B249,'Clean Gamification Data'!$A:$A,0)),"Not Found")</f>
        <v>70</v>
      </c>
      <c r="V249" s="28">
        <f>IFERROR(INDEX('Clean Gamification Data'!$E:$E,MATCH($B249,'Clean Gamification Data'!$A:$A,0)),"Not Found")</f>
        <v>61.106882079999998</v>
      </c>
      <c r="W249" s="28">
        <f>IFERROR(INDEX('Clean Gamification Data'!$F:$F,MATCH($B249,'Clean Gamification Data'!$A:$A,0)),"Not Found")</f>
        <v>91.173245269999995</v>
      </c>
      <c r="X249" s="28">
        <f>IFERROR(INDEX('Clean Gamification Data'!$G:$G,MATCH($B249,'Clean Gamification Data'!$A:$A,0)),"Not Found")</f>
        <v>79.914533390000003</v>
      </c>
      <c r="Y249" s="28">
        <f>IFERROR(INDEX('Clean Gamification Data'!$H:$H,MATCH($B249,'Clean Gamification Data'!$A:$A,0)),"Not Found")</f>
        <v>70.513044140000005</v>
      </c>
      <c r="Z249" s="28">
        <f>IFERROR(INDEX('Clean Gamification Data'!$I:$I,MATCH($B249,'Clean Gamification Data'!$A:$A,0)),"Not Found")</f>
        <v>50.868980190000002</v>
      </c>
      <c r="AA249" s="28">
        <f>Table1[[#This Row],[Engagement (Gamification %)]]-Table1[[#This Row],[Engagement (Non-Gamification %)]]</f>
        <v>17.008812949999992</v>
      </c>
      <c r="AB249" s="28">
        <f>Table1[[#This Row],[Motivation (Gamification %)]]-Table1[[#This Row],[Motivation (Non-Gamification %)]]</f>
        <v>8.8931179200000017</v>
      </c>
      <c r="AC249" s="28">
        <f>Table1[[#This Row],[Participation (Gamification %)]]-Table1[[#This Row],[Participation (Non-Gamification %)]]</f>
        <v>11.258711879999993</v>
      </c>
      <c r="AD249" s="28">
        <f>Table1[[#This Row],[Learning Outcomes (Gamification %)]]-Table1[[#This Row],[Learning Outcomes (Non-Gamification %)]]</f>
        <v>19.644063950000003</v>
      </c>
      <c r="AE249" s="44" t="str">
        <f>IF(Table1[[#This Row],[Overall Effectiveness]]&lt;3.9,"Low",IF(Table1[[#This Row],[Overall Effectiveness]]&lt;4.2,"Medium","High"))</f>
        <v>High</v>
      </c>
      <c r="AF249" s="30" t="str">
        <f t="shared" si="22"/>
        <v>Experiments</v>
      </c>
      <c r="AG249" s="30" t="str">
        <f t="shared" si="23"/>
        <v>Case Studies</v>
      </c>
      <c r="AH249" s="27">
        <f>COUNTIF(Teacher_Master!$D$2:$D$16,AF249)</f>
        <v>3</v>
      </c>
      <c r="AI249" s="30" t="str">
        <f>INDEX(Teacher_Master!$B$2:$B$16,MATCH(AF249,Teacher_Master!$D$2:$D$16,0))</f>
        <v>Prof. Rahul Singh</v>
      </c>
    </row>
    <row r="250" spans="1:35" ht="14.25" customHeight="1" x14ac:dyDescent="0.3">
      <c r="A250" s="31" t="s">
        <v>518</v>
      </c>
      <c r="B250" s="31" t="s">
        <v>519</v>
      </c>
      <c r="C250" s="31" t="s">
        <v>2882</v>
      </c>
      <c r="D250" s="12">
        <f t="shared" ca="1" si="18"/>
        <v>21</v>
      </c>
      <c r="E250" s="12" t="str">
        <f ca="1">IF(Table1[[#This Row],[Age]]&lt;=22,"20-22",IF(Table1[[#This Row],[Age]]&lt;=25,"23-25",IF(Table1[[#This Row],[Age]]&lt;=28,"26-28","29-30")))</f>
        <v>20-22</v>
      </c>
      <c r="F250" s="12">
        <v>4.05</v>
      </c>
      <c r="G250" s="12">
        <v>4.29</v>
      </c>
      <c r="H250" s="12">
        <v>3.5</v>
      </c>
      <c r="I250" s="12">
        <v>3.93</v>
      </c>
      <c r="J250" s="12">
        <v>4.01</v>
      </c>
      <c r="K250" s="12">
        <v>3.51</v>
      </c>
      <c r="L250" s="12">
        <v>4.45</v>
      </c>
      <c r="M250" s="12">
        <v>3.92</v>
      </c>
      <c r="N250" s="12">
        <v>4.37</v>
      </c>
      <c r="O250" s="12">
        <v>4.0199999999999996</v>
      </c>
      <c r="P250" s="12">
        <f t="shared" si="19"/>
        <v>3.9560000000000004</v>
      </c>
      <c r="Q250" s="12">
        <f t="shared" si="20"/>
        <v>3.96</v>
      </c>
      <c r="R250" s="12">
        <f t="shared" si="21"/>
        <v>4.0540000000000003</v>
      </c>
      <c r="S250" s="28">
        <f>IFERROR(INDEX('Clean Gamification Data'!$B:$B,MATCH($B250,'Clean Gamification Data'!$A:$A,0)),"Not Found")</f>
        <v>82.222360739999999</v>
      </c>
      <c r="T250" s="28">
        <f>IFERROR(INDEX('Clean Gamification Data'!$C:$C,MATCH($B250,'Clean Gamification Data'!$A:$A,0)),"Not Found")</f>
        <v>70.330292330000006</v>
      </c>
      <c r="U250" s="28">
        <f>IFERROR(INDEX('Clean Gamification Data'!$D:$D,MATCH($B250,'Clean Gamification Data'!$A:$A,0)),"Not Found")</f>
        <v>78.284239560000003</v>
      </c>
      <c r="V250" s="28">
        <f>IFERROR(INDEX('Clean Gamification Data'!$E:$E,MATCH($B250,'Clean Gamification Data'!$A:$A,0)),"Not Found")</f>
        <v>65.236681070000003</v>
      </c>
      <c r="W250" s="28">
        <f>IFERROR(INDEX('Clean Gamification Data'!$F:$F,MATCH($B250,'Clean Gamification Data'!$A:$A,0)),"Not Found")</f>
        <v>89.305933100000004</v>
      </c>
      <c r="X250" s="28">
        <f>IFERROR(INDEX('Clean Gamification Data'!$G:$G,MATCH($B250,'Clean Gamification Data'!$A:$A,0)),"Not Found")</f>
        <v>78.122443259999997</v>
      </c>
      <c r="Y250" s="28">
        <f>IFERROR(INDEX('Clean Gamification Data'!$H:$H,MATCH($B250,'Clean Gamification Data'!$A:$A,0)),"Not Found")</f>
        <v>73.794719000000001</v>
      </c>
      <c r="Z250" s="28">
        <f>IFERROR(INDEX('Clean Gamification Data'!$I:$I,MATCH($B250,'Clean Gamification Data'!$A:$A,0)),"Not Found")</f>
        <v>69.47478898</v>
      </c>
      <c r="AA250" s="28">
        <f>Table1[[#This Row],[Engagement (Gamification %)]]-Table1[[#This Row],[Engagement (Non-Gamification %)]]</f>
        <v>11.892068409999993</v>
      </c>
      <c r="AB250" s="28">
        <f>Table1[[#This Row],[Motivation (Gamification %)]]-Table1[[#This Row],[Motivation (Non-Gamification %)]]</f>
        <v>13.04755849</v>
      </c>
      <c r="AC250" s="28">
        <f>Table1[[#This Row],[Participation (Gamification %)]]-Table1[[#This Row],[Participation (Non-Gamification %)]]</f>
        <v>11.183489840000007</v>
      </c>
      <c r="AD250" s="28">
        <f>Table1[[#This Row],[Learning Outcomes (Gamification %)]]-Table1[[#This Row],[Learning Outcomes (Non-Gamification %)]]</f>
        <v>4.319930020000001</v>
      </c>
      <c r="AE250" s="44" t="str">
        <f>IF(Table1[[#This Row],[Overall Effectiveness]]&lt;3.9,"Low",IF(Table1[[#This Row],[Overall Effectiveness]]&lt;4.2,"Medium","High"))</f>
        <v>Medium</v>
      </c>
      <c r="AF250" s="30" t="str">
        <f t="shared" si="22"/>
        <v>Case Studies</v>
      </c>
      <c r="AG250" s="30" t="str">
        <f t="shared" si="23"/>
        <v>Case Studies</v>
      </c>
      <c r="AH250" s="27">
        <f>COUNTIF(Teacher_Master!$D$2:$D$16,AF250)</f>
        <v>3</v>
      </c>
      <c r="AI250" s="30" t="str">
        <f>INDEX(Teacher_Master!$B$2:$B$16,MATCH(AF250,Teacher_Master!$D$2:$D$16,0))</f>
        <v>Prof. Rajesh Mukherjee</v>
      </c>
    </row>
    <row r="251" spans="1:35" ht="14.25" customHeight="1" x14ac:dyDescent="0.3">
      <c r="A251" s="31" t="s">
        <v>520</v>
      </c>
      <c r="B251" s="31" t="s">
        <v>2257</v>
      </c>
      <c r="C251" s="31" t="s">
        <v>2881</v>
      </c>
      <c r="D251" s="12">
        <f t="shared" ca="1" si="18"/>
        <v>24</v>
      </c>
      <c r="E251" s="12" t="str">
        <f ca="1">IF(Table1[[#This Row],[Age]]&lt;=22,"20-22",IF(Table1[[#This Row],[Age]]&lt;=25,"23-25",IF(Table1[[#This Row],[Age]]&lt;=28,"26-28","29-30")))</f>
        <v>23-25</v>
      </c>
      <c r="F251" s="12">
        <v>4.07</v>
      </c>
      <c r="G251" s="12">
        <v>4.33</v>
      </c>
      <c r="H251" s="12">
        <v>4.03</v>
      </c>
      <c r="I251" s="12">
        <v>3.75</v>
      </c>
      <c r="J251" s="12">
        <v>3.63</v>
      </c>
      <c r="K251" s="12">
        <v>3.78</v>
      </c>
      <c r="L251" s="12">
        <v>3.8</v>
      </c>
      <c r="M251" s="12">
        <v>4.38</v>
      </c>
      <c r="N251" s="12">
        <v>4.54</v>
      </c>
      <c r="O251" s="12">
        <v>4.66</v>
      </c>
      <c r="P251" s="12">
        <f t="shared" si="19"/>
        <v>3.9619999999999997</v>
      </c>
      <c r="Q251" s="12">
        <f t="shared" si="20"/>
        <v>3.96</v>
      </c>
      <c r="R251" s="12">
        <f t="shared" si="21"/>
        <v>4.2320000000000002</v>
      </c>
      <c r="S251" s="28">
        <f>IFERROR(INDEX('Clean Gamification Data'!$B:$B,MATCH($B251,'Clean Gamification Data'!$A:$A,0)),"Not Found")</f>
        <v>81.159908680000001</v>
      </c>
      <c r="T251" s="28">
        <f>IFERROR(INDEX('Clean Gamification Data'!$C:$C,MATCH($B251,'Clean Gamification Data'!$A:$A,0)),"Not Found")</f>
        <v>72.692875670000006</v>
      </c>
      <c r="U251" s="28">
        <f>IFERROR(INDEX('Clean Gamification Data'!$D:$D,MATCH($B251,'Clean Gamification Data'!$A:$A,0)),"Not Found")</f>
        <v>70</v>
      </c>
      <c r="V251" s="28">
        <f>IFERROR(INDEX('Clean Gamification Data'!$E:$E,MATCH($B251,'Clean Gamification Data'!$A:$A,0)),"Not Found")</f>
        <v>58.75351371</v>
      </c>
      <c r="W251" s="28">
        <f>IFERROR(INDEX('Clean Gamification Data'!$F:$F,MATCH($B251,'Clean Gamification Data'!$A:$A,0)),"Not Found")</f>
        <v>98.06828582</v>
      </c>
      <c r="X251" s="28">
        <f>IFERROR(INDEX('Clean Gamification Data'!$G:$G,MATCH($B251,'Clean Gamification Data'!$A:$A,0)),"Not Found")</f>
        <v>79.169200529999998</v>
      </c>
      <c r="Y251" s="28">
        <f>IFERROR(INDEX('Clean Gamification Data'!$H:$H,MATCH($B251,'Clean Gamification Data'!$A:$A,0)),"Not Found")</f>
        <v>66.955602650000003</v>
      </c>
      <c r="Z251" s="28">
        <f>IFERROR(INDEX('Clean Gamification Data'!$I:$I,MATCH($B251,'Clean Gamification Data'!$A:$A,0)),"Not Found")</f>
        <v>50</v>
      </c>
      <c r="AA251" s="28">
        <f>Table1[[#This Row],[Engagement (Gamification %)]]-Table1[[#This Row],[Engagement (Non-Gamification %)]]</f>
        <v>8.4670330099999944</v>
      </c>
      <c r="AB251" s="28">
        <f>Table1[[#This Row],[Motivation (Gamification %)]]-Table1[[#This Row],[Motivation (Non-Gamification %)]]</f>
        <v>11.24648629</v>
      </c>
      <c r="AC251" s="28">
        <f>Table1[[#This Row],[Participation (Gamification %)]]-Table1[[#This Row],[Participation (Non-Gamification %)]]</f>
        <v>18.899085290000002</v>
      </c>
      <c r="AD251" s="28">
        <f>Table1[[#This Row],[Learning Outcomes (Gamification %)]]-Table1[[#This Row],[Learning Outcomes (Non-Gamification %)]]</f>
        <v>16.955602650000003</v>
      </c>
      <c r="AE251" s="44" t="str">
        <f>IF(Table1[[#This Row],[Overall Effectiveness]]&lt;3.9,"Low",IF(Table1[[#This Row],[Overall Effectiveness]]&lt;4.2,"Medium","High"))</f>
        <v>Medium</v>
      </c>
      <c r="AF251" s="30" t="str">
        <f t="shared" si="22"/>
        <v>Case Studies</v>
      </c>
      <c r="AG251" s="30" t="str">
        <f t="shared" si="23"/>
        <v>Online Tutorials</v>
      </c>
      <c r="AH251" s="27">
        <f>COUNTIF(Teacher_Master!$D$2:$D$16,AF251)</f>
        <v>3</v>
      </c>
      <c r="AI251" s="30" t="str">
        <f>INDEX(Teacher_Master!$B$2:$B$16,MATCH(AF251,Teacher_Master!$D$2:$D$16,0))</f>
        <v>Prof. Rajesh Mukherjee</v>
      </c>
    </row>
    <row r="252" spans="1:35" ht="14.25" customHeight="1" x14ac:dyDescent="0.3">
      <c r="A252" s="31" t="s">
        <v>522</v>
      </c>
      <c r="B252" s="31" t="s">
        <v>2258</v>
      </c>
      <c r="C252" s="31" t="s">
        <v>2882</v>
      </c>
      <c r="D252" s="12">
        <f t="shared" ca="1" si="18"/>
        <v>20</v>
      </c>
      <c r="E252" s="12" t="str">
        <f ca="1">IF(Table1[[#This Row],[Age]]&lt;=22,"20-22",IF(Table1[[#This Row],[Age]]&lt;=25,"23-25",IF(Table1[[#This Row],[Age]]&lt;=28,"26-28","29-30")))</f>
        <v>20-22</v>
      </c>
      <c r="F252" s="12">
        <v>3.92</v>
      </c>
      <c r="G252" s="12">
        <v>4.4000000000000004</v>
      </c>
      <c r="H252" s="12">
        <v>4.25</v>
      </c>
      <c r="I252" s="12">
        <v>4.18</v>
      </c>
      <c r="J252" s="12">
        <v>4.13</v>
      </c>
      <c r="K252" s="12">
        <v>4.43</v>
      </c>
      <c r="L252" s="12">
        <v>4.7699999999999996</v>
      </c>
      <c r="M252" s="12">
        <v>4.05</v>
      </c>
      <c r="N252" s="12">
        <v>4.0999999999999996</v>
      </c>
      <c r="O252" s="12">
        <v>4.21</v>
      </c>
      <c r="P252" s="12">
        <f t="shared" si="19"/>
        <v>4.1760000000000002</v>
      </c>
      <c r="Q252" s="12">
        <f t="shared" si="20"/>
        <v>4.18</v>
      </c>
      <c r="R252" s="12">
        <f t="shared" si="21"/>
        <v>4.3120000000000003</v>
      </c>
      <c r="S252" s="28">
        <f>IFERROR(INDEX('Clean Gamification Data'!$B:$B,MATCH($B252,'Clean Gamification Data'!$A:$A,0)),"Not Found")</f>
        <v>96.012965609999995</v>
      </c>
      <c r="T252" s="28">
        <f>IFERROR(INDEX('Clean Gamification Data'!$C:$C,MATCH($B252,'Clean Gamification Data'!$A:$A,0)),"Not Found")</f>
        <v>79.695458979999998</v>
      </c>
      <c r="U252" s="28">
        <f>IFERROR(INDEX('Clean Gamification Data'!$D:$D,MATCH($B252,'Clean Gamification Data'!$A:$A,0)),"Not Found")</f>
        <v>75.857291559999993</v>
      </c>
      <c r="V252" s="28">
        <f>IFERROR(INDEX('Clean Gamification Data'!$E:$E,MATCH($B252,'Clean Gamification Data'!$A:$A,0)),"Not Found")</f>
        <v>66.812782220000003</v>
      </c>
      <c r="W252" s="28">
        <f>IFERROR(INDEX('Clean Gamification Data'!$F:$F,MATCH($B252,'Clean Gamification Data'!$A:$A,0)),"Not Found")</f>
        <v>87.450800720000004</v>
      </c>
      <c r="X252" s="28">
        <f>IFERROR(INDEX('Clean Gamification Data'!$G:$G,MATCH($B252,'Clean Gamification Data'!$A:$A,0)),"Not Found")</f>
        <v>84.485642380000002</v>
      </c>
      <c r="Y252" s="28">
        <f>IFERROR(INDEX('Clean Gamification Data'!$H:$H,MATCH($B252,'Clean Gamification Data'!$A:$A,0)),"Not Found")</f>
        <v>71.296326809999996</v>
      </c>
      <c r="Z252" s="28">
        <f>IFERROR(INDEX('Clean Gamification Data'!$I:$I,MATCH($B252,'Clean Gamification Data'!$A:$A,0)),"Not Found")</f>
        <v>62.999236359999998</v>
      </c>
      <c r="AA252" s="28">
        <f>Table1[[#This Row],[Engagement (Gamification %)]]-Table1[[#This Row],[Engagement (Non-Gamification %)]]</f>
        <v>16.317506629999997</v>
      </c>
      <c r="AB252" s="28">
        <f>Table1[[#This Row],[Motivation (Gamification %)]]-Table1[[#This Row],[Motivation (Non-Gamification %)]]</f>
        <v>9.0445093399999905</v>
      </c>
      <c r="AC252" s="28">
        <f>Table1[[#This Row],[Participation (Gamification %)]]-Table1[[#This Row],[Participation (Non-Gamification %)]]</f>
        <v>2.9651583400000021</v>
      </c>
      <c r="AD252" s="28">
        <f>Table1[[#This Row],[Learning Outcomes (Gamification %)]]-Table1[[#This Row],[Learning Outcomes (Non-Gamification %)]]</f>
        <v>8.2970904499999989</v>
      </c>
      <c r="AE252" s="44" t="str">
        <f>IF(Table1[[#This Row],[Overall Effectiveness]]&lt;3.9,"Low",IF(Table1[[#This Row],[Overall Effectiveness]]&lt;4.2,"Medium","High"))</f>
        <v>Medium</v>
      </c>
      <c r="AF252" s="30" t="str">
        <f t="shared" si="22"/>
        <v>Case Studies</v>
      </c>
      <c r="AG252" s="30" t="str">
        <f t="shared" si="23"/>
        <v>Case Studies</v>
      </c>
      <c r="AH252" s="27">
        <f>COUNTIF(Teacher_Master!$D$2:$D$16,AF252)</f>
        <v>3</v>
      </c>
      <c r="AI252" s="30" t="str">
        <f>INDEX(Teacher_Master!$B$2:$B$16,MATCH(AF252,Teacher_Master!$D$2:$D$16,0))</f>
        <v>Prof. Rajesh Mukherjee</v>
      </c>
    </row>
    <row r="253" spans="1:35" ht="14.25" customHeight="1" x14ac:dyDescent="0.3">
      <c r="A253" s="31" t="s">
        <v>524</v>
      </c>
      <c r="B253" s="31" t="s">
        <v>2259</v>
      </c>
      <c r="C253" s="31" t="s">
        <v>2882</v>
      </c>
      <c r="D253" s="12">
        <f t="shared" ca="1" si="18"/>
        <v>26</v>
      </c>
      <c r="E253" s="12" t="str">
        <f ca="1">IF(Table1[[#This Row],[Age]]&lt;=22,"20-22",IF(Table1[[#This Row],[Age]]&lt;=25,"23-25",IF(Table1[[#This Row],[Age]]&lt;=28,"26-28","29-30")))</f>
        <v>26-28</v>
      </c>
      <c r="F253" s="12">
        <v>4.22</v>
      </c>
      <c r="G253" s="12">
        <v>4.12</v>
      </c>
      <c r="H253" s="12">
        <v>4</v>
      </c>
      <c r="I253" s="12">
        <v>3.88</v>
      </c>
      <c r="J253" s="12">
        <v>4.3499999999999996</v>
      </c>
      <c r="K253" s="12">
        <v>4.3</v>
      </c>
      <c r="L253" s="12">
        <v>3.97</v>
      </c>
      <c r="M253" s="12" t="s">
        <v>211</v>
      </c>
      <c r="N253" s="12">
        <v>3.92</v>
      </c>
      <c r="O253" s="12">
        <v>3.6</v>
      </c>
      <c r="P253" s="12">
        <f t="shared" si="19"/>
        <v>4.1139999999999999</v>
      </c>
      <c r="Q253" s="12">
        <f t="shared" si="20"/>
        <v>4.1100000000000003</v>
      </c>
      <c r="R253" s="12">
        <f t="shared" si="21"/>
        <v>3.9474999999999998</v>
      </c>
      <c r="S253" s="28">
        <f>IFERROR(INDEX('Clean Gamification Data'!$B:$B,MATCH($B253,'Clean Gamification Data'!$A:$A,0)),"Not Found")</f>
        <v>88.501714070000006</v>
      </c>
      <c r="T253" s="28">
        <f>IFERROR(INDEX('Clean Gamification Data'!$C:$C,MATCH($B253,'Clean Gamification Data'!$A:$A,0)),"Not Found")</f>
        <v>64.892120520000006</v>
      </c>
      <c r="U253" s="28">
        <f>IFERROR(INDEX('Clean Gamification Data'!$D:$D,MATCH($B253,'Clean Gamification Data'!$A:$A,0)),"Not Found")</f>
        <v>85.806535819999993</v>
      </c>
      <c r="V253" s="28">
        <f>IFERROR(INDEX('Clean Gamification Data'!$E:$E,MATCH($B253,'Clean Gamification Data'!$A:$A,0)),"Not Found")</f>
        <v>69.914267910000007</v>
      </c>
      <c r="W253" s="28">
        <f>IFERROR(INDEX('Clean Gamification Data'!$F:$F,MATCH($B253,'Clean Gamification Data'!$A:$A,0)),"Not Found")</f>
        <v>97.018342180000005</v>
      </c>
      <c r="X253" s="28">
        <f>IFERROR(INDEX('Clean Gamification Data'!$G:$G,MATCH($B253,'Clean Gamification Data'!$A:$A,0)),"Not Found")</f>
        <v>76.48421372</v>
      </c>
      <c r="Y253" s="28">
        <f>IFERROR(INDEX('Clean Gamification Data'!$H:$H,MATCH($B253,'Clean Gamification Data'!$A:$A,0)),"Not Found")</f>
        <v>70.523508280000001</v>
      </c>
      <c r="Z253" s="28">
        <f>IFERROR(INDEX('Clean Gamification Data'!$I:$I,MATCH($B253,'Clean Gamification Data'!$A:$A,0)),"Not Found")</f>
        <v>70</v>
      </c>
      <c r="AA253" s="28">
        <f>Table1[[#This Row],[Engagement (Gamification %)]]-Table1[[#This Row],[Engagement (Non-Gamification %)]]</f>
        <v>23.60959355</v>
      </c>
      <c r="AB253" s="28">
        <f>Table1[[#This Row],[Motivation (Gamification %)]]-Table1[[#This Row],[Motivation (Non-Gamification %)]]</f>
        <v>15.892267909999987</v>
      </c>
      <c r="AC253" s="28">
        <f>Table1[[#This Row],[Participation (Gamification %)]]-Table1[[#This Row],[Participation (Non-Gamification %)]]</f>
        <v>20.534128460000005</v>
      </c>
      <c r="AD253" s="28">
        <f>Table1[[#This Row],[Learning Outcomes (Gamification %)]]-Table1[[#This Row],[Learning Outcomes (Non-Gamification %)]]</f>
        <v>0.52350828000000149</v>
      </c>
      <c r="AE253" s="44" t="str">
        <f>IF(Table1[[#This Row],[Overall Effectiveness]]&lt;3.9,"Low",IF(Table1[[#This Row],[Overall Effectiveness]]&lt;4.2,"Medium","High"))</f>
        <v>Medium</v>
      </c>
      <c r="AF253" s="30" t="str">
        <f t="shared" si="22"/>
        <v>Online Tutorials</v>
      </c>
      <c r="AG253" s="30" t="str">
        <f t="shared" si="23"/>
        <v>Lectures</v>
      </c>
      <c r="AH253" s="27">
        <f>COUNTIF(Teacher_Master!$D$2:$D$16,AF253)</f>
        <v>3</v>
      </c>
      <c r="AI253" s="30" t="str">
        <f>INDEX(Teacher_Master!$B$2:$B$16,MATCH(AF253,Teacher_Master!$D$2:$D$16,0))</f>
        <v>Prof. Kavita Rao</v>
      </c>
    </row>
    <row r="254" spans="1:35" ht="14.25" customHeight="1" x14ac:dyDescent="0.3">
      <c r="A254" s="31" t="s">
        <v>526</v>
      </c>
      <c r="B254" s="31" t="s">
        <v>2260</v>
      </c>
      <c r="C254" s="31" t="s">
        <v>2882</v>
      </c>
      <c r="D254" s="12">
        <f t="shared" ca="1" si="18"/>
        <v>29</v>
      </c>
      <c r="E254" s="12" t="str">
        <f ca="1">IF(Table1[[#This Row],[Age]]&lt;=22,"20-22",IF(Table1[[#This Row],[Age]]&lt;=25,"23-25",IF(Table1[[#This Row],[Age]]&lt;=28,"26-28","29-30")))</f>
        <v>29-30</v>
      </c>
      <c r="F254" s="12">
        <v>3.9</v>
      </c>
      <c r="G254" s="12">
        <v>4.29</v>
      </c>
      <c r="H254" s="12">
        <v>4.5599999999999996</v>
      </c>
      <c r="I254" s="12">
        <v>3.97</v>
      </c>
      <c r="J254" s="12">
        <v>3.63</v>
      </c>
      <c r="K254" s="12">
        <v>4.2300000000000004</v>
      </c>
      <c r="L254" s="12">
        <v>3.77</v>
      </c>
      <c r="M254" s="12">
        <v>4.07</v>
      </c>
      <c r="N254" s="12">
        <v>3.94</v>
      </c>
      <c r="O254" s="12">
        <v>3.65</v>
      </c>
      <c r="P254" s="12">
        <f t="shared" si="19"/>
        <v>4.0699999999999994</v>
      </c>
      <c r="Q254" s="12">
        <f t="shared" si="20"/>
        <v>4.07</v>
      </c>
      <c r="R254" s="12">
        <f t="shared" si="21"/>
        <v>3.9319999999999999</v>
      </c>
      <c r="S254" s="28">
        <f>IFERROR(INDEX('Clean Gamification Data'!$B:$B,MATCH($B254,'Clean Gamification Data'!$A:$A,0)),"Not Found")</f>
        <v>84.430602530000002</v>
      </c>
      <c r="T254" s="28">
        <f>IFERROR(INDEX('Clean Gamification Data'!$C:$C,MATCH($B254,'Clean Gamification Data'!$A:$A,0)),"Not Found")</f>
        <v>64.585493700000001</v>
      </c>
      <c r="U254" s="28">
        <f>IFERROR(INDEX('Clean Gamification Data'!$D:$D,MATCH($B254,'Clean Gamification Data'!$A:$A,0)),"Not Found")</f>
        <v>79.817658140000006</v>
      </c>
      <c r="V254" s="28">
        <f>IFERROR(INDEX('Clean Gamification Data'!$E:$E,MATCH($B254,'Clean Gamification Data'!$A:$A,0)),"Not Found")</f>
        <v>63.255859200000003</v>
      </c>
      <c r="W254" s="28">
        <f>IFERROR(INDEX('Clean Gamification Data'!$F:$F,MATCH($B254,'Clean Gamification Data'!$A:$A,0)),"Not Found")</f>
        <v>99.283428760000007</v>
      </c>
      <c r="X254" s="28">
        <f>IFERROR(INDEX('Clean Gamification Data'!$G:$G,MATCH($B254,'Clean Gamification Data'!$A:$A,0)),"Not Found")</f>
        <v>84.802668310000001</v>
      </c>
      <c r="Y254" s="28">
        <f>IFERROR(INDEX('Clean Gamification Data'!$H:$H,MATCH($B254,'Clean Gamification Data'!$A:$A,0)),"Not Found")</f>
        <v>68.866711949999996</v>
      </c>
      <c r="Z254" s="28">
        <f>IFERROR(INDEX('Clean Gamification Data'!$I:$I,MATCH($B254,'Clean Gamification Data'!$A:$A,0)),"Not Found")</f>
        <v>58.914265139999998</v>
      </c>
      <c r="AA254" s="28">
        <f>Table1[[#This Row],[Engagement (Gamification %)]]-Table1[[#This Row],[Engagement (Non-Gamification %)]]</f>
        <v>19.845108830000001</v>
      </c>
      <c r="AB254" s="28">
        <f>Table1[[#This Row],[Motivation (Gamification %)]]-Table1[[#This Row],[Motivation (Non-Gamification %)]]</f>
        <v>16.561798940000003</v>
      </c>
      <c r="AC254" s="28">
        <f>Table1[[#This Row],[Participation (Gamification %)]]-Table1[[#This Row],[Participation (Non-Gamification %)]]</f>
        <v>14.480760450000005</v>
      </c>
      <c r="AD254" s="28">
        <f>Table1[[#This Row],[Learning Outcomes (Gamification %)]]-Table1[[#This Row],[Learning Outcomes (Non-Gamification %)]]</f>
        <v>9.9524468099999979</v>
      </c>
      <c r="AE254" s="44" t="str">
        <f>IF(Table1[[#This Row],[Overall Effectiveness]]&lt;3.9,"Low",IF(Table1[[#This Row],[Overall Effectiveness]]&lt;4.2,"Medium","High"))</f>
        <v>Medium</v>
      </c>
      <c r="AF254" s="30" t="str">
        <f t="shared" si="22"/>
        <v>Group Projects</v>
      </c>
      <c r="AG254" s="30" t="str">
        <f t="shared" si="23"/>
        <v>Lectures</v>
      </c>
      <c r="AH254" s="27">
        <f>COUNTIF(Teacher_Master!$D$2:$D$16,AF254)</f>
        <v>3</v>
      </c>
      <c r="AI254" s="30" t="str">
        <f>INDEX(Teacher_Master!$B$2:$B$16,MATCH(AF254,Teacher_Master!$D$2:$D$16,0))</f>
        <v>Dr. Rohan Dutta</v>
      </c>
    </row>
    <row r="255" spans="1:35" ht="14.25" customHeight="1" x14ac:dyDescent="0.3">
      <c r="A255" s="31" t="s">
        <v>528</v>
      </c>
      <c r="B255" s="31" t="s">
        <v>2261</v>
      </c>
      <c r="C255" s="31" t="s">
        <v>2881</v>
      </c>
      <c r="D255" s="12">
        <f t="shared" ca="1" si="18"/>
        <v>26</v>
      </c>
      <c r="E255" s="12" t="str">
        <f ca="1">IF(Table1[[#This Row],[Age]]&lt;=22,"20-22",IF(Table1[[#This Row],[Age]]&lt;=25,"23-25",IF(Table1[[#This Row],[Age]]&lt;=28,"26-28","29-30")))</f>
        <v>26-28</v>
      </c>
      <c r="F255" s="12">
        <v>4.12</v>
      </c>
      <c r="G255" s="12">
        <v>4.47</v>
      </c>
      <c r="H255" s="12">
        <v>4.17</v>
      </c>
      <c r="I255" s="12">
        <v>4.29</v>
      </c>
      <c r="J255" s="12">
        <v>3.99</v>
      </c>
      <c r="K255" s="12">
        <v>3.9</v>
      </c>
      <c r="L255" s="12">
        <v>3.95</v>
      </c>
      <c r="M255" s="12">
        <v>3.28</v>
      </c>
      <c r="N255" s="12">
        <v>4.3499999999999996</v>
      </c>
      <c r="O255" s="12">
        <v>3.95</v>
      </c>
      <c r="P255" s="12">
        <f t="shared" si="19"/>
        <v>4.2080000000000002</v>
      </c>
      <c r="Q255" s="12">
        <f t="shared" si="20"/>
        <v>4.21</v>
      </c>
      <c r="R255" s="12">
        <f t="shared" si="21"/>
        <v>3.8860000000000001</v>
      </c>
      <c r="S255" s="28">
        <f>IFERROR(INDEX('Clean Gamification Data'!$B:$B,MATCH($B255,'Clean Gamification Data'!$A:$A,0)),"Not Found")</f>
        <v>80.291750780000001</v>
      </c>
      <c r="T255" s="28">
        <f>IFERROR(INDEX('Clean Gamification Data'!$C:$C,MATCH($B255,'Clean Gamification Data'!$A:$A,0)),"Not Found")</f>
        <v>62.56430787</v>
      </c>
      <c r="U255" s="28">
        <f>IFERROR(INDEX('Clean Gamification Data'!$D:$D,MATCH($B255,'Clean Gamification Data'!$A:$A,0)),"Not Found")</f>
        <v>79.200702269999994</v>
      </c>
      <c r="V255" s="28">
        <f>IFERROR(INDEX('Clean Gamification Data'!$E:$E,MATCH($B255,'Clean Gamification Data'!$A:$A,0)),"Not Found")</f>
        <v>68.795083599999998</v>
      </c>
      <c r="W255" s="28">
        <f>IFERROR(INDEX('Clean Gamification Data'!$F:$F,MATCH($B255,'Clean Gamification Data'!$A:$A,0)),"Not Found")</f>
        <v>92.704640999999995</v>
      </c>
      <c r="X255" s="28">
        <f>IFERROR(INDEX('Clean Gamification Data'!$G:$G,MATCH($B255,'Clean Gamification Data'!$A:$A,0)),"Not Found")</f>
        <v>74.664957869999995</v>
      </c>
      <c r="Y255" s="28">
        <f>IFERROR(INDEX('Clean Gamification Data'!$H:$H,MATCH($B255,'Clean Gamification Data'!$A:$A,0)),"Not Found")</f>
        <v>78.115144720000004</v>
      </c>
      <c r="Z255" s="28">
        <f>IFERROR(INDEX('Clean Gamification Data'!$I:$I,MATCH($B255,'Clean Gamification Data'!$A:$A,0)),"Not Found")</f>
        <v>57.138502510000002</v>
      </c>
      <c r="AA255" s="28">
        <f>Table1[[#This Row],[Engagement (Gamification %)]]-Table1[[#This Row],[Engagement (Non-Gamification %)]]</f>
        <v>17.727442910000001</v>
      </c>
      <c r="AB255" s="28">
        <f>Table1[[#This Row],[Motivation (Gamification %)]]-Table1[[#This Row],[Motivation (Non-Gamification %)]]</f>
        <v>10.405618669999996</v>
      </c>
      <c r="AC255" s="28">
        <f>Table1[[#This Row],[Participation (Gamification %)]]-Table1[[#This Row],[Participation (Non-Gamification %)]]</f>
        <v>18.03968313</v>
      </c>
      <c r="AD255" s="28">
        <f>Table1[[#This Row],[Learning Outcomes (Gamification %)]]-Table1[[#This Row],[Learning Outcomes (Non-Gamification %)]]</f>
        <v>20.976642210000001</v>
      </c>
      <c r="AE255" s="44" t="str">
        <f>IF(Table1[[#This Row],[Overall Effectiveness]]&lt;3.9,"Low",IF(Table1[[#This Row],[Overall Effectiveness]]&lt;4.2,"Medium","High"))</f>
        <v>High</v>
      </c>
      <c r="AF255" s="30" t="str">
        <f t="shared" si="22"/>
        <v>Case Studies</v>
      </c>
      <c r="AG255" s="30" t="str">
        <f t="shared" si="23"/>
        <v>Experiments</v>
      </c>
      <c r="AH255" s="27">
        <f>COUNTIF(Teacher_Master!$D$2:$D$16,AF255)</f>
        <v>3</v>
      </c>
      <c r="AI255" s="30" t="str">
        <f>INDEX(Teacher_Master!$B$2:$B$16,MATCH(AF255,Teacher_Master!$D$2:$D$16,0))</f>
        <v>Prof. Rajesh Mukherjee</v>
      </c>
    </row>
    <row r="256" spans="1:35" ht="14.25" customHeight="1" x14ac:dyDescent="0.3">
      <c r="A256" s="31" t="s">
        <v>530</v>
      </c>
      <c r="B256" s="31" t="s">
        <v>2262</v>
      </c>
      <c r="C256" s="31" t="s">
        <v>2882</v>
      </c>
      <c r="D256" s="12">
        <f t="shared" ca="1" si="18"/>
        <v>30</v>
      </c>
      <c r="E256" s="12" t="str">
        <f ca="1">IF(Table1[[#This Row],[Age]]&lt;=22,"20-22",IF(Table1[[#This Row],[Age]]&lt;=25,"23-25",IF(Table1[[#This Row],[Age]]&lt;=28,"26-28","29-30")))</f>
        <v>29-30</v>
      </c>
      <c r="F256" s="12">
        <v>4.17</v>
      </c>
      <c r="G256" s="12">
        <v>4.3</v>
      </c>
      <c r="H256" s="12" t="s">
        <v>211</v>
      </c>
      <c r="I256" s="12">
        <v>3.64</v>
      </c>
      <c r="J256" s="12">
        <v>3.95</v>
      </c>
      <c r="K256" s="12">
        <v>3.93</v>
      </c>
      <c r="L256" s="12">
        <v>3.76</v>
      </c>
      <c r="M256" s="12">
        <v>4.0599999999999996</v>
      </c>
      <c r="N256" s="12">
        <v>4.3099999999999996</v>
      </c>
      <c r="O256" s="12">
        <v>4.1900000000000004</v>
      </c>
      <c r="P256" s="12">
        <f t="shared" si="19"/>
        <v>4.0149999999999997</v>
      </c>
      <c r="Q256" s="12">
        <f t="shared" si="20"/>
        <v>4.0199999999999996</v>
      </c>
      <c r="R256" s="12">
        <f t="shared" si="21"/>
        <v>4.05</v>
      </c>
      <c r="S256" s="28">
        <f>IFERROR(INDEX('Clean Gamification Data'!$B:$B,MATCH($B256,'Clean Gamification Data'!$A:$A,0)),"Not Found")</f>
        <v>79.849247149999997</v>
      </c>
      <c r="T256" s="28">
        <f>IFERROR(INDEX('Clean Gamification Data'!$C:$C,MATCH($B256,'Clean Gamification Data'!$A:$A,0)),"Not Found")</f>
        <v>60</v>
      </c>
      <c r="U256" s="28">
        <f>IFERROR(INDEX('Clean Gamification Data'!$D:$D,MATCH($B256,'Clean Gamification Data'!$A:$A,0)),"Not Found")</f>
        <v>80.743906499999994</v>
      </c>
      <c r="V256" s="28">
        <f>IFERROR(INDEX('Clean Gamification Data'!$E:$E,MATCH($B256,'Clean Gamification Data'!$A:$A,0)),"Not Found")</f>
        <v>60.729870310000003</v>
      </c>
      <c r="W256" s="28">
        <f>IFERROR(INDEX('Clean Gamification Data'!$F:$F,MATCH($B256,'Clean Gamification Data'!$A:$A,0)),"Not Found")</f>
        <v>90.388610569999997</v>
      </c>
      <c r="X256" s="28">
        <f>IFERROR(INDEX('Clean Gamification Data'!$G:$G,MATCH($B256,'Clean Gamification Data'!$A:$A,0)),"Not Found")</f>
        <v>79.919010830000005</v>
      </c>
      <c r="Y256" s="28">
        <f>IFERROR(INDEX('Clean Gamification Data'!$H:$H,MATCH($B256,'Clean Gamification Data'!$A:$A,0)),"Not Found")</f>
        <v>71.234707909999997</v>
      </c>
      <c r="Z256" s="28">
        <f>IFERROR(INDEX('Clean Gamification Data'!$I:$I,MATCH($B256,'Clean Gamification Data'!$A:$A,0)),"Not Found")</f>
        <v>50.991094879999999</v>
      </c>
      <c r="AA256" s="28">
        <f>Table1[[#This Row],[Engagement (Gamification %)]]-Table1[[#This Row],[Engagement (Non-Gamification %)]]</f>
        <v>19.849247149999997</v>
      </c>
      <c r="AB256" s="28">
        <f>Table1[[#This Row],[Motivation (Gamification %)]]-Table1[[#This Row],[Motivation (Non-Gamification %)]]</f>
        <v>20.014036189999992</v>
      </c>
      <c r="AC256" s="28">
        <f>Table1[[#This Row],[Participation (Gamification %)]]-Table1[[#This Row],[Participation (Non-Gamification %)]]</f>
        <v>10.469599739999992</v>
      </c>
      <c r="AD256" s="28">
        <f>Table1[[#This Row],[Learning Outcomes (Gamification %)]]-Table1[[#This Row],[Learning Outcomes (Non-Gamification %)]]</f>
        <v>20.243613029999999</v>
      </c>
      <c r="AE256" s="44" t="str">
        <f>IF(Table1[[#This Row],[Overall Effectiveness]]&lt;3.9,"Low",IF(Table1[[#This Row],[Overall Effectiveness]]&lt;4.2,"Medium","High"))</f>
        <v>Medium</v>
      </c>
      <c r="AF256" s="30" t="str">
        <f t="shared" si="22"/>
        <v>Case Studies</v>
      </c>
      <c r="AG256" s="30" t="str">
        <f t="shared" si="23"/>
        <v>Experiments</v>
      </c>
      <c r="AH256" s="27">
        <f>COUNTIF(Teacher_Master!$D$2:$D$16,AF256)</f>
        <v>3</v>
      </c>
      <c r="AI256" s="30" t="str">
        <f>INDEX(Teacher_Master!$B$2:$B$16,MATCH(AF256,Teacher_Master!$D$2:$D$16,0))</f>
        <v>Prof. Rajesh Mukherjee</v>
      </c>
    </row>
    <row r="257" spans="1:35" ht="14.25" customHeight="1" x14ac:dyDescent="0.3">
      <c r="A257" s="31" t="s">
        <v>532</v>
      </c>
      <c r="B257" s="31" t="s">
        <v>2263</v>
      </c>
      <c r="C257" s="31" t="s">
        <v>2882</v>
      </c>
      <c r="D257" s="12">
        <f t="shared" ca="1" si="18"/>
        <v>29</v>
      </c>
      <c r="E257" s="12" t="str">
        <f ca="1">IF(Table1[[#This Row],[Age]]&lt;=22,"20-22",IF(Table1[[#This Row],[Age]]&lt;=25,"23-25",IF(Table1[[#This Row],[Age]]&lt;=28,"26-28","29-30")))</f>
        <v>29-30</v>
      </c>
      <c r="F257" s="12">
        <v>3.51</v>
      </c>
      <c r="G257" s="12">
        <v>3.43</v>
      </c>
      <c r="H257" s="12">
        <v>4.26</v>
      </c>
      <c r="I257" s="12">
        <v>3.62</v>
      </c>
      <c r="J257" s="12">
        <v>4.01</v>
      </c>
      <c r="K257" s="12">
        <v>3.76</v>
      </c>
      <c r="L257" s="12">
        <v>4.2699999999999996</v>
      </c>
      <c r="M257" s="12">
        <v>4.07</v>
      </c>
      <c r="N257" s="12">
        <v>3.95</v>
      </c>
      <c r="O257" s="12">
        <v>3.77</v>
      </c>
      <c r="P257" s="12">
        <f t="shared" si="19"/>
        <v>3.7659999999999996</v>
      </c>
      <c r="Q257" s="12">
        <f t="shared" si="20"/>
        <v>3.77</v>
      </c>
      <c r="R257" s="12">
        <f t="shared" si="21"/>
        <v>3.964</v>
      </c>
      <c r="S257" s="28">
        <f>IFERROR(INDEX('Clean Gamification Data'!$B:$B,MATCH($B257,'Clean Gamification Data'!$A:$A,0)),"Not Found")</f>
        <v>88.096102419999994</v>
      </c>
      <c r="T257" s="28">
        <f>IFERROR(INDEX('Clean Gamification Data'!$C:$C,MATCH($B257,'Clean Gamification Data'!$A:$A,0)),"Not Found")</f>
        <v>74.659273279999994</v>
      </c>
      <c r="U257" s="28">
        <f>IFERROR(INDEX('Clean Gamification Data'!$D:$D,MATCH($B257,'Clean Gamification Data'!$A:$A,0)),"Not Found")</f>
        <v>76.348455150000007</v>
      </c>
      <c r="V257" s="28">
        <f>IFERROR(INDEX('Clean Gamification Data'!$E:$E,MATCH($B257,'Clean Gamification Data'!$A:$A,0)),"Not Found")</f>
        <v>63.416233759999997</v>
      </c>
      <c r="W257" s="28">
        <f>IFERROR(INDEX('Clean Gamification Data'!$F:$F,MATCH($B257,'Clean Gamification Data'!$A:$A,0)),"Not Found")</f>
        <v>85.178608310000001</v>
      </c>
      <c r="X257" s="28">
        <f>IFERROR(INDEX('Clean Gamification Data'!$G:$G,MATCH($B257,'Clean Gamification Data'!$A:$A,0)),"Not Found")</f>
        <v>74.476800499999996</v>
      </c>
      <c r="Y257" s="28">
        <f>IFERROR(INDEX('Clean Gamification Data'!$H:$H,MATCH($B257,'Clean Gamification Data'!$A:$A,0)),"Not Found")</f>
        <v>77.016459839999996</v>
      </c>
      <c r="Z257" s="28">
        <f>IFERROR(INDEX('Clean Gamification Data'!$I:$I,MATCH($B257,'Clean Gamification Data'!$A:$A,0)),"Not Found")</f>
        <v>58.360179049999999</v>
      </c>
      <c r="AA257" s="28">
        <f>Table1[[#This Row],[Engagement (Gamification %)]]-Table1[[#This Row],[Engagement (Non-Gamification %)]]</f>
        <v>13.43682914</v>
      </c>
      <c r="AB257" s="28">
        <f>Table1[[#This Row],[Motivation (Gamification %)]]-Table1[[#This Row],[Motivation (Non-Gamification %)]]</f>
        <v>12.932221390000009</v>
      </c>
      <c r="AC257" s="28">
        <f>Table1[[#This Row],[Participation (Gamification %)]]-Table1[[#This Row],[Participation (Non-Gamification %)]]</f>
        <v>10.701807810000005</v>
      </c>
      <c r="AD257" s="28">
        <f>Table1[[#This Row],[Learning Outcomes (Gamification %)]]-Table1[[#This Row],[Learning Outcomes (Non-Gamification %)]]</f>
        <v>18.656280789999997</v>
      </c>
      <c r="AE257" s="44" t="str">
        <f>IF(Table1[[#This Row],[Overall Effectiveness]]&lt;3.9,"Low",IF(Table1[[#This Row],[Overall Effectiveness]]&lt;4.2,"Medium","High"))</f>
        <v>Low</v>
      </c>
      <c r="AF257" s="30" t="str">
        <f t="shared" si="22"/>
        <v>Group Projects</v>
      </c>
      <c r="AG257" s="30" t="str">
        <f t="shared" si="23"/>
        <v>Case Studies</v>
      </c>
      <c r="AH257" s="27">
        <f>COUNTIF(Teacher_Master!$D$2:$D$16,AF257)</f>
        <v>3</v>
      </c>
      <c r="AI257" s="30" t="str">
        <f>INDEX(Teacher_Master!$B$2:$B$16,MATCH(AF257,Teacher_Master!$D$2:$D$16,0))</f>
        <v>Dr. Rohan Dutta</v>
      </c>
    </row>
    <row r="258" spans="1:35" ht="14.25" customHeight="1" x14ac:dyDescent="0.3">
      <c r="A258" s="31" t="s">
        <v>534</v>
      </c>
      <c r="B258" s="31" t="s">
        <v>535</v>
      </c>
      <c r="C258" s="31" t="s">
        <v>2882</v>
      </c>
      <c r="D258" s="12">
        <f t="shared" ref="D258:D321" ca="1" si="24">RANDBETWEEN(20,30)</f>
        <v>22</v>
      </c>
      <c r="E258" s="12" t="str">
        <f ca="1">IF(Table1[[#This Row],[Age]]&lt;=22,"20-22",IF(Table1[[#This Row],[Age]]&lt;=25,"23-25",IF(Table1[[#This Row],[Age]]&lt;=28,"26-28","29-30")))</f>
        <v>20-22</v>
      </c>
      <c r="F258" s="12" t="s">
        <v>211</v>
      </c>
      <c r="G258" s="12">
        <v>4.1500000000000004</v>
      </c>
      <c r="H258" s="12">
        <v>3.88</v>
      </c>
      <c r="I258" s="12">
        <v>4.1399999999999997</v>
      </c>
      <c r="J258" s="12">
        <v>3.48</v>
      </c>
      <c r="K258" s="12">
        <v>4.3899999999999997</v>
      </c>
      <c r="L258" s="12">
        <v>3.87</v>
      </c>
      <c r="M258" s="12">
        <v>4.3</v>
      </c>
      <c r="N258" s="12">
        <v>4.32</v>
      </c>
      <c r="O258" s="12">
        <v>3.55</v>
      </c>
      <c r="P258" s="12">
        <f t="shared" ref="P258:P321" si="25">AVERAGE(F258:J258)</f>
        <v>3.9125000000000005</v>
      </c>
      <c r="Q258" s="12">
        <f t="shared" ref="Q258:Q321" si="26">ROUND(P258,2)</f>
        <v>3.91</v>
      </c>
      <c r="R258" s="12">
        <f t="shared" ref="R258:R321" si="27">AVERAGE(K258:O258)</f>
        <v>4.0860000000000003</v>
      </c>
      <c r="S258" s="28">
        <f>IFERROR(INDEX('Clean Gamification Data'!$B:$B,MATCH($B258,'Clean Gamification Data'!$A:$A,0)),"Not Found")</f>
        <v>90.301153720000002</v>
      </c>
      <c r="T258" s="28">
        <f>IFERROR(INDEX('Clean Gamification Data'!$C:$C,MATCH($B258,'Clean Gamification Data'!$A:$A,0)),"Not Found")</f>
        <v>60</v>
      </c>
      <c r="U258" s="28">
        <f>IFERROR(INDEX('Clean Gamification Data'!$D:$D,MATCH($B258,'Clean Gamification Data'!$A:$A,0)),"Not Found")</f>
        <v>78.591262909999998</v>
      </c>
      <c r="V258" s="28">
        <f>IFERROR(INDEX('Clean Gamification Data'!$E:$E,MATCH($B258,'Clean Gamification Data'!$A:$A,0)),"Not Found")</f>
        <v>67.17955336</v>
      </c>
      <c r="W258" s="28">
        <f>IFERROR(INDEX('Clean Gamification Data'!$F:$F,MATCH($B258,'Clean Gamification Data'!$A:$A,0)),"Not Found")</f>
        <v>80.017010540000001</v>
      </c>
      <c r="X258" s="28">
        <f>IFERROR(INDEX('Clean Gamification Data'!$G:$G,MATCH($B258,'Clean Gamification Data'!$A:$A,0)),"Not Found")</f>
        <v>83.360720819999997</v>
      </c>
      <c r="Y258" s="28">
        <f>IFERROR(INDEX('Clean Gamification Data'!$H:$H,MATCH($B258,'Clean Gamification Data'!$A:$A,0)),"Not Found")</f>
        <v>70.530277429999998</v>
      </c>
      <c r="Z258" s="28">
        <f>IFERROR(INDEX('Clean Gamification Data'!$I:$I,MATCH($B258,'Clean Gamification Data'!$A:$A,0)),"Not Found")</f>
        <v>50</v>
      </c>
      <c r="AA258" s="28">
        <f>Table1[[#This Row],[Engagement (Gamification %)]]-Table1[[#This Row],[Engagement (Non-Gamification %)]]</f>
        <v>30.301153720000002</v>
      </c>
      <c r="AB258" s="28">
        <f>Table1[[#This Row],[Motivation (Gamification %)]]-Table1[[#This Row],[Motivation (Non-Gamification %)]]</f>
        <v>11.411709549999998</v>
      </c>
      <c r="AC258" s="28">
        <f>Table1[[#This Row],[Participation (Gamification %)]]-Table1[[#This Row],[Participation (Non-Gamification %)]]</f>
        <v>-3.3437102799999963</v>
      </c>
      <c r="AD258" s="28">
        <f>Table1[[#This Row],[Learning Outcomes (Gamification %)]]-Table1[[#This Row],[Learning Outcomes (Non-Gamification %)]]</f>
        <v>20.530277429999998</v>
      </c>
      <c r="AE258" s="44" t="str">
        <f>IF(Table1[[#This Row],[Overall Effectiveness]]&lt;3.9,"Low",IF(Table1[[#This Row],[Overall Effectiveness]]&lt;4.2,"Medium","High"))</f>
        <v>Medium</v>
      </c>
      <c r="AF258" s="30" t="str">
        <f t="shared" ref="AF258:AF321" si="28">CHOOSE(MATCH(MAX(F258:J258),F258:J258,0),"Lectures","Case Studies","Group Projects","Experiments","Online Tutorials")</f>
        <v>Case Studies</v>
      </c>
      <c r="AG258" s="30" t="str">
        <f t="shared" ref="AG258:AG321" si="29">CHOOSE(MATCH(MAX(K258:O258),K258:O258,0),"Lectures","Case Studies","Group Projects","Experiments","Online Tutorials")</f>
        <v>Lectures</v>
      </c>
      <c r="AH258" s="27">
        <f>COUNTIF(Teacher_Master!$D$2:$D$16,AF258)</f>
        <v>3</v>
      </c>
      <c r="AI258" s="30" t="str">
        <f>INDEX(Teacher_Master!$B$2:$B$16,MATCH(AF258,Teacher_Master!$D$2:$D$16,0))</f>
        <v>Prof. Rajesh Mukherjee</v>
      </c>
    </row>
    <row r="259" spans="1:35" ht="14.25" customHeight="1" x14ac:dyDescent="0.3">
      <c r="A259" s="31" t="s">
        <v>536</v>
      </c>
      <c r="B259" s="31" t="s">
        <v>537</v>
      </c>
      <c r="C259" s="31" t="s">
        <v>2882</v>
      </c>
      <c r="D259" s="12">
        <f t="shared" ca="1" si="24"/>
        <v>26</v>
      </c>
      <c r="E259" s="12" t="str">
        <f ca="1">IF(Table1[[#This Row],[Age]]&lt;=22,"20-22",IF(Table1[[#This Row],[Age]]&lt;=25,"23-25",IF(Table1[[#This Row],[Age]]&lt;=28,"26-28","29-30")))</f>
        <v>26-28</v>
      </c>
      <c r="F259" s="12">
        <v>4.12</v>
      </c>
      <c r="G259" s="12">
        <v>4.16</v>
      </c>
      <c r="H259" s="12">
        <v>4.2</v>
      </c>
      <c r="I259" s="12">
        <v>3.83</v>
      </c>
      <c r="J259" s="12">
        <v>3.72</v>
      </c>
      <c r="K259" s="12">
        <v>4.7699999999999996</v>
      </c>
      <c r="L259" s="12">
        <v>4.22</v>
      </c>
      <c r="M259" s="12">
        <v>4.1399999999999997</v>
      </c>
      <c r="N259" s="12">
        <v>3.68</v>
      </c>
      <c r="O259" s="12">
        <v>4.42</v>
      </c>
      <c r="P259" s="12">
        <f t="shared" si="25"/>
        <v>4.0060000000000002</v>
      </c>
      <c r="Q259" s="12">
        <f t="shared" si="26"/>
        <v>4.01</v>
      </c>
      <c r="R259" s="12">
        <f t="shared" si="27"/>
        <v>4.2459999999999996</v>
      </c>
      <c r="S259" s="28">
        <f>IFERROR(INDEX('Clean Gamification Data'!$B:$B,MATCH($B259,'Clean Gamification Data'!$A:$A,0)),"Not Found")</f>
        <v>82.409180480000003</v>
      </c>
      <c r="T259" s="28">
        <f>IFERROR(INDEX('Clean Gamification Data'!$C:$C,MATCH($B259,'Clean Gamification Data'!$A:$A,0)),"Not Found")</f>
        <v>76.564967480000007</v>
      </c>
      <c r="U259" s="28">
        <f>IFERROR(INDEX('Clean Gamification Data'!$D:$D,MATCH($B259,'Clean Gamification Data'!$A:$A,0)),"Not Found")</f>
        <v>87.638453080000005</v>
      </c>
      <c r="V259" s="28">
        <f>IFERROR(INDEX('Clean Gamification Data'!$E:$E,MATCH($B259,'Clean Gamification Data'!$A:$A,0)),"Not Found")</f>
        <v>68.892725319999997</v>
      </c>
      <c r="W259" s="28">
        <f>IFERROR(INDEX('Clean Gamification Data'!$F:$F,MATCH($B259,'Clean Gamification Data'!$A:$A,0)),"Not Found")</f>
        <v>88.306307910000001</v>
      </c>
      <c r="X259" s="28">
        <f>IFERROR(INDEX('Clean Gamification Data'!$G:$G,MATCH($B259,'Clean Gamification Data'!$A:$A,0)),"Not Found")</f>
        <v>78.632381210000005</v>
      </c>
      <c r="Y259" s="28">
        <f>IFERROR(INDEX('Clean Gamification Data'!$H:$H,MATCH($B259,'Clean Gamification Data'!$A:$A,0)),"Not Found")</f>
        <v>77.214439189999993</v>
      </c>
      <c r="Z259" s="28">
        <f>IFERROR(INDEX('Clean Gamification Data'!$I:$I,MATCH($B259,'Clean Gamification Data'!$A:$A,0)),"Not Found")</f>
        <v>58.523568160000004</v>
      </c>
      <c r="AA259" s="28">
        <f>Table1[[#This Row],[Engagement (Gamification %)]]-Table1[[#This Row],[Engagement (Non-Gamification %)]]</f>
        <v>5.8442129999999963</v>
      </c>
      <c r="AB259" s="28">
        <f>Table1[[#This Row],[Motivation (Gamification %)]]-Table1[[#This Row],[Motivation (Non-Gamification %)]]</f>
        <v>18.745727760000008</v>
      </c>
      <c r="AC259" s="28">
        <f>Table1[[#This Row],[Participation (Gamification %)]]-Table1[[#This Row],[Participation (Non-Gamification %)]]</f>
        <v>9.6739266999999955</v>
      </c>
      <c r="AD259" s="28">
        <f>Table1[[#This Row],[Learning Outcomes (Gamification %)]]-Table1[[#This Row],[Learning Outcomes (Non-Gamification %)]]</f>
        <v>18.69087102999999</v>
      </c>
      <c r="AE259" s="44" t="str">
        <f>IF(Table1[[#This Row],[Overall Effectiveness]]&lt;3.9,"Low",IF(Table1[[#This Row],[Overall Effectiveness]]&lt;4.2,"Medium","High"))</f>
        <v>Medium</v>
      </c>
      <c r="AF259" s="30" t="str">
        <f t="shared" si="28"/>
        <v>Group Projects</v>
      </c>
      <c r="AG259" s="30" t="str">
        <f t="shared" si="29"/>
        <v>Lectures</v>
      </c>
      <c r="AH259" s="27">
        <f>COUNTIF(Teacher_Master!$D$2:$D$16,AF259)</f>
        <v>3</v>
      </c>
      <c r="AI259" s="30" t="str">
        <f>INDEX(Teacher_Master!$B$2:$B$16,MATCH(AF259,Teacher_Master!$D$2:$D$16,0))</f>
        <v>Dr. Rohan Dutta</v>
      </c>
    </row>
    <row r="260" spans="1:35" ht="14.25" customHeight="1" x14ac:dyDescent="0.3">
      <c r="A260" s="31" t="s">
        <v>538</v>
      </c>
      <c r="B260" s="31" t="s">
        <v>539</v>
      </c>
      <c r="C260" s="31" t="s">
        <v>2882</v>
      </c>
      <c r="D260" s="12">
        <f t="shared" ca="1" si="24"/>
        <v>20</v>
      </c>
      <c r="E260" s="12" t="str">
        <f ca="1">IF(Table1[[#This Row],[Age]]&lt;=22,"20-22",IF(Table1[[#This Row],[Age]]&lt;=25,"23-25",IF(Table1[[#This Row],[Age]]&lt;=28,"26-28","29-30")))</f>
        <v>20-22</v>
      </c>
      <c r="F260" s="12">
        <v>3.56</v>
      </c>
      <c r="G260" s="12">
        <v>4.84</v>
      </c>
      <c r="H260" s="12">
        <v>4.4400000000000004</v>
      </c>
      <c r="I260" s="12">
        <v>3.74</v>
      </c>
      <c r="J260" s="12">
        <v>3.63</v>
      </c>
      <c r="K260" s="12">
        <v>4.24</v>
      </c>
      <c r="L260" s="12">
        <v>3.78</v>
      </c>
      <c r="M260" s="12">
        <v>3.84</v>
      </c>
      <c r="N260" s="12">
        <v>4.32</v>
      </c>
      <c r="O260" s="12">
        <v>4.1399999999999997</v>
      </c>
      <c r="P260" s="12">
        <f t="shared" si="25"/>
        <v>4.0419999999999998</v>
      </c>
      <c r="Q260" s="12">
        <f t="shared" si="26"/>
        <v>4.04</v>
      </c>
      <c r="R260" s="12">
        <f t="shared" si="27"/>
        <v>4.0640000000000001</v>
      </c>
      <c r="S260" s="28">
        <f>IFERROR(INDEX('Clean Gamification Data'!$B:$B,MATCH($B260,'Clean Gamification Data'!$A:$A,0)),"Not Found")</f>
        <v>80.287980289999993</v>
      </c>
      <c r="T260" s="28">
        <f>IFERROR(INDEX('Clean Gamification Data'!$C:$C,MATCH($B260,'Clean Gamification Data'!$A:$A,0)),"Not Found")</f>
        <v>73.048442460000004</v>
      </c>
      <c r="U260" s="28">
        <f>IFERROR(INDEX('Clean Gamification Data'!$D:$D,MATCH($B260,'Clean Gamification Data'!$A:$A,0)),"Not Found")</f>
        <v>70</v>
      </c>
      <c r="V260" s="28">
        <f>IFERROR(INDEX('Clean Gamification Data'!$E:$E,MATCH($B260,'Clean Gamification Data'!$A:$A,0)),"Not Found")</f>
        <v>70.107858809999996</v>
      </c>
      <c r="W260" s="28">
        <f>IFERROR(INDEX('Clean Gamification Data'!$F:$F,MATCH($B260,'Clean Gamification Data'!$A:$A,0)),"Not Found")</f>
        <v>99.9</v>
      </c>
      <c r="X260" s="28">
        <f>IFERROR(INDEX('Clean Gamification Data'!$G:$G,MATCH($B260,'Clean Gamification Data'!$A:$A,0)),"Not Found")</f>
        <v>83.791991929999995</v>
      </c>
      <c r="Y260" s="28">
        <f>IFERROR(INDEX('Clean Gamification Data'!$H:$H,MATCH($B260,'Clean Gamification Data'!$A:$A,0)),"Not Found")</f>
        <v>68.074934900000002</v>
      </c>
      <c r="Z260" s="28">
        <f>IFERROR(INDEX('Clean Gamification Data'!$I:$I,MATCH($B260,'Clean Gamification Data'!$A:$A,0)),"Not Found")</f>
        <v>50</v>
      </c>
      <c r="AA260" s="28">
        <f>Table1[[#This Row],[Engagement (Gamification %)]]-Table1[[#This Row],[Engagement (Non-Gamification %)]]</f>
        <v>7.2395378299999891</v>
      </c>
      <c r="AB260" s="28">
        <f>Table1[[#This Row],[Motivation (Gamification %)]]-Table1[[#This Row],[Motivation (Non-Gamification %)]]</f>
        <v>-0.1078588099999962</v>
      </c>
      <c r="AC260" s="28">
        <f>Table1[[#This Row],[Participation (Gamification %)]]-Table1[[#This Row],[Participation (Non-Gamification %)]]</f>
        <v>16.108008070000011</v>
      </c>
      <c r="AD260" s="28">
        <f>Table1[[#This Row],[Learning Outcomes (Gamification %)]]-Table1[[#This Row],[Learning Outcomes (Non-Gamification %)]]</f>
        <v>18.074934900000002</v>
      </c>
      <c r="AE260" s="44" t="str">
        <f>IF(Table1[[#This Row],[Overall Effectiveness]]&lt;3.9,"Low",IF(Table1[[#This Row],[Overall Effectiveness]]&lt;4.2,"Medium","High"))</f>
        <v>Medium</v>
      </c>
      <c r="AF260" s="30" t="str">
        <f t="shared" si="28"/>
        <v>Case Studies</v>
      </c>
      <c r="AG260" s="30" t="str">
        <f t="shared" si="29"/>
        <v>Experiments</v>
      </c>
      <c r="AH260" s="27">
        <f>COUNTIF(Teacher_Master!$D$2:$D$16,AF260)</f>
        <v>3</v>
      </c>
      <c r="AI260" s="30" t="str">
        <f>INDEX(Teacher_Master!$B$2:$B$16,MATCH(AF260,Teacher_Master!$D$2:$D$16,0))</f>
        <v>Prof. Rajesh Mukherjee</v>
      </c>
    </row>
    <row r="261" spans="1:35" ht="14.25" customHeight="1" x14ac:dyDescent="0.3">
      <c r="A261" s="31" t="s">
        <v>540</v>
      </c>
      <c r="B261" s="31" t="s">
        <v>541</v>
      </c>
      <c r="C261" s="31" t="s">
        <v>2881</v>
      </c>
      <c r="D261" s="12">
        <f t="shared" ca="1" si="24"/>
        <v>24</v>
      </c>
      <c r="E261" s="12" t="str">
        <f ca="1">IF(Table1[[#This Row],[Age]]&lt;=22,"20-22",IF(Table1[[#This Row],[Age]]&lt;=25,"23-25",IF(Table1[[#This Row],[Age]]&lt;=28,"26-28","29-30")))</f>
        <v>23-25</v>
      </c>
      <c r="F261" s="12">
        <v>3.88</v>
      </c>
      <c r="G261" s="12">
        <v>3.57</v>
      </c>
      <c r="H261" s="12">
        <v>4.0199999999999996</v>
      </c>
      <c r="I261" s="12">
        <v>3.8</v>
      </c>
      <c r="J261" s="12">
        <v>4</v>
      </c>
      <c r="K261" s="12">
        <v>4.28</v>
      </c>
      <c r="L261" s="12">
        <v>4.45</v>
      </c>
      <c r="M261" s="12">
        <v>4.18</v>
      </c>
      <c r="N261" s="12">
        <v>4.1500000000000004</v>
      </c>
      <c r="O261" s="12">
        <v>3.89</v>
      </c>
      <c r="P261" s="12">
        <f t="shared" si="25"/>
        <v>3.8540000000000001</v>
      </c>
      <c r="Q261" s="12">
        <f t="shared" si="26"/>
        <v>3.85</v>
      </c>
      <c r="R261" s="12">
        <f t="shared" si="27"/>
        <v>4.1900000000000004</v>
      </c>
      <c r="S261" s="28">
        <f>IFERROR(INDEX('Clean Gamification Data'!$B:$B,MATCH($B261,'Clean Gamification Data'!$A:$A,0)),"Not Found")</f>
        <v>92.857113949999999</v>
      </c>
      <c r="T261" s="28">
        <f>IFERROR(INDEX('Clean Gamification Data'!$C:$C,MATCH($B261,'Clean Gamification Data'!$A:$A,0)),"Not Found")</f>
        <v>73.730983170000002</v>
      </c>
      <c r="U261" s="28">
        <f>IFERROR(INDEX('Clean Gamification Data'!$D:$D,MATCH($B261,'Clean Gamification Data'!$A:$A,0)),"Not Found")</f>
        <v>75.901536059999998</v>
      </c>
      <c r="V261" s="28">
        <f>IFERROR(INDEX('Clean Gamification Data'!$E:$E,MATCH($B261,'Clean Gamification Data'!$A:$A,0)),"Not Found")</f>
        <v>57.358433580000003</v>
      </c>
      <c r="W261" s="28">
        <f>IFERROR(INDEX('Clean Gamification Data'!$F:$F,MATCH($B261,'Clean Gamification Data'!$A:$A,0)),"Not Found")</f>
        <v>96.787803190000005</v>
      </c>
      <c r="X261" s="28">
        <f>IFERROR(INDEX('Clean Gamification Data'!$G:$G,MATCH($B261,'Clean Gamification Data'!$A:$A,0)),"Not Found")</f>
        <v>79.294871000000001</v>
      </c>
      <c r="Y261" s="28">
        <f>IFERROR(INDEX('Clean Gamification Data'!$H:$H,MATCH($B261,'Clean Gamification Data'!$A:$A,0)),"Not Found")</f>
        <v>69.228269479999994</v>
      </c>
      <c r="Z261" s="28">
        <f>IFERROR(INDEX('Clean Gamification Data'!$I:$I,MATCH($B261,'Clean Gamification Data'!$A:$A,0)),"Not Found")</f>
        <v>50</v>
      </c>
      <c r="AA261" s="28">
        <f>Table1[[#This Row],[Engagement (Gamification %)]]-Table1[[#This Row],[Engagement (Non-Gamification %)]]</f>
        <v>19.126130779999997</v>
      </c>
      <c r="AB261" s="28">
        <f>Table1[[#This Row],[Motivation (Gamification %)]]-Table1[[#This Row],[Motivation (Non-Gamification %)]]</f>
        <v>18.543102479999995</v>
      </c>
      <c r="AC261" s="28">
        <f>Table1[[#This Row],[Participation (Gamification %)]]-Table1[[#This Row],[Participation (Non-Gamification %)]]</f>
        <v>17.492932190000005</v>
      </c>
      <c r="AD261" s="28">
        <f>Table1[[#This Row],[Learning Outcomes (Gamification %)]]-Table1[[#This Row],[Learning Outcomes (Non-Gamification %)]]</f>
        <v>19.228269479999994</v>
      </c>
      <c r="AE261" s="44" t="str">
        <f>IF(Table1[[#This Row],[Overall Effectiveness]]&lt;3.9,"Low",IF(Table1[[#This Row],[Overall Effectiveness]]&lt;4.2,"Medium","High"))</f>
        <v>Low</v>
      </c>
      <c r="AF261" s="30" t="str">
        <f t="shared" si="28"/>
        <v>Group Projects</v>
      </c>
      <c r="AG261" s="30" t="str">
        <f t="shared" si="29"/>
        <v>Case Studies</v>
      </c>
      <c r="AH261" s="27">
        <f>COUNTIF(Teacher_Master!$D$2:$D$16,AF261)</f>
        <v>3</v>
      </c>
      <c r="AI261" s="30" t="str">
        <f>INDEX(Teacher_Master!$B$2:$B$16,MATCH(AF261,Teacher_Master!$D$2:$D$16,0))</f>
        <v>Dr. Rohan Dutta</v>
      </c>
    </row>
    <row r="262" spans="1:35" ht="14.25" customHeight="1" x14ac:dyDescent="0.3">
      <c r="A262" s="31" t="s">
        <v>542</v>
      </c>
      <c r="B262" s="31" t="s">
        <v>543</v>
      </c>
      <c r="C262" s="31" t="s">
        <v>2882</v>
      </c>
      <c r="D262" s="12">
        <f t="shared" ca="1" si="24"/>
        <v>30</v>
      </c>
      <c r="E262" s="12" t="str">
        <f ca="1">IF(Table1[[#This Row],[Age]]&lt;=22,"20-22",IF(Table1[[#This Row],[Age]]&lt;=25,"23-25",IF(Table1[[#This Row],[Age]]&lt;=28,"26-28","29-30")))</f>
        <v>29-30</v>
      </c>
      <c r="F262" s="12">
        <v>3.81</v>
      </c>
      <c r="G262" s="12">
        <v>4.17</v>
      </c>
      <c r="H262" s="12">
        <v>3.82</v>
      </c>
      <c r="I262" s="12">
        <v>3.68</v>
      </c>
      <c r="J262" s="12">
        <v>4.07</v>
      </c>
      <c r="K262" s="12">
        <v>4.12</v>
      </c>
      <c r="L262" s="12">
        <v>4.18</v>
      </c>
      <c r="M262" s="12">
        <v>4.28</v>
      </c>
      <c r="N262" s="12">
        <v>4.59</v>
      </c>
      <c r="O262" s="12">
        <v>4.3499999999999996</v>
      </c>
      <c r="P262" s="12">
        <f t="shared" si="25"/>
        <v>3.91</v>
      </c>
      <c r="Q262" s="12">
        <f t="shared" si="26"/>
        <v>3.91</v>
      </c>
      <c r="R262" s="12">
        <f t="shared" si="27"/>
        <v>4.3040000000000003</v>
      </c>
      <c r="S262" s="28">
        <f>IFERROR(INDEX('Clean Gamification Data'!$B:$B,MATCH($B262,'Clean Gamification Data'!$A:$A,0)),"Not Found")</f>
        <v>84.762193150000002</v>
      </c>
      <c r="T262" s="28">
        <f>IFERROR(INDEX('Clean Gamification Data'!$C:$C,MATCH($B262,'Clean Gamification Data'!$A:$A,0)),"Not Found")</f>
        <v>64.287854820000007</v>
      </c>
      <c r="U262" s="28">
        <f>IFERROR(INDEX('Clean Gamification Data'!$D:$D,MATCH($B262,'Clean Gamification Data'!$A:$A,0)),"Not Found")</f>
        <v>72.208736680000001</v>
      </c>
      <c r="V262" s="28">
        <f>IFERROR(INDEX('Clean Gamification Data'!$E:$E,MATCH($B262,'Clean Gamification Data'!$A:$A,0)),"Not Found")</f>
        <v>55</v>
      </c>
      <c r="W262" s="28">
        <f>IFERROR(INDEX('Clean Gamification Data'!$F:$F,MATCH($B262,'Clean Gamification Data'!$A:$A,0)),"Not Found")</f>
        <v>96.166271370000004</v>
      </c>
      <c r="X262" s="28">
        <f>IFERROR(INDEX('Clean Gamification Data'!$G:$G,MATCH($B262,'Clean Gamification Data'!$A:$A,0)),"Not Found")</f>
        <v>84.695728720000005</v>
      </c>
      <c r="Y262" s="28">
        <f>IFERROR(INDEX('Clean Gamification Data'!$H:$H,MATCH($B262,'Clean Gamification Data'!$A:$A,0)),"Not Found")</f>
        <v>77.911966739999997</v>
      </c>
      <c r="Z262" s="28">
        <f>IFERROR(INDEX('Clean Gamification Data'!$I:$I,MATCH($B262,'Clean Gamification Data'!$A:$A,0)),"Not Found")</f>
        <v>50.985540139999998</v>
      </c>
      <c r="AA262" s="28">
        <f>Table1[[#This Row],[Engagement (Gamification %)]]-Table1[[#This Row],[Engagement (Non-Gamification %)]]</f>
        <v>20.474338329999995</v>
      </c>
      <c r="AB262" s="28">
        <f>Table1[[#This Row],[Motivation (Gamification %)]]-Table1[[#This Row],[Motivation (Non-Gamification %)]]</f>
        <v>17.208736680000001</v>
      </c>
      <c r="AC262" s="28">
        <f>Table1[[#This Row],[Participation (Gamification %)]]-Table1[[#This Row],[Participation (Non-Gamification %)]]</f>
        <v>11.470542649999999</v>
      </c>
      <c r="AD262" s="28">
        <f>Table1[[#This Row],[Learning Outcomes (Gamification %)]]-Table1[[#This Row],[Learning Outcomes (Non-Gamification %)]]</f>
        <v>26.926426599999999</v>
      </c>
      <c r="AE262" s="44" t="str">
        <f>IF(Table1[[#This Row],[Overall Effectiveness]]&lt;3.9,"Low",IF(Table1[[#This Row],[Overall Effectiveness]]&lt;4.2,"Medium","High"))</f>
        <v>Medium</v>
      </c>
      <c r="AF262" s="30" t="str">
        <f t="shared" si="28"/>
        <v>Case Studies</v>
      </c>
      <c r="AG262" s="30" t="str">
        <f t="shared" si="29"/>
        <v>Experiments</v>
      </c>
      <c r="AH262" s="27">
        <f>COUNTIF(Teacher_Master!$D$2:$D$16,AF262)</f>
        <v>3</v>
      </c>
      <c r="AI262" s="30" t="str">
        <f>INDEX(Teacher_Master!$B$2:$B$16,MATCH(AF262,Teacher_Master!$D$2:$D$16,0))</f>
        <v>Prof. Rajesh Mukherjee</v>
      </c>
    </row>
    <row r="263" spans="1:35" ht="14.25" customHeight="1" x14ac:dyDescent="0.3">
      <c r="A263" s="31" t="s">
        <v>544</v>
      </c>
      <c r="B263" s="31" t="s">
        <v>545</v>
      </c>
      <c r="C263" s="31" t="s">
        <v>2882</v>
      </c>
      <c r="D263" s="12">
        <f t="shared" ca="1" si="24"/>
        <v>29</v>
      </c>
      <c r="E263" s="12" t="str">
        <f ca="1">IF(Table1[[#This Row],[Age]]&lt;=22,"20-22",IF(Table1[[#This Row],[Age]]&lt;=25,"23-25",IF(Table1[[#This Row],[Age]]&lt;=28,"26-28","29-30")))</f>
        <v>29-30</v>
      </c>
      <c r="F263" s="12">
        <v>3.38</v>
      </c>
      <c r="G263" s="12">
        <v>4.17</v>
      </c>
      <c r="H263" s="12">
        <v>4.01</v>
      </c>
      <c r="I263" s="12">
        <v>4.51</v>
      </c>
      <c r="J263" s="12">
        <v>3.82</v>
      </c>
      <c r="K263" s="12">
        <v>4.25</v>
      </c>
      <c r="L263" s="12">
        <v>3.9</v>
      </c>
      <c r="M263" s="12">
        <v>4.1900000000000004</v>
      </c>
      <c r="N263" s="12">
        <v>4.38</v>
      </c>
      <c r="O263" s="12">
        <v>4.1500000000000004</v>
      </c>
      <c r="P263" s="12">
        <f t="shared" si="25"/>
        <v>3.9780000000000002</v>
      </c>
      <c r="Q263" s="12">
        <f t="shared" si="26"/>
        <v>3.98</v>
      </c>
      <c r="R263" s="12">
        <f t="shared" si="27"/>
        <v>4.1739999999999995</v>
      </c>
      <c r="S263" s="28">
        <f>IFERROR(INDEX('Clean Gamification Data'!$B:$B,MATCH($B263,'Clean Gamification Data'!$A:$A,0)),"Not Found")</f>
        <v>84.151229020000002</v>
      </c>
      <c r="T263" s="28">
        <f>IFERROR(INDEX('Clean Gamification Data'!$C:$C,MATCH($B263,'Clean Gamification Data'!$A:$A,0)),"Not Found")</f>
        <v>71.003091339999997</v>
      </c>
      <c r="U263" s="28">
        <f>IFERROR(INDEX('Clean Gamification Data'!$D:$D,MATCH($B263,'Clean Gamification Data'!$A:$A,0)),"Not Found")</f>
        <v>87.164596509999996</v>
      </c>
      <c r="V263" s="28">
        <f>IFERROR(INDEX('Clean Gamification Data'!$E:$E,MATCH($B263,'Clean Gamification Data'!$A:$A,0)),"Not Found")</f>
        <v>65.064070689999994</v>
      </c>
      <c r="W263" s="28">
        <f>IFERROR(INDEX('Clean Gamification Data'!$F:$F,MATCH($B263,'Clean Gamification Data'!$A:$A,0)),"Not Found")</f>
        <v>84.345495360000001</v>
      </c>
      <c r="X263" s="28">
        <f>IFERROR(INDEX('Clean Gamification Data'!$G:$G,MATCH($B263,'Clean Gamification Data'!$A:$A,0)),"Not Found")</f>
        <v>76.352271610000003</v>
      </c>
      <c r="Y263" s="28">
        <f>IFERROR(INDEX('Clean Gamification Data'!$H:$H,MATCH($B263,'Clean Gamification Data'!$A:$A,0)),"Not Found")</f>
        <v>71.975214730000005</v>
      </c>
      <c r="Z263" s="28">
        <f>IFERROR(INDEX('Clean Gamification Data'!$I:$I,MATCH($B263,'Clean Gamification Data'!$A:$A,0)),"Not Found")</f>
        <v>58.957387359999998</v>
      </c>
      <c r="AA263" s="28">
        <f>Table1[[#This Row],[Engagement (Gamification %)]]-Table1[[#This Row],[Engagement (Non-Gamification %)]]</f>
        <v>13.148137680000005</v>
      </c>
      <c r="AB263" s="28">
        <f>Table1[[#This Row],[Motivation (Gamification %)]]-Table1[[#This Row],[Motivation (Non-Gamification %)]]</f>
        <v>22.100525820000001</v>
      </c>
      <c r="AC263" s="28">
        <f>Table1[[#This Row],[Participation (Gamification %)]]-Table1[[#This Row],[Participation (Non-Gamification %)]]</f>
        <v>7.9932237499999985</v>
      </c>
      <c r="AD263" s="28">
        <f>Table1[[#This Row],[Learning Outcomes (Gamification %)]]-Table1[[#This Row],[Learning Outcomes (Non-Gamification %)]]</f>
        <v>13.017827370000006</v>
      </c>
      <c r="AE263" s="44" t="str">
        <f>IF(Table1[[#This Row],[Overall Effectiveness]]&lt;3.9,"Low",IF(Table1[[#This Row],[Overall Effectiveness]]&lt;4.2,"Medium","High"))</f>
        <v>Medium</v>
      </c>
      <c r="AF263" s="30" t="str">
        <f t="shared" si="28"/>
        <v>Experiments</v>
      </c>
      <c r="AG263" s="30" t="str">
        <f t="shared" si="29"/>
        <v>Experiments</v>
      </c>
      <c r="AH263" s="27">
        <f>COUNTIF(Teacher_Master!$D$2:$D$16,AF263)</f>
        <v>3</v>
      </c>
      <c r="AI263" s="30" t="str">
        <f>INDEX(Teacher_Master!$B$2:$B$16,MATCH(AF263,Teacher_Master!$D$2:$D$16,0))</f>
        <v>Prof. Rahul Singh</v>
      </c>
    </row>
    <row r="264" spans="1:35" ht="14.25" customHeight="1" x14ac:dyDescent="0.3">
      <c r="A264" s="31" t="s">
        <v>546</v>
      </c>
      <c r="B264" s="31" t="s">
        <v>2264</v>
      </c>
      <c r="C264" s="31" t="s">
        <v>2882</v>
      </c>
      <c r="D264" s="12">
        <f t="shared" ca="1" si="24"/>
        <v>26</v>
      </c>
      <c r="E264" s="12" t="str">
        <f ca="1">IF(Table1[[#This Row],[Age]]&lt;=22,"20-22",IF(Table1[[#This Row],[Age]]&lt;=25,"23-25",IF(Table1[[#This Row],[Age]]&lt;=28,"26-28","29-30")))</f>
        <v>26-28</v>
      </c>
      <c r="F264" s="12">
        <v>4.26</v>
      </c>
      <c r="G264" s="12">
        <v>3.7</v>
      </c>
      <c r="H264" s="12">
        <v>4.34</v>
      </c>
      <c r="I264" s="12">
        <v>4.45</v>
      </c>
      <c r="J264" s="12" t="s">
        <v>548</v>
      </c>
      <c r="K264" s="12">
        <v>4.32</v>
      </c>
      <c r="L264" s="12">
        <v>4.17</v>
      </c>
      <c r="M264" s="12">
        <v>3.74</v>
      </c>
      <c r="N264" s="12">
        <v>4.0599999999999996</v>
      </c>
      <c r="O264" s="12">
        <v>3.82</v>
      </c>
      <c r="P264" s="12">
        <f t="shared" si="25"/>
        <v>4.1875</v>
      </c>
      <c r="Q264" s="12">
        <f t="shared" si="26"/>
        <v>4.1900000000000004</v>
      </c>
      <c r="R264" s="12">
        <f t="shared" si="27"/>
        <v>4.0220000000000002</v>
      </c>
      <c r="S264" s="28">
        <f>IFERROR(INDEX('Clean Gamification Data'!$B:$B,MATCH($B264,'Clean Gamification Data'!$A:$A,0)),"Not Found")</f>
        <v>87.885438129999997</v>
      </c>
      <c r="T264" s="28">
        <f>IFERROR(INDEX('Clean Gamification Data'!$C:$C,MATCH($B264,'Clean Gamification Data'!$A:$A,0)),"Not Found")</f>
        <v>73.92711894</v>
      </c>
      <c r="U264" s="28">
        <f>IFERROR(INDEX('Clean Gamification Data'!$D:$D,MATCH($B264,'Clean Gamification Data'!$A:$A,0)),"Not Found")</f>
        <v>77.766549650000002</v>
      </c>
      <c r="V264" s="28">
        <f>IFERROR(INDEX('Clean Gamification Data'!$E:$E,MATCH($B264,'Clean Gamification Data'!$A:$A,0)),"Not Found")</f>
        <v>67.849650350000005</v>
      </c>
      <c r="W264" s="28">
        <f>IFERROR(INDEX('Clean Gamification Data'!$F:$F,MATCH($B264,'Clean Gamification Data'!$A:$A,0)),"Not Found")</f>
        <v>99.9</v>
      </c>
      <c r="X264" s="28">
        <f>IFERROR(INDEX('Clean Gamification Data'!$G:$G,MATCH($B264,'Clean Gamification Data'!$A:$A,0)),"Not Found")</f>
        <v>83.540350590000003</v>
      </c>
      <c r="Y264" s="28">
        <f>IFERROR(INDEX('Clean Gamification Data'!$H:$H,MATCH($B264,'Clean Gamification Data'!$A:$A,0)),"Not Found")</f>
        <v>65.045274809999995</v>
      </c>
      <c r="Z264" s="28">
        <f>IFERROR(INDEX('Clean Gamification Data'!$I:$I,MATCH($B264,'Clean Gamification Data'!$A:$A,0)),"Not Found")</f>
        <v>62.374693659999998</v>
      </c>
      <c r="AA264" s="28">
        <f>Table1[[#This Row],[Engagement (Gamification %)]]-Table1[[#This Row],[Engagement (Non-Gamification %)]]</f>
        <v>13.958319189999997</v>
      </c>
      <c r="AB264" s="28">
        <f>Table1[[#This Row],[Motivation (Gamification %)]]-Table1[[#This Row],[Motivation (Non-Gamification %)]]</f>
        <v>9.9168992999999972</v>
      </c>
      <c r="AC264" s="28">
        <f>Table1[[#This Row],[Participation (Gamification %)]]-Table1[[#This Row],[Participation (Non-Gamification %)]]</f>
        <v>16.359649410000003</v>
      </c>
      <c r="AD264" s="28">
        <f>Table1[[#This Row],[Learning Outcomes (Gamification %)]]-Table1[[#This Row],[Learning Outcomes (Non-Gamification %)]]</f>
        <v>2.6705811499999967</v>
      </c>
      <c r="AE264" s="44" t="str">
        <f>IF(Table1[[#This Row],[Overall Effectiveness]]&lt;3.9,"Low",IF(Table1[[#This Row],[Overall Effectiveness]]&lt;4.2,"Medium","High"))</f>
        <v>Medium</v>
      </c>
      <c r="AF264" s="30" t="str">
        <f t="shared" si="28"/>
        <v>Experiments</v>
      </c>
      <c r="AG264" s="30" t="str">
        <f t="shared" si="29"/>
        <v>Lectures</v>
      </c>
      <c r="AH264" s="27">
        <f>COUNTIF(Teacher_Master!$D$2:$D$16,AF264)</f>
        <v>3</v>
      </c>
      <c r="AI264" s="30" t="str">
        <f>INDEX(Teacher_Master!$B$2:$B$16,MATCH(AF264,Teacher_Master!$D$2:$D$16,0))</f>
        <v>Prof. Rahul Singh</v>
      </c>
    </row>
    <row r="265" spans="1:35" ht="14.25" customHeight="1" x14ac:dyDescent="0.3">
      <c r="A265" s="31" t="s">
        <v>549</v>
      </c>
      <c r="B265" s="31" t="s">
        <v>550</v>
      </c>
      <c r="C265" s="31" t="s">
        <v>2882</v>
      </c>
      <c r="D265" s="12">
        <f t="shared" ca="1" si="24"/>
        <v>27</v>
      </c>
      <c r="E265" s="12" t="str">
        <f ca="1">IF(Table1[[#This Row],[Age]]&lt;=22,"20-22",IF(Table1[[#This Row],[Age]]&lt;=25,"23-25",IF(Table1[[#This Row],[Age]]&lt;=28,"26-28","29-30")))</f>
        <v>26-28</v>
      </c>
      <c r="F265" s="12">
        <v>4.1900000000000004</v>
      </c>
      <c r="G265" s="12">
        <v>3.75</v>
      </c>
      <c r="H265" s="12">
        <v>3.42</v>
      </c>
      <c r="I265" s="12">
        <v>3.91</v>
      </c>
      <c r="J265" s="12">
        <v>3.4</v>
      </c>
      <c r="K265" s="12">
        <v>4.1500000000000004</v>
      </c>
      <c r="L265" s="12">
        <v>3.92</v>
      </c>
      <c r="M265" s="12">
        <v>4.07</v>
      </c>
      <c r="N265" s="12">
        <v>4.46</v>
      </c>
      <c r="O265" s="12">
        <v>3.76</v>
      </c>
      <c r="P265" s="12">
        <f t="shared" si="25"/>
        <v>3.7339999999999995</v>
      </c>
      <c r="Q265" s="12">
        <f t="shared" si="26"/>
        <v>3.73</v>
      </c>
      <c r="R265" s="12">
        <f t="shared" si="27"/>
        <v>4.0720000000000001</v>
      </c>
      <c r="S265" s="28">
        <f>IFERROR(INDEX('Clean Gamification Data'!$B:$B,MATCH($B265,'Clean Gamification Data'!$A:$A,0)),"Not Found")</f>
        <v>88.596177690000005</v>
      </c>
      <c r="T265" s="28">
        <f>IFERROR(INDEX('Clean Gamification Data'!$C:$C,MATCH($B265,'Clean Gamification Data'!$A:$A,0)),"Not Found")</f>
        <v>63.125025909999998</v>
      </c>
      <c r="U265" s="28">
        <f>IFERROR(INDEX('Clean Gamification Data'!$D:$D,MATCH($B265,'Clean Gamification Data'!$A:$A,0)),"Not Found")</f>
        <v>73.848816459999995</v>
      </c>
      <c r="V265" s="28">
        <f>IFERROR(INDEX('Clean Gamification Data'!$E:$E,MATCH($B265,'Clean Gamification Data'!$A:$A,0)),"Not Found")</f>
        <v>70.198055659999994</v>
      </c>
      <c r="W265" s="28">
        <f>IFERROR(INDEX('Clean Gamification Data'!$F:$F,MATCH($B265,'Clean Gamification Data'!$A:$A,0)),"Not Found")</f>
        <v>99.9</v>
      </c>
      <c r="X265" s="28">
        <f>IFERROR(INDEX('Clean Gamification Data'!$G:$G,MATCH($B265,'Clean Gamification Data'!$A:$A,0)),"Not Found")</f>
        <v>77.732817920000002</v>
      </c>
      <c r="Y265" s="28">
        <f>IFERROR(INDEX('Clean Gamification Data'!$H:$H,MATCH($B265,'Clean Gamification Data'!$A:$A,0)),"Not Found")</f>
        <v>77.584531769999998</v>
      </c>
      <c r="Z265" s="28">
        <f>IFERROR(INDEX('Clean Gamification Data'!$I:$I,MATCH($B265,'Clean Gamification Data'!$A:$A,0)),"Not Found")</f>
        <v>59.818881619999999</v>
      </c>
      <c r="AA265" s="28">
        <f>Table1[[#This Row],[Engagement (Gamification %)]]-Table1[[#This Row],[Engagement (Non-Gamification %)]]</f>
        <v>25.471151780000007</v>
      </c>
      <c r="AB265" s="28">
        <f>Table1[[#This Row],[Motivation (Gamification %)]]-Table1[[#This Row],[Motivation (Non-Gamification %)]]</f>
        <v>3.6507608000000005</v>
      </c>
      <c r="AC265" s="28">
        <f>Table1[[#This Row],[Participation (Gamification %)]]-Table1[[#This Row],[Participation (Non-Gamification %)]]</f>
        <v>22.167182080000003</v>
      </c>
      <c r="AD265" s="28">
        <f>Table1[[#This Row],[Learning Outcomes (Gamification %)]]-Table1[[#This Row],[Learning Outcomes (Non-Gamification %)]]</f>
        <v>17.765650149999999</v>
      </c>
      <c r="AE265" s="44" t="str">
        <f>IF(Table1[[#This Row],[Overall Effectiveness]]&lt;3.9,"Low",IF(Table1[[#This Row],[Overall Effectiveness]]&lt;4.2,"Medium","High"))</f>
        <v>Low</v>
      </c>
      <c r="AF265" s="30" t="str">
        <f t="shared" si="28"/>
        <v>Lectures</v>
      </c>
      <c r="AG265" s="30" t="str">
        <f t="shared" si="29"/>
        <v>Experiments</v>
      </c>
      <c r="AH265" s="27">
        <f>COUNTIF(Teacher_Master!$D$2:$D$16,AF265)</f>
        <v>3</v>
      </c>
      <c r="AI265" s="30" t="str">
        <f>INDEX(Teacher_Master!$B$2:$B$16,MATCH(AF265,Teacher_Master!$D$2:$D$16,0))</f>
        <v>Prof. Vikram Gupta</v>
      </c>
    </row>
    <row r="266" spans="1:35" ht="14.25" customHeight="1" x14ac:dyDescent="0.3">
      <c r="A266" s="31" t="s">
        <v>551</v>
      </c>
      <c r="B266" s="31" t="s">
        <v>552</v>
      </c>
      <c r="C266" s="31" t="s">
        <v>2882</v>
      </c>
      <c r="D266" s="12">
        <f t="shared" ca="1" si="24"/>
        <v>29</v>
      </c>
      <c r="E266" s="12" t="str">
        <f ca="1">IF(Table1[[#This Row],[Age]]&lt;=22,"20-22",IF(Table1[[#This Row],[Age]]&lt;=25,"23-25",IF(Table1[[#This Row],[Age]]&lt;=28,"26-28","29-30")))</f>
        <v>29-30</v>
      </c>
      <c r="F266" s="12">
        <v>4.2</v>
      </c>
      <c r="G266" s="12">
        <v>3.59</v>
      </c>
      <c r="H266" s="12">
        <v>3.93</v>
      </c>
      <c r="I266" s="12">
        <v>3.94</v>
      </c>
      <c r="J266" s="12">
        <v>4.0599999999999996</v>
      </c>
      <c r="K266" s="12">
        <v>3.85</v>
      </c>
      <c r="L266" s="12">
        <v>4.9000000000000004</v>
      </c>
      <c r="M266" s="12">
        <v>3.97</v>
      </c>
      <c r="N266" s="12">
        <v>4.1100000000000003</v>
      </c>
      <c r="O266" s="12">
        <v>3.89</v>
      </c>
      <c r="P266" s="12">
        <f t="shared" si="25"/>
        <v>3.944</v>
      </c>
      <c r="Q266" s="12">
        <f t="shared" si="26"/>
        <v>3.94</v>
      </c>
      <c r="R266" s="12">
        <f t="shared" si="27"/>
        <v>4.1440000000000001</v>
      </c>
      <c r="S266" s="28">
        <f>IFERROR(INDEX('Clean Gamification Data'!$B:$B,MATCH($B266,'Clean Gamification Data'!$A:$A,0)),"Not Found")</f>
        <v>91.122484779999994</v>
      </c>
      <c r="T266" s="28">
        <f>IFERROR(INDEX('Clean Gamification Data'!$C:$C,MATCH($B266,'Clean Gamification Data'!$A:$A,0)),"Not Found")</f>
        <v>73.904884359999997</v>
      </c>
      <c r="U266" s="28">
        <f>IFERROR(INDEX('Clean Gamification Data'!$D:$D,MATCH($B266,'Clean Gamification Data'!$A:$A,0)),"Not Found")</f>
        <v>70</v>
      </c>
      <c r="V266" s="28">
        <f>IFERROR(INDEX('Clean Gamification Data'!$E:$E,MATCH($B266,'Clean Gamification Data'!$A:$A,0)),"Not Found")</f>
        <v>61.852370180000001</v>
      </c>
      <c r="W266" s="28">
        <f>IFERROR(INDEX('Clean Gamification Data'!$F:$F,MATCH($B266,'Clean Gamification Data'!$A:$A,0)),"Not Found")</f>
        <v>99.9</v>
      </c>
      <c r="X266" s="28">
        <f>IFERROR(INDEX('Clean Gamification Data'!$G:$G,MATCH($B266,'Clean Gamification Data'!$A:$A,0)),"Not Found")</f>
        <v>69.969356480000002</v>
      </c>
      <c r="Y266" s="28">
        <f>IFERROR(INDEX('Clean Gamification Data'!$H:$H,MATCH($B266,'Clean Gamification Data'!$A:$A,0)),"Not Found")</f>
        <v>66.266599400000004</v>
      </c>
      <c r="Z266" s="28">
        <f>IFERROR(INDEX('Clean Gamification Data'!$I:$I,MATCH($B266,'Clean Gamification Data'!$A:$A,0)),"Not Found")</f>
        <v>58.984773869999998</v>
      </c>
      <c r="AA266" s="28">
        <f>Table1[[#This Row],[Engagement (Gamification %)]]-Table1[[#This Row],[Engagement (Non-Gamification %)]]</f>
        <v>17.217600419999997</v>
      </c>
      <c r="AB266" s="28">
        <f>Table1[[#This Row],[Motivation (Gamification %)]]-Table1[[#This Row],[Motivation (Non-Gamification %)]]</f>
        <v>8.1476298199999988</v>
      </c>
      <c r="AC266" s="28">
        <f>Table1[[#This Row],[Participation (Gamification %)]]-Table1[[#This Row],[Participation (Non-Gamification %)]]</f>
        <v>29.930643520000004</v>
      </c>
      <c r="AD266" s="28">
        <f>Table1[[#This Row],[Learning Outcomes (Gamification %)]]-Table1[[#This Row],[Learning Outcomes (Non-Gamification %)]]</f>
        <v>7.2818255300000061</v>
      </c>
      <c r="AE266" s="44" t="str">
        <f>IF(Table1[[#This Row],[Overall Effectiveness]]&lt;3.9,"Low",IF(Table1[[#This Row],[Overall Effectiveness]]&lt;4.2,"Medium","High"))</f>
        <v>Medium</v>
      </c>
      <c r="AF266" s="30" t="str">
        <f t="shared" si="28"/>
        <v>Lectures</v>
      </c>
      <c r="AG266" s="30" t="str">
        <f t="shared" si="29"/>
        <v>Case Studies</v>
      </c>
      <c r="AH266" s="27">
        <f>COUNTIF(Teacher_Master!$D$2:$D$16,AF266)</f>
        <v>3</v>
      </c>
      <c r="AI266" s="30" t="str">
        <f>INDEX(Teacher_Master!$B$2:$B$16,MATCH(AF266,Teacher_Master!$D$2:$D$16,0))</f>
        <v>Prof. Vikram Gupta</v>
      </c>
    </row>
    <row r="267" spans="1:35" ht="14.25" customHeight="1" x14ac:dyDescent="0.3">
      <c r="A267" s="31" t="s">
        <v>553</v>
      </c>
      <c r="B267" s="31" t="s">
        <v>2265</v>
      </c>
      <c r="C267" s="31" t="s">
        <v>2881</v>
      </c>
      <c r="D267" s="12">
        <f t="shared" ca="1" si="24"/>
        <v>23</v>
      </c>
      <c r="E267" s="12" t="str">
        <f ca="1">IF(Table1[[#This Row],[Age]]&lt;=22,"20-22",IF(Table1[[#This Row],[Age]]&lt;=25,"23-25",IF(Table1[[#This Row],[Age]]&lt;=28,"26-28","29-30")))</f>
        <v>23-25</v>
      </c>
      <c r="F267" s="12">
        <v>4.5</v>
      </c>
      <c r="G267" s="12">
        <v>4.04</v>
      </c>
      <c r="H267" s="12">
        <v>4.17</v>
      </c>
      <c r="I267" s="12">
        <v>3.84</v>
      </c>
      <c r="J267" s="12">
        <v>4.6500000000000004</v>
      </c>
      <c r="K267" s="12">
        <v>3.67</v>
      </c>
      <c r="L267" s="12">
        <v>4.34</v>
      </c>
      <c r="M267" s="12">
        <v>4.18</v>
      </c>
      <c r="N267" s="12">
        <v>3.82</v>
      </c>
      <c r="O267" s="12">
        <v>4.22</v>
      </c>
      <c r="P267" s="12">
        <f t="shared" si="25"/>
        <v>4.2399999999999993</v>
      </c>
      <c r="Q267" s="12">
        <f t="shared" si="26"/>
        <v>4.24</v>
      </c>
      <c r="R267" s="12">
        <f t="shared" si="27"/>
        <v>4.0459999999999994</v>
      </c>
      <c r="S267" s="28">
        <f>IFERROR(INDEX('Clean Gamification Data'!$B:$B,MATCH($B267,'Clean Gamification Data'!$A:$A,0)),"Not Found")</f>
        <v>96.776441779999999</v>
      </c>
      <c r="T267" s="28">
        <f>IFERROR(INDEX('Clean Gamification Data'!$C:$C,MATCH($B267,'Clean Gamification Data'!$A:$A,0)),"Not Found")</f>
        <v>72.387218570000002</v>
      </c>
      <c r="U267" s="28">
        <f>IFERROR(INDEX('Clean Gamification Data'!$D:$D,MATCH($B267,'Clean Gamification Data'!$A:$A,0)),"Not Found")</f>
        <v>86.180224089999996</v>
      </c>
      <c r="V267" s="28">
        <f>IFERROR(INDEX('Clean Gamification Data'!$E:$E,MATCH($B267,'Clean Gamification Data'!$A:$A,0)),"Not Found")</f>
        <v>64.974992049999997</v>
      </c>
      <c r="W267" s="28">
        <f>IFERROR(INDEX('Clean Gamification Data'!$F:$F,MATCH($B267,'Clean Gamification Data'!$A:$A,0)),"Not Found")</f>
        <v>86.300323140000003</v>
      </c>
      <c r="X267" s="28">
        <f>IFERROR(INDEX('Clean Gamification Data'!$G:$G,MATCH($B267,'Clean Gamification Data'!$A:$A,0)),"Not Found")</f>
        <v>78.478232969999993</v>
      </c>
      <c r="Y267" s="28">
        <f>IFERROR(INDEX('Clean Gamification Data'!$H:$H,MATCH($B267,'Clean Gamification Data'!$A:$A,0)),"Not Found")</f>
        <v>65</v>
      </c>
      <c r="Z267" s="28">
        <f>IFERROR(INDEX('Clean Gamification Data'!$I:$I,MATCH($B267,'Clean Gamification Data'!$A:$A,0)),"Not Found")</f>
        <v>60.77828324</v>
      </c>
      <c r="AA267" s="28">
        <f>Table1[[#This Row],[Engagement (Gamification %)]]-Table1[[#This Row],[Engagement (Non-Gamification %)]]</f>
        <v>24.389223209999997</v>
      </c>
      <c r="AB267" s="28">
        <f>Table1[[#This Row],[Motivation (Gamification %)]]-Table1[[#This Row],[Motivation (Non-Gamification %)]]</f>
        <v>21.205232039999999</v>
      </c>
      <c r="AC267" s="28">
        <f>Table1[[#This Row],[Participation (Gamification %)]]-Table1[[#This Row],[Participation (Non-Gamification %)]]</f>
        <v>7.8220901700000098</v>
      </c>
      <c r="AD267" s="28">
        <f>Table1[[#This Row],[Learning Outcomes (Gamification %)]]-Table1[[#This Row],[Learning Outcomes (Non-Gamification %)]]</f>
        <v>4.2217167599999996</v>
      </c>
      <c r="AE267" s="44" t="str">
        <f>IF(Table1[[#This Row],[Overall Effectiveness]]&lt;3.9,"Low",IF(Table1[[#This Row],[Overall Effectiveness]]&lt;4.2,"Medium","High"))</f>
        <v>High</v>
      </c>
      <c r="AF267" s="30" t="str">
        <f t="shared" si="28"/>
        <v>Online Tutorials</v>
      </c>
      <c r="AG267" s="30" t="str">
        <f t="shared" si="29"/>
        <v>Case Studies</v>
      </c>
      <c r="AH267" s="27">
        <f>COUNTIF(Teacher_Master!$D$2:$D$16,AF267)</f>
        <v>3</v>
      </c>
      <c r="AI267" s="30" t="str">
        <f>INDEX(Teacher_Master!$B$2:$B$16,MATCH(AF267,Teacher_Master!$D$2:$D$16,0))</f>
        <v>Prof. Kavita Rao</v>
      </c>
    </row>
    <row r="268" spans="1:35" ht="14.25" customHeight="1" x14ac:dyDescent="0.3">
      <c r="A268" s="31" t="s">
        <v>555</v>
      </c>
      <c r="B268" s="31" t="s">
        <v>2266</v>
      </c>
      <c r="C268" s="31" t="s">
        <v>2881</v>
      </c>
      <c r="D268" s="12">
        <f t="shared" ca="1" si="24"/>
        <v>27</v>
      </c>
      <c r="E268" s="12" t="str">
        <f ca="1">IF(Table1[[#This Row],[Age]]&lt;=22,"20-22",IF(Table1[[#This Row],[Age]]&lt;=25,"23-25",IF(Table1[[#This Row],[Age]]&lt;=28,"26-28","29-30")))</f>
        <v>26-28</v>
      </c>
      <c r="F268" s="12">
        <v>3.42</v>
      </c>
      <c r="G268" s="12">
        <v>4.22</v>
      </c>
      <c r="H268" s="12">
        <v>4.1500000000000004</v>
      </c>
      <c r="I268" s="12">
        <v>3.61</v>
      </c>
      <c r="J268" s="12">
        <v>3.72</v>
      </c>
      <c r="K268" s="12">
        <v>4</v>
      </c>
      <c r="L268" s="12">
        <v>3.89</v>
      </c>
      <c r="M268" s="12">
        <v>4.1399999999999997</v>
      </c>
      <c r="N268" s="12">
        <v>3.59</v>
      </c>
      <c r="O268" s="12">
        <v>3.77</v>
      </c>
      <c r="P268" s="12">
        <f t="shared" si="25"/>
        <v>3.8239999999999994</v>
      </c>
      <c r="Q268" s="12">
        <f t="shared" si="26"/>
        <v>3.82</v>
      </c>
      <c r="R268" s="12">
        <f t="shared" si="27"/>
        <v>3.8780000000000001</v>
      </c>
      <c r="S268" s="28">
        <f>IFERROR(INDEX('Clean Gamification Data'!$B:$B,MATCH($B268,'Clean Gamification Data'!$A:$A,0)),"Not Found")</f>
        <v>85.389548559999994</v>
      </c>
      <c r="T268" s="28">
        <f>IFERROR(INDEX('Clean Gamification Data'!$C:$C,MATCH($B268,'Clean Gamification Data'!$A:$A,0)),"Not Found")</f>
        <v>70.264323329999996</v>
      </c>
      <c r="U268" s="28">
        <f>IFERROR(INDEX('Clean Gamification Data'!$D:$D,MATCH($B268,'Clean Gamification Data'!$A:$A,0)),"Not Found")</f>
        <v>70</v>
      </c>
      <c r="V268" s="28">
        <f>IFERROR(INDEX('Clean Gamification Data'!$E:$E,MATCH($B268,'Clean Gamification Data'!$A:$A,0)),"Not Found")</f>
        <v>65.198609189999999</v>
      </c>
      <c r="W268" s="28">
        <f>IFERROR(INDEX('Clean Gamification Data'!$F:$F,MATCH($B268,'Clean Gamification Data'!$A:$A,0)),"Not Found")</f>
        <v>99.9</v>
      </c>
      <c r="X268" s="28">
        <f>IFERROR(INDEX('Clean Gamification Data'!$G:$G,MATCH($B268,'Clean Gamification Data'!$A:$A,0)),"Not Found")</f>
        <v>74.625216609999995</v>
      </c>
      <c r="Y268" s="28">
        <f>IFERROR(INDEX('Clean Gamification Data'!$H:$H,MATCH($B268,'Clean Gamification Data'!$A:$A,0)),"Not Found")</f>
        <v>73.184775950000002</v>
      </c>
      <c r="Z268" s="28">
        <f>IFERROR(INDEX('Clean Gamification Data'!$I:$I,MATCH($B268,'Clean Gamification Data'!$A:$A,0)),"Not Found")</f>
        <v>61.697594070000001</v>
      </c>
      <c r="AA268" s="28">
        <f>Table1[[#This Row],[Engagement (Gamification %)]]-Table1[[#This Row],[Engagement (Non-Gamification %)]]</f>
        <v>15.125225229999998</v>
      </c>
      <c r="AB268" s="28">
        <f>Table1[[#This Row],[Motivation (Gamification %)]]-Table1[[#This Row],[Motivation (Non-Gamification %)]]</f>
        <v>4.8013908100000009</v>
      </c>
      <c r="AC268" s="28">
        <f>Table1[[#This Row],[Participation (Gamification %)]]-Table1[[#This Row],[Participation (Non-Gamification %)]]</f>
        <v>25.27478339000001</v>
      </c>
      <c r="AD268" s="28">
        <f>Table1[[#This Row],[Learning Outcomes (Gamification %)]]-Table1[[#This Row],[Learning Outcomes (Non-Gamification %)]]</f>
        <v>11.487181880000001</v>
      </c>
      <c r="AE268" s="44" t="str">
        <f>IF(Table1[[#This Row],[Overall Effectiveness]]&lt;3.9,"Low",IF(Table1[[#This Row],[Overall Effectiveness]]&lt;4.2,"Medium","High"))</f>
        <v>Low</v>
      </c>
      <c r="AF268" s="30" t="str">
        <f t="shared" si="28"/>
        <v>Case Studies</v>
      </c>
      <c r="AG268" s="30" t="str">
        <f t="shared" si="29"/>
        <v>Group Projects</v>
      </c>
      <c r="AH268" s="27">
        <f>COUNTIF(Teacher_Master!$D$2:$D$16,AF268)</f>
        <v>3</v>
      </c>
      <c r="AI268" s="30" t="str">
        <f>INDEX(Teacher_Master!$B$2:$B$16,MATCH(AF268,Teacher_Master!$D$2:$D$16,0))</f>
        <v>Prof. Rajesh Mukherjee</v>
      </c>
    </row>
    <row r="269" spans="1:35" ht="14.25" customHeight="1" x14ac:dyDescent="0.3">
      <c r="A269" s="31" t="s">
        <v>557</v>
      </c>
      <c r="B269" s="31" t="s">
        <v>2267</v>
      </c>
      <c r="C269" s="31" t="s">
        <v>2882</v>
      </c>
      <c r="D269" s="12">
        <f t="shared" ca="1" si="24"/>
        <v>22</v>
      </c>
      <c r="E269" s="12" t="str">
        <f ca="1">IF(Table1[[#This Row],[Age]]&lt;=22,"20-22",IF(Table1[[#This Row],[Age]]&lt;=25,"23-25",IF(Table1[[#This Row],[Age]]&lt;=28,"26-28","29-30")))</f>
        <v>20-22</v>
      </c>
      <c r="F269" s="12" t="s">
        <v>559</v>
      </c>
      <c r="G269" s="12">
        <v>3.99</v>
      </c>
      <c r="H269" s="12">
        <v>3.96</v>
      </c>
      <c r="I269" s="12">
        <v>4.4400000000000004</v>
      </c>
      <c r="J269" s="12">
        <v>3.87</v>
      </c>
      <c r="K269" s="12">
        <v>4.32</v>
      </c>
      <c r="L269" s="12">
        <v>3.78</v>
      </c>
      <c r="M269" s="12">
        <v>4.3</v>
      </c>
      <c r="N269" s="12">
        <v>3.98</v>
      </c>
      <c r="O269" s="12">
        <v>3.99</v>
      </c>
      <c r="P269" s="12">
        <f t="shared" si="25"/>
        <v>4.0650000000000004</v>
      </c>
      <c r="Q269" s="12">
        <f t="shared" si="26"/>
        <v>4.07</v>
      </c>
      <c r="R269" s="12">
        <f t="shared" si="27"/>
        <v>4.0739999999999998</v>
      </c>
      <c r="S269" s="28">
        <f>IFERROR(INDEX('Clean Gamification Data'!$B:$B,MATCH($B269,'Clean Gamification Data'!$A:$A,0)),"Not Found")</f>
        <v>86.612911690000004</v>
      </c>
      <c r="T269" s="28">
        <f>IFERROR(INDEX('Clean Gamification Data'!$C:$C,MATCH($B269,'Clean Gamification Data'!$A:$A,0)),"Not Found")</f>
        <v>65.615338629999997</v>
      </c>
      <c r="U269" s="28">
        <f>IFERROR(INDEX('Clean Gamification Data'!$D:$D,MATCH($B269,'Clean Gamification Data'!$A:$A,0)),"Not Found")</f>
        <v>70</v>
      </c>
      <c r="V269" s="28">
        <f>IFERROR(INDEX('Clean Gamification Data'!$E:$E,MATCH($B269,'Clean Gamification Data'!$A:$A,0)),"Not Found")</f>
        <v>68.739499289999998</v>
      </c>
      <c r="W269" s="28">
        <f>IFERROR(INDEX('Clean Gamification Data'!$F:$F,MATCH($B269,'Clean Gamification Data'!$A:$A,0)),"Not Found")</f>
        <v>99.9</v>
      </c>
      <c r="X269" s="28">
        <f>IFERROR(INDEX('Clean Gamification Data'!$G:$G,MATCH($B269,'Clean Gamification Data'!$A:$A,0)),"Not Found")</f>
        <v>70.071486239999999</v>
      </c>
      <c r="Y269" s="28">
        <f>IFERROR(INDEX('Clean Gamification Data'!$H:$H,MATCH($B269,'Clean Gamification Data'!$A:$A,0)),"Not Found")</f>
        <v>74.989589230000007</v>
      </c>
      <c r="Z269" s="28">
        <f>IFERROR(INDEX('Clean Gamification Data'!$I:$I,MATCH($B269,'Clean Gamification Data'!$A:$A,0)),"Not Found")</f>
        <v>57.000298229999999</v>
      </c>
      <c r="AA269" s="28">
        <f>Table1[[#This Row],[Engagement (Gamification %)]]-Table1[[#This Row],[Engagement (Non-Gamification %)]]</f>
        <v>20.997573060000008</v>
      </c>
      <c r="AB269" s="28">
        <f>Table1[[#This Row],[Motivation (Gamification %)]]-Table1[[#This Row],[Motivation (Non-Gamification %)]]</f>
        <v>1.2605007100000023</v>
      </c>
      <c r="AC269" s="28">
        <f>Table1[[#This Row],[Participation (Gamification %)]]-Table1[[#This Row],[Participation (Non-Gamification %)]]</f>
        <v>29.828513760000007</v>
      </c>
      <c r="AD269" s="28">
        <f>Table1[[#This Row],[Learning Outcomes (Gamification %)]]-Table1[[#This Row],[Learning Outcomes (Non-Gamification %)]]</f>
        <v>17.989291000000009</v>
      </c>
      <c r="AE269" s="44" t="str">
        <f>IF(Table1[[#This Row],[Overall Effectiveness]]&lt;3.9,"Low",IF(Table1[[#This Row],[Overall Effectiveness]]&lt;4.2,"Medium","High"))</f>
        <v>Medium</v>
      </c>
      <c r="AF269" s="30" t="str">
        <f t="shared" si="28"/>
        <v>Experiments</v>
      </c>
      <c r="AG269" s="30" t="str">
        <f t="shared" si="29"/>
        <v>Lectures</v>
      </c>
      <c r="AH269" s="27">
        <f>COUNTIF(Teacher_Master!$D$2:$D$16,AF269)</f>
        <v>3</v>
      </c>
      <c r="AI269" s="30" t="str">
        <f>INDEX(Teacher_Master!$B$2:$B$16,MATCH(AF269,Teacher_Master!$D$2:$D$16,0))</f>
        <v>Prof. Rahul Singh</v>
      </c>
    </row>
    <row r="270" spans="1:35" ht="14.25" customHeight="1" x14ac:dyDescent="0.3">
      <c r="A270" s="31" t="s">
        <v>560</v>
      </c>
      <c r="B270" s="31" t="s">
        <v>2268</v>
      </c>
      <c r="C270" s="31" t="s">
        <v>2881</v>
      </c>
      <c r="D270" s="12">
        <f t="shared" ca="1" si="24"/>
        <v>23</v>
      </c>
      <c r="E270" s="12" t="str">
        <f ca="1">IF(Table1[[#This Row],[Age]]&lt;=22,"20-22",IF(Table1[[#This Row],[Age]]&lt;=25,"23-25",IF(Table1[[#This Row],[Age]]&lt;=28,"26-28","29-30")))</f>
        <v>23-25</v>
      </c>
      <c r="F270" s="12" t="s">
        <v>211</v>
      </c>
      <c r="G270" s="12">
        <v>4.3899999999999997</v>
      </c>
      <c r="H270" s="12">
        <v>4.0199999999999996</v>
      </c>
      <c r="I270" s="12">
        <v>3.97</v>
      </c>
      <c r="J270" s="12">
        <v>4.2699999999999996</v>
      </c>
      <c r="K270" s="12">
        <v>3.87</v>
      </c>
      <c r="L270" s="12">
        <v>4.09</v>
      </c>
      <c r="M270" s="12">
        <v>4.58</v>
      </c>
      <c r="N270" s="12">
        <v>4.6500000000000004</v>
      </c>
      <c r="O270" s="12">
        <v>3.72</v>
      </c>
      <c r="P270" s="12">
        <f t="shared" si="25"/>
        <v>4.1624999999999996</v>
      </c>
      <c r="Q270" s="12">
        <f t="shared" si="26"/>
        <v>4.16</v>
      </c>
      <c r="R270" s="12">
        <f t="shared" si="27"/>
        <v>4.1819999999999995</v>
      </c>
      <c r="S270" s="28">
        <f>IFERROR(INDEX('Clean Gamification Data'!$B:$B,MATCH($B270,'Clean Gamification Data'!$A:$A,0)),"Not Found")</f>
        <v>92.837682569999998</v>
      </c>
      <c r="T270" s="28">
        <f>IFERROR(INDEX('Clean Gamification Data'!$C:$C,MATCH($B270,'Clean Gamification Data'!$A:$A,0)),"Not Found")</f>
        <v>72.090782660000002</v>
      </c>
      <c r="U270" s="28">
        <f>IFERROR(INDEX('Clean Gamification Data'!$D:$D,MATCH($B270,'Clean Gamification Data'!$A:$A,0)),"Not Found")</f>
        <v>70</v>
      </c>
      <c r="V270" s="28">
        <f>IFERROR(INDEX('Clean Gamification Data'!$E:$E,MATCH($B270,'Clean Gamification Data'!$A:$A,0)),"Not Found")</f>
        <v>68.404025270000005</v>
      </c>
      <c r="W270" s="28">
        <f>IFERROR(INDEX('Clean Gamification Data'!$F:$F,MATCH($B270,'Clean Gamification Data'!$A:$A,0)),"Not Found")</f>
        <v>96.402398070000004</v>
      </c>
      <c r="X270" s="28">
        <f>IFERROR(INDEX('Clean Gamification Data'!$G:$G,MATCH($B270,'Clean Gamification Data'!$A:$A,0)),"Not Found")</f>
        <v>76.645968719999999</v>
      </c>
      <c r="Y270" s="28">
        <f>IFERROR(INDEX('Clean Gamification Data'!$H:$H,MATCH($B270,'Clean Gamification Data'!$A:$A,0)),"Not Found")</f>
        <v>67.821528389999997</v>
      </c>
      <c r="Z270" s="28">
        <f>IFERROR(INDEX('Clean Gamification Data'!$I:$I,MATCH($B270,'Clean Gamification Data'!$A:$A,0)),"Not Found")</f>
        <v>66.254633200000001</v>
      </c>
      <c r="AA270" s="28">
        <f>Table1[[#This Row],[Engagement (Gamification %)]]-Table1[[#This Row],[Engagement (Non-Gamification %)]]</f>
        <v>20.746899909999996</v>
      </c>
      <c r="AB270" s="28">
        <f>Table1[[#This Row],[Motivation (Gamification %)]]-Table1[[#This Row],[Motivation (Non-Gamification %)]]</f>
        <v>1.5959747299999947</v>
      </c>
      <c r="AC270" s="28">
        <f>Table1[[#This Row],[Participation (Gamification %)]]-Table1[[#This Row],[Participation (Non-Gamification %)]]</f>
        <v>19.756429350000005</v>
      </c>
      <c r="AD270" s="28">
        <f>Table1[[#This Row],[Learning Outcomes (Gamification %)]]-Table1[[#This Row],[Learning Outcomes (Non-Gamification %)]]</f>
        <v>1.5668951899999968</v>
      </c>
      <c r="AE270" s="44" t="str">
        <f>IF(Table1[[#This Row],[Overall Effectiveness]]&lt;3.9,"Low",IF(Table1[[#This Row],[Overall Effectiveness]]&lt;4.2,"Medium","High"))</f>
        <v>Medium</v>
      </c>
      <c r="AF270" s="30" t="str">
        <f t="shared" si="28"/>
        <v>Case Studies</v>
      </c>
      <c r="AG270" s="30" t="str">
        <f t="shared" si="29"/>
        <v>Experiments</v>
      </c>
      <c r="AH270" s="27">
        <f>COUNTIF(Teacher_Master!$D$2:$D$16,AF270)</f>
        <v>3</v>
      </c>
      <c r="AI270" s="30" t="str">
        <f>INDEX(Teacher_Master!$B$2:$B$16,MATCH(AF270,Teacher_Master!$D$2:$D$16,0))</f>
        <v>Prof. Rajesh Mukherjee</v>
      </c>
    </row>
    <row r="271" spans="1:35" ht="14.25" customHeight="1" x14ac:dyDescent="0.3">
      <c r="A271" s="31" t="s">
        <v>562</v>
      </c>
      <c r="B271" s="31" t="s">
        <v>2269</v>
      </c>
      <c r="C271" s="31" t="s">
        <v>2881</v>
      </c>
      <c r="D271" s="12">
        <f t="shared" ca="1" si="24"/>
        <v>20</v>
      </c>
      <c r="E271" s="12" t="str">
        <f ca="1">IF(Table1[[#This Row],[Age]]&lt;=22,"20-22",IF(Table1[[#This Row],[Age]]&lt;=25,"23-25",IF(Table1[[#This Row],[Age]]&lt;=28,"26-28","29-30")))</f>
        <v>20-22</v>
      </c>
      <c r="F271" s="12">
        <v>4.16</v>
      </c>
      <c r="G271" s="12">
        <v>3.8</v>
      </c>
      <c r="H271" s="12">
        <v>3.98</v>
      </c>
      <c r="I271" s="12">
        <v>4.42</v>
      </c>
      <c r="J271" s="12">
        <v>4</v>
      </c>
      <c r="K271" s="12">
        <v>3.91</v>
      </c>
      <c r="L271" s="12">
        <v>4.17</v>
      </c>
      <c r="M271" s="12">
        <v>3.92</v>
      </c>
      <c r="N271" s="12">
        <v>4.3899999999999997</v>
      </c>
      <c r="O271" s="12">
        <v>3.99</v>
      </c>
      <c r="P271" s="12">
        <f t="shared" si="25"/>
        <v>4.0720000000000001</v>
      </c>
      <c r="Q271" s="12">
        <f t="shared" si="26"/>
        <v>4.07</v>
      </c>
      <c r="R271" s="12">
        <f t="shared" si="27"/>
        <v>4.0760000000000005</v>
      </c>
      <c r="S271" s="28">
        <f>IFERROR(INDEX('Clean Gamification Data'!$B:$B,MATCH($B271,'Clean Gamification Data'!$A:$A,0)),"Not Found")</f>
        <v>86.693210750000006</v>
      </c>
      <c r="T271" s="28">
        <f>IFERROR(INDEX('Clean Gamification Data'!$C:$C,MATCH($B271,'Clean Gamification Data'!$A:$A,0)),"Not Found")</f>
        <v>67.325655990000001</v>
      </c>
      <c r="U271" s="28">
        <f>IFERROR(INDEX('Clean Gamification Data'!$D:$D,MATCH($B271,'Clean Gamification Data'!$A:$A,0)),"Not Found")</f>
        <v>71.40562018</v>
      </c>
      <c r="V271" s="28">
        <f>IFERROR(INDEX('Clean Gamification Data'!$E:$E,MATCH($B271,'Clean Gamification Data'!$A:$A,0)),"Not Found")</f>
        <v>65.435390859999998</v>
      </c>
      <c r="W271" s="28">
        <f>IFERROR(INDEX('Clean Gamification Data'!$F:$F,MATCH($B271,'Clean Gamification Data'!$A:$A,0)),"Not Found")</f>
        <v>85.231307240000007</v>
      </c>
      <c r="X271" s="28">
        <f>IFERROR(INDEX('Clean Gamification Data'!$G:$G,MATCH($B271,'Clean Gamification Data'!$A:$A,0)),"Not Found")</f>
        <v>75.275513450000005</v>
      </c>
      <c r="Y271" s="28">
        <f>IFERROR(INDEX('Clean Gamification Data'!$H:$H,MATCH($B271,'Clean Gamification Data'!$A:$A,0)),"Not Found")</f>
        <v>69.060719280000001</v>
      </c>
      <c r="Z271" s="28">
        <f>IFERROR(INDEX('Clean Gamification Data'!$I:$I,MATCH($B271,'Clean Gamification Data'!$A:$A,0)),"Not Found")</f>
        <v>55.38578588</v>
      </c>
      <c r="AA271" s="28">
        <f>Table1[[#This Row],[Engagement (Gamification %)]]-Table1[[#This Row],[Engagement (Non-Gamification %)]]</f>
        <v>19.367554760000004</v>
      </c>
      <c r="AB271" s="28">
        <f>Table1[[#This Row],[Motivation (Gamification %)]]-Table1[[#This Row],[Motivation (Non-Gamification %)]]</f>
        <v>5.9702293200000014</v>
      </c>
      <c r="AC271" s="28">
        <f>Table1[[#This Row],[Participation (Gamification %)]]-Table1[[#This Row],[Participation (Non-Gamification %)]]</f>
        <v>9.9557937900000013</v>
      </c>
      <c r="AD271" s="28">
        <f>Table1[[#This Row],[Learning Outcomes (Gamification %)]]-Table1[[#This Row],[Learning Outcomes (Non-Gamification %)]]</f>
        <v>13.6749334</v>
      </c>
      <c r="AE271" s="44" t="str">
        <f>IF(Table1[[#This Row],[Overall Effectiveness]]&lt;3.9,"Low",IF(Table1[[#This Row],[Overall Effectiveness]]&lt;4.2,"Medium","High"))</f>
        <v>Medium</v>
      </c>
      <c r="AF271" s="30" t="str">
        <f t="shared" si="28"/>
        <v>Experiments</v>
      </c>
      <c r="AG271" s="30" t="str">
        <f t="shared" si="29"/>
        <v>Experiments</v>
      </c>
      <c r="AH271" s="27">
        <f>COUNTIF(Teacher_Master!$D$2:$D$16,AF271)</f>
        <v>3</v>
      </c>
      <c r="AI271" s="30" t="str">
        <f>INDEX(Teacher_Master!$B$2:$B$16,MATCH(AF271,Teacher_Master!$D$2:$D$16,0))</f>
        <v>Prof. Rahul Singh</v>
      </c>
    </row>
    <row r="272" spans="1:35" ht="14.25" customHeight="1" x14ac:dyDescent="0.3">
      <c r="A272" s="31" t="s">
        <v>564</v>
      </c>
      <c r="B272" s="31" t="s">
        <v>565</v>
      </c>
      <c r="C272" s="31" t="s">
        <v>2882</v>
      </c>
      <c r="D272" s="12">
        <f t="shared" ca="1" si="24"/>
        <v>28</v>
      </c>
      <c r="E272" s="12" t="str">
        <f ca="1">IF(Table1[[#This Row],[Age]]&lt;=22,"20-22",IF(Table1[[#This Row],[Age]]&lt;=25,"23-25",IF(Table1[[#This Row],[Age]]&lt;=28,"26-28","29-30")))</f>
        <v>26-28</v>
      </c>
      <c r="F272" s="12">
        <v>3.99</v>
      </c>
      <c r="G272" s="12">
        <v>3.62</v>
      </c>
      <c r="H272" s="12">
        <v>4.34</v>
      </c>
      <c r="I272" s="12">
        <v>4.2300000000000004</v>
      </c>
      <c r="J272" s="12">
        <v>4.33</v>
      </c>
      <c r="K272" s="12">
        <v>3.88</v>
      </c>
      <c r="L272" s="12">
        <v>3.67</v>
      </c>
      <c r="M272" s="12">
        <v>4.09</v>
      </c>
      <c r="N272" s="12">
        <v>3.97</v>
      </c>
      <c r="O272" s="12">
        <v>4.13</v>
      </c>
      <c r="P272" s="12">
        <f t="shared" si="25"/>
        <v>4.1019999999999994</v>
      </c>
      <c r="Q272" s="12">
        <f t="shared" si="26"/>
        <v>4.0999999999999996</v>
      </c>
      <c r="R272" s="12">
        <f t="shared" si="27"/>
        <v>3.9480000000000004</v>
      </c>
      <c r="S272" s="28">
        <f>IFERROR(INDEX('Clean Gamification Data'!$B:$B,MATCH($B272,'Clean Gamification Data'!$A:$A,0)),"Not Found")</f>
        <v>87.73404884</v>
      </c>
      <c r="T272" s="28">
        <f>IFERROR(INDEX('Clean Gamification Data'!$C:$C,MATCH($B272,'Clean Gamification Data'!$A:$A,0)),"Not Found")</f>
        <v>61.212600879999997</v>
      </c>
      <c r="U272" s="28">
        <f>IFERROR(INDEX('Clean Gamification Data'!$D:$D,MATCH($B272,'Clean Gamification Data'!$A:$A,0)),"Not Found")</f>
        <v>87.754112469999995</v>
      </c>
      <c r="V272" s="28">
        <f>IFERROR(INDEX('Clean Gamification Data'!$E:$E,MATCH($B272,'Clean Gamification Data'!$A:$A,0)),"Not Found")</f>
        <v>71.928416889999994</v>
      </c>
      <c r="W272" s="28">
        <f>IFERROR(INDEX('Clean Gamification Data'!$F:$F,MATCH($B272,'Clean Gamification Data'!$A:$A,0)),"Not Found")</f>
        <v>99.9</v>
      </c>
      <c r="X272" s="28">
        <f>IFERROR(INDEX('Clean Gamification Data'!$G:$G,MATCH($B272,'Clean Gamification Data'!$A:$A,0)),"Not Found")</f>
        <v>74.164457510000005</v>
      </c>
      <c r="Y272" s="28">
        <f>IFERROR(INDEX('Clean Gamification Data'!$H:$H,MATCH($B272,'Clean Gamification Data'!$A:$A,0)),"Not Found")</f>
        <v>66.326534710000004</v>
      </c>
      <c r="Z272" s="28">
        <f>IFERROR(INDEX('Clean Gamification Data'!$I:$I,MATCH($B272,'Clean Gamification Data'!$A:$A,0)),"Not Found")</f>
        <v>52.861772530000003</v>
      </c>
      <c r="AA272" s="28">
        <f>Table1[[#This Row],[Engagement (Gamification %)]]-Table1[[#This Row],[Engagement (Non-Gamification %)]]</f>
        <v>26.521447960000003</v>
      </c>
      <c r="AB272" s="28">
        <f>Table1[[#This Row],[Motivation (Gamification %)]]-Table1[[#This Row],[Motivation (Non-Gamification %)]]</f>
        <v>15.825695580000001</v>
      </c>
      <c r="AC272" s="28">
        <f>Table1[[#This Row],[Participation (Gamification %)]]-Table1[[#This Row],[Participation (Non-Gamification %)]]</f>
        <v>25.73554249</v>
      </c>
      <c r="AD272" s="28">
        <f>Table1[[#This Row],[Learning Outcomes (Gamification %)]]-Table1[[#This Row],[Learning Outcomes (Non-Gamification %)]]</f>
        <v>13.464762180000001</v>
      </c>
      <c r="AE272" s="44" t="str">
        <f>IF(Table1[[#This Row],[Overall Effectiveness]]&lt;3.9,"Low",IF(Table1[[#This Row],[Overall Effectiveness]]&lt;4.2,"Medium","High"))</f>
        <v>Medium</v>
      </c>
      <c r="AF272" s="30" t="str">
        <f t="shared" si="28"/>
        <v>Group Projects</v>
      </c>
      <c r="AG272" s="30" t="str">
        <f t="shared" si="29"/>
        <v>Online Tutorials</v>
      </c>
      <c r="AH272" s="27">
        <f>COUNTIF(Teacher_Master!$D$2:$D$16,AF272)</f>
        <v>3</v>
      </c>
      <c r="AI272" s="30" t="str">
        <f>INDEX(Teacher_Master!$B$2:$B$16,MATCH(AF272,Teacher_Master!$D$2:$D$16,0))</f>
        <v>Dr. Rohan Dutta</v>
      </c>
    </row>
    <row r="273" spans="1:35" ht="14.25" customHeight="1" x14ac:dyDescent="0.3">
      <c r="A273" s="31" t="s">
        <v>566</v>
      </c>
      <c r="B273" s="31" t="s">
        <v>2270</v>
      </c>
      <c r="C273" s="31" t="s">
        <v>2881</v>
      </c>
      <c r="D273" s="12">
        <f t="shared" ca="1" si="24"/>
        <v>21</v>
      </c>
      <c r="E273" s="12" t="str">
        <f ca="1">IF(Table1[[#This Row],[Age]]&lt;=22,"20-22",IF(Table1[[#This Row],[Age]]&lt;=25,"23-25",IF(Table1[[#This Row],[Age]]&lt;=28,"26-28","29-30")))</f>
        <v>20-22</v>
      </c>
      <c r="F273" s="12">
        <v>3.91</v>
      </c>
      <c r="G273" s="12">
        <v>4.4000000000000004</v>
      </c>
      <c r="H273" s="12">
        <v>4.46</v>
      </c>
      <c r="I273" s="12">
        <v>4.5199999999999996</v>
      </c>
      <c r="J273" s="12">
        <v>4.1100000000000003</v>
      </c>
      <c r="K273" s="12">
        <v>4</v>
      </c>
      <c r="L273" s="12">
        <v>4.26</v>
      </c>
      <c r="M273" s="12">
        <v>4.62</v>
      </c>
      <c r="N273" s="12">
        <v>4.18</v>
      </c>
      <c r="O273" s="12">
        <v>3.84</v>
      </c>
      <c r="P273" s="12">
        <f t="shared" si="25"/>
        <v>4.2799999999999994</v>
      </c>
      <c r="Q273" s="12">
        <f t="shared" si="26"/>
        <v>4.28</v>
      </c>
      <c r="R273" s="12">
        <f t="shared" si="27"/>
        <v>4.18</v>
      </c>
      <c r="S273" s="28">
        <f>IFERROR(INDEX('Clean Gamification Data'!$B:$B,MATCH($B273,'Clean Gamification Data'!$A:$A,0)),"Not Found")</f>
        <v>84.915205130000004</v>
      </c>
      <c r="T273" s="28">
        <f>IFERROR(INDEX('Clean Gamification Data'!$C:$C,MATCH($B273,'Clean Gamification Data'!$A:$A,0)),"Not Found")</f>
        <v>67.162198680000003</v>
      </c>
      <c r="U273" s="28">
        <f>IFERROR(INDEX('Clean Gamification Data'!$D:$D,MATCH($B273,'Clean Gamification Data'!$A:$A,0)),"Not Found")</f>
        <v>73.678706989999995</v>
      </c>
      <c r="V273" s="28">
        <f>IFERROR(INDEX('Clean Gamification Data'!$E:$E,MATCH($B273,'Clean Gamification Data'!$A:$A,0)),"Not Found")</f>
        <v>57.939585540000003</v>
      </c>
      <c r="W273" s="28">
        <f>IFERROR(INDEX('Clean Gamification Data'!$F:$F,MATCH($B273,'Clean Gamification Data'!$A:$A,0)),"Not Found")</f>
        <v>82.935167320000005</v>
      </c>
      <c r="X273" s="28">
        <f>IFERROR(INDEX('Clean Gamification Data'!$G:$G,MATCH($B273,'Clean Gamification Data'!$A:$A,0)),"Not Found")</f>
        <v>74.997605460000003</v>
      </c>
      <c r="Y273" s="28">
        <f>IFERROR(INDEX('Clean Gamification Data'!$H:$H,MATCH($B273,'Clean Gamification Data'!$A:$A,0)),"Not Found")</f>
        <v>75.292239600000002</v>
      </c>
      <c r="Z273" s="28">
        <f>IFERROR(INDEX('Clean Gamification Data'!$I:$I,MATCH($B273,'Clean Gamification Data'!$A:$A,0)),"Not Found")</f>
        <v>50.873859330000002</v>
      </c>
      <c r="AA273" s="28">
        <f>Table1[[#This Row],[Engagement (Gamification %)]]-Table1[[#This Row],[Engagement (Non-Gamification %)]]</f>
        <v>17.753006450000001</v>
      </c>
      <c r="AB273" s="28">
        <f>Table1[[#This Row],[Motivation (Gamification %)]]-Table1[[#This Row],[Motivation (Non-Gamification %)]]</f>
        <v>15.739121449999992</v>
      </c>
      <c r="AC273" s="28">
        <f>Table1[[#This Row],[Participation (Gamification %)]]-Table1[[#This Row],[Participation (Non-Gamification %)]]</f>
        <v>7.9375618600000024</v>
      </c>
      <c r="AD273" s="28">
        <f>Table1[[#This Row],[Learning Outcomes (Gamification %)]]-Table1[[#This Row],[Learning Outcomes (Non-Gamification %)]]</f>
        <v>24.41838027</v>
      </c>
      <c r="AE273" s="44" t="str">
        <f>IF(Table1[[#This Row],[Overall Effectiveness]]&lt;3.9,"Low",IF(Table1[[#This Row],[Overall Effectiveness]]&lt;4.2,"Medium","High"))</f>
        <v>High</v>
      </c>
      <c r="AF273" s="30" t="str">
        <f t="shared" si="28"/>
        <v>Experiments</v>
      </c>
      <c r="AG273" s="30" t="str">
        <f t="shared" si="29"/>
        <v>Group Projects</v>
      </c>
      <c r="AH273" s="27">
        <f>COUNTIF(Teacher_Master!$D$2:$D$16,AF273)</f>
        <v>3</v>
      </c>
      <c r="AI273" s="30" t="str">
        <f>INDEX(Teacher_Master!$B$2:$B$16,MATCH(AF273,Teacher_Master!$D$2:$D$16,0))</f>
        <v>Prof. Rahul Singh</v>
      </c>
    </row>
    <row r="274" spans="1:35" ht="14.25" customHeight="1" x14ac:dyDescent="0.3">
      <c r="A274" s="31" t="s">
        <v>568</v>
      </c>
      <c r="B274" s="31" t="s">
        <v>2271</v>
      </c>
      <c r="C274" s="31" t="s">
        <v>2881</v>
      </c>
      <c r="D274" s="12">
        <f t="shared" ca="1" si="24"/>
        <v>21</v>
      </c>
      <c r="E274" s="12" t="str">
        <f ca="1">IF(Table1[[#This Row],[Age]]&lt;=22,"20-22",IF(Table1[[#This Row],[Age]]&lt;=25,"23-25",IF(Table1[[#This Row],[Age]]&lt;=28,"26-28","29-30")))</f>
        <v>20-22</v>
      </c>
      <c r="F274" s="12">
        <v>4.4800000000000004</v>
      </c>
      <c r="G274" s="12">
        <v>3.8</v>
      </c>
      <c r="H274" s="12">
        <v>3.96</v>
      </c>
      <c r="I274" s="12">
        <v>4.6399999999999997</v>
      </c>
      <c r="J274" s="12">
        <v>3.6</v>
      </c>
      <c r="K274" s="12">
        <v>4.04</v>
      </c>
      <c r="L274" s="12">
        <v>4.1100000000000003</v>
      </c>
      <c r="M274" s="12">
        <v>4.1100000000000003</v>
      </c>
      <c r="N274" s="12">
        <v>3.75</v>
      </c>
      <c r="O274" s="12">
        <v>4.3600000000000003</v>
      </c>
      <c r="P274" s="12">
        <f t="shared" si="25"/>
        <v>4.096000000000001</v>
      </c>
      <c r="Q274" s="12">
        <f t="shared" si="26"/>
        <v>4.0999999999999996</v>
      </c>
      <c r="R274" s="12">
        <f t="shared" si="27"/>
        <v>4.0739999999999998</v>
      </c>
      <c r="S274" s="28">
        <f>IFERROR(INDEX('Clean Gamification Data'!$B:$B,MATCH($B274,'Clean Gamification Data'!$A:$A,0)),"Not Found")</f>
        <v>84.327987710000002</v>
      </c>
      <c r="T274" s="28">
        <f>IFERROR(INDEX('Clean Gamification Data'!$C:$C,MATCH($B274,'Clean Gamification Data'!$A:$A,0)),"Not Found")</f>
        <v>72.349585110000007</v>
      </c>
      <c r="U274" s="28">
        <f>IFERROR(INDEX('Clean Gamification Data'!$D:$D,MATCH($B274,'Clean Gamification Data'!$A:$A,0)),"Not Found")</f>
        <v>76.443271030000005</v>
      </c>
      <c r="V274" s="28">
        <f>IFERROR(INDEX('Clean Gamification Data'!$E:$E,MATCH($B274,'Clean Gamification Data'!$A:$A,0)),"Not Found")</f>
        <v>55</v>
      </c>
      <c r="W274" s="28">
        <f>IFERROR(INDEX('Clean Gamification Data'!$F:$F,MATCH($B274,'Clean Gamification Data'!$A:$A,0)),"Not Found")</f>
        <v>99.301056880000004</v>
      </c>
      <c r="X274" s="28">
        <f>IFERROR(INDEX('Clean Gamification Data'!$G:$G,MATCH($B274,'Clean Gamification Data'!$A:$A,0)),"Not Found")</f>
        <v>81.776062809999999</v>
      </c>
      <c r="Y274" s="28">
        <f>IFERROR(INDEX('Clean Gamification Data'!$H:$H,MATCH($B274,'Clean Gamification Data'!$A:$A,0)),"Not Found")</f>
        <v>70.081998089999999</v>
      </c>
      <c r="Z274" s="28">
        <f>IFERROR(INDEX('Clean Gamification Data'!$I:$I,MATCH($B274,'Clean Gamification Data'!$A:$A,0)),"Not Found")</f>
        <v>52.458410809999997</v>
      </c>
      <c r="AA274" s="28">
        <f>Table1[[#This Row],[Engagement (Gamification %)]]-Table1[[#This Row],[Engagement (Non-Gamification %)]]</f>
        <v>11.978402599999995</v>
      </c>
      <c r="AB274" s="28">
        <f>Table1[[#This Row],[Motivation (Gamification %)]]-Table1[[#This Row],[Motivation (Non-Gamification %)]]</f>
        <v>21.443271030000005</v>
      </c>
      <c r="AC274" s="28">
        <f>Table1[[#This Row],[Participation (Gamification %)]]-Table1[[#This Row],[Participation (Non-Gamification %)]]</f>
        <v>17.524994070000005</v>
      </c>
      <c r="AD274" s="28">
        <f>Table1[[#This Row],[Learning Outcomes (Gamification %)]]-Table1[[#This Row],[Learning Outcomes (Non-Gamification %)]]</f>
        <v>17.623587280000002</v>
      </c>
      <c r="AE274" s="44" t="str">
        <f>IF(Table1[[#This Row],[Overall Effectiveness]]&lt;3.9,"Low",IF(Table1[[#This Row],[Overall Effectiveness]]&lt;4.2,"Medium","High"))</f>
        <v>Medium</v>
      </c>
      <c r="AF274" s="30" t="str">
        <f t="shared" si="28"/>
        <v>Experiments</v>
      </c>
      <c r="AG274" s="30" t="str">
        <f t="shared" si="29"/>
        <v>Online Tutorials</v>
      </c>
      <c r="AH274" s="27">
        <f>COUNTIF(Teacher_Master!$D$2:$D$16,AF274)</f>
        <v>3</v>
      </c>
      <c r="AI274" s="30" t="str">
        <f>INDEX(Teacher_Master!$B$2:$B$16,MATCH(AF274,Teacher_Master!$D$2:$D$16,0))</f>
        <v>Prof. Rahul Singh</v>
      </c>
    </row>
    <row r="275" spans="1:35" ht="14.25" customHeight="1" x14ac:dyDescent="0.3">
      <c r="A275" s="31" t="s">
        <v>570</v>
      </c>
      <c r="B275" s="31" t="s">
        <v>2272</v>
      </c>
      <c r="C275" s="31" t="s">
        <v>2882</v>
      </c>
      <c r="D275" s="12">
        <f t="shared" ca="1" si="24"/>
        <v>23</v>
      </c>
      <c r="E275" s="12" t="str">
        <f ca="1">IF(Table1[[#This Row],[Age]]&lt;=22,"20-22",IF(Table1[[#This Row],[Age]]&lt;=25,"23-25",IF(Table1[[#This Row],[Age]]&lt;=28,"26-28","29-30")))</f>
        <v>23-25</v>
      </c>
      <c r="F275" s="12">
        <v>3.8</v>
      </c>
      <c r="G275" s="12">
        <v>3.9</v>
      </c>
      <c r="H275" s="12">
        <v>4.4000000000000004</v>
      </c>
      <c r="I275" s="12">
        <v>4.63</v>
      </c>
      <c r="J275" s="12">
        <v>4.05</v>
      </c>
      <c r="K275" s="12">
        <v>3.56</v>
      </c>
      <c r="L275" s="12">
        <v>3.98</v>
      </c>
      <c r="M275" s="12">
        <v>4.3600000000000003</v>
      </c>
      <c r="N275" s="12">
        <v>4.2699999999999996</v>
      </c>
      <c r="O275" s="12">
        <v>4.41</v>
      </c>
      <c r="P275" s="12">
        <f t="shared" si="25"/>
        <v>4.1560000000000006</v>
      </c>
      <c r="Q275" s="12">
        <f t="shared" si="26"/>
        <v>4.16</v>
      </c>
      <c r="R275" s="12">
        <f t="shared" si="27"/>
        <v>4.1160000000000005</v>
      </c>
      <c r="S275" s="28">
        <f>IFERROR(INDEX('Clean Gamification Data'!$B:$B,MATCH($B275,'Clean Gamification Data'!$A:$A,0)),"Not Found")</f>
        <v>85.966330670000005</v>
      </c>
      <c r="T275" s="28">
        <f>IFERROR(INDEX('Clean Gamification Data'!$C:$C,MATCH($B275,'Clean Gamification Data'!$A:$A,0)),"Not Found")</f>
        <v>67.805398719999999</v>
      </c>
      <c r="U275" s="28">
        <f>IFERROR(INDEX('Clean Gamification Data'!$D:$D,MATCH($B275,'Clean Gamification Data'!$A:$A,0)),"Not Found")</f>
        <v>70</v>
      </c>
      <c r="V275" s="28">
        <f>IFERROR(INDEX('Clean Gamification Data'!$E:$E,MATCH($B275,'Clean Gamification Data'!$A:$A,0)),"Not Found")</f>
        <v>63.596183439999997</v>
      </c>
      <c r="W275" s="28">
        <f>IFERROR(INDEX('Clean Gamification Data'!$F:$F,MATCH($B275,'Clean Gamification Data'!$A:$A,0)),"Not Found")</f>
        <v>85.601506999999998</v>
      </c>
      <c r="X275" s="28">
        <f>IFERROR(INDEX('Clean Gamification Data'!$G:$G,MATCH($B275,'Clean Gamification Data'!$A:$A,0)),"Not Found")</f>
        <v>75.795547839999998</v>
      </c>
      <c r="Y275" s="28">
        <f>IFERROR(INDEX('Clean Gamification Data'!$H:$H,MATCH($B275,'Clean Gamification Data'!$A:$A,0)),"Not Found")</f>
        <v>72.742102310000007</v>
      </c>
      <c r="Z275" s="28">
        <f>IFERROR(INDEX('Clean Gamification Data'!$I:$I,MATCH($B275,'Clean Gamification Data'!$A:$A,0)),"Not Found")</f>
        <v>55.216836039999997</v>
      </c>
      <c r="AA275" s="28">
        <f>Table1[[#This Row],[Engagement (Gamification %)]]-Table1[[#This Row],[Engagement (Non-Gamification %)]]</f>
        <v>18.160931950000005</v>
      </c>
      <c r="AB275" s="28">
        <f>Table1[[#This Row],[Motivation (Gamification %)]]-Table1[[#This Row],[Motivation (Non-Gamification %)]]</f>
        <v>6.4038165600000028</v>
      </c>
      <c r="AC275" s="28">
        <f>Table1[[#This Row],[Participation (Gamification %)]]-Table1[[#This Row],[Participation (Non-Gamification %)]]</f>
        <v>9.8059591600000005</v>
      </c>
      <c r="AD275" s="28">
        <f>Table1[[#This Row],[Learning Outcomes (Gamification %)]]-Table1[[#This Row],[Learning Outcomes (Non-Gamification %)]]</f>
        <v>17.52526627000001</v>
      </c>
      <c r="AE275" s="44" t="str">
        <f>IF(Table1[[#This Row],[Overall Effectiveness]]&lt;3.9,"Low",IF(Table1[[#This Row],[Overall Effectiveness]]&lt;4.2,"Medium","High"))</f>
        <v>Medium</v>
      </c>
      <c r="AF275" s="30" t="str">
        <f t="shared" si="28"/>
        <v>Experiments</v>
      </c>
      <c r="AG275" s="30" t="str">
        <f t="shared" si="29"/>
        <v>Online Tutorials</v>
      </c>
      <c r="AH275" s="27">
        <f>COUNTIF(Teacher_Master!$D$2:$D$16,AF275)</f>
        <v>3</v>
      </c>
      <c r="AI275" s="30" t="str">
        <f>INDEX(Teacher_Master!$B$2:$B$16,MATCH(AF275,Teacher_Master!$D$2:$D$16,0))</f>
        <v>Prof. Rahul Singh</v>
      </c>
    </row>
    <row r="276" spans="1:35" ht="14.25" customHeight="1" x14ac:dyDescent="0.3">
      <c r="A276" s="31" t="s">
        <v>572</v>
      </c>
      <c r="B276" s="31" t="s">
        <v>2273</v>
      </c>
      <c r="C276" s="31" t="s">
        <v>2882</v>
      </c>
      <c r="D276" s="12">
        <f t="shared" ca="1" si="24"/>
        <v>29</v>
      </c>
      <c r="E276" s="12" t="str">
        <f ca="1">IF(Table1[[#This Row],[Age]]&lt;=22,"20-22",IF(Table1[[#This Row],[Age]]&lt;=25,"23-25",IF(Table1[[#This Row],[Age]]&lt;=28,"26-28","29-30")))</f>
        <v>29-30</v>
      </c>
      <c r="F276" s="12">
        <v>3.76</v>
      </c>
      <c r="G276" s="12">
        <v>3.67</v>
      </c>
      <c r="H276" s="12">
        <v>4.01</v>
      </c>
      <c r="I276" s="12">
        <v>4.38</v>
      </c>
      <c r="J276" s="12">
        <v>4.5999999999999996</v>
      </c>
      <c r="K276" s="12">
        <v>4.12</v>
      </c>
      <c r="L276" s="12">
        <v>4.05</v>
      </c>
      <c r="M276" s="12">
        <v>4.01</v>
      </c>
      <c r="N276" s="12">
        <v>4.4400000000000004</v>
      </c>
      <c r="O276" s="12">
        <v>3.81</v>
      </c>
      <c r="P276" s="12">
        <f t="shared" si="25"/>
        <v>4.0840000000000005</v>
      </c>
      <c r="Q276" s="12">
        <f t="shared" si="26"/>
        <v>4.08</v>
      </c>
      <c r="R276" s="12">
        <f t="shared" si="27"/>
        <v>4.0860000000000003</v>
      </c>
      <c r="S276" s="28">
        <f>IFERROR(INDEX('Clean Gamification Data'!$B:$B,MATCH($B276,'Clean Gamification Data'!$A:$A,0)),"Not Found")</f>
        <v>87.890633919999999</v>
      </c>
      <c r="T276" s="28">
        <f>IFERROR(INDEX('Clean Gamification Data'!$C:$C,MATCH($B276,'Clean Gamification Data'!$A:$A,0)),"Not Found")</f>
        <v>67.793072249999994</v>
      </c>
      <c r="U276" s="28">
        <f>IFERROR(INDEX('Clean Gamification Data'!$D:$D,MATCH($B276,'Clean Gamification Data'!$A:$A,0)),"Not Found")</f>
        <v>87.737325929999997</v>
      </c>
      <c r="V276" s="28">
        <f>IFERROR(INDEX('Clean Gamification Data'!$E:$E,MATCH($B276,'Clean Gamification Data'!$A:$A,0)),"Not Found")</f>
        <v>70.734904889999996</v>
      </c>
      <c r="W276" s="28">
        <f>IFERROR(INDEX('Clean Gamification Data'!$F:$F,MATCH($B276,'Clean Gamification Data'!$A:$A,0)),"Not Found")</f>
        <v>98.525082209999994</v>
      </c>
      <c r="X276" s="28">
        <f>IFERROR(INDEX('Clean Gamification Data'!$G:$G,MATCH($B276,'Clean Gamification Data'!$A:$A,0)),"Not Found")</f>
        <v>76.141582740000004</v>
      </c>
      <c r="Y276" s="28">
        <f>IFERROR(INDEX('Clean Gamification Data'!$H:$H,MATCH($B276,'Clean Gamification Data'!$A:$A,0)),"Not Found")</f>
        <v>71.075713789999995</v>
      </c>
      <c r="Z276" s="28">
        <f>IFERROR(INDEX('Clean Gamification Data'!$I:$I,MATCH($B276,'Clean Gamification Data'!$A:$A,0)),"Not Found")</f>
        <v>54.260694049999998</v>
      </c>
      <c r="AA276" s="28">
        <f>Table1[[#This Row],[Engagement (Gamification %)]]-Table1[[#This Row],[Engagement (Non-Gamification %)]]</f>
        <v>20.097561670000005</v>
      </c>
      <c r="AB276" s="28">
        <f>Table1[[#This Row],[Motivation (Gamification %)]]-Table1[[#This Row],[Motivation (Non-Gamification %)]]</f>
        <v>17.002421040000002</v>
      </c>
      <c r="AC276" s="28">
        <f>Table1[[#This Row],[Participation (Gamification %)]]-Table1[[#This Row],[Participation (Non-Gamification %)]]</f>
        <v>22.38349946999999</v>
      </c>
      <c r="AD276" s="28">
        <f>Table1[[#This Row],[Learning Outcomes (Gamification %)]]-Table1[[#This Row],[Learning Outcomes (Non-Gamification %)]]</f>
        <v>16.815019739999997</v>
      </c>
      <c r="AE276" s="44" t="str">
        <f>IF(Table1[[#This Row],[Overall Effectiveness]]&lt;3.9,"Low",IF(Table1[[#This Row],[Overall Effectiveness]]&lt;4.2,"Medium","High"))</f>
        <v>Medium</v>
      </c>
      <c r="AF276" s="30" t="str">
        <f t="shared" si="28"/>
        <v>Online Tutorials</v>
      </c>
      <c r="AG276" s="30" t="str">
        <f t="shared" si="29"/>
        <v>Experiments</v>
      </c>
      <c r="AH276" s="27">
        <f>COUNTIF(Teacher_Master!$D$2:$D$16,AF276)</f>
        <v>3</v>
      </c>
      <c r="AI276" s="30" t="str">
        <f>INDEX(Teacher_Master!$B$2:$B$16,MATCH(AF276,Teacher_Master!$D$2:$D$16,0))</f>
        <v>Prof. Kavita Rao</v>
      </c>
    </row>
    <row r="277" spans="1:35" ht="14.25" customHeight="1" x14ac:dyDescent="0.3">
      <c r="A277" s="31" t="s">
        <v>574</v>
      </c>
      <c r="B277" s="31" t="s">
        <v>2274</v>
      </c>
      <c r="C277" s="31" t="s">
        <v>2881</v>
      </c>
      <c r="D277" s="12">
        <f t="shared" ca="1" si="24"/>
        <v>22</v>
      </c>
      <c r="E277" s="12" t="str">
        <f ca="1">IF(Table1[[#This Row],[Age]]&lt;=22,"20-22",IF(Table1[[#This Row],[Age]]&lt;=25,"23-25",IF(Table1[[#This Row],[Age]]&lt;=28,"26-28","29-30")))</f>
        <v>20-22</v>
      </c>
      <c r="F277" s="12" t="s">
        <v>211</v>
      </c>
      <c r="G277" s="12">
        <v>4.4800000000000004</v>
      </c>
      <c r="H277" s="12">
        <v>4.5199999999999996</v>
      </c>
      <c r="I277" s="12">
        <v>3.87</v>
      </c>
      <c r="J277" s="12">
        <v>3.99</v>
      </c>
      <c r="K277" s="12">
        <v>3.8</v>
      </c>
      <c r="L277" s="12">
        <v>4.55</v>
      </c>
      <c r="M277" s="12">
        <v>3.67</v>
      </c>
      <c r="N277" s="12">
        <v>3.83</v>
      </c>
      <c r="O277" s="12">
        <v>4.1100000000000003</v>
      </c>
      <c r="P277" s="12">
        <f t="shared" si="25"/>
        <v>4.2149999999999999</v>
      </c>
      <c r="Q277" s="12">
        <f t="shared" si="26"/>
        <v>4.22</v>
      </c>
      <c r="R277" s="12">
        <f t="shared" si="27"/>
        <v>3.992</v>
      </c>
      <c r="S277" s="28">
        <f>IFERROR(INDEX('Clean Gamification Data'!$B:$B,MATCH($B277,'Clean Gamification Data'!$A:$A,0)),"Not Found")</f>
        <v>92.534958869999997</v>
      </c>
      <c r="T277" s="28">
        <f>IFERROR(INDEX('Clean Gamification Data'!$C:$C,MATCH($B277,'Clean Gamification Data'!$A:$A,0)),"Not Found")</f>
        <v>75.318497609999994</v>
      </c>
      <c r="U277" s="28">
        <f>IFERROR(INDEX('Clean Gamification Data'!$D:$D,MATCH($B277,'Clean Gamification Data'!$A:$A,0)),"Not Found")</f>
        <v>86.220466090000002</v>
      </c>
      <c r="V277" s="28">
        <f>IFERROR(INDEX('Clean Gamification Data'!$E:$E,MATCH($B277,'Clean Gamification Data'!$A:$A,0)),"Not Found")</f>
        <v>70.733598299999997</v>
      </c>
      <c r="W277" s="28">
        <f>IFERROR(INDEX('Clean Gamification Data'!$F:$F,MATCH($B277,'Clean Gamification Data'!$A:$A,0)),"Not Found")</f>
        <v>94.187725150000006</v>
      </c>
      <c r="X277" s="28">
        <f>IFERROR(INDEX('Clean Gamification Data'!$G:$G,MATCH($B277,'Clean Gamification Data'!$A:$A,0)),"Not Found")</f>
        <v>82.649415779999998</v>
      </c>
      <c r="Y277" s="28">
        <f>IFERROR(INDEX('Clean Gamification Data'!$H:$H,MATCH($B277,'Clean Gamification Data'!$A:$A,0)),"Not Found")</f>
        <v>71.244173040000007</v>
      </c>
      <c r="Z277" s="28">
        <f>IFERROR(INDEX('Clean Gamification Data'!$I:$I,MATCH($B277,'Clean Gamification Data'!$A:$A,0)),"Not Found")</f>
        <v>56.996307010000002</v>
      </c>
      <c r="AA277" s="28">
        <f>Table1[[#This Row],[Engagement (Gamification %)]]-Table1[[#This Row],[Engagement (Non-Gamification %)]]</f>
        <v>17.216461260000003</v>
      </c>
      <c r="AB277" s="28">
        <f>Table1[[#This Row],[Motivation (Gamification %)]]-Table1[[#This Row],[Motivation (Non-Gamification %)]]</f>
        <v>15.486867790000005</v>
      </c>
      <c r="AC277" s="28">
        <f>Table1[[#This Row],[Participation (Gamification %)]]-Table1[[#This Row],[Participation (Non-Gamification %)]]</f>
        <v>11.538309370000007</v>
      </c>
      <c r="AD277" s="28">
        <f>Table1[[#This Row],[Learning Outcomes (Gamification %)]]-Table1[[#This Row],[Learning Outcomes (Non-Gamification %)]]</f>
        <v>14.247866030000004</v>
      </c>
      <c r="AE277" s="44" t="str">
        <f>IF(Table1[[#This Row],[Overall Effectiveness]]&lt;3.9,"Low",IF(Table1[[#This Row],[Overall Effectiveness]]&lt;4.2,"Medium","High"))</f>
        <v>High</v>
      </c>
      <c r="AF277" s="30" t="str">
        <f t="shared" si="28"/>
        <v>Group Projects</v>
      </c>
      <c r="AG277" s="30" t="str">
        <f t="shared" si="29"/>
        <v>Case Studies</v>
      </c>
      <c r="AH277" s="27">
        <f>COUNTIF(Teacher_Master!$D$2:$D$16,AF277)</f>
        <v>3</v>
      </c>
      <c r="AI277" s="30" t="str">
        <f>INDEX(Teacher_Master!$B$2:$B$16,MATCH(AF277,Teacher_Master!$D$2:$D$16,0))</f>
        <v>Dr. Rohan Dutta</v>
      </c>
    </row>
    <row r="278" spans="1:35" ht="14.25" customHeight="1" x14ac:dyDescent="0.3">
      <c r="A278" s="31" t="s">
        <v>576</v>
      </c>
      <c r="B278" s="31" t="s">
        <v>2275</v>
      </c>
      <c r="C278" s="31" t="s">
        <v>2882</v>
      </c>
      <c r="D278" s="12">
        <f t="shared" ca="1" si="24"/>
        <v>28</v>
      </c>
      <c r="E278" s="12" t="str">
        <f ca="1">IF(Table1[[#This Row],[Age]]&lt;=22,"20-22",IF(Table1[[#This Row],[Age]]&lt;=25,"23-25",IF(Table1[[#This Row],[Age]]&lt;=28,"26-28","29-30")))</f>
        <v>26-28</v>
      </c>
      <c r="F278" s="12">
        <v>4.1900000000000004</v>
      </c>
      <c r="G278" s="12">
        <v>3.76</v>
      </c>
      <c r="H278" s="12" t="s">
        <v>211</v>
      </c>
      <c r="I278" s="12">
        <v>4.28</v>
      </c>
      <c r="J278" s="12">
        <v>3.73</v>
      </c>
      <c r="K278" s="12">
        <v>3.52</v>
      </c>
      <c r="L278" s="12">
        <v>3.72</v>
      </c>
      <c r="M278" s="12">
        <v>4.38</v>
      </c>
      <c r="N278" s="12">
        <v>3.84</v>
      </c>
      <c r="O278" s="12">
        <v>3.88</v>
      </c>
      <c r="P278" s="12">
        <f t="shared" si="25"/>
        <v>3.99</v>
      </c>
      <c r="Q278" s="12">
        <f t="shared" si="26"/>
        <v>3.99</v>
      </c>
      <c r="R278" s="12">
        <f t="shared" si="27"/>
        <v>3.8679999999999999</v>
      </c>
      <c r="S278" s="28">
        <f>IFERROR(INDEX('Clean Gamification Data'!$B:$B,MATCH($B278,'Clean Gamification Data'!$A:$A,0)),"Not Found")</f>
        <v>83.818159949999995</v>
      </c>
      <c r="T278" s="28">
        <f>IFERROR(INDEX('Clean Gamification Data'!$C:$C,MATCH($B278,'Clean Gamification Data'!$A:$A,0)),"Not Found")</f>
        <v>70.912866919999999</v>
      </c>
      <c r="U278" s="28">
        <f>IFERROR(INDEX('Clean Gamification Data'!$D:$D,MATCH($B278,'Clean Gamification Data'!$A:$A,0)),"Not Found")</f>
        <v>75.588305039999995</v>
      </c>
      <c r="V278" s="28">
        <f>IFERROR(INDEX('Clean Gamification Data'!$E:$E,MATCH($B278,'Clean Gamification Data'!$A:$A,0)),"Not Found")</f>
        <v>65.720728159999993</v>
      </c>
      <c r="W278" s="28">
        <f>IFERROR(INDEX('Clean Gamification Data'!$F:$F,MATCH($B278,'Clean Gamification Data'!$A:$A,0)),"Not Found")</f>
        <v>93.367671950000002</v>
      </c>
      <c r="X278" s="28">
        <f>IFERROR(INDEX('Clean Gamification Data'!$G:$G,MATCH($B278,'Clean Gamification Data'!$A:$A,0)),"Not Found")</f>
        <v>78.58963799</v>
      </c>
      <c r="Y278" s="28">
        <f>IFERROR(INDEX('Clean Gamification Data'!$H:$H,MATCH($B278,'Clean Gamification Data'!$A:$A,0)),"Not Found")</f>
        <v>66.405415349999998</v>
      </c>
      <c r="Z278" s="28">
        <f>IFERROR(INDEX('Clean Gamification Data'!$I:$I,MATCH($B278,'Clean Gamification Data'!$A:$A,0)),"Not Found")</f>
        <v>63.845409940000003</v>
      </c>
      <c r="AA278" s="28">
        <f>Table1[[#This Row],[Engagement (Gamification %)]]-Table1[[#This Row],[Engagement (Non-Gamification %)]]</f>
        <v>12.905293029999996</v>
      </c>
      <c r="AB278" s="28">
        <f>Table1[[#This Row],[Motivation (Gamification %)]]-Table1[[#This Row],[Motivation (Non-Gamification %)]]</f>
        <v>9.8675768800000014</v>
      </c>
      <c r="AC278" s="28">
        <f>Table1[[#This Row],[Participation (Gamification %)]]-Table1[[#This Row],[Participation (Non-Gamification %)]]</f>
        <v>14.778033960000002</v>
      </c>
      <c r="AD278" s="28">
        <f>Table1[[#This Row],[Learning Outcomes (Gamification %)]]-Table1[[#This Row],[Learning Outcomes (Non-Gamification %)]]</f>
        <v>2.5600054099999952</v>
      </c>
      <c r="AE278" s="44" t="str">
        <f>IF(Table1[[#This Row],[Overall Effectiveness]]&lt;3.9,"Low",IF(Table1[[#This Row],[Overall Effectiveness]]&lt;4.2,"Medium","High"))</f>
        <v>Medium</v>
      </c>
      <c r="AF278" s="30" t="str">
        <f t="shared" si="28"/>
        <v>Experiments</v>
      </c>
      <c r="AG278" s="30" t="str">
        <f t="shared" si="29"/>
        <v>Group Projects</v>
      </c>
      <c r="AH278" s="27">
        <f>COUNTIF(Teacher_Master!$D$2:$D$16,AF278)</f>
        <v>3</v>
      </c>
      <c r="AI278" s="30" t="str">
        <f>INDEX(Teacher_Master!$B$2:$B$16,MATCH(AF278,Teacher_Master!$D$2:$D$16,0))</f>
        <v>Prof. Rahul Singh</v>
      </c>
    </row>
    <row r="279" spans="1:35" ht="14.25" customHeight="1" x14ac:dyDescent="0.3">
      <c r="A279" s="31" t="s">
        <v>578</v>
      </c>
      <c r="B279" s="31" t="s">
        <v>2276</v>
      </c>
      <c r="C279" s="31" t="s">
        <v>2882</v>
      </c>
      <c r="D279" s="12">
        <f t="shared" ca="1" si="24"/>
        <v>23</v>
      </c>
      <c r="E279" s="12" t="str">
        <f ca="1">IF(Table1[[#This Row],[Age]]&lt;=22,"20-22",IF(Table1[[#This Row],[Age]]&lt;=25,"23-25",IF(Table1[[#This Row],[Age]]&lt;=28,"26-28","29-30")))</f>
        <v>23-25</v>
      </c>
      <c r="F279" s="12">
        <v>4.93</v>
      </c>
      <c r="G279" s="12">
        <v>4.42</v>
      </c>
      <c r="H279" s="12">
        <v>3.65</v>
      </c>
      <c r="I279" s="12">
        <v>3.56</v>
      </c>
      <c r="J279" s="12">
        <v>4.01</v>
      </c>
      <c r="K279" s="12" t="s">
        <v>211</v>
      </c>
      <c r="L279" s="12">
        <v>4.26</v>
      </c>
      <c r="M279" s="12">
        <v>3.88</v>
      </c>
      <c r="N279" s="12">
        <v>4.37</v>
      </c>
      <c r="O279" s="12">
        <v>4.49</v>
      </c>
      <c r="P279" s="12">
        <f t="shared" si="25"/>
        <v>4.1139999999999999</v>
      </c>
      <c r="Q279" s="12">
        <f t="shared" si="26"/>
        <v>4.1100000000000003</v>
      </c>
      <c r="R279" s="12">
        <f t="shared" si="27"/>
        <v>4.25</v>
      </c>
      <c r="S279" s="28">
        <f>IFERROR(INDEX('Clean Gamification Data'!$B:$B,MATCH($B279,'Clean Gamification Data'!$A:$A,0)),"Not Found")</f>
        <v>87.814733649999994</v>
      </c>
      <c r="T279" s="28">
        <f>IFERROR(INDEX('Clean Gamification Data'!$C:$C,MATCH($B279,'Clean Gamification Data'!$A:$A,0)),"Not Found")</f>
        <v>65.601391320000005</v>
      </c>
      <c r="U279" s="28">
        <f>IFERROR(INDEX('Clean Gamification Data'!$D:$D,MATCH($B279,'Clean Gamification Data'!$A:$A,0)),"Not Found")</f>
        <v>81.998370499999993</v>
      </c>
      <c r="V279" s="28">
        <f>IFERROR(INDEX('Clean Gamification Data'!$E:$E,MATCH($B279,'Clean Gamification Data'!$A:$A,0)),"Not Found")</f>
        <v>61.261939929999997</v>
      </c>
      <c r="W279" s="28">
        <f>IFERROR(INDEX('Clean Gamification Data'!$F:$F,MATCH($B279,'Clean Gamification Data'!$A:$A,0)),"Not Found")</f>
        <v>87.941890049999998</v>
      </c>
      <c r="X279" s="28">
        <f>IFERROR(INDEX('Clean Gamification Data'!$G:$G,MATCH($B279,'Clean Gamification Data'!$A:$A,0)),"Not Found")</f>
        <v>85</v>
      </c>
      <c r="Y279" s="28">
        <f>IFERROR(INDEX('Clean Gamification Data'!$H:$H,MATCH($B279,'Clean Gamification Data'!$A:$A,0)),"Not Found")</f>
        <v>68.432578660000004</v>
      </c>
      <c r="Z279" s="28">
        <f>IFERROR(INDEX('Clean Gamification Data'!$I:$I,MATCH($B279,'Clean Gamification Data'!$A:$A,0)),"Not Found")</f>
        <v>62.250073950000001</v>
      </c>
      <c r="AA279" s="28">
        <f>Table1[[#This Row],[Engagement (Gamification %)]]-Table1[[#This Row],[Engagement (Non-Gamification %)]]</f>
        <v>22.213342329999989</v>
      </c>
      <c r="AB279" s="28">
        <f>Table1[[#This Row],[Motivation (Gamification %)]]-Table1[[#This Row],[Motivation (Non-Gamification %)]]</f>
        <v>20.736430569999996</v>
      </c>
      <c r="AC279" s="28">
        <f>Table1[[#This Row],[Participation (Gamification %)]]-Table1[[#This Row],[Participation (Non-Gamification %)]]</f>
        <v>2.9418900499999978</v>
      </c>
      <c r="AD279" s="28">
        <f>Table1[[#This Row],[Learning Outcomes (Gamification %)]]-Table1[[#This Row],[Learning Outcomes (Non-Gamification %)]]</f>
        <v>6.1825047100000035</v>
      </c>
      <c r="AE279" s="44" t="str">
        <f>IF(Table1[[#This Row],[Overall Effectiveness]]&lt;3.9,"Low",IF(Table1[[#This Row],[Overall Effectiveness]]&lt;4.2,"Medium","High"))</f>
        <v>Medium</v>
      </c>
      <c r="AF279" s="30" t="str">
        <f t="shared" si="28"/>
        <v>Lectures</v>
      </c>
      <c r="AG279" s="30" t="str">
        <f t="shared" si="29"/>
        <v>Online Tutorials</v>
      </c>
      <c r="AH279" s="27">
        <f>COUNTIF(Teacher_Master!$D$2:$D$16,AF279)</f>
        <v>3</v>
      </c>
      <c r="AI279" s="30" t="str">
        <f>INDEX(Teacher_Master!$B$2:$B$16,MATCH(AF279,Teacher_Master!$D$2:$D$16,0))</f>
        <v>Prof. Vikram Gupta</v>
      </c>
    </row>
    <row r="280" spans="1:35" ht="14.25" customHeight="1" x14ac:dyDescent="0.3">
      <c r="A280" s="31" t="s">
        <v>580</v>
      </c>
      <c r="B280" s="31" t="s">
        <v>581</v>
      </c>
      <c r="C280" s="31" t="s">
        <v>2882</v>
      </c>
      <c r="D280" s="12">
        <f t="shared" ca="1" si="24"/>
        <v>26</v>
      </c>
      <c r="E280" s="12" t="str">
        <f ca="1">IF(Table1[[#This Row],[Age]]&lt;=22,"20-22",IF(Table1[[#This Row],[Age]]&lt;=25,"23-25",IF(Table1[[#This Row],[Age]]&lt;=28,"26-28","29-30")))</f>
        <v>26-28</v>
      </c>
      <c r="F280" s="12" t="s">
        <v>211</v>
      </c>
      <c r="G280" s="12">
        <v>3.64</v>
      </c>
      <c r="H280" s="12">
        <v>3.97</v>
      </c>
      <c r="I280" s="12">
        <v>3.59</v>
      </c>
      <c r="J280" s="12">
        <v>4.3</v>
      </c>
      <c r="K280" s="12">
        <v>4.05</v>
      </c>
      <c r="L280" s="12">
        <v>3.77</v>
      </c>
      <c r="M280" s="12">
        <v>4.21</v>
      </c>
      <c r="N280" s="12">
        <v>4.54</v>
      </c>
      <c r="O280" s="12">
        <v>4.16</v>
      </c>
      <c r="P280" s="12">
        <f t="shared" si="25"/>
        <v>3.875</v>
      </c>
      <c r="Q280" s="12">
        <f t="shared" si="26"/>
        <v>3.88</v>
      </c>
      <c r="R280" s="12">
        <f t="shared" si="27"/>
        <v>4.1459999999999999</v>
      </c>
      <c r="S280" s="28">
        <f>IFERROR(INDEX('Clean Gamification Data'!$B:$B,MATCH($B280,'Clean Gamification Data'!$A:$A,0)),"Not Found")</f>
        <v>75</v>
      </c>
      <c r="T280" s="28">
        <f>IFERROR(INDEX('Clean Gamification Data'!$C:$C,MATCH($B280,'Clean Gamification Data'!$A:$A,0)),"Not Found")</f>
        <v>62.394700360000002</v>
      </c>
      <c r="U280" s="28">
        <f>IFERROR(INDEX('Clean Gamification Data'!$D:$D,MATCH($B280,'Clean Gamification Data'!$A:$A,0)),"Not Found")</f>
        <v>73.643673550000003</v>
      </c>
      <c r="V280" s="28">
        <f>IFERROR(INDEX('Clean Gamification Data'!$E:$E,MATCH($B280,'Clean Gamification Data'!$A:$A,0)),"Not Found")</f>
        <v>64.837821730000002</v>
      </c>
      <c r="W280" s="28">
        <f>IFERROR(INDEX('Clean Gamification Data'!$F:$F,MATCH($B280,'Clean Gamification Data'!$A:$A,0)),"Not Found")</f>
        <v>80.45988681</v>
      </c>
      <c r="X280" s="28">
        <f>IFERROR(INDEX('Clean Gamification Data'!$G:$G,MATCH($B280,'Clean Gamification Data'!$A:$A,0)),"Not Found")</f>
        <v>69.89230551</v>
      </c>
      <c r="Y280" s="28">
        <f>IFERROR(INDEX('Clean Gamification Data'!$H:$H,MATCH($B280,'Clean Gamification Data'!$A:$A,0)),"Not Found")</f>
        <v>72.741396640000005</v>
      </c>
      <c r="Z280" s="28">
        <f>IFERROR(INDEX('Clean Gamification Data'!$I:$I,MATCH($B280,'Clean Gamification Data'!$A:$A,0)),"Not Found")</f>
        <v>55.97343721</v>
      </c>
      <c r="AA280" s="28">
        <f>Table1[[#This Row],[Engagement (Gamification %)]]-Table1[[#This Row],[Engagement (Non-Gamification %)]]</f>
        <v>12.605299639999998</v>
      </c>
      <c r="AB280" s="28">
        <f>Table1[[#This Row],[Motivation (Gamification %)]]-Table1[[#This Row],[Motivation (Non-Gamification %)]]</f>
        <v>8.8058518200000009</v>
      </c>
      <c r="AC280" s="28">
        <f>Table1[[#This Row],[Participation (Gamification %)]]-Table1[[#This Row],[Participation (Non-Gamification %)]]</f>
        <v>10.567581300000001</v>
      </c>
      <c r="AD280" s="28">
        <f>Table1[[#This Row],[Learning Outcomes (Gamification %)]]-Table1[[#This Row],[Learning Outcomes (Non-Gamification %)]]</f>
        <v>16.767959430000005</v>
      </c>
      <c r="AE280" s="44" t="str">
        <f>IF(Table1[[#This Row],[Overall Effectiveness]]&lt;3.9,"Low",IF(Table1[[#This Row],[Overall Effectiveness]]&lt;4.2,"Medium","High"))</f>
        <v>Low</v>
      </c>
      <c r="AF280" s="30" t="str">
        <f t="shared" si="28"/>
        <v>Online Tutorials</v>
      </c>
      <c r="AG280" s="30" t="str">
        <f t="shared" si="29"/>
        <v>Experiments</v>
      </c>
      <c r="AH280" s="27">
        <f>COUNTIF(Teacher_Master!$D$2:$D$16,AF280)</f>
        <v>3</v>
      </c>
      <c r="AI280" s="30" t="str">
        <f>INDEX(Teacher_Master!$B$2:$B$16,MATCH(AF280,Teacher_Master!$D$2:$D$16,0))</f>
        <v>Prof. Kavita Rao</v>
      </c>
    </row>
    <row r="281" spans="1:35" ht="14.25" customHeight="1" x14ac:dyDescent="0.3">
      <c r="A281" s="31" t="s">
        <v>582</v>
      </c>
      <c r="B281" s="31" t="s">
        <v>2277</v>
      </c>
      <c r="C281" s="31" t="s">
        <v>2882</v>
      </c>
      <c r="D281" s="12">
        <f t="shared" ca="1" si="24"/>
        <v>29</v>
      </c>
      <c r="E281" s="12" t="str">
        <f ca="1">IF(Table1[[#This Row],[Age]]&lt;=22,"20-22",IF(Table1[[#This Row],[Age]]&lt;=25,"23-25",IF(Table1[[#This Row],[Age]]&lt;=28,"26-28","29-30")))</f>
        <v>29-30</v>
      </c>
      <c r="F281" s="12">
        <v>3.77</v>
      </c>
      <c r="G281" s="12">
        <v>4.47</v>
      </c>
      <c r="H281" s="12">
        <v>3.87</v>
      </c>
      <c r="I281" s="12">
        <v>3.63</v>
      </c>
      <c r="J281" s="12">
        <v>3.3</v>
      </c>
      <c r="K281" s="12">
        <v>4.17</v>
      </c>
      <c r="L281" s="12">
        <v>3.88</v>
      </c>
      <c r="M281" s="12">
        <v>4.26</v>
      </c>
      <c r="N281" s="12">
        <v>4.28</v>
      </c>
      <c r="O281" s="12">
        <v>4.46</v>
      </c>
      <c r="P281" s="12">
        <f t="shared" si="25"/>
        <v>3.8079999999999998</v>
      </c>
      <c r="Q281" s="12">
        <f t="shared" si="26"/>
        <v>3.81</v>
      </c>
      <c r="R281" s="12">
        <f t="shared" si="27"/>
        <v>4.21</v>
      </c>
      <c r="S281" s="28">
        <f>IFERROR(INDEX('Clean Gamification Data'!$B:$B,MATCH($B281,'Clean Gamification Data'!$A:$A,0)),"Not Found")</f>
        <v>78.671681399999997</v>
      </c>
      <c r="T281" s="28">
        <f>IFERROR(INDEX('Clean Gamification Data'!$C:$C,MATCH($B281,'Clean Gamification Data'!$A:$A,0)),"Not Found")</f>
        <v>72.753417170000006</v>
      </c>
      <c r="U281" s="28">
        <f>IFERROR(INDEX('Clean Gamification Data'!$D:$D,MATCH($B281,'Clean Gamification Data'!$A:$A,0)),"Not Found")</f>
        <v>85.974836080000003</v>
      </c>
      <c r="V281" s="28">
        <f>IFERROR(INDEX('Clean Gamification Data'!$E:$E,MATCH($B281,'Clean Gamification Data'!$A:$A,0)),"Not Found")</f>
        <v>63.956963199999997</v>
      </c>
      <c r="W281" s="28">
        <f>IFERROR(INDEX('Clean Gamification Data'!$F:$F,MATCH($B281,'Clean Gamification Data'!$A:$A,0)),"Not Found")</f>
        <v>99.9</v>
      </c>
      <c r="X281" s="28">
        <f>IFERROR(INDEX('Clean Gamification Data'!$G:$G,MATCH($B281,'Clean Gamification Data'!$A:$A,0)),"Not Found")</f>
        <v>85</v>
      </c>
      <c r="Y281" s="28">
        <f>IFERROR(INDEX('Clean Gamification Data'!$H:$H,MATCH($B281,'Clean Gamification Data'!$A:$A,0)),"Not Found")</f>
        <v>72.542051189999995</v>
      </c>
      <c r="Z281" s="28">
        <f>IFERROR(INDEX('Clean Gamification Data'!$I:$I,MATCH($B281,'Clean Gamification Data'!$A:$A,0)),"Not Found")</f>
        <v>63.383653330000001</v>
      </c>
      <c r="AA281" s="28">
        <f>Table1[[#This Row],[Engagement (Gamification %)]]-Table1[[#This Row],[Engagement (Non-Gamification %)]]</f>
        <v>5.9182642299999912</v>
      </c>
      <c r="AB281" s="28">
        <f>Table1[[#This Row],[Motivation (Gamification %)]]-Table1[[#This Row],[Motivation (Non-Gamification %)]]</f>
        <v>22.017872880000006</v>
      </c>
      <c r="AC281" s="28">
        <f>Table1[[#This Row],[Participation (Gamification %)]]-Table1[[#This Row],[Participation (Non-Gamification %)]]</f>
        <v>14.900000000000006</v>
      </c>
      <c r="AD281" s="28">
        <f>Table1[[#This Row],[Learning Outcomes (Gamification %)]]-Table1[[#This Row],[Learning Outcomes (Non-Gamification %)]]</f>
        <v>9.1583978599999938</v>
      </c>
      <c r="AE281" s="44" t="str">
        <f>IF(Table1[[#This Row],[Overall Effectiveness]]&lt;3.9,"Low",IF(Table1[[#This Row],[Overall Effectiveness]]&lt;4.2,"Medium","High"))</f>
        <v>Low</v>
      </c>
      <c r="AF281" s="30" t="str">
        <f t="shared" si="28"/>
        <v>Case Studies</v>
      </c>
      <c r="AG281" s="30" t="str">
        <f t="shared" si="29"/>
        <v>Online Tutorials</v>
      </c>
      <c r="AH281" s="27">
        <f>COUNTIF(Teacher_Master!$D$2:$D$16,AF281)</f>
        <v>3</v>
      </c>
      <c r="AI281" s="30" t="str">
        <f>INDEX(Teacher_Master!$B$2:$B$16,MATCH(AF281,Teacher_Master!$D$2:$D$16,0))</f>
        <v>Prof. Rajesh Mukherjee</v>
      </c>
    </row>
    <row r="282" spans="1:35" ht="14.25" customHeight="1" x14ac:dyDescent="0.3">
      <c r="A282" s="31" t="s">
        <v>584</v>
      </c>
      <c r="B282" s="31" t="s">
        <v>2278</v>
      </c>
      <c r="C282" s="31" t="s">
        <v>2882</v>
      </c>
      <c r="D282" s="12">
        <f t="shared" ca="1" si="24"/>
        <v>25</v>
      </c>
      <c r="E282" s="12" t="str">
        <f ca="1">IF(Table1[[#This Row],[Age]]&lt;=22,"20-22",IF(Table1[[#This Row],[Age]]&lt;=25,"23-25",IF(Table1[[#This Row],[Age]]&lt;=28,"26-28","29-30")))</f>
        <v>23-25</v>
      </c>
      <c r="F282" s="12">
        <v>3.95</v>
      </c>
      <c r="G282" s="12">
        <v>4.4000000000000004</v>
      </c>
      <c r="H282" s="12">
        <v>4.0199999999999996</v>
      </c>
      <c r="I282" s="12">
        <v>3.54</v>
      </c>
      <c r="J282" s="12">
        <v>3.39</v>
      </c>
      <c r="K282" s="12">
        <v>3.79</v>
      </c>
      <c r="L282" s="12">
        <v>4.7</v>
      </c>
      <c r="M282" s="12">
        <v>3.83</v>
      </c>
      <c r="N282" s="12">
        <v>3.92</v>
      </c>
      <c r="O282" s="12">
        <v>3.86</v>
      </c>
      <c r="P282" s="12">
        <f t="shared" si="25"/>
        <v>3.8600000000000003</v>
      </c>
      <c r="Q282" s="12">
        <f t="shared" si="26"/>
        <v>3.86</v>
      </c>
      <c r="R282" s="12">
        <f t="shared" si="27"/>
        <v>4.0200000000000005</v>
      </c>
      <c r="S282" s="28">
        <f>IFERROR(INDEX('Clean Gamification Data'!$B:$B,MATCH($B282,'Clean Gamification Data'!$A:$A,0)),"Not Found")</f>
        <v>81.735729190000001</v>
      </c>
      <c r="T282" s="28">
        <f>IFERROR(INDEX('Clean Gamification Data'!$C:$C,MATCH($B282,'Clean Gamification Data'!$A:$A,0)),"Not Found")</f>
        <v>72.945927569999995</v>
      </c>
      <c r="U282" s="28">
        <f>IFERROR(INDEX('Clean Gamification Data'!$D:$D,MATCH($B282,'Clean Gamification Data'!$A:$A,0)),"Not Found")</f>
        <v>73.985982649999997</v>
      </c>
      <c r="V282" s="28">
        <f>IFERROR(INDEX('Clean Gamification Data'!$E:$E,MATCH($B282,'Clean Gamification Data'!$A:$A,0)),"Not Found")</f>
        <v>60.209880230000003</v>
      </c>
      <c r="W282" s="28">
        <f>IFERROR(INDEX('Clean Gamification Data'!$F:$F,MATCH($B282,'Clean Gamification Data'!$A:$A,0)),"Not Found")</f>
        <v>88.040478370000002</v>
      </c>
      <c r="X282" s="28">
        <f>IFERROR(INDEX('Clean Gamification Data'!$G:$G,MATCH($B282,'Clean Gamification Data'!$A:$A,0)),"Not Found")</f>
        <v>85</v>
      </c>
      <c r="Y282" s="28">
        <f>IFERROR(INDEX('Clean Gamification Data'!$H:$H,MATCH($B282,'Clean Gamification Data'!$A:$A,0)),"Not Found")</f>
        <v>70.877610390000001</v>
      </c>
      <c r="Z282" s="28">
        <f>IFERROR(INDEX('Clean Gamification Data'!$I:$I,MATCH($B282,'Clean Gamification Data'!$A:$A,0)),"Not Found")</f>
        <v>56.194554539999999</v>
      </c>
      <c r="AA282" s="28">
        <f>Table1[[#This Row],[Engagement (Gamification %)]]-Table1[[#This Row],[Engagement (Non-Gamification %)]]</f>
        <v>8.7898016200000058</v>
      </c>
      <c r="AB282" s="28">
        <f>Table1[[#This Row],[Motivation (Gamification %)]]-Table1[[#This Row],[Motivation (Non-Gamification %)]]</f>
        <v>13.776102419999994</v>
      </c>
      <c r="AC282" s="28">
        <f>Table1[[#This Row],[Participation (Gamification %)]]-Table1[[#This Row],[Participation (Non-Gamification %)]]</f>
        <v>3.0404783700000024</v>
      </c>
      <c r="AD282" s="28">
        <f>Table1[[#This Row],[Learning Outcomes (Gamification %)]]-Table1[[#This Row],[Learning Outcomes (Non-Gamification %)]]</f>
        <v>14.683055850000002</v>
      </c>
      <c r="AE282" s="44" t="str">
        <f>IF(Table1[[#This Row],[Overall Effectiveness]]&lt;3.9,"Low",IF(Table1[[#This Row],[Overall Effectiveness]]&lt;4.2,"Medium","High"))</f>
        <v>Low</v>
      </c>
      <c r="AF282" s="30" t="str">
        <f t="shared" si="28"/>
        <v>Case Studies</v>
      </c>
      <c r="AG282" s="30" t="str">
        <f t="shared" si="29"/>
        <v>Case Studies</v>
      </c>
      <c r="AH282" s="27">
        <f>COUNTIF(Teacher_Master!$D$2:$D$16,AF282)</f>
        <v>3</v>
      </c>
      <c r="AI282" s="30" t="str">
        <f>INDEX(Teacher_Master!$B$2:$B$16,MATCH(AF282,Teacher_Master!$D$2:$D$16,0))</f>
        <v>Prof. Rajesh Mukherjee</v>
      </c>
    </row>
    <row r="283" spans="1:35" ht="14.25" customHeight="1" x14ac:dyDescent="0.3">
      <c r="A283" s="31" t="s">
        <v>586</v>
      </c>
      <c r="B283" s="31" t="s">
        <v>2279</v>
      </c>
      <c r="C283" s="31" t="s">
        <v>2882</v>
      </c>
      <c r="D283" s="12">
        <f t="shared" ca="1" si="24"/>
        <v>29</v>
      </c>
      <c r="E283" s="12" t="str">
        <f ca="1">IF(Table1[[#This Row],[Age]]&lt;=22,"20-22",IF(Table1[[#This Row],[Age]]&lt;=25,"23-25",IF(Table1[[#This Row],[Age]]&lt;=28,"26-28","29-30")))</f>
        <v>29-30</v>
      </c>
      <c r="F283" s="12">
        <v>3.46</v>
      </c>
      <c r="G283" s="12">
        <v>4.37</v>
      </c>
      <c r="H283" s="12">
        <v>3.76</v>
      </c>
      <c r="I283" s="12">
        <v>4.3600000000000003</v>
      </c>
      <c r="J283" s="12">
        <v>3.89</v>
      </c>
      <c r="K283" s="12">
        <v>4.09</v>
      </c>
      <c r="L283" s="12">
        <v>4.4800000000000004</v>
      </c>
      <c r="M283" s="12">
        <v>4.2</v>
      </c>
      <c r="N283" s="12">
        <v>3.66</v>
      </c>
      <c r="O283" s="12">
        <v>3.83</v>
      </c>
      <c r="P283" s="12">
        <f t="shared" si="25"/>
        <v>3.968</v>
      </c>
      <c r="Q283" s="12">
        <f t="shared" si="26"/>
        <v>3.97</v>
      </c>
      <c r="R283" s="12">
        <f t="shared" si="27"/>
        <v>4.0519999999999996</v>
      </c>
      <c r="S283" s="28">
        <f>IFERROR(INDEX('Clean Gamification Data'!$B:$B,MATCH($B283,'Clean Gamification Data'!$A:$A,0)),"Not Found")</f>
        <v>80.985835190000003</v>
      </c>
      <c r="T283" s="28">
        <f>IFERROR(INDEX('Clean Gamification Data'!$C:$C,MATCH($B283,'Clean Gamification Data'!$A:$A,0)),"Not Found")</f>
        <v>68.909693230000002</v>
      </c>
      <c r="U283" s="28">
        <f>IFERROR(INDEX('Clean Gamification Data'!$D:$D,MATCH($B283,'Clean Gamification Data'!$A:$A,0)),"Not Found")</f>
        <v>77.562044369999995</v>
      </c>
      <c r="V283" s="28">
        <f>IFERROR(INDEX('Clean Gamification Data'!$E:$E,MATCH($B283,'Clean Gamification Data'!$A:$A,0)),"Not Found")</f>
        <v>70.441568320000002</v>
      </c>
      <c r="W283" s="28">
        <f>IFERROR(INDEX('Clean Gamification Data'!$F:$F,MATCH($B283,'Clean Gamification Data'!$A:$A,0)),"Not Found")</f>
        <v>83.855680559999996</v>
      </c>
      <c r="X283" s="28">
        <f>IFERROR(INDEX('Clean Gamification Data'!$G:$G,MATCH($B283,'Clean Gamification Data'!$A:$A,0)),"Not Found")</f>
        <v>80.706186509999995</v>
      </c>
      <c r="Y283" s="28">
        <f>IFERROR(INDEX('Clean Gamification Data'!$H:$H,MATCH($B283,'Clean Gamification Data'!$A:$A,0)),"Not Found")</f>
        <v>65</v>
      </c>
      <c r="Z283" s="28">
        <f>IFERROR(INDEX('Clean Gamification Data'!$I:$I,MATCH($B283,'Clean Gamification Data'!$A:$A,0)),"Not Found")</f>
        <v>56.011898250000002</v>
      </c>
      <c r="AA283" s="28">
        <f>Table1[[#This Row],[Engagement (Gamification %)]]-Table1[[#This Row],[Engagement (Non-Gamification %)]]</f>
        <v>12.076141960000001</v>
      </c>
      <c r="AB283" s="28">
        <f>Table1[[#This Row],[Motivation (Gamification %)]]-Table1[[#This Row],[Motivation (Non-Gamification %)]]</f>
        <v>7.1204760499999935</v>
      </c>
      <c r="AC283" s="28">
        <f>Table1[[#This Row],[Participation (Gamification %)]]-Table1[[#This Row],[Participation (Non-Gamification %)]]</f>
        <v>3.1494940500000013</v>
      </c>
      <c r="AD283" s="28">
        <f>Table1[[#This Row],[Learning Outcomes (Gamification %)]]-Table1[[#This Row],[Learning Outcomes (Non-Gamification %)]]</f>
        <v>8.9881017499999984</v>
      </c>
      <c r="AE283" s="44" t="str">
        <f>IF(Table1[[#This Row],[Overall Effectiveness]]&lt;3.9,"Low",IF(Table1[[#This Row],[Overall Effectiveness]]&lt;4.2,"Medium","High"))</f>
        <v>Medium</v>
      </c>
      <c r="AF283" s="30" t="str">
        <f t="shared" si="28"/>
        <v>Case Studies</v>
      </c>
      <c r="AG283" s="30" t="str">
        <f t="shared" si="29"/>
        <v>Case Studies</v>
      </c>
      <c r="AH283" s="27">
        <f>COUNTIF(Teacher_Master!$D$2:$D$16,AF283)</f>
        <v>3</v>
      </c>
      <c r="AI283" s="30" t="str">
        <f>INDEX(Teacher_Master!$B$2:$B$16,MATCH(AF283,Teacher_Master!$D$2:$D$16,0))</f>
        <v>Prof. Rajesh Mukherjee</v>
      </c>
    </row>
    <row r="284" spans="1:35" ht="14.25" customHeight="1" x14ac:dyDescent="0.3">
      <c r="A284" s="31" t="s">
        <v>588</v>
      </c>
      <c r="B284" s="31" t="s">
        <v>2280</v>
      </c>
      <c r="C284" s="31" t="s">
        <v>2882</v>
      </c>
      <c r="D284" s="12">
        <f t="shared" ca="1" si="24"/>
        <v>26</v>
      </c>
      <c r="E284" s="12" t="str">
        <f ca="1">IF(Table1[[#This Row],[Age]]&lt;=22,"20-22",IF(Table1[[#This Row],[Age]]&lt;=25,"23-25",IF(Table1[[#This Row],[Age]]&lt;=28,"26-28","29-30")))</f>
        <v>26-28</v>
      </c>
      <c r="F284" s="12">
        <v>3.41</v>
      </c>
      <c r="G284" s="12">
        <v>4.05</v>
      </c>
      <c r="H284" s="12">
        <v>3.85</v>
      </c>
      <c r="I284" s="12">
        <v>4.2300000000000004</v>
      </c>
      <c r="J284" s="12">
        <v>4.6399999999999997</v>
      </c>
      <c r="K284" s="12">
        <v>4.26</v>
      </c>
      <c r="L284" s="12">
        <v>4.1900000000000004</v>
      </c>
      <c r="M284" s="12">
        <v>4.21</v>
      </c>
      <c r="N284" s="12">
        <v>3.7</v>
      </c>
      <c r="O284" s="12">
        <v>4.2699999999999996</v>
      </c>
      <c r="P284" s="12">
        <f t="shared" si="25"/>
        <v>4.0359999999999996</v>
      </c>
      <c r="Q284" s="12">
        <f t="shared" si="26"/>
        <v>4.04</v>
      </c>
      <c r="R284" s="12">
        <f t="shared" si="27"/>
        <v>4.1259999999999994</v>
      </c>
      <c r="S284" s="28">
        <f>IFERROR(INDEX('Clean Gamification Data'!$B:$B,MATCH($B284,'Clean Gamification Data'!$A:$A,0)),"Not Found")</f>
        <v>90.998848800000005</v>
      </c>
      <c r="T284" s="28">
        <f>IFERROR(INDEX('Clean Gamification Data'!$C:$C,MATCH($B284,'Clean Gamification Data'!$A:$A,0)),"Not Found")</f>
        <v>60</v>
      </c>
      <c r="U284" s="28">
        <f>IFERROR(INDEX('Clean Gamification Data'!$D:$D,MATCH($B284,'Clean Gamification Data'!$A:$A,0)),"Not Found")</f>
        <v>80.645300449999993</v>
      </c>
      <c r="V284" s="28">
        <f>IFERROR(INDEX('Clean Gamification Data'!$E:$E,MATCH($B284,'Clean Gamification Data'!$A:$A,0)),"Not Found")</f>
        <v>63.861592729999998</v>
      </c>
      <c r="W284" s="28">
        <f>IFERROR(INDEX('Clean Gamification Data'!$F:$F,MATCH($B284,'Clean Gamification Data'!$A:$A,0)),"Not Found")</f>
        <v>91.220724529999998</v>
      </c>
      <c r="X284" s="28">
        <f>IFERROR(INDEX('Clean Gamification Data'!$G:$G,MATCH($B284,'Clean Gamification Data'!$A:$A,0)),"Not Found")</f>
        <v>74.236802879999999</v>
      </c>
      <c r="Y284" s="28">
        <f>IFERROR(INDEX('Clean Gamification Data'!$H:$H,MATCH($B284,'Clean Gamification Data'!$A:$A,0)),"Not Found")</f>
        <v>67.694186160000001</v>
      </c>
      <c r="Z284" s="28">
        <f>IFERROR(INDEX('Clean Gamification Data'!$I:$I,MATCH($B284,'Clean Gamification Data'!$A:$A,0)),"Not Found")</f>
        <v>57.372895530000001</v>
      </c>
      <c r="AA284" s="28">
        <f>Table1[[#This Row],[Engagement (Gamification %)]]-Table1[[#This Row],[Engagement (Non-Gamification %)]]</f>
        <v>30.998848800000005</v>
      </c>
      <c r="AB284" s="28">
        <f>Table1[[#This Row],[Motivation (Gamification %)]]-Table1[[#This Row],[Motivation (Non-Gamification %)]]</f>
        <v>16.783707719999995</v>
      </c>
      <c r="AC284" s="28">
        <f>Table1[[#This Row],[Participation (Gamification %)]]-Table1[[#This Row],[Participation (Non-Gamification %)]]</f>
        <v>16.983921649999999</v>
      </c>
      <c r="AD284" s="28">
        <f>Table1[[#This Row],[Learning Outcomes (Gamification %)]]-Table1[[#This Row],[Learning Outcomes (Non-Gamification %)]]</f>
        <v>10.32129063</v>
      </c>
      <c r="AE284" s="44" t="str">
        <f>IF(Table1[[#This Row],[Overall Effectiveness]]&lt;3.9,"Low",IF(Table1[[#This Row],[Overall Effectiveness]]&lt;4.2,"Medium","High"))</f>
        <v>Medium</v>
      </c>
      <c r="AF284" s="30" t="str">
        <f t="shared" si="28"/>
        <v>Online Tutorials</v>
      </c>
      <c r="AG284" s="30" t="str">
        <f t="shared" si="29"/>
        <v>Online Tutorials</v>
      </c>
      <c r="AH284" s="27">
        <f>COUNTIF(Teacher_Master!$D$2:$D$16,AF284)</f>
        <v>3</v>
      </c>
      <c r="AI284" s="30" t="str">
        <f>INDEX(Teacher_Master!$B$2:$B$16,MATCH(AF284,Teacher_Master!$D$2:$D$16,0))</f>
        <v>Prof. Kavita Rao</v>
      </c>
    </row>
    <row r="285" spans="1:35" ht="14.25" customHeight="1" x14ac:dyDescent="0.3">
      <c r="A285" s="31" t="s">
        <v>590</v>
      </c>
      <c r="B285" s="31" t="s">
        <v>2281</v>
      </c>
      <c r="C285" s="31" t="s">
        <v>2881</v>
      </c>
      <c r="D285" s="12">
        <f t="shared" ca="1" si="24"/>
        <v>23</v>
      </c>
      <c r="E285" s="12" t="str">
        <f ca="1">IF(Table1[[#This Row],[Age]]&lt;=22,"20-22",IF(Table1[[#This Row],[Age]]&lt;=25,"23-25",IF(Table1[[#This Row],[Age]]&lt;=28,"26-28","29-30")))</f>
        <v>23-25</v>
      </c>
      <c r="F285" s="12">
        <v>3.84</v>
      </c>
      <c r="G285" s="12">
        <v>4.51</v>
      </c>
      <c r="H285" s="12">
        <v>4.12</v>
      </c>
      <c r="I285" s="12">
        <v>3.69</v>
      </c>
      <c r="J285" s="12">
        <v>3.91</v>
      </c>
      <c r="K285" s="12">
        <v>3.9</v>
      </c>
      <c r="L285" s="12">
        <v>4.03</v>
      </c>
      <c r="M285" s="12">
        <v>4.03</v>
      </c>
      <c r="N285" s="12">
        <v>3.97</v>
      </c>
      <c r="O285" s="12">
        <v>4.59</v>
      </c>
      <c r="P285" s="12">
        <f t="shared" si="25"/>
        <v>4.0140000000000002</v>
      </c>
      <c r="Q285" s="12">
        <f t="shared" si="26"/>
        <v>4.01</v>
      </c>
      <c r="R285" s="12">
        <f t="shared" si="27"/>
        <v>4.104000000000001</v>
      </c>
      <c r="S285" s="28">
        <f>IFERROR(INDEX('Clean Gamification Data'!$B:$B,MATCH($B285,'Clean Gamification Data'!$A:$A,0)),"Not Found")</f>
        <v>82.46307564</v>
      </c>
      <c r="T285" s="28">
        <f>IFERROR(INDEX('Clean Gamification Data'!$C:$C,MATCH($B285,'Clean Gamification Data'!$A:$A,0)),"Not Found")</f>
        <v>60</v>
      </c>
      <c r="U285" s="28">
        <f>IFERROR(INDEX('Clean Gamification Data'!$D:$D,MATCH($B285,'Clean Gamification Data'!$A:$A,0)),"Not Found")</f>
        <v>76.190265249999996</v>
      </c>
      <c r="V285" s="28">
        <f>IFERROR(INDEX('Clean Gamification Data'!$E:$E,MATCH($B285,'Clean Gamification Data'!$A:$A,0)),"Not Found")</f>
        <v>57.144251220000001</v>
      </c>
      <c r="W285" s="28">
        <f>IFERROR(INDEX('Clean Gamification Data'!$F:$F,MATCH($B285,'Clean Gamification Data'!$A:$A,0)),"Not Found")</f>
        <v>95.246612310000003</v>
      </c>
      <c r="X285" s="28">
        <f>IFERROR(INDEX('Clean Gamification Data'!$G:$G,MATCH($B285,'Clean Gamification Data'!$A:$A,0)),"Not Found")</f>
        <v>81.596143530000006</v>
      </c>
      <c r="Y285" s="28">
        <f>IFERROR(INDEX('Clean Gamification Data'!$H:$H,MATCH($B285,'Clean Gamification Data'!$A:$A,0)),"Not Found")</f>
        <v>68.051539289999994</v>
      </c>
      <c r="Z285" s="28">
        <f>IFERROR(INDEX('Clean Gamification Data'!$I:$I,MATCH($B285,'Clean Gamification Data'!$A:$A,0)),"Not Found")</f>
        <v>65.210943229999998</v>
      </c>
      <c r="AA285" s="28">
        <f>Table1[[#This Row],[Engagement (Gamification %)]]-Table1[[#This Row],[Engagement (Non-Gamification %)]]</f>
        <v>22.46307564</v>
      </c>
      <c r="AB285" s="28">
        <f>Table1[[#This Row],[Motivation (Gamification %)]]-Table1[[#This Row],[Motivation (Non-Gamification %)]]</f>
        <v>19.046014029999995</v>
      </c>
      <c r="AC285" s="28">
        <f>Table1[[#This Row],[Participation (Gamification %)]]-Table1[[#This Row],[Participation (Non-Gamification %)]]</f>
        <v>13.650468779999997</v>
      </c>
      <c r="AD285" s="28">
        <f>Table1[[#This Row],[Learning Outcomes (Gamification %)]]-Table1[[#This Row],[Learning Outcomes (Non-Gamification %)]]</f>
        <v>2.8405960599999958</v>
      </c>
      <c r="AE285" s="44" t="str">
        <f>IF(Table1[[#This Row],[Overall Effectiveness]]&lt;3.9,"Low",IF(Table1[[#This Row],[Overall Effectiveness]]&lt;4.2,"Medium","High"))</f>
        <v>Medium</v>
      </c>
      <c r="AF285" s="30" t="str">
        <f t="shared" si="28"/>
        <v>Case Studies</v>
      </c>
      <c r="AG285" s="30" t="str">
        <f t="shared" si="29"/>
        <v>Online Tutorials</v>
      </c>
      <c r="AH285" s="27">
        <f>COUNTIF(Teacher_Master!$D$2:$D$16,AF285)</f>
        <v>3</v>
      </c>
      <c r="AI285" s="30" t="str">
        <f>INDEX(Teacher_Master!$B$2:$B$16,MATCH(AF285,Teacher_Master!$D$2:$D$16,0))</f>
        <v>Prof. Rajesh Mukherjee</v>
      </c>
    </row>
    <row r="286" spans="1:35" ht="14.25" customHeight="1" x14ac:dyDescent="0.3">
      <c r="A286" s="31" t="s">
        <v>592</v>
      </c>
      <c r="B286" s="31" t="s">
        <v>2282</v>
      </c>
      <c r="C286" s="31" t="s">
        <v>2882</v>
      </c>
      <c r="D286" s="12">
        <f t="shared" ca="1" si="24"/>
        <v>20</v>
      </c>
      <c r="E286" s="12" t="str">
        <f ca="1">IF(Table1[[#This Row],[Age]]&lt;=22,"20-22",IF(Table1[[#This Row],[Age]]&lt;=25,"23-25",IF(Table1[[#This Row],[Age]]&lt;=28,"26-28","29-30")))</f>
        <v>20-22</v>
      </c>
      <c r="F286" s="12">
        <v>3.51</v>
      </c>
      <c r="G286" s="12">
        <v>4.09</v>
      </c>
      <c r="H286" s="12">
        <v>4.43</v>
      </c>
      <c r="I286" s="12">
        <v>4.28</v>
      </c>
      <c r="J286" s="12">
        <v>3.83</v>
      </c>
      <c r="K286" s="12">
        <v>3.81</v>
      </c>
      <c r="L286" s="12">
        <v>4.3600000000000003</v>
      </c>
      <c r="M286" s="12">
        <v>3.98</v>
      </c>
      <c r="N286" s="12">
        <v>4.26</v>
      </c>
      <c r="O286" s="12">
        <v>4.0999999999999996</v>
      </c>
      <c r="P286" s="12">
        <f t="shared" si="25"/>
        <v>4.0280000000000005</v>
      </c>
      <c r="Q286" s="12">
        <f t="shared" si="26"/>
        <v>4.03</v>
      </c>
      <c r="R286" s="12">
        <f t="shared" si="27"/>
        <v>4.1019999999999994</v>
      </c>
      <c r="S286" s="28">
        <f>IFERROR(INDEX('Clean Gamification Data'!$B:$B,MATCH($B286,'Clean Gamification Data'!$A:$A,0)),"Not Found")</f>
        <v>83.661273609999995</v>
      </c>
      <c r="T286" s="28">
        <f>IFERROR(INDEX('Clean Gamification Data'!$C:$C,MATCH($B286,'Clean Gamification Data'!$A:$A,0)),"Not Found")</f>
        <v>66.325373350000007</v>
      </c>
      <c r="U286" s="28">
        <f>IFERROR(INDEX('Clean Gamification Data'!$D:$D,MATCH($B286,'Clean Gamification Data'!$A:$A,0)),"Not Found")</f>
        <v>77.766414330000003</v>
      </c>
      <c r="V286" s="28">
        <f>IFERROR(INDEX('Clean Gamification Data'!$E:$E,MATCH($B286,'Clean Gamification Data'!$A:$A,0)),"Not Found")</f>
        <v>66.954125869999999</v>
      </c>
      <c r="W286" s="28">
        <f>IFERROR(INDEX('Clean Gamification Data'!$F:$F,MATCH($B286,'Clean Gamification Data'!$A:$A,0)),"Not Found")</f>
        <v>91.323996919999999</v>
      </c>
      <c r="X286" s="28">
        <f>IFERROR(INDEX('Clean Gamification Data'!$G:$G,MATCH($B286,'Clean Gamification Data'!$A:$A,0)),"Not Found")</f>
        <v>84.117393199999995</v>
      </c>
      <c r="Y286" s="28">
        <f>IFERROR(INDEX('Clean Gamification Data'!$H:$H,MATCH($B286,'Clean Gamification Data'!$A:$A,0)),"Not Found")</f>
        <v>70.796094229999994</v>
      </c>
      <c r="Z286" s="28">
        <f>IFERROR(INDEX('Clean Gamification Data'!$I:$I,MATCH($B286,'Clean Gamification Data'!$A:$A,0)),"Not Found")</f>
        <v>53.181405849999997</v>
      </c>
      <c r="AA286" s="28">
        <f>Table1[[#This Row],[Engagement (Gamification %)]]-Table1[[#This Row],[Engagement (Non-Gamification %)]]</f>
        <v>17.335900259999988</v>
      </c>
      <c r="AB286" s="28">
        <f>Table1[[#This Row],[Motivation (Gamification %)]]-Table1[[#This Row],[Motivation (Non-Gamification %)]]</f>
        <v>10.812288460000005</v>
      </c>
      <c r="AC286" s="28">
        <f>Table1[[#This Row],[Participation (Gamification %)]]-Table1[[#This Row],[Participation (Non-Gamification %)]]</f>
        <v>7.2066037200000039</v>
      </c>
      <c r="AD286" s="28">
        <f>Table1[[#This Row],[Learning Outcomes (Gamification %)]]-Table1[[#This Row],[Learning Outcomes (Non-Gamification %)]]</f>
        <v>17.614688379999997</v>
      </c>
      <c r="AE286" s="44" t="str">
        <f>IF(Table1[[#This Row],[Overall Effectiveness]]&lt;3.9,"Low",IF(Table1[[#This Row],[Overall Effectiveness]]&lt;4.2,"Medium","High"))</f>
        <v>Medium</v>
      </c>
      <c r="AF286" s="30" t="str">
        <f t="shared" si="28"/>
        <v>Group Projects</v>
      </c>
      <c r="AG286" s="30" t="str">
        <f t="shared" si="29"/>
        <v>Case Studies</v>
      </c>
      <c r="AH286" s="27">
        <f>COUNTIF(Teacher_Master!$D$2:$D$16,AF286)</f>
        <v>3</v>
      </c>
      <c r="AI286" s="30" t="str">
        <f>INDEX(Teacher_Master!$B$2:$B$16,MATCH(AF286,Teacher_Master!$D$2:$D$16,0))</f>
        <v>Dr. Rohan Dutta</v>
      </c>
    </row>
    <row r="287" spans="1:35" ht="14.25" customHeight="1" x14ac:dyDescent="0.3">
      <c r="A287" s="31" t="s">
        <v>594</v>
      </c>
      <c r="B287" s="31" t="s">
        <v>2283</v>
      </c>
      <c r="C287" s="31" t="s">
        <v>2882</v>
      </c>
      <c r="D287" s="12">
        <f t="shared" ca="1" si="24"/>
        <v>27</v>
      </c>
      <c r="E287" s="12" t="str">
        <f ca="1">IF(Table1[[#This Row],[Age]]&lt;=22,"20-22",IF(Table1[[#This Row],[Age]]&lt;=25,"23-25",IF(Table1[[#This Row],[Age]]&lt;=28,"26-28","29-30")))</f>
        <v>26-28</v>
      </c>
      <c r="F287" s="12">
        <v>4.47</v>
      </c>
      <c r="G287" s="12">
        <v>3.71</v>
      </c>
      <c r="H287" s="12">
        <v>3.99</v>
      </c>
      <c r="I287" s="12">
        <v>4.04</v>
      </c>
      <c r="J287" s="12">
        <v>4.57</v>
      </c>
      <c r="K287" s="12">
        <v>4.0599999999999996</v>
      </c>
      <c r="L287" s="12" t="s">
        <v>211</v>
      </c>
      <c r="M287" s="12">
        <v>4.7</v>
      </c>
      <c r="N287" s="12">
        <v>3.99</v>
      </c>
      <c r="O287" s="12">
        <v>4.1900000000000004</v>
      </c>
      <c r="P287" s="12">
        <f t="shared" si="25"/>
        <v>4.1560000000000006</v>
      </c>
      <c r="Q287" s="12">
        <f t="shared" si="26"/>
        <v>4.16</v>
      </c>
      <c r="R287" s="12">
        <f t="shared" si="27"/>
        <v>4.2350000000000003</v>
      </c>
      <c r="S287" s="28">
        <f>IFERROR(INDEX('Clean Gamification Data'!$B:$B,MATCH($B287,'Clean Gamification Data'!$A:$A,0)),"Not Found")</f>
        <v>99.436417370000001</v>
      </c>
      <c r="T287" s="28">
        <f>IFERROR(INDEX('Clean Gamification Data'!$C:$C,MATCH($B287,'Clean Gamification Data'!$A:$A,0)),"Not Found")</f>
        <v>64.185350510000006</v>
      </c>
      <c r="U287" s="28">
        <f>IFERROR(INDEX('Clean Gamification Data'!$D:$D,MATCH($B287,'Clean Gamification Data'!$A:$A,0)),"Not Found")</f>
        <v>78.370902970000003</v>
      </c>
      <c r="V287" s="28">
        <f>IFERROR(INDEX('Clean Gamification Data'!$E:$E,MATCH($B287,'Clean Gamification Data'!$A:$A,0)),"Not Found")</f>
        <v>75</v>
      </c>
      <c r="W287" s="28">
        <f>IFERROR(INDEX('Clean Gamification Data'!$F:$F,MATCH($B287,'Clean Gamification Data'!$A:$A,0)),"Not Found")</f>
        <v>97.122706449999995</v>
      </c>
      <c r="X287" s="28">
        <f>IFERROR(INDEX('Clean Gamification Data'!$G:$G,MATCH($B287,'Clean Gamification Data'!$A:$A,0)),"Not Found")</f>
        <v>78.287313400000002</v>
      </c>
      <c r="Y287" s="28">
        <f>IFERROR(INDEX('Clean Gamification Data'!$H:$H,MATCH($B287,'Clean Gamification Data'!$A:$A,0)),"Not Found")</f>
        <v>65.327735320000002</v>
      </c>
      <c r="Z287" s="28">
        <f>IFERROR(INDEX('Clean Gamification Data'!$I:$I,MATCH($B287,'Clean Gamification Data'!$A:$A,0)),"Not Found")</f>
        <v>56.338491210000001</v>
      </c>
      <c r="AA287" s="28">
        <f>Table1[[#This Row],[Engagement (Gamification %)]]-Table1[[#This Row],[Engagement (Non-Gamification %)]]</f>
        <v>35.251066859999995</v>
      </c>
      <c r="AB287" s="28">
        <f>Table1[[#This Row],[Motivation (Gamification %)]]-Table1[[#This Row],[Motivation (Non-Gamification %)]]</f>
        <v>3.3709029700000031</v>
      </c>
      <c r="AC287" s="28">
        <f>Table1[[#This Row],[Participation (Gamification %)]]-Table1[[#This Row],[Participation (Non-Gamification %)]]</f>
        <v>18.835393049999993</v>
      </c>
      <c r="AD287" s="28">
        <f>Table1[[#This Row],[Learning Outcomes (Gamification %)]]-Table1[[#This Row],[Learning Outcomes (Non-Gamification %)]]</f>
        <v>8.9892441100000013</v>
      </c>
      <c r="AE287" s="44" t="str">
        <f>IF(Table1[[#This Row],[Overall Effectiveness]]&lt;3.9,"Low",IF(Table1[[#This Row],[Overall Effectiveness]]&lt;4.2,"Medium","High"))</f>
        <v>Medium</v>
      </c>
      <c r="AF287" s="30" t="str">
        <f t="shared" si="28"/>
        <v>Online Tutorials</v>
      </c>
      <c r="AG287" s="30" t="str">
        <f t="shared" si="29"/>
        <v>Group Projects</v>
      </c>
      <c r="AH287" s="27">
        <f>COUNTIF(Teacher_Master!$D$2:$D$16,AF287)</f>
        <v>3</v>
      </c>
      <c r="AI287" s="30" t="str">
        <f>INDEX(Teacher_Master!$B$2:$B$16,MATCH(AF287,Teacher_Master!$D$2:$D$16,0))</f>
        <v>Prof. Kavita Rao</v>
      </c>
    </row>
    <row r="288" spans="1:35" ht="14.25" customHeight="1" x14ac:dyDescent="0.3">
      <c r="A288" s="31" t="s">
        <v>596</v>
      </c>
      <c r="B288" s="31" t="s">
        <v>2284</v>
      </c>
      <c r="C288" s="31" t="s">
        <v>2882</v>
      </c>
      <c r="D288" s="12">
        <f t="shared" ca="1" si="24"/>
        <v>23</v>
      </c>
      <c r="E288" s="12" t="str">
        <f ca="1">IF(Table1[[#This Row],[Age]]&lt;=22,"20-22",IF(Table1[[#This Row],[Age]]&lt;=25,"23-25",IF(Table1[[#This Row],[Age]]&lt;=28,"26-28","29-30")))</f>
        <v>23-25</v>
      </c>
      <c r="F288" s="12">
        <v>4.3499999999999996</v>
      </c>
      <c r="G288" s="12">
        <v>4.57</v>
      </c>
      <c r="H288" s="12">
        <v>3.97</v>
      </c>
      <c r="I288" s="12">
        <v>4.3</v>
      </c>
      <c r="J288" s="12">
        <v>3.99</v>
      </c>
      <c r="K288" s="12">
        <v>3.62</v>
      </c>
      <c r="L288" s="12">
        <v>3.7</v>
      </c>
      <c r="M288" s="12">
        <v>4.62</v>
      </c>
      <c r="N288" s="12">
        <v>4.34</v>
      </c>
      <c r="O288" s="12">
        <v>4.04</v>
      </c>
      <c r="P288" s="12">
        <f t="shared" si="25"/>
        <v>4.2359999999999998</v>
      </c>
      <c r="Q288" s="12">
        <f t="shared" si="26"/>
        <v>4.24</v>
      </c>
      <c r="R288" s="12">
        <f t="shared" si="27"/>
        <v>4.0640000000000001</v>
      </c>
      <c r="S288" s="28">
        <f>IFERROR(INDEX('Clean Gamification Data'!$B:$B,MATCH($B288,'Clean Gamification Data'!$A:$A,0)),"Not Found")</f>
        <v>80.906038609999996</v>
      </c>
      <c r="T288" s="28">
        <f>IFERROR(INDEX('Clean Gamification Data'!$C:$C,MATCH($B288,'Clean Gamification Data'!$A:$A,0)),"Not Found")</f>
        <v>73.629414049999994</v>
      </c>
      <c r="U288" s="28">
        <f>IFERROR(INDEX('Clean Gamification Data'!$D:$D,MATCH($B288,'Clean Gamification Data'!$A:$A,0)),"Not Found")</f>
        <v>75.811998829999993</v>
      </c>
      <c r="V288" s="28">
        <f>IFERROR(INDEX('Clean Gamification Data'!$E:$E,MATCH($B288,'Clean Gamification Data'!$A:$A,0)),"Not Found")</f>
        <v>63.650319719999999</v>
      </c>
      <c r="W288" s="28">
        <f>IFERROR(INDEX('Clean Gamification Data'!$F:$F,MATCH($B288,'Clean Gamification Data'!$A:$A,0)),"Not Found")</f>
        <v>89.490811410000006</v>
      </c>
      <c r="X288" s="28">
        <f>IFERROR(INDEX('Clean Gamification Data'!$G:$G,MATCH($B288,'Clean Gamification Data'!$A:$A,0)),"Not Found")</f>
        <v>71.044225969999999</v>
      </c>
      <c r="Y288" s="28">
        <f>IFERROR(INDEX('Clean Gamification Data'!$H:$H,MATCH($B288,'Clean Gamification Data'!$A:$A,0)),"Not Found")</f>
        <v>68.497093359999994</v>
      </c>
      <c r="Z288" s="28">
        <f>IFERROR(INDEX('Clean Gamification Data'!$I:$I,MATCH($B288,'Clean Gamification Data'!$A:$A,0)),"Not Found")</f>
        <v>65.496182970000007</v>
      </c>
      <c r="AA288" s="28">
        <f>Table1[[#This Row],[Engagement (Gamification %)]]-Table1[[#This Row],[Engagement (Non-Gamification %)]]</f>
        <v>7.2766245600000019</v>
      </c>
      <c r="AB288" s="28">
        <f>Table1[[#This Row],[Motivation (Gamification %)]]-Table1[[#This Row],[Motivation (Non-Gamification %)]]</f>
        <v>12.161679109999994</v>
      </c>
      <c r="AC288" s="28">
        <f>Table1[[#This Row],[Participation (Gamification %)]]-Table1[[#This Row],[Participation (Non-Gamification %)]]</f>
        <v>18.446585440000007</v>
      </c>
      <c r="AD288" s="28">
        <f>Table1[[#This Row],[Learning Outcomes (Gamification %)]]-Table1[[#This Row],[Learning Outcomes (Non-Gamification %)]]</f>
        <v>3.0009103899999872</v>
      </c>
      <c r="AE288" s="44" t="str">
        <f>IF(Table1[[#This Row],[Overall Effectiveness]]&lt;3.9,"Low",IF(Table1[[#This Row],[Overall Effectiveness]]&lt;4.2,"Medium","High"))</f>
        <v>High</v>
      </c>
      <c r="AF288" s="30" t="str">
        <f t="shared" si="28"/>
        <v>Case Studies</v>
      </c>
      <c r="AG288" s="30" t="str">
        <f t="shared" si="29"/>
        <v>Group Projects</v>
      </c>
      <c r="AH288" s="27">
        <f>COUNTIF(Teacher_Master!$D$2:$D$16,AF288)</f>
        <v>3</v>
      </c>
      <c r="AI288" s="30" t="str">
        <f>INDEX(Teacher_Master!$B$2:$B$16,MATCH(AF288,Teacher_Master!$D$2:$D$16,0))</f>
        <v>Prof. Rajesh Mukherjee</v>
      </c>
    </row>
    <row r="289" spans="1:35" ht="14.25" customHeight="1" x14ac:dyDescent="0.3">
      <c r="A289" s="31" t="s">
        <v>598</v>
      </c>
      <c r="B289" s="31" t="s">
        <v>599</v>
      </c>
      <c r="C289" s="31" t="s">
        <v>2882</v>
      </c>
      <c r="D289" s="12">
        <f t="shared" ca="1" si="24"/>
        <v>20</v>
      </c>
      <c r="E289" s="12" t="str">
        <f ca="1">IF(Table1[[#This Row],[Age]]&lt;=22,"20-22",IF(Table1[[#This Row],[Age]]&lt;=25,"23-25",IF(Table1[[#This Row],[Age]]&lt;=28,"26-28","29-30")))</f>
        <v>20-22</v>
      </c>
      <c r="F289" s="12">
        <v>4.05</v>
      </c>
      <c r="G289" s="12">
        <v>3.86</v>
      </c>
      <c r="H289" s="12">
        <v>4.54</v>
      </c>
      <c r="I289" s="12">
        <v>3.73</v>
      </c>
      <c r="J289" s="12">
        <v>4.28</v>
      </c>
      <c r="K289" s="12">
        <v>4.08</v>
      </c>
      <c r="L289" s="12">
        <v>4.2699999999999996</v>
      </c>
      <c r="M289" s="12">
        <v>4.03</v>
      </c>
      <c r="N289" s="12">
        <v>4.43</v>
      </c>
      <c r="O289" s="12">
        <v>4.0999999999999996</v>
      </c>
      <c r="P289" s="12">
        <f t="shared" si="25"/>
        <v>4.0920000000000005</v>
      </c>
      <c r="Q289" s="12">
        <f t="shared" si="26"/>
        <v>4.09</v>
      </c>
      <c r="R289" s="12">
        <f t="shared" si="27"/>
        <v>4.1819999999999995</v>
      </c>
      <c r="S289" s="28">
        <f>IFERROR(INDEX('Clean Gamification Data'!$B:$B,MATCH($B289,'Clean Gamification Data'!$A:$A,0)),"Not Found")</f>
        <v>85.936429610000005</v>
      </c>
      <c r="T289" s="28">
        <f>IFERROR(INDEX('Clean Gamification Data'!$C:$C,MATCH($B289,'Clean Gamification Data'!$A:$A,0)),"Not Found")</f>
        <v>62.8170894</v>
      </c>
      <c r="U289" s="28">
        <f>IFERROR(INDEX('Clean Gamification Data'!$D:$D,MATCH($B289,'Clean Gamification Data'!$A:$A,0)),"Not Found")</f>
        <v>70</v>
      </c>
      <c r="V289" s="28">
        <f>IFERROR(INDEX('Clean Gamification Data'!$E:$E,MATCH($B289,'Clean Gamification Data'!$A:$A,0)),"Not Found")</f>
        <v>72.3642234</v>
      </c>
      <c r="W289" s="28">
        <f>IFERROR(INDEX('Clean Gamification Data'!$F:$F,MATCH($B289,'Clean Gamification Data'!$A:$A,0)),"Not Found")</f>
        <v>87.971269309999997</v>
      </c>
      <c r="X289" s="28">
        <f>IFERROR(INDEX('Clean Gamification Data'!$G:$G,MATCH($B289,'Clean Gamification Data'!$A:$A,0)),"Not Found")</f>
        <v>74.01808303</v>
      </c>
      <c r="Y289" s="28">
        <f>IFERROR(INDEX('Clean Gamification Data'!$H:$H,MATCH($B289,'Clean Gamification Data'!$A:$A,0)),"Not Found")</f>
        <v>69.496288870000001</v>
      </c>
      <c r="Z289" s="28">
        <f>IFERROR(INDEX('Clean Gamification Data'!$I:$I,MATCH($B289,'Clean Gamification Data'!$A:$A,0)),"Not Found")</f>
        <v>50</v>
      </c>
      <c r="AA289" s="28">
        <f>Table1[[#This Row],[Engagement (Gamification %)]]-Table1[[#This Row],[Engagement (Non-Gamification %)]]</f>
        <v>23.119340210000004</v>
      </c>
      <c r="AB289" s="28">
        <f>Table1[[#This Row],[Motivation (Gamification %)]]-Table1[[#This Row],[Motivation (Non-Gamification %)]]</f>
        <v>-2.3642234000000002</v>
      </c>
      <c r="AC289" s="28">
        <f>Table1[[#This Row],[Participation (Gamification %)]]-Table1[[#This Row],[Participation (Non-Gamification %)]]</f>
        <v>13.953186279999997</v>
      </c>
      <c r="AD289" s="28">
        <f>Table1[[#This Row],[Learning Outcomes (Gamification %)]]-Table1[[#This Row],[Learning Outcomes (Non-Gamification %)]]</f>
        <v>19.496288870000001</v>
      </c>
      <c r="AE289" s="44" t="str">
        <f>IF(Table1[[#This Row],[Overall Effectiveness]]&lt;3.9,"Low",IF(Table1[[#This Row],[Overall Effectiveness]]&lt;4.2,"Medium","High"))</f>
        <v>Medium</v>
      </c>
      <c r="AF289" s="30" t="str">
        <f t="shared" si="28"/>
        <v>Group Projects</v>
      </c>
      <c r="AG289" s="30" t="str">
        <f t="shared" si="29"/>
        <v>Experiments</v>
      </c>
      <c r="AH289" s="27">
        <f>COUNTIF(Teacher_Master!$D$2:$D$16,AF289)</f>
        <v>3</v>
      </c>
      <c r="AI289" s="30" t="str">
        <f>INDEX(Teacher_Master!$B$2:$B$16,MATCH(AF289,Teacher_Master!$D$2:$D$16,0))</f>
        <v>Dr. Rohan Dutta</v>
      </c>
    </row>
    <row r="290" spans="1:35" ht="14.25" customHeight="1" x14ac:dyDescent="0.3">
      <c r="A290" s="31" t="s">
        <v>600</v>
      </c>
      <c r="B290" s="31" t="s">
        <v>2285</v>
      </c>
      <c r="C290" s="31" t="s">
        <v>2882</v>
      </c>
      <c r="D290" s="12">
        <f t="shared" ca="1" si="24"/>
        <v>25</v>
      </c>
      <c r="E290" s="12" t="str">
        <f ca="1">IF(Table1[[#This Row],[Age]]&lt;=22,"20-22",IF(Table1[[#This Row],[Age]]&lt;=25,"23-25",IF(Table1[[#This Row],[Age]]&lt;=28,"26-28","29-30")))</f>
        <v>23-25</v>
      </c>
      <c r="F290" s="12" t="s">
        <v>211</v>
      </c>
      <c r="G290" s="12">
        <v>3.5</v>
      </c>
      <c r="H290" s="12">
        <v>3.73</v>
      </c>
      <c r="I290" s="12">
        <v>4.37</v>
      </c>
      <c r="J290" s="12">
        <v>4.1100000000000003</v>
      </c>
      <c r="K290" s="12">
        <v>3.61</v>
      </c>
      <c r="L290" s="12">
        <v>3.97</v>
      </c>
      <c r="M290" s="12">
        <v>3.99</v>
      </c>
      <c r="N290" s="12">
        <v>4.5199999999999996</v>
      </c>
      <c r="O290" s="12">
        <v>4.43</v>
      </c>
      <c r="P290" s="12">
        <f t="shared" si="25"/>
        <v>3.9275000000000002</v>
      </c>
      <c r="Q290" s="12">
        <f t="shared" si="26"/>
        <v>3.93</v>
      </c>
      <c r="R290" s="12">
        <f t="shared" si="27"/>
        <v>4.1040000000000001</v>
      </c>
      <c r="S290" s="28">
        <f>IFERROR(INDEX('Clean Gamification Data'!$B:$B,MATCH($B290,'Clean Gamification Data'!$A:$A,0)),"Not Found")</f>
        <v>80.391908090000001</v>
      </c>
      <c r="T290" s="28">
        <f>IFERROR(INDEX('Clean Gamification Data'!$C:$C,MATCH($B290,'Clean Gamification Data'!$A:$A,0)),"Not Found")</f>
        <v>64.257814519999997</v>
      </c>
      <c r="U290" s="28">
        <f>IFERROR(INDEX('Clean Gamification Data'!$D:$D,MATCH($B290,'Clean Gamification Data'!$A:$A,0)),"Not Found")</f>
        <v>77.855519520000001</v>
      </c>
      <c r="V290" s="28">
        <f>IFERROR(INDEX('Clean Gamification Data'!$E:$E,MATCH($B290,'Clean Gamification Data'!$A:$A,0)),"Not Found")</f>
        <v>65.215388230000002</v>
      </c>
      <c r="W290" s="28">
        <f>IFERROR(INDEX('Clean Gamification Data'!$F:$F,MATCH($B290,'Clean Gamification Data'!$A:$A,0)),"Not Found")</f>
        <v>99.896140549999998</v>
      </c>
      <c r="X290" s="28">
        <f>IFERROR(INDEX('Clean Gamification Data'!$G:$G,MATCH($B290,'Clean Gamification Data'!$A:$A,0)),"Not Found")</f>
        <v>73.194746069999994</v>
      </c>
      <c r="Y290" s="28">
        <f>IFERROR(INDEX('Clean Gamification Data'!$H:$H,MATCH($B290,'Clean Gamification Data'!$A:$A,0)),"Not Found")</f>
        <v>72.115051859999994</v>
      </c>
      <c r="Z290" s="28">
        <f>IFERROR(INDEX('Clean Gamification Data'!$I:$I,MATCH($B290,'Clean Gamification Data'!$A:$A,0)),"Not Found")</f>
        <v>54.675725440000001</v>
      </c>
      <c r="AA290" s="28">
        <f>Table1[[#This Row],[Engagement (Gamification %)]]-Table1[[#This Row],[Engagement (Non-Gamification %)]]</f>
        <v>16.134093570000005</v>
      </c>
      <c r="AB290" s="28">
        <f>Table1[[#This Row],[Motivation (Gamification %)]]-Table1[[#This Row],[Motivation (Non-Gamification %)]]</f>
        <v>12.640131289999999</v>
      </c>
      <c r="AC290" s="28">
        <f>Table1[[#This Row],[Participation (Gamification %)]]-Table1[[#This Row],[Participation (Non-Gamification %)]]</f>
        <v>26.701394480000005</v>
      </c>
      <c r="AD290" s="28">
        <f>Table1[[#This Row],[Learning Outcomes (Gamification %)]]-Table1[[#This Row],[Learning Outcomes (Non-Gamification %)]]</f>
        <v>17.439326419999993</v>
      </c>
      <c r="AE290" s="44" t="str">
        <f>IF(Table1[[#This Row],[Overall Effectiveness]]&lt;3.9,"Low",IF(Table1[[#This Row],[Overall Effectiveness]]&lt;4.2,"Medium","High"))</f>
        <v>Medium</v>
      </c>
      <c r="AF290" s="30" t="str">
        <f t="shared" si="28"/>
        <v>Experiments</v>
      </c>
      <c r="AG290" s="30" t="str">
        <f t="shared" si="29"/>
        <v>Experiments</v>
      </c>
      <c r="AH290" s="27">
        <f>COUNTIF(Teacher_Master!$D$2:$D$16,AF290)</f>
        <v>3</v>
      </c>
      <c r="AI290" s="30" t="str">
        <f>INDEX(Teacher_Master!$B$2:$B$16,MATCH(AF290,Teacher_Master!$D$2:$D$16,0))</f>
        <v>Prof. Rahul Singh</v>
      </c>
    </row>
    <row r="291" spans="1:35" ht="14.25" customHeight="1" x14ac:dyDescent="0.3">
      <c r="A291" s="31" t="s">
        <v>602</v>
      </c>
      <c r="B291" s="31" t="s">
        <v>2286</v>
      </c>
      <c r="C291" s="31" t="s">
        <v>2882</v>
      </c>
      <c r="D291" s="12">
        <f t="shared" ca="1" si="24"/>
        <v>21</v>
      </c>
      <c r="E291" s="12" t="str">
        <f ca="1">IF(Table1[[#This Row],[Age]]&lt;=22,"20-22",IF(Table1[[#This Row],[Age]]&lt;=25,"23-25",IF(Table1[[#This Row],[Age]]&lt;=28,"26-28","29-30")))</f>
        <v>20-22</v>
      </c>
      <c r="F291" s="12">
        <v>3.78</v>
      </c>
      <c r="G291" s="12">
        <v>4.21</v>
      </c>
      <c r="H291" s="12">
        <v>3.7</v>
      </c>
      <c r="I291" s="12">
        <v>3.94</v>
      </c>
      <c r="J291" s="12">
        <v>4.33</v>
      </c>
      <c r="K291" s="12">
        <v>4.45</v>
      </c>
      <c r="L291" s="12">
        <v>3.86</v>
      </c>
      <c r="M291" s="12">
        <v>3.85</v>
      </c>
      <c r="N291" s="12">
        <v>3.8</v>
      </c>
      <c r="O291" s="12">
        <v>3.65</v>
      </c>
      <c r="P291" s="12">
        <f t="shared" si="25"/>
        <v>3.992</v>
      </c>
      <c r="Q291" s="12">
        <f t="shared" si="26"/>
        <v>3.99</v>
      </c>
      <c r="R291" s="12">
        <f t="shared" si="27"/>
        <v>3.9219999999999997</v>
      </c>
      <c r="S291" s="28">
        <f>IFERROR(INDEX('Clean Gamification Data'!$B:$B,MATCH($B291,'Clean Gamification Data'!$A:$A,0)),"Not Found")</f>
        <v>75</v>
      </c>
      <c r="T291" s="28">
        <f>IFERROR(INDEX('Clean Gamification Data'!$C:$C,MATCH($B291,'Clean Gamification Data'!$A:$A,0)),"Not Found")</f>
        <v>63.59790168</v>
      </c>
      <c r="U291" s="28">
        <f>IFERROR(INDEX('Clean Gamification Data'!$D:$D,MATCH($B291,'Clean Gamification Data'!$A:$A,0)),"Not Found")</f>
        <v>70</v>
      </c>
      <c r="V291" s="28">
        <f>IFERROR(INDEX('Clean Gamification Data'!$E:$E,MATCH($B291,'Clean Gamification Data'!$A:$A,0)),"Not Found")</f>
        <v>63.576421320000001</v>
      </c>
      <c r="W291" s="28">
        <f>IFERROR(INDEX('Clean Gamification Data'!$F:$F,MATCH($B291,'Clean Gamification Data'!$A:$A,0)),"Not Found")</f>
        <v>81.11611825</v>
      </c>
      <c r="X291" s="28">
        <f>IFERROR(INDEX('Clean Gamification Data'!$G:$G,MATCH($B291,'Clean Gamification Data'!$A:$A,0)),"Not Found")</f>
        <v>80.700695039999999</v>
      </c>
      <c r="Y291" s="28">
        <f>IFERROR(INDEX('Clean Gamification Data'!$H:$H,MATCH($B291,'Clean Gamification Data'!$A:$A,0)),"Not Found")</f>
        <v>65.826209570000003</v>
      </c>
      <c r="Z291" s="28">
        <f>IFERROR(INDEX('Clean Gamification Data'!$I:$I,MATCH($B291,'Clean Gamification Data'!$A:$A,0)),"Not Found")</f>
        <v>50.61936189</v>
      </c>
      <c r="AA291" s="28">
        <f>Table1[[#This Row],[Engagement (Gamification %)]]-Table1[[#This Row],[Engagement (Non-Gamification %)]]</f>
        <v>11.40209832</v>
      </c>
      <c r="AB291" s="28">
        <f>Table1[[#This Row],[Motivation (Gamification %)]]-Table1[[#This Row],[Motivation (Non-Gamification %)]]</f>
        <v>6.4235786799999985</v>
      </c>
      <c r="AC291" s="28">
        <f>Table1[[#This Row],[Participation (Gamification %)]]-Table1[[#This Row],[Participation (Non-Gamification %)]]</f>
        <v>0.41542321000000015</v>
      </c>
      <c r="AD291" s="28">
        <f>Table1[[#This Row],[Learning Outcomes (Gamification %)]]-Table1[[#This Row],[Learning Outcomes (Non-Gamification %)]]</f>
        <v>15.206847680000003</v>
      </c>
      <c r="AE291" s="44" t="str">
        <f>IF(Table1[[#This Row],[Overall Effectiveness]]&lt;3.9,"Low",IF(Table1[[#This Row],[Overall Effectiveness]]&lt;4.2,"Medium","High"))</f>
        <v>Medium</v>
      </c>
      <c r="AF291" s="30" t="str">
        <f t="shared" si="28"/>
        <v>Online Tutorials</v>
      </c>
      <c r="AG291" s="30" t="str">
        <f t="shared" si="29"/>
        <v>Lectures</v>
      </c>
      <c r="AH291" s="27">
        <f>COUNTIF(Teacher_Master!$D$2:$D$16,AF291)</f>
        <v>3</v>
      </c>
      <c r="AI291" s="30" t="str">
        <f>INDEX(Teacher_Master!$B$2:$B$16,MATCH(AF291,Teacher_Master!$D$2:$D$16,0))</f>
        <v>Prof. Kavita Rao</v>
      </c>
    </row>
    <row r="292" spans="1:35" ht="14.25" customHeight="1" x14ac:dyDescent="0.3">
      <c r="A292" s="31" t="s">
        <v>604</v>
      </c>
      <c r="B292" s="31" t="s">
        <v>605</v>
      </c>
      <c r="C292" s="31" t="s">
        <v>2882</v>
      </c>
      <c r="D292" s="12">
        <f t="shared" ca="1" si="24"/>
        <v>21</v>
      </c>
      <c r="E292" s="12" t="str">
        <f ca="1">IF(Table1[[#This Row],[Age]]&lt;=22,"20-22",IF(Table1[[#This Row],[Age]]&lt;=25,"23-25",IF(Table1[[#This Row],[Age]]&lt;=28,"26-28","29-30")))</f>
        <v>20-22</v>
      </c>
      <c r="F292" s="12">
        <v>3.45</v>
      </c>
      <c r="G292" s="12">
        <v>4.38</v>
      </c>
      <c r="H292" s="12">
        <v>3.61</v>
      </c>
      <c r="I292" s="12">
        <v>4.0199999999999996</v>
      </c>
      <c r="J292" s="12">
        <v>3.94</v>
      </c>
      <c r="K292" s="12">
        <v>4.5999999999999996</v>
      </c>
      <c r="L292" s="12">
        <v>3.61</v>
      </c>
      <c r="M292" s="12">
        <v>4.0599999999999996</v>
      </c>
      <c r="N292" s="12">
        <v>4.16</v>
      </c>
      <c r="O292" s="12">
        <v>3.46</v>
      </c>
      <c r="P292" s="12">
        <f t="shared" si="25"/>
        <v>3.88</v>
      </c>
      <c r="Q292" s="12">
        <f t="shared" si="26"/>
        <v>3.88</v>
      </c>
      <c r="R292" s="12">
        <f t="shared" si="27"/>
        <v>3.9780000000000002</v>
      </c>
      <c r="S292" s="28">
        <f>IFERROR(INDEX('Clean Gamification Data'!$B:$B,MATCH($B292,'Clean Gamification Data'!$A:$A,0)),"Not Found")</f>
        <v>85.999252060000003</v>
      </c>
      <c r="T292" s="28">
        <f>IFERROR(INDEX('Clean Gamification Data'!$C:$C,MATCH($B292,'Clean Gamification Data'!$A:$A,0)),"Not Found")</f>
        <v>63.54601195</v>
      </c>
      <c r="U292" s="28">
        <f>IFERROR(INDEX('Clean Gamification Data'!$D:$D,MATCH($B292,'Clean Gamification Data'!$A:$A,0)),"Not Found")</f>
        <v>84.405493719999996</v>
      </c>
      <c r="V292" s="28">
        <f>IFERROR(INDEX('Clean Gamification Data'!$E:$E,MATCH($B292,'Clean Gamification Data'!$A:$A,0)),"Not Found")</f>
        <v>68.354892410000005</v>
      </c>
      <c r="W292" s="28">
        <f>IFERROR(INDEX('Clean Gamification Data'!$F:$F,MATCH($B292,'Clean Gamification Data'!$A:$A,0)),"Not Found")</f>
        <v>94.157107819999993</v>
      </c>
      <c r="X292" s="28">
        <f>IFERROR(INDEX('Clean Gamification Data'!$G:$G,MATCH($B292,'Clean Gamification Data'!$A:$A,0)),"Not Found")</f>
        <v>74.739597079999996</v>
      </c>
      <c r="Y292" s="28">
        <f>IFERROR(INDEX('Clean Gamification Data'!$H:$H,MATCH($B292,'Clean Gamification Data'!$A:$A,0)),"Not Found")</f>
        <v>71.313083019999993</v>
      </c>
      <c r="Z292" s="28">
        <f>IFERROR(INDEX('Clean Gamification Data'!$I:$I,MATCH($B292,'Clean Gamification Data'!$A:$A,0)),"Not Found")</f>
        <v>68.205774349999999</v>
      </c>
      <c r="AA292" s="28">
        <f>Table1[[#This Row],[Engagement (Gamification %)]]-Table1[[#This Row],[Engagement (Non-Gamification %)]]</f>
        <v>22.453240110000003</v>
      </c>
      <c r="AB292" s="28">
        <f>Table1[[#This Row],[Motivation (Gamification %)]]-Table1[[#This Row],[Motivation (Non-Gamification %)]]</f>
        <v>16.05060130999999</v>
      </c>
      <c r="AC292" s="28">
        <f>Table1[[#This Row],[Participation (Gamification %)]]-Table1[[#This Row],[Participation (Non-Gamification %)]]</f>
        <v>19.417510739999997</v>
      </c>
      <c r="AD292" s="28">
        <f>Table1[[#This Row],[Learning Outcomes (Gamification %)]]-Table1[[#This Row],[Learning Outcomes (Non-Gamification %)]]</f>
        <v>3.1073086699999948</v>
      </c>
      <c r="AE292" s="44" t="str">
        <f>IF(Table1[[#This Row],[Overall Effectiveness]]&lt;3.9,"Low",IF(Table1[[#This Row],[Overall Effectiveness]]&lt;4.2,"Medium","High"))</f>
        <v>Low</v>
      </c>
      <c r="AF292" s="30" t="str">
        <f t="shared" si="28"/>
        <v>Case Studies</v>
      </c>
      <c r="AG292" s="30" t="str">
        <f t="shared" si="29"/>
        <v>Lectures</v>
      </c>
      <c r="AH292" s="27">
        <f>COUNTIF(Teacher_Master!$D$2:$D$16,AF292)</f>
        <v>3</v>
      </c>
      <c r="AI292" s="30" t="str">
        <f>INDEX(Teacher_Master!$B$2:$B$16,MATCH(AF292,Teacher_Master!$D$2:$D$16,0))</f>
        <v>Prof. Rajesh Mukherjee</v>
      </c>
    </row>
    <row r="293" spans="1:35" ht="14.25" customHeight="1" x14ac:dyDescent="0.3">
      <c r="A293" s="31" t="s">
        <v>606</v>
      </c>
      <c r="B293" s="31" t="s">
        <v>2287</v>
      </c>
      <c r="C293" s="31" t="s">
        <v>2881</v>
      </c>
      <c r="D293" s="12">
        <f t="shared" ca="1" si="24"/>
        <v>26</v>
      </c>
      <c r="E293" s="12" t="str">
        <f ca="1">IF(Table1[[#This Row],[Age]]&lt;=22,"20-22",IF(Table1[[#This Row],[Age]]&lt;=25,"23-25",IF(Table1[[#This Row],[Age]]&lt;=28,"26-28","29-30")))</f>
        <v>26-28</v>
      </c>
      <c r="F293" s="12">
        <v>3.97</v>
      </c>
      <c r="G293" s="12">
        <v>3.79</v>
      </c>
      <c r="H293" s="12">
        <v>4.41</v>
      </c>
      <c r="I293" s="12">
        <v>4.1399999999999997</v>
      </c>
      <c r="J293" s="12">
        <v>4.25</v>
      </c>
      <c r="K293" s="12">
        <v>4.7699999999999996</v>
      </c>
      <c r="L293" s="12" t="s">
        <v>211</v>
      </c>
      <c r="M293" s="12">
        <v>4.07</v>
      </c>
      <c r="N293" s="12">
        <v>3.72</v>
      </c>
      <c r="O293" s="12">
        <v>3.44</v>
      </c>
      <c r="P293" s="12">
        <f t="shared" si="25"/>
        <v>4.1120000000000001</v>
      </c>
      <c r="Q293" s="12">
        <f t="shared" si="26"/>
        <v>4.1100000000000003</v>
      </c>
      <c r="R293" s="12">
        <f t="shared" si="27"/>
        <v>4</v>
      </c>
      <c r="S293" s="28">
        <f>IFERROR(INDEX('Clean Gamification Data'!$B:$B,MATCH($B293,'Clean Gamification Data'!$A:$A,0)),"Not Found")</f>
        <v>91.610185830000006</v>
      </c>
      <c r="T293" s="28">
        <f>IFERROR(INDEX('Clean Gamification Data'!$C:$C,MATCH($B293,'Clean Gamification Data'!$A:$A,0)),"Not Found")</f>
        <v>70.793519509999996</v>
      </c>
      <c r="U293" s="28">
        <f>IFERROR(INDEX('Clean Gamification Data'!$D:$D,MATCH($B293,'Clean Gamification Data'!$A:$A,0)),"Not Found")</f>
        <v>88.113366670000005</v>
      </c>
      <c r="V293" s="28">
        <f>IFERROR(INDEX('Clean Gamification Data'!$E:$E,MATCH($B293,'Clean Gamification Data'!$A:$A,0)),"Not Found")</f>
        <v>73.823104749999999</v>
      </c>
      <c r="W293" s="28">
        <f>IFERROR(INDEX('Clean Gamification Data'!$F:$F,MATCH($B293,'Clean Gamification Data'!$A:$A,0)),"Not Found")</f>
        <v>80</v>
      </c>
      <c r="X293" s="28">
        <f>IFERROR(INDEX('Clean Gamification Data'!$G:$G,MATCH($B293,'Clean Gamification Data'!$A:$A,0)),"Not Found")</f>
        <v>79.899067290000005</v>
      </c>
      <c r="Y293" s="28">
        <f>IFERROR(INDEX('Clean Gamification Data'!$H:$H,MATCH($B293,'Clean Gamification Data'!$A:$A,0)),"Not Found")</f>
        <v>72.440337839999998</v>
      </c>
      <c r="Z293" s="28">
        <f>IFERROR(INDEX('Clean Gamification Data'!$I:$I,MATCH($B293,'Clean Gamification Data'!$A:$A,0)),"Not Found")</f>
        <v>54.909584340000002</v>
      </c>
      <c r="AA293" s="28">
        <f>Table1[[#This Row],[Engagement (Gamification %)]]-Table1[[#This Row],[Engagement (Non-Gamification %)]]</f>
        <v>20.81666632000001</v>
      </c>
      <c r="AB293" s="28">
        <f>Table1[[#This Row],[Motivation (Gamification %)]]-Table1[[#This Row],[Motivation (Non-Gamification %)]]</f>
        <v>14.290261920000006</v>
      </c>
      <c r="AC293" s="28">
        <f>Table1[[#This Row],[Participation (Gamification %)]]-Table1[[#This Row],[Participation (Non-Gamification %)]]</f>
        <v>0.10093270999999504</v>
      </c>
      <c r="AD293" s="28">
        <f>Table1[[#This Row],[Learning Outcomes (Gamification %)]]-Table1[[#This Row],[Learning Outcomes (Non-Gamification %)]]</f>
        <v>17.530753499999996</v>
      </c>
      <c r="AE293" s="44" t="str">
        <f>IF(Table1[[#This Row],[Overall Effectiveness]]&lt;3.9,"Low",IF(Table1[[#This Row],[Overall Effectiveness]]&lt;4.2,"Medium","High"))</f>
        <v>Medium</v>
      </c>
      <c r="AF293" s="30" t="str">
        <f t="shared" si="28"/>
        <v>Group Projects</v>
      </c>
      <c r="AG293" s="30" t="str">
        <f t="shared" si="29"/>
        <v>Lectures</v>
      </c>
      <c r="AH293" s="27">
        <f>COUNTIF(Teacher_Master!$D$2:$D$16,AF293)</f>
        <v>3</v>
      </c>
      <c r="AI293" s="30" t="str">
        <f>INDEX(Teacher_Master!$B$2:$B$16,MATCH(AF293,Teacher_Master!$D$2:$D$16,0))</f>
        <v>Dr. Rohan Dutta</v>
      </c>
    </row>
    <row r="294" spans="1:35" ht="14.25" customHeight="1" x14ac:dyDescent="0.3">
      <c r="A294" s="31" t="s">
        <v>608</v>
      </c>
      <c r="B294" s="31" t="s">
        <v>609</v>
      </c>
      <c r="C294" s="31" t="s">
        <v>2882</v>
      </c>
      <c r="D294" s="12">
        <f t="shared" ca="1" si="24"/>
        <v>29</v>
      </c>
      <c r="E294" s="12" t="str">
        <f ca="1">IF(Table1[[#This Row],[Age]]&lt;=22,"20-22",IF(Table1[[#This Row],[Age]]&lt;=25,"23-25",IF(Table1[[#This Row],[Age]]&lt;=28,"26-28","29-30")))</f>
        <v>29-30</v>
      </c>
      <c r="F294" s="12">
        <v>4.13</v>
      </c>
      <c r="G294" s="12">
        <v>4.16</v>
      </c>
      <c r="H294" s="12">
        <v>3.54</v>
      </c>
      <c r="I294" s="12">
        <v>4.01</v>
      </c>
      <c r="J294" s="12">
        <v>4.25</v>
      </c>
      <c r="K294" s="12">
        <v>4.2</v>
      </c>
      <c r="L294" s="12">
        <v>4.16</v>
      </c>
      <c r="M294" s="12">
        <v>5</v>
      </c>
      <c r="N294" s="12">
        <v>3.95</v>
      </c>
      <c r="O294" s="12">
        <v>4.3899999999999997</v>
      </c>
      <c r="P294" s="12">
        <f t="shared" si="25"/>
        <v>4.0179999999999989</v>
      </c>
      <c r="Q294" s="12">
        <f t="shared" si="26"/>
        <v>4.0199999999999996</v>
      </c>
      <c r="R294" s="12">
        <f t="shared" si="27"/>
        <v>4.34</v>
      </c>
      <c r="S294" s="28">
        <f>IFERROR(INDEX('Clean Gamification Data'!$B:$B,MATCH($B294,'Clean Gamification Data'!$A:$A,0)),"Not Found")</f>
        <v>89.252461139999994</v>
      </c>
      <c r="T294" s="28">
        <f>IFERROR(INDEX('Clean Gamification Data'!$C:$C,MATCH($B294,'Clean Gamification Data'!$A:$A,0)),"Not Found")</f>
        <v>71.044004990000005</v>
      </c>
      <c r="U294" s="28">
        <f>IFERROR(INDEX('Clean Gamification Data'!$D:$D,MATCH($B294,'Clean Gamification Data'!$A:$A,0)),"Not Found")</f>
        <v>71.207330409999997</v>
      </c>
      <c r="V294" s="28">
        <f>IFERROR(INDEX('Clean Gamification Data'!$E:$E,MATCH($B294,'Clean Gamification Data'!$A:$A,0)),"Not Found")</f>
        <v>62.580562649999997</v>
      </c>
      <c r="W294" s="28">
        <f>IFERROR(INDEX('Clean Gamification Data'!$F:$F,MATCH($B294,'Clean Gamification Data'!$A:$A,0)),"Not Found")</f>
        <v>93.732468490000002</v>
      </c>
      <c r="X294" s="28">
        <f>IFERROR(INDEX('Clean Gamification Data'!$G:$G,MATCH($B294,'Clean Gamification Data'!$A:$A,0)),"Not Found")</f>
        <v>74.144634199999999</v>
      </c>
      <c r="Y294" s="28">
        <f>IFERROR(INDEX('Clean Gamification Data'!$H:$H,MATCH($B294,'Clean Gamification Data'!$A:$A,0)),"Not Found")</f>
        <v>67.810278109999999</v>
      </c>
      <c r="Z294" s="28">
        <f>IFERROR(INDEX('Clean Gamification Data'!$I:$I,MATCH($B294,'Clean Gamification Data'!$A:$A,0)),"Not Found")</f>
        <v>55.72750937</v>
      </c>
      <c r="AA294" s="28">
        <f>Table1[[#This Row],[Engagement (Gamification %)]]-Table1[[#This Row],[Engagement (Non-Gamification %)]]</f>
        <v>18.208456149999989</v>
      </c>
      <c r="AB294" s="28">
        <f>Table1[[#This Row],[Motivation (Gamification %)]]-Table1[[#This Row],[Motivation (Non-Gamification %)]]</f>
        <v>8.6267677599999999</v>
      </c>
      <c r="AC294" s="28">
        <f>Table1[[#This Row],[Participation (Gamification %)]]-Table1[[#This Row],[Participation (Non-Gamification %)]]</f>
        <v>19.587834290000004</v>
      </c>
      <c r="AD294" s="28">
        <f>Table1[[#This Row],[Learning Outcomes (Gamification %)]]-Table1[[#This Row],[Learning Outcomes (Non-Gamification %)]]</f>
        <v>12.082768739999999</v>
      </c>
      <c r="AE294" s="44" t="str">
        <f>IF(Table1[[#This Row],[Overall Effectiveness]]&lt;3.9,"Low",IF(Table1[[#This Row],[Overall Effectiveness]]&lt;4.2,"Medium","High"))</f>
        <v>Medium</v>
      </c>
      <c r="AF294" s="30" t="str">
        <f t="shared" si="28"/>
        <v>Online Tutorials</v>
      </c>
      <c r="AG294" s="30" t="str">
        <f t="shared" si="29"/>
        <v>Group Projects</v>
      </c>
      <c r="AH294" s="27">
        <f>COUNTIF(Teacher_Master!$D$2:$D$16,AF294)</f>
        <v>3</v>
      </c>
      <c r="AI294" s="30" t="str">
        <f>INDEX(Teacher_Master!$B$2:$B$16,MATCH(AF294,Teacher_Master!$D$2:$D$16,0))</f>
        <v>Prof. Kavita Rao</v>
      </c>
    </row>
    <row r="295" spans="1:35" ht="14.25" customHeight="1" x14ac:dyDescent="0.3">
      <c r="A295" s="31" t="s">
        <v>610</v>
      </c>
      <c r="B295" s="31" t="s">
        <v>611</v>
      </c>
      <c r="C295" s="31" t="s">
        <v>2882</v>
      </c>
      <c r="D295" s="12">
        <f t="shared" ca="1" si="24"/>
        <v>25</v>
      </c>
      <c r="E295" s="12" t="str">
        <f ca="1">IF(Table1[[#This Row],[Age]]&lt;=22,"20-22",IF(Table1[[#This Row],[Age]]&lt;=25,"23-25",IF(Table1[[#This Row],[Age]]&lt;=28,"26-28","29-30")))</f>
        <v>23-25</v>
      </c>
      <c r="F295" s="12">
        <v>4.49</v>
      </c>
      <c r="G295" s="12">
        <v>3.61</v>
      </c>
      <c r="H295" s="12">
        <v>3.74</v>
      </c>
      <c r="I295" s="12">
        <v>4.42</v>
      </c>
      <c r="J295" s="12">
        <v>3.91</v>
      </c>
      <c r="K295" s="12">
        <v>4.12</v>
      </c>
      <c r="L295" s="12">
        <v>4.45</v>
      </c>
      <c r="M295" s="12">
        <v>3.51</v>
      </c>
      <c r="N295" s="12">
        <v>4.22</v>
      </c>
      <c r="O295" s="12">
        <v>4.0599999999999996</v>
      </c>
      <c r="P295" s="12">
        <f t="shared" si="25"/>
        <v>4.0339999999999998</v>
      </c>
      <c r="Q295" s="12">
        <f t="shared" si="26"/>
        <v>4.03</v>
      </c>
      <c r="R295" s="12">
        <f t="shared" si="27"/>
        <v>4.0720000000000001</v>
      </c>
      <c r="S295" s="28">
        <f>IFERROR(INDEX('Clean Gamification Data'!$B:$B,MATCH($B295,'Clean Gamification Data'!$A:$A,0)),"Not Found")</f>
        <v>79.758450629999999</v>
      </c>
      <c r="T295" s="28">
        <f>IFERROR(INDEX('Clean Gamification Data'!$C:$C,MATCH($B295,'Clean Gamification Data'!$A:$A,0)),"Not Found")</f>
        <v>60</v>
      </c>
      <c r="U295" s="28">
        <f>IFERROR(INDEX('Clean Gamification Data'!$D:$D,MATCH($B295,'Clean Gamification Data'!$A:$A,0)),"Not Found")</f>
        <v>79.452183520000006</v>
      </c>
      <c r="V295" s="28">
        <f>IFERROR(INDEX('Clean Gamification Data'!$E:$E,MATCH($B295,'Clean Gamification Data'!$A:$A,0)),"Not Found")</f>
        <v>65.754956429999993</v>
      </c>
      <c r="W295" s="28">
        <f>IFERROR(INDEX('Clean Gamification Data'!$F:$F,MATCH($B295,'Clean Gamification Data'!$A:$A,0)),"Not Found")</f>
        <v>83.520985289999999</v>
      </c>
      <c r="X295" s="28">
        <f>IFERROR(INDEX('Clean Gamification Data'!$G:$G,MATCH($B295,'Clean Gamification Data'!$A:$A,0)),"Not Found")</f>
        <v>75.195645099999993</v>
      </c>
      <c r="Y295" s="28">
        <f>IFERROR(INDEX('Clean Gamification Data'!$H:$H,MATCH($B295,'Clean Gamification Data'!$A:$A,0)),"Not Found")</f>
        <v>77.208424530000002</v>
      </c>
      <c r="Z295" s="28">
        <f>IFERROR(INDEX('Clean Gamification Data'!$I:$I,MATCH($B295,'Clean Gamification Data'!$A:$A,0)),"Not Found")</f>
        <v>50</v>
      </c>
      <c r="AA295" s="28">
        <f>Table1[[#This Row],[Engagement (Gamification %)]]-Table1[[#This Row],[Engagement (Non-Gamification %)]]</f>
        <v>19.758450629999999</v>
      </c>
      <c r="AB295" s="28">
        <f>Table1[[#This Row],[Motivation (Gamification %)]]-Table1[[#This Row],[Motivation (Non-Gamification %)]]</f>
        <v>13.697227090000013</v>
      </c>
      <c r="AC295" s="28">
        <f>Table1[[#This Row],[Participation (Gamification %)]]-Table1[[#This Row],[Participation (Non-Gamification %)]]</f>
        <v>8.3253401900000057</v>
      </c>
      <c r="AD295" s="28">
        <f>Table1[[#This Row],[Learning Outcomes (Gamification %)]]-Table1[[#This Row],[Learning Outcomes (Non-Gamification %)]]</f>
        <v>27.208424530000002</v>
      </c>
      <c r="AE295" s="44" t="str">
        <f>IF(Table1[[#This Row],[Overall Effectiveness]]&lt;3.9,"Low",IF(Table1[[#This Row],[Overall Effectiveness]]&lt;4.2,"Medium","High"))</f>
        <v>Medium</v>
      </c>
      <c r="AF295" s="30" t="str">
        <f t="shared" si="28"/>
        <v>Lectures</v>
      </c>
      <c r="AG295" s="30" t="str">
        <f t="shared" si="29"/>
        <v>Case Studies</v>
      </c>
      <c r="AH295" s="27">
        <f>COUNTIF(Teacher_Master!$D$2:$D$16,AF295)</f>
        <v>3</v>
      </c>
      <c r="AI295" s="30" t="str">
        <f>INDEX(Teacher_Master!$B$2:$B$16,MATCH(AF295,Teacher_Master!$D$2:$D$16,0))</f>
        <v>Prof. Vikram Gupta</v>
      </c>
    </row>
    <row r="296" spans="1:35" ht="14.25" customHeight="1" x14ac:dyDescent="0.3">
      <c r="A296" s="31" t="s">
        <v>612</v>
      </c>
      <c r="B296" s="31" t="s">
        <v>2288</v>
      </c>
      <c r="C296" s="31" t="s">
        <v>2882</v>
      </c>
      <c r="D296" s="12">
        <f t="shared" ca="1" si="24"/>
        <v>28</v>
      </c>
      <c r="E296" s="12" t="str">
        <f ca="1">IF(Table1[[#This Row],[Age]]&lt;=22,"20-22",IF(Table1[[#This Row],[Age]]&lt;=25,"23-25",IF(Table1[[#This Row],[Age]]&lt;=28,"26-28","29-30")))</f>
        <v>26-28</v>
      </c>
      <c r="F296" s="12">
        <v>3.84</v>
      </c>
      <c r="G296" s="12">
        <v>4.32</v>
      </c>
      <c r="H296" s="12">
        <v>3.58</v>
      </c>
      <c r="I296" s="12">
        <v>3.59</v>
      </c>
      <c r="J296" s="12">
        <v>4.54</v>
      </c>
      <c r="K296" s="12">
        <v>4.37</v>
      </c>
      <c r="L296" s="12">
        <v>4.18</v>
      </c>
      <c r="M296" s="12">
        <v>4.3499999999999996</v>
      </c>
      <c r="N296" s="12">
        <v>4.3</v>
      </c>
      <c r="O296" s="12" t="s">
        <v>211</v>
      </c>
      <c r="P296" s="12">
        <f t="shared" si="25"/>
        <v>3.9740000000000002</v>
      </c>
      <c r="Q296" s="12">
        <f t="shared" si="26"/>
        <v>3.97</v>
      </c>
      <c r="R296" s="12">
        <f t="shared" si="27"/>
        <v>4.3</v>
      </c>
      <c r="S296" s="28">
        <f>IFERROR(INDEX('Clean Gamification Data'!$B:$B,MATCH($B296,'Clean Gamification Data'!$A:$A,0)),"Not Found")</f>
        <v>86.596363740000001</v>
      </c>
      <c r="T296" s="28">
        <f>IFERROR(INDEX('Clean Gamification Data'!$C:$C,MATCH($B296,'Clean Gamification Data'!$A:$A,0)),"Not Found")</f>
        <v>72.442663820000007</v>
      </c>
      <c r="U296" s="28">
        <f>IFERROR(INDEX('Clean Gamification Data'!$D:$D,MATCH($B296,'Clean Gamification Data'!$A:$A,0)),"Not Found")</f>
        <v>70</v>
      </c>
      <c r="V296" s="28">
        <f>IFERROR(INDEX('Clean Gamification Data'!$E:$E,MATCH($B296,'Clean Gamification Data'!$A:$A,0)),"Not Found")</f>
        <v>61.163479870000003</v>
      </c>
      <c r="W296" s="28">
        <f>IFERROR(INDEX('Clean Gamification Data'!$F:$F,MATCH($B296,'Clean Gamification Data'!$A:$A,0)),"Not Found")</f>
        <v>99.9</v>
      </c>
      <c r="X296" s="28">
        <f>IFERROR(INDEX('Clean Gamification Data'!$G:$G,MATCH($B296,'Clean Gamification Data'!$A:$A,0)),"Not Found")</f>
        <v>76.449080809999998</v>
      </c>
      <c r="Y296" s="28">
        <f>IFERROR(INDEX('Clean Gamification Data'!$H:$H,MATCH($B296,'Clean Gamification Data'!$A:$A,0)),"Not Found")</f>
        <v>75.850645200000002</v>
      </c>
      <c r="Z296" s="28">
        <f>IFERROR(INDEX('Clean Gamification Data'!$I:$I,MATCH($B296,'Clean Gamification Data'!$A:$A,0)),"Not Found")</f>
        <v>60.439302759999997</v>
      </c>
      <c r="AA296" s="28">
        <f>Table1[[#This Row],[Engagement (Gamification %)]]-Table1[[#This Row],[Engagement (Non-Gamification %)]]</f>
        <v>14.153699919999994</v>
      </c>
      <c r="AB296" s="28">
        <f>Table1[[#This Row],[Motivation (Gamification %)]]-Table1[[#This Row],[Motivation (Non-Gamification %)]]</f>
        <v>8.8365201299999967</v>
      </c>
      <c r="AC296" s="28">
        <f>Table1[[#This Row],[Participation (Gamification %)]]-Table1[[#This Row],[Participation (Non-Gamification %)]]</f>
        <v>23.450919190000008</v>
      </c>
      <c r="AD296" s="28">
        <f>Table1[[#This Row],[Learning Outcomes (Gamification %)]]-Table1[[#This Row],[Learning Outcomes (Non-Gamification %)]]</f>
        <v>15.411342440000006</v>
      </c>
      <c r="AE296" s="44" t="str">
        <f>IF(Table1[[#This Row],[Overall Effectiveness]]&lt;3.9,"Low",IF(Table1[[#This Row],[Overall Effectiveness]]&lt;4.2,"Medium","High"))</f>
        <v>Medium</v>
      </c>
      <c r="AF296" s="30" t="str">
        <f t="shared" si="28"/>
        <v>Online Tutorials</v>
      </c>
      <c r="AG296" s="30" t="str">
        <f t="shared" si="29"/>
        <v>Lectures</v>
      </c>
      <c r="AH296" s="27">
        <f>COUNTIF(Teacher_Master!$D$2:$D$16,AF296)</f>
        <v>3</v>
      </c>
      <c r="AI296" s="30" t="str">
        <f>INDEX(Teacher_Master!$B$2:$B$16,MATCH(AF296,Teacher_Master!$D$2:$D$16,0))</f>
        <v>Prof. Kavita Rao</v>
      </c>
    </row>
    <row r="297" spans="1:35" ht="14.25" customHeight="1" x14ac:dyDescent="0.3">
      <c r="A297" s="31" t="s">
        <v>614</v>
      </c>
      <c r="B297" s="31" t="s">
        <v>2289</v>
      </c>
      <c r="C297" s="31" t="s">
        <v>2882</v>
      </c>
      <c r="D297" s="12">
        <f t="shared" ca="1" si="24"/>
        <v>27</v>
      </c>
      <c r="E297" s="12" t="str">
        <f ca="1">IF(Table1[[#This Row],[Age]]&lt;=22,"20-22",IF(Table1[[#This Row],[Age]]&lt;=25,"23-25",IF(Table1[[#This Row],[Age]]&lt;=28,"26-28","29-30")))</f>
        <v>26-28</v>
      </c>
      <c r="F297" s="12">
        <v>4.1900000000000004</v>
      </c>
      <c r="G297" s="12">
        <v>3.61</v>
      </c>
      <c r="H297" s="12">
        <v>4.0999999999999996</v>
      </c>
      <c r="I297" s="12">
        <v>3.9</v>
      </c>
      <c r="J297" s="12">
        <v>4.01</v>
      </c>
      <c r="K297" s="12">
        <v>3.95</v>
      </c>
      <c r="L297" s="12">
        <v>4.2300000000000004</v>
      </c>
      <c r="M297" s="12">
        <v>3.98</v>
      </c>
      <c r="N297" s="12">
        <v>3.68</v>
      </c>
      <c r="O297" s="12">
        <v>4.2699999999999996</v>
      </c>
      <c r="P297" s="12">
        <f t="shared" si="25"/>
        <v>3.9620000000000006</v>
      </c>
      <c r="Q297" s="12">
        <f t="shared" si="26"/>
        <v>3.96</v>
      </c>
      <c r="R297" s="12">
        <f t="shared" si="27"/>
        <v>4.0220000000000002</v>
      </c>
      <c r="S297" s="28">
        <f>IFERROR(INDEX('Clean Gamification Data'!$B:$B,MATCH($B297,'Clean Gamification Data'!$A:$A,0)),"Not Found")</f>
        <v>80.62050739</v>
      </c>
      <c r="T297" s="28">
        <f>IFERROR(INDEX('Clean Gamification Data'!$C:$C,MATCH($B297,'Clean Gamification Data'!$A:$A,0)),"Not Found")</f>
        <v>61.419961370000003</v>
      </c>
      <c r="U297" s="28">
        <f>IFERROR(INDEX('Clean Gamification Data'!$D:$D,MATCH($B297,'Clean Gamification Data'!$A:$A,0)),"Not Found")</f>
        <v>83.936993310000005</v>
      </c>
      <c r="V297" s="28">
        <f>IFERROR(INDEX('Clean Gamification Data'!$E:$E,MATCH($B297,'Clean Gamification Data'!$A:$A,0)),"Not Found")</f>
        <v>65.272858729999996</v>
      </c>
      <c r="W297" s="28">
        <f>IFERROR(INDEX('Clean Gamification Data'!$F:$F,MATCH($B297,'Clean Gamification Data'!$A:$A,0)),"Not Found")</f>
        <v>91.655188260000003</v>
      </c>
      <c r="X297" s="28">
        <f>IFERROR(INDEX('Clean Gamification Data'!$G:$G,MATCH($B297,'Clean Gamification Data'!$A:$A,0)),"Not Found")</f>
        <v>81.899003030000003</v>
      </c>
      <c r="Y297" s="28">
        <f>IFERROR(INDEX('Clean Gamification Data'!$H:$H,MATCH($B297,'Clean Gamification Data'!$A:$A,0)),"Not Found")</f>
        <v>70.77830238</v>
      </c>
      <c r="Z297" s="28">
        <f>IFERROR(INDEX('Clean Gamification Data'!$I:$I,MATCH($B297,'Clean Gamification Data'!$A:$A,0)),"Not Found")</f>
        <v>53.063219310000001</v>
      </c>
      <c r="AA297" s="28">
        <f>Table1[[#This Row],[Engagement (Gamification %)]]-Table1[[#This Row],[Engagement (Non-Gamification %)]]</f>
        <v>19.200546019999997</v>
      </c>
      <c r="AB297" s="28">
        <f>Table1[[#This Row],[Motivation (Gamification %)]]-Table1[[#This Row],[Motivation (Non-Gamification %)]]</f>
        <v>18.66413458000001</v>
      </c>
      <c r="AC297" s="28">
        <f>Table1[[#This Row],[Participation (Gamification %)]]-Table1[[#This Row],[Participation (Non-Gamification %)]]</f>
        <v>9.7561852299999998</v>
      </c>
      <c r="AD297" s="28">
        <f>Table1[[#This Row],[Learning Outcomes (Gamification %)]]-Table1[[#This Row],[Learning Outcomes (Non-Gamification %)]]</f>
        <v>17.715083069999999</v>
      </c>
      <c r="AE297" s="44" t="str">
        <f>IF(Table1[[#This Row],[Overall Effectiveness]]&lt;3.9,"Low",IF(Table1[[#This Row],[Overall Effectiveness]]&lt;4.2,"Medium","High"))</f>
        <v>Medium</v>
      </c>
      <c r="AF297" s="30" t="str">
        <f t="shared" si="28"/>
        <v>Lectures</v>
      </c>
      <c r="AG297" s="30" t="str">
        <f t="shared" si="29"/>
        <v>Online Tutorials</v>
      </c>
      <c r="AH297" s="27">
        <f>COUNTIF(Teacher_Master!$D$2:$D$16,AF297)</f>
        <v>3</v>
      </c>
      <c r="AI297" s="30" t="str">
        <f>INDEX(Teacher_Master!$B$2:$B$16,MATCH(AF297,Teacher_Master!$D$2:$D$16,0))</f>
        <v>Prof. Vikram Gupta</v>
      </c>
    </row>
    <row r="298" spans="1:35" ht="14.25" customHeight="1" x14ac:dyDescent="0.3">
      <c r="A298" s="31" t="s">
        <v>616</v>
      </c>
      <c r="B298" s="31" t="s">
        <v>2290</v>
      </c>
      <c r="C298" s="31" t="s">
        <v>2882</v>
      </c>
      <c r="D298" s="12">
        <f t="shared" ca="1" si="24"/>
        <v>29</v>
      </c>
      <c r="E298" s="12" t="str">
        <f ca="1">IF(Table1[[#This Row],[Age]]&lt;=22,"20-22",IF(Table1[[#This Row],[Age]]&lt;=25,"23-25",IF(Table1[[#This Row],[Age]]&lt;=28,"26-28","29-30")))</f>
        <v>29-30</v>
      </c>
      <c r="F298" s="12">
        <v>4.18</v>
      </c>
      <c r="G298" s="12">
        <v>4.33</v>
      </c>
      <c r="H298" s="12">
        <v>4</v>
      </c>
      <c r="I298" s="12">
        <v>4.1100000000000003</v>
      </c>
      <c r="J298" s="12">
        <v>3.81</v>
      </c>
      <c r="K298" s="12">
        <v>3.49</v>
      </c>
      <c r="L298" s="12" t="s">
        <v>211</v>
      </c>
      <c r="M298" s="12" t="s">
        <v>211</v>
      </c>
      <c r="N298" s="12">
        <v>4.1900000000000004</v>
      </c>
      <c r="O298" s="12">
        <v>3.97</v>
      </c>
      <c r="P298" s="12">
        <f t="shared" si="25"/>
        <v>4.0860000000000003</v>
      </c>
      <c r="Q298" s="12">
        <f t="shared" si="26"/>
        <v>4.09</v>
      </c>
      <c r="R298" s="12">
        <f t="shared" si="27"/>
        <v>3.8833333333333333</v>
      </c>
      <c r="S298" s="28">
        <f>IFERROR(INDEX('Clean Gamification Data'!$B:$B,MATCH($B298,'Clean Gamification Data'!$A:$A,0)),"Not Found")</f>
        <v>83.102191349999998</v>
      </c>
      <c r="T298" s="28">
        <f>IFERROR(INDEX('Clean Gamification Data'!$C:$C,MATCH($B298,'Clean Gamification Data'!$A:$A,0)),"Not Found")</f>
        <v>66.17591693</v>
      </c>
      <c r="U298" s="28">
        <f>IFERROR(INDEX('Clean Gamification Data'!$D:$D,MATCH($B298,'Clean Gamification Data'!$A:$A,0)),"Not Found")</f>
        <v>86.869518369999994</v>
      </c>
      <c r="V298" s="28">
        <f>IFERROR(INDEX('Clean Gamification Data'!$E:$E,MATCH($B298,'Clean Gamification Data'!$A:$A,0)),"Not Found")</f>
        <v>69.606216309999994</v>
      </c>
      <c r="W298" s="28">
        <f>IFERROR(INDEX('Clean Gamification Data'!$F:$F,MATCH($B298,'Clean Gamification Data'!$A:$A,0)),"Not Found")</f>
        <v>86.420672999999994</v>
      </c>
      <c r="X298" s="28">
        <f>IFERROR(INDEX('Clean Gamification Data'!$G:$G,MATCH($B298,'Clean Gamification Data'!$A:$A,0)),"Not Found")</f>
        <v>76.497315259999993</v>
      </c>
      <c r="Y298" s="28">
        <f>IFERROR(INDEX('Clean Gamification Data'!$H:$H,MATCH($B298,'Clean Gamification Data'!$A:$A,0)),"Not Found")</f>
        <v>76.187241529999994</v>
      </c>
      <c r="Z298" s="28">
        <f>IFERROR(INDEX('Clean Gamification Data'!$I:$I,MATCH($B298,'Clean Gamification Data'!$A:$A,0)),"Not Found")</f>
        <v>59.008945959999998</v>
      </c>
      <c r="AA298" s="28">
        <f>Table1[[#This Row],[Engagement (Gamification %)]]-Table1[[#This Row],[Engagement (Non-Gamification %)]]</f>
        <v>16.926274419999999</v>
      </c>
      <c r="AB298" s="28">
        <f>Table1[[#This Row],[Motivation (Gamification %)]]-Table1[[#This Row],[Motivation (Non-Gamification %)]]</f>
        <v>17.263302060000001</v>
      </c>
      <c r="AC298" s="28">
        <f>Table1[[#This Row],[Participation (Gamification %)]]-Table1[[#This Row],[Participation (Non-Gamification %)]]</f>
        <v>9.9233577400000001</v>
      </c>
      <c r="AD298" s="28">
        <f>Table1[[#This Row],[Learning Outcomes (Gamification %)]]-Table1[[#This Row],[Learning Outcomes (Non-Gamification %)]]</f>
        <v>17.178295569999996</v>
      </c>
      <c r="AE298" s="44" t="str">
        <f>IF(Table1[[#This Row],[Overall Effectiveness]]&lt;3.9,"Low",IF(Table1[[#This Row],[Overall Effectiveness]]&lt;4.2,"Medium","High"))</f>
        <v>Medium</v>
      </c>
      <c r="AF298" s="30" t="str">
        <f t="shared" si="28"/>
        <v>Case Studies</v>
      </c>
      <c r="AG298" s="30" t="str">
        <f t="shared" si="29"/>
        <v>Experiments</v>
      </c>
      <c r="AH298" s="27">
        <f>COUNTIF(Teacher_Master!$D$2:$D$16,AF298)</f>
        <v>3</v>
      </c>
      <c r="AI298" s="30" t="str">
        <f>INDEX(Teacher_Master!$B$2:$B$16,MATCH(AF298,Teacher_Master!$D$2:$D$16,0))</f>
        <v>Prof. Rajesh Mukherjee</v>
      </c>
    </row>
    <row r="299" spans="1:35" ht="14.25" customHeight="1" x14ac:dyDescent="0.3">
      <c r="A299" s="31" t="s">
        <v>618</v>
      </c>
      <c r="B299" s="31" t="s">
        <v>619</v>
      </c>
      <c r="C299" s="31" t="s">
        <v>2882</v>
      </c>
      <c r="D299" s="12">
        <f t="shared" ca="1" si="24"/>
        <v>20</v>
      </c>
      <c r="E299" s="12" t="str">
        <f ca="1">IF(Table1[[#This Row],[Age]]&lt;=22,"20-22",IF(Table1[[#This Row],[Age]]&lt;=25,"23-25",IF(Table1[[#This Row],[Age]]&lt;=28,"26-28","29-30")))</f>
        <v>20-22</v>
      </c>
      <c r="F299" s="12">
        <v>4.29</v>
      </c>
      <c r="G299" s="12">
        <v>4.12</v>
      </c>
      <c r="H299" s="12">
        <v>3.85</v>
      </c>
      <c r="I299" s="12">
        <v>4.51</v>
      </c>
      <c r="J299" s="12">
        <v>3.81</v>
      </c>
      <c r="K299" s="12">
        <v>3.56</v>
      </c>
      <c r="L299" s="12">
        <v>3.68</v>
      </c>
      <c r="M299" s="12">
        <v>3.86</v>
      </c>
      <c r="N299" s="12">
        <v>4.5199999999999996</v>
      </c>
      <c r="O299" s="12">
        <v>3.98</v>
      </c>
      <c r="P299" s="12">
        <f t="shared" si="25"/>
        <v>4.1159999999999997</v>
      </c>
      <c r="Q299" s="12">
        <f t="shared" si="26"/>
        <v>4.12</v>
      </c>
      <c r="R299" s="12">
        <f t="shared" si="27"/>
        <v>3.9199999999999995</v>
      </c>
      <c r="S299" s="28">
        <f>IFERROR(INDEX('Clean Gamification Data'!$B:$B,MATCH($B299,'Clean Gamification Data'!$A:$A,0)),"Not Found")</f>
        <v>77.585692980000005</v>
      </c>
      <c r="T299" s="28">
        <f>IFERROR(INDEX('Clean Gamification Data'!$C:$C,MATCH($B299,'Clean Gamification Data'!$A:$A,0)),"Not Found")</f>
        <v>66.165597739999995</v>
      </c>
      <c r="U299" s="28">
        <f>IFERROR(INDEX('Clean Gamification Data'!$D:$D,MATCH($B299,'Clean Gamification Data'!$A:$A,0)),"Not Found")</f>
        <v>74.132248320000002</v>
      </c>
      <c r="V299" s="28">
        <f>IFERROR(INDEX('Clean Gamification Data'!$E:$E,MATCH($B299,'Clean Gamification Data'!$A:$A,0)),"Not Found")</f>
        <v>66.45321414</v>
      </c>
      <c r="W299" s="28">
        <f>IFERROR(INDEX('Clean Gamification Data'!$F:$F,MATCH($B299,'Clean Gamification Data'!$A:$A,0)),"Not Found")</f>
        <v>85.492179399999998</v>
      </c>
      <c r="X299" s="28">
        <f>IFERROR(INDEX('Clean Gamification Data'!$G:$G,MATCH($B299,'Clean Gamification Data'!$A:$A,0)),"Not Found")</f>
        <v>72.484309359999997</v>
      </c>
      <c r="Y299" s="28">
        <f>IFERROR(INDEX('Clean Gamification Data'!$H:$H,MATCH($B299,'Clean Gamification Data'!$A:$A,0)),"Not Found")</f>
        <v>71.268492120000005</v>
      </c>
      <c r="Z299" s="28">
        <f>IFERROR(INDEX('Clean Gamification Data'!$I:$I,MATCH($B299,'Clean Gamification Data'!$A:$A,0)),"Not Found")</f>
        <v>66.653959779999994</v>
      </c>
      <c r="AA299" s="28">
        <f>Table1[[#This Row],[Engagement (Gamification %)]]-Table1[[#This Row],[Engagement (Non-Gamification %)]]</f>
        <v>11.420095240000009</v>
      </c>
      <c r="AB299" s="28">
        <f>Table1[[#This Row],[Motivation (Gamification %)]]-Table1[[#This Row],[Motivation (Non-Gamification %)]]</f>
        <v>7.6790341800000022</v>
      </c>
      <c r="AC299" s="28">
        <f>Table1[[#This Row],[Participation (Gamification %)]]-Table1[[#This Row],[Participation (Non-Gamification %)]]</f>
        <v>13.00787004</v>
      </c>
      <c r="AD299" s="28">
        <f>Table1[[#This Row],[Learning Outcomes (Gamification %)]]-Table1[[#This Row],[Learning Outcomes (Non-Gamification %)]]</f>
        <v>4.6145323400000109</v>
      </c>
      <c r="AE299" s="44" t="str">
        <f>IF(Table1[[#This Row],[Overall Effectiveness]]&lt;3.9,"Low",IF(Table1[[#This Row],[Overall Effectiveness]]&lt;4.2,"Medium","High"))</f>
        <v>Medium</v>
      </c>
      <c r="AF299" s="30" t="str">
        <f t="shared" si="28"/>
        <v>Experiments</v>
      </c>
      <c r="AG299" s="30" t="str">
        <f t="shared" si="29"/>
        <v>Experiments</v>
      </c>
      <c r="AH299" s="27">
        <f>COUNTIF(Teacher_Master!$D$2:$D$16,AF299)</f>
        <v>3</v>
      </c>
      <c r="AI299" s="30" t="str">
        <f>INDEX(Teacher_Master!$B$2:$B$16,MATCH(AF299,Teacher_Master!$D$2:$D$16,0))</f>
        <v>Prof. Rahul Singh</v>
      </c>
    </row>
    <row r="300" spans="1:35" ht="14.25" customHeight="1" x14ac:dyDescent="0.3">
      <c r="A300" s="31" t="s">
        <v>620</v>
      </c>
      <c r="B300" s="31" t="s">
        <v>2291</v>
      </c>
      <c r="C300" s="31" t="s">
        <v>2881</v>
      </c>
      <c r="D300" s="12">
        <f t="shared" ca="1" si="24"/>
        <v>25</v>
      </c>
      <c r="E300" s="12" t="str">
        <f ca="1">IF(Table1[[#This Row],[Age]]&lt;=22,"20-22",IF(Table1[[#This Row],[Age]]&lt;=25,"23-25",IF(Table1[[#This Row],[Age]]&lt;=28,"26-28","29-30")))</f>
        <v>23-25</v>
      </c>
      <c r="F300" s="12">
        <v>3.56</v>
      </c>
      <c r="G300" s="12">
        <v>3.98</v>
      </c>
      <c r="H300" s="12">
        <v>4.4400000000000004</v>
      </c>
      <c r="I300" s="12">
        <v>4.32</v>
      </c>
      <c r="J300" s="12">
        <v>4.05</v>
      </c>
      <c r="K300" s="12">
        <v>4.34</v>
      </c>
      <c r="L300" s="12">
        <v>3.91</v>
      </c>
      <c r="M300" s="12">
        <v>3.77</v>
      </c>
      <c r="N300" s="12">
        <v>4.2699999999999996</v>
      </c>
      <c r="O300" s="12">
        <v>3.7</v>
      </c>
      <c r="P300" s="12">
        <f t="shared" si="25"/>
        <v>4.07</v>
      </c>
      <c r="Q300" s="12">
        <f t="shared" si="26"/>
        <v>4.07</v>
      </c>
      <c r="R300" s="12">
        <f t="shared" si="27"/>
        <v>3.9979999999999998</v>
      </c>
      <c r="S300" s="28">
        <f>IFERROR(INDEX('Clean Gamification Data'!$B:$B,MATCH($B300,'Clean Gamification Data'!$A:$A,0)),"Not Found")</f>
        <v>89.006827169999994</v>
      </c>
      <c r="T300" s="28">
        <f>IFERROR(INDEX('Clean Gamification Data'!$C:$C,MATCH($B300,'Clean Gamification Data'!$A:$A,0)),"Not Found")</f>
        <v>67.990339399999996</v>
      </c>
      <c r="U300" s="28">
        <f>IFERROR(INDEX('Clean Gamification Data'!$D:$D,MATCH($B300,'Clean Gamification Data'!$A:$A,0)),"Not Found")</f>
        <v>74.717566489999996</v>
      </c>
      <c r="V300" s="28">
        <f>IFERROR(INDEX('Clean Gamification Data'!$E:$E,MATCH($B300,'Clean Gamification Data'!$A:$A,0)),"Not Found")</f>
        <v>68.194282700000002</v>
      </c>
      <c r="W300" s="28">
        <f>IFERROR(INDEX('Clean Gamification Data'!$F:$F,MATCH($B300,'Clean Gamification Data'!$A:$A,0)),"Not Found")</f>
        <v>95.624842760000007</v>
      </c>
      <c r="X300" s="28">
        <f>IFERROR(INDEX('Clean Gamification Data'!$G:$G,MATCH($B300,'Clean Gamification Data'!$A:$A,0)),"Not Found")</f>
        <v>75.740866089999997</v>
      </c>
      <c r="Y300" s="28">
        <f>IFERROR(INDEX('Clean Gamification Data'!$H:$H,MATCH($B300,'Clean Gamification Data'!$A:$A,0)),"Not Found")</f>
        <v>69.961547589999995</v>
      </c>
      <c r="Z300" s="28">
        <f>IFERROR(INDEX('Clean Gamification Data'!$I:$I,MATCH($B300,'Clean Gamification Data'!$A:$A,0)),"Not Found")</f>
        <v>60.440381760000001</v>
      </c>
      <c r="AA300" s="28">
        <f>Table1[[#This Row],[Engagement (Gamification %)]]-Table1[[#This Row],[Engagement (Non-Gamification %)]]</f>
        <v>21.016487769999998</v>
      </c>
      <c r="AB300" s="28">
        <f>Table1[[#This Row],[Motivation (Gamification %)]]-Table1[[#This Row],[Motivation (Non-Gamification %)]]</f>
        <v>6.5232837899999936</v>
      </c>
      <c r="AC300" s="28">
        <f>Table1[[#This Row],[Participation (Gamification %)]]-Table1[[#This Row],[Participation (Non-Gamification %)]]</f>
        <v>19.88397667000001</v>
      </c>
      <c r="AD300" s="28">
        <f>Table1[[#This Row],[Learning Outcomes (Gamification %)]]-Table1[[#This Row],[Learning Outcomes (Non-Gamification %)]]</f>
        <v>9.5211658299999939</v>
      </c>
      <c r="AE300" s="44" t="str">
        <f>IF(Table1[[#This Row],[Overall Effectiveness]]&lt;3.9,"Low",IF(Table1[[#This Row],[Overall Effectiveness]]&lt;4.2,"Medium","High"))</f>
        <v>Medium</v>
      </c>
      <c r="AF300" s="30" t="str">
        <f t="shared" si="28"/>
        <v>Group Projects</v>
      </c>
      <c r="AG300" s="30" t="str">
        <f t="shared" si="29"/>
        <v>Lectures</v>
      </c>
      <c r="AH300" s="27">
        <f>COUNTIF(Teacher_Master!$D$2:$D$16,AF300)</f>
        <v>3</v>
      </c>
      <c r="AI300" s="30" t="str">
        <f>INDEX(Teacher_Master!$B$2:$B$16,MATCH(AF300,Teacher_Master!$D$2:$D$16,0))</f>
        <v>Dr. Rohan Dutta</v>
      </c>
    </row>
    <row r="301" spans="1:35" ht="14.25" customHeight="1" x14ac:dyDescent="0.3">
      <c r="A301" s="31" t="s">
        <v>622</v>
      </c>
      <c r="B301" s="31" t="s">
        <v>2292</v>
      </c>
      <c r="C301" s="31" t="s">
        <v>2881</v>
      </c>
      <c r="D301" s="12">
        <f t="shared" ca="1" si="24"/>
        <v>26</v>
      </c>
      <c r="E301" s="12" t="str">
        <f ca="1">IF(Table1[[#This Row],[Age]]&lt;=22,"20-22",IF(Table1[[#This Row],[Age]]&lt;=25,"23-25",IF(Table1[[#This Row],[Age]]&lt;=28,"26-28","29-30")))</f>
        <v>26-28</v>
      </c>
      <c r="F301" s="12">
        <v>4.79</v>
      </c>
      <c r="G301" s="12">
        <v>4.0999999999999996</v>
      </c>
      <c r="H301" s="12">
        <v>3.69</v>
      </c>
      <c r="I301" s="12">
        <v>4.04</v>
      </c>
      <c r="J301" s="12">
        <v>3.86</v>
      </c>
      <c r="K301" s="12">
        <v>4.0599999999999996</v>
      </c>
      <c r="L301" s="12">
        <v>4.05</v>
      </c>
      <c r="M301" s="12">
        <v>3.77</v>
      </c>
      <c r="N301" s="12">
        <v>3.92</v>
      </c>
      <c r="O301" s="12">
        <v>4.28</v>
      </c>
      <c r="P301" s="12">
        <f t="shared" si="25"/>
        <v>4.0960000000000001</v>
      </c>
      <c r="Q301" s="12">
        <f t="shared" si="26"/>
        <v>4.0999999999999996</v>
      </c>
      <c r="R301" s="12">
        <f t="shared" si="27"/>
        <v>4.016</v>
      </c>
      <c r="S301" s="28">
        <f>IFERROR(INDEX('Clean Gamification Data'!$B:$B,MATCH($B301,'Clean Gamification Data'!$A:$A,0)),"Not Found")</f>
        <v>78.314785830000005</v>
      </c>
      <c r="T301" s="28">
        <f>IFERROR(INDEX('Clean Gamification Data'!$C:$C,MATCH($B301,'Clean Gamification Data'!$A:$A,0)),"Not Found")</f>
        <v>65.663777440000004</v>
      </c>
      <c r="U301" s="28">
        <f>IFERROR(INDEX('Clean Gamification Data'!$D:$D,MATCH($B301,'Clean Gamification Data'!$A:$A,0)),"Not Found")</f>
        <v>82.688641559999994</v>
      </c>
      <c r="V301" s="28">
        <f>IFERROR(INDEX('Clean Gamification Data'!$E:$E,MATCH($B301,'Clean Gamification Data'!$A:$A,0)),"Not Found")</f>
        <v>67.103104040000005</v>
      </c>
      <c r="W301" s="28">
        <f>IFERROR(INDEX('Clean Gamification Data'!$F:$F,MATCH($B301,'Clean Gamification Data'!$A:$A,0)),"Not Found")</f>
        <v>90.05080959</v>
      </c>
      <c r="X301" s="28">
        <f>IFERROR(INDEX('Clean Gamification Data'!$G:$G,MATCH($B301,'Clean Gamification Data'!$A:$A,0)),"Not Found")</f>
        <v>85</v>
      </c>
      <c r="Y301" s="28">
        <f>IFERROR(INDEX('Clean Gamification Data'!$H:$H,MATCH($B301,'Clean Gamification Data'!$A:$A,0)),"Not Found")</f>
        <v>74.003339800000006</v>
      </c>
      <c r="Z301" s="28">
        <f>IFERROR(INDEX('Clean Gamification Data'!$I:$I,MATCH($B301,'Clean Gamification Data'!$A:$A,0)),"Not Found")</f>
        <v>50</v>
      </c>
      <c r="AA301" s="28">
        <f>Table1[[#This Row],[Engagement (Gamification %)]]-Table1[[#This Row],[Engagement (Non-Gamification %)]]</f>
        <v>12.651008390000001</v>
      </c>
      <c r="AB301" s="28">
        <f>Table1[[#This Row],[Motivation (Gamification %)]]-Table1[[#This Row],[Motivation (Non-Gamification %)]]</f>
        <v>15.585537519999988</v>
      </c>
      <c r="AC301" s="28">
        <f>Table1[[#This Row],[Participation (Gamification %)]]-Table1[[#This Row],[Participation (Non-Gamification %)]]</f>
        <v>5.0508095900000001</v>
      </c>
      <c r="AD301" s="28">
        <f>Table1[[#This Row],[Learning Outcomes (Gamification %)]]-Table1[[#This Row],[Learning Outcomes (Non-Gamification %)]]</f>
        <v>24.003339800000006</v>
      </c>
      <c r="AE301" s="44" t="str">
        <f>IF(Table1[[#This Row],[Overall Effectiveness]]&lt;3.9,"Low",IF(Table1[[#This Row],[Overall Effectiveness]]&lt;4.2,"Medium","High"))</f>
        <v>Medium</v>
      </c>
      <c r="AF301" s="30" t="str">
        <f t="shared" si="28"/>
        <v>Lectures</v>
      </c>
      <c r="AG301" s="30" t="str">
        <f t="shared" si="29"/>
        <v>Online Tutorials</v>
      </c>
      <c r="AH301" s="27">
        <f>COUNTIF(Teacher_Master!$D$2:$D$16,AF301)</f>
        <v>3</v>
      </c>
      <c r="AI301" s="30" t="str">
        <f>INDEX(Teacher_Master!$B$2:$B$16,MATCH(AF301,Teacher_Master!$D$2:$D$16,0))</f>
        <v>Prof. Vikram Gupta</v>
      </c>
    </row>
    <row r="302" spans="1:35" ht="14.25" customHeight="1" x14ac:dyDescent="0.3">
      <c r="A302" s="31" t="s">
        <v>624</v>
      </c>
      <c r="B302" s="31" t="s">
        <v>2293</v>
      </c>
      <c r="C302" s="31" t="s">
        <v>2882</v>
      </c>
      <c r="D302" s="12">
        <f t="shared" ca="1" si="24"/>
        <v>22</v>
      </c>
      <c r="E302" s="12" t="str">
        <f ca="1">IF(Table1[[#This Row],[Age]]&lt;=22,"20-22",IF(Table1[[#This Row],[Age]]&lt;=25,"23-25",IF(Table1[[#This Row],[Age]]&lt;=28,"26-28","29-30")))</f>
        <v>20-22</v>
      </c>
      <c r="F302" s="12">
        <v>3.75</v>
      </c>
      <c r="G302" s="12">
        <v>3.95</v>
      </c>
      <c r="H302" s="12">
        <v>4.0999999999999996</v>
      </c>
      <c r="I302" s="12">
        <v>3.93</v>
      </c>
      <c r="J302" s="12">
        <v>3.66</v>
      </c>
      <c r="K302" s="12">
        <v>4.1900000000000004</v>
      </c>
      <c r="L302" s="12">
        <v>4.37</v>
      </c>
      <c r="M302" s="12">
        <v>4.25</v>
      </c>
      <c r="N302" s="12">
        <v>3.69</v>
      </c>
      <c r="O302" s="12">
        <v>4.87</v>
      </c>
      <c r="P302" s="12">
        <f t="shared" si="25"/>
        <v>3.8780000000000001</v>
      </c>
      <c r="Q302" s="12">
        <f t="shared" si="26"/>
        <v>3.88</v>
      </c>
      <c r="R302" s="12">
        <f t="shared" si="27"/>
        <v>4.274</v>
      </c>
      <c r="S302" s="28">
        <f>IFERROR(INDEX('Clean Gamification Data'!$B:$B,MATCH($B302,'Clean Gamification Data'!$A:$A,0)),"Not Found")</f>
        <v>84.384424249999995</v>
      </c>
      <c r="T302" s="28">
        <f>IFERROR(INDEX('Clean Gamification Data'!$C:$C,MATCH($B302,'Clean Gamification Data'!$A:$A,0)),"Not Found")</f>
        <v>73.519419479999996</v>
      </c>
      <c r="U302" s="28">
        <f>IFERROR(INDEX('Clean Gamification Data'!$D:$D,MATCH($B302,'Clean Gamification Data'!$A:$A,0)),"Not Found")</f>
        <v>74.345108109999998</v>
      </c>
      <c r="V302" s="28">
        <f>IFERROR(INDEX('Clean Gamification Data'!$E:$E,MATCH($B302,'Clean Gamification Data'!$A:$A,0)),"Not Found")</f>
        <v>61.157867179999997</v>
      </c>
      <c r="W302" s="28">
        <f>IFERROR(INDEX('Clean Gamification Data'!$F:$F,MATCH($B302,'Clean Gamification Data'!$A:$A,0)),"Not Found")</f>
        <v>86.376969990000006</v>
      </c>
      <c r="X302" s="28">
        <f>IFERROR(INDEX('Clean Gamification Data'!$G:$G,MATCH($B302,'Clean Gamification Data'!$A:$A,0)),"Not Found")</f>
        <v>85</v>
      </c>
      <c r="Y302" s="28">
        <f>IFERROR(INDEX('Clean Gamification Data'!$H:$H,MATCH($B302,'Clean Gamification Data'!$A:$A,0)),"Not Found")</f>
        <v>65</v>
      </c>
      <c r="Z302" s="28">
        <f>IFERROR(INDEX('Clean Gamification Data'!$I:$I,MATCH($B302,'Clean Gamification Data'!$A:$A,0)),"Not Found")</f>
        <v>52.474933929999999</v>
      </c>
      <c r="AA302" s="28">
        <f>Table1[[#This Row],[Engagement (Gamification %)]]-Table1[[#This Row],[Engagement (Non-Gamification %)]]</f>
        <v>10.865004769999999</v>
      </c>
      <c r="AB302" s="28">
        <f>Table1[[#This Row],[Motivation (Gamification %)]]-Table1[[#This Row],[Motivation (Non-Gamification %)]]</f>
        <v>13.187240930000002</v>
      </c>
      <c r="AC302" s="28">
        <f>Table1[[#This Row],[Participation (Gamification %)]]-Table1[[#This Row],[Participation (Non-Gamification %)]]</f>
        <v>1.3769699900000063</v>
      </c>
      <c r="AD302" s="28">
        <f>Table1[[#This Row],[Learning Outcomes (Gamification %)]]-Table1[[#This Row],[Learning Outcomes (Non-Gamification %)]]</f>
        <v>12.525066070000001</v>
      </c>
      <c r="AE302" s="44" t="str">
        <f>IF(Table1[[#This Row],[Overall Effectiveness]]&lt;3.9,"Low",IF(Table1[[#This Row],[Overall Effectiveness]]&lt;4.2,"Medium","High"))</f>
        <v>Low</v>
      </c>
      <c r="AF302" s="30" t="str">
        <f t="shared" si="28"/>
        <v>Group Projects</v>
      </c>
      <c r="AG302" s="30" t="str">
        <f t="shared" si="29"/>
        <v>Online Tutorials</v>
      </c>
      <c r="AH302" s="27">
        <f>COUNTIF(Teacher_Master!$D$2:$D$16,AF302)</f>
        <v>3</v>
      </c>
      <c r="AI302" s="30" t="str">
        <f>INDEX(Teacher_Master!$B$2:$B$16,MATCH(AF302,Teacher_Master!$D$2:$D$16,0))</f>
        <v>Dr. Rohan Dutta</v>
      </c>
    </row>
    <row r="303" spans="1:35" ht="14.25" customHeight="1" x14ac:dyDescent="0.3">
      <c r="A303" s="31" t="s">
        <v>626</v>
      </c>
      <c r="B303" s="31" t="s">
        <v>627</v>
      </c>
      <c r="C303" s="31" t="s">
        <v>2882</v>
      </c>
      <c r="D303" s="12">
        <f t="shared" ca="1" si="24"/>
        <v>21</v>
      </c>
      <c r="E303" s="12" t="str">
        <f ca="1">IF(Table1[[#This Row],[Age]]&lt;=22,"20-22",IF(Table1[[#This Row],[Age]]&lt;=25,"23-25",IF(Table1[[#This Row],[Age]]&lt;=28,"26-28","29-30")))</f>
        <v>20-22</v>
      </c>
      <c r="F303" s="12">
        <v>3.98</v>
      </c>
      <c r="G303" s="12">
        <v>4.0999999999999996</v>
      </c>
      <c r="H303" s="12">
        <v>3.48</v>
      </c>
      <c r="I303" s="12">
        <v>3.87</v>
      </c>
      <c r="J303" s="12">
        <v>4.26</v>
      </c>
      <c r="K303" s="12">
        <v>3.26</v>
      </c>
      <c r="L303" s="12">
        <v>3.61</v>
      </c>
      <c r="M303" s="12">
        <v>3.54</v>
      </c>
      <c r="N303" s="12">
        <v>3.62</v>
      </c>
      <c r="O303" s="12">
        <v>3.87</v>
      </c>
      <c r="P303" s="12">
        <f t="shared" si="25"/>
        <v>3.9379999999999997</v>
      </c>
      <c r="Q303" s="12">
        <f t="shared" si="26"/>
        <v>3.94</v>
      </c>
      <c r="R303" s="12">
        <f t="shared" si="27"/>
        <v>3.5800000000000005</v>
      </c>
      <c r="S303" s="28">
        <f>IFERROR(INDEX('Clean Gamification Data'!$B:$B,MATCH($B303,'Clean Gamification Data'!$A:$A,0)),"Not Found")</f>
        <v>91.353920380000005</v>
      </c>
      <c r="T303" s="28">
        <f>IFERROR(INDEX('Clean Gamification Data'!$C:$C,MATCH($B303,'Clean Gamification Data'!$A:$A,0)),"Not Found")</f>
        <v>63.527103820000001</v>
      </c>
      <c r="U303" s="28">
        <f>IFERROR(INDEX('Clean Gamification Data'!$D:$D,MATCH($B303,'Clean Gamification Data'!$A:$A,0)),"Not Found")</f>
        <v>70.923739760000004</v>
      </c>
      <c r="V303" s="28">
        <f>IFERROR(INDEX('Clean Gamification Data'!$E:$E,MATCH($B303,'Clean Gamification Data'!$A:$A,0)),"Not Found")</f>
        <v>59.682873710000003</v>
      </c>
      <c r="W303" s="28">
        <f>IFERROR(INDEX('Clean Gamification Data'!$F:$F,MATCH($B303,'Clean Gamification Data'!$A:$A,0)),"Not Found")</f>
        <v>88.486174849999998</v>
      </c>
      <c r="X303" s="28">
        <f>IFERROR(INDEX('Clean Gamification Data'!$G:$G,MATCH($B303,'Clean Gamification Data'!$A:$A,0)),"Not Found")</f>
        <v>78.786241320000002</v>
      </c>
      <c r="Y303" s="28">
        <f>IFERROR(INDEX('Clean Gamification Data'!$H:$H,MATCH($B303,'Clean Gamification Data'!$A:$A,0)),"Not Found")</f>
        <v>71.604031109999994</v>
      </c>
      <c r="Z303" s="28">
        <f>IFERROR(INDEX('Clean Gamification Data'!$I:$I,MATCH($B303,'Clean Gamification Data'!$A:$A,0)),"Not Found")</f>
        <v>60.624474650000003</v>
      </c>
      <c r="AA303" s="28">
        <f>Table1[[#This Row],[Engagement (Gamification %)]]-Table1[[#This Row],[Engagement (Non-Gamification %)]]</f>
        <v>27.826816560000005</v>
      </c>
      <c r="AB303" s="28">
        <f>Table1[[#This Row],[Motivation (Gamification %)]]-Table1[[#This Row],[Motivation (Non-Gamification %)]]</f>
        <v>11.240866050000001</v>
      </c>
      <c r="AC303" s="28">
        <f>Table1[[#This Row],[Participation (Gamification %)]]-Table1[[#This Row],[Participation (Non-Gamification %)]]</f>
        <v>9.6999335299999956</v>
      </c>
      <c r="AD303" s="28">
        <f>Table1[[#This Row],[Learning Outcomes (Gamification %)]]-Table1[[#This Row],[Learning Outcomes (Non-Gamification %)]]</f>
        <v>10.979556459999991</v>
      </c>
      <c r="AE303" s="44" t="str">
        <f>IF(Table1[[#This Row],[Overall Effectiveness]]&lt;3.9,"Low",IF(Table1[[#This Row],[Overall Effectiveness]]&lt;4.2,"Medium","High"))</f>
        <v>Medium</v>
      </c>
      <c r="AF303" s="30" t="str">
        <f t="shared" si="28"/>
        <v>Online Tutorials</v>
      </c>
      <c r="AG303" s="30" t="str">
        <f t="shared" si="29"/>
        <v>Online Tutorials</v>
      </c>
      <c r="AH303" s="27">
        <f>COUNTIF(Teacher_Master!$D$2:$D$16,AF303)</f>
        <v>3</v>
      </c>
      <c r="AI303" s="30" t="str">
        <f>INDEX(Teacher_Master!$B$2:$B$16,MATCH(AF303,Teacher_Master!$D$2:$D$16,0))</f>
        <v>Prof. Kavita Rao</v>
      </c>
    </row>
    <row r="304" spans="1:35" ht="14.25" customHeight="1" x14ac:dyDescent="0.3">
      <c r="A304" s="31" t="s">
        <v>628</v>
      </c>
      <c r="B304" s="31" t="s">
        <v>2294</v>
      </c>
      <c r="C304" s="31" t="s">
        <v>2881</v>
      </c>
      <c r="D304" s="12">
        <f t="shared" ca="1" si="24"/>
        <v>26</v>
      </c>
      <c r="E304" s="12" t="str">
        <f ca="1">IF(Table1[[#This Row],[Age]]&lt;=22,"20-22",IF(Table1[[#This Row],[Age]]&lt;=25,"23-25",IF(Table1[[#This Row],[Age]]&lt;=28,"26-28","29-30")))</f>
        <v>26-28</v>
      </c>
      <c r="F304" s="12">
        <v>3.98</v>
      </c>
      <c r="G304" s="12">
        <v>4.13</v>
      </c>
      <c r="H304" s="12">
        <v>4.1100000000000003</v>
      </c>
      <c r="I304" s="12">
        <v>4.4000000000000004</v>
      </c>
      <c r="J304" s="12">
        <v>3.64</v>
      </c>
      <c r="K304" s="12">
        <v>3.89</v>
      </c>
      <c r="L304" s="12">
        <v>3.59</v>
      </c>
      <c r="M304" s="12">
        <v>4.13</v>
      </c>
      <c r="N304" s="12" t="s">
        <v>211</v>
      </c>
      <c r="O304" s="12">
        <v>3.9</v>
      </c>
      <c r="P304" s="12">
        <f t="shared" si="25"/>
        <v>4.0519999999999996</v>
      </c>
      <c r="Q304" s="12">
        <f t="shared" si="26"/>
        <v>4.05</v>
      </c>
      <c r="R304" s="12">
        <f t="shared" si="27"/>
        <v>3.8774999999999999</v>
      </c>
      <c r="S304" s="28">
        <f>IFERROR(INDEX('Clean Gamification Data'!$B:$B,MATCH($B304,'Clean Gamification Data'!$A:$A,0)),"Not Found")</f>
        <v>84.513673080000004</v>
      </c>
      <c r="T304" s="28">
        <f>IFERROR(INDEX('Clean Gamification Data'!$C:$C,MATCH($B304,'Clean Gamification Data'!$A:$A,0)),"Not Found")</f>
        <v>63.548318500000001</v>
      </c>
      <c r="U304" s="28">
        <f>IFERROR(INDEX('Clean Gamification Data'!$D:$D,MATCH($B304,'Clean Gamification Data'!$A:$A,0)),"Not Found")</f>
        <v>76.156946300000001</v>
      </c>
      <c r="V304" s="28">
        <f>IFERROR(INDEX('Clean Gamification Data'!$E:$E,MATCH($B304,'Clean Gamification Data'!$A:$A,0)),"Not Found")</f>
        <v>65.695842170000006</v>
      </c>
      <c r="W304" s="28">
        <f>IFERROR(INDEX('Clean Gamification Data'!$F:$F,MATCH($B304,'Clean Gamification Data'!$A:$A,0)),"Not Found")</f>
        <v>94.192873410000004</v>
      </c>
      <c r="X304" s="28">
        <f>IFERROR(INDEX('Clean Gamification Data'!$G:$G,MATCH($B304,'Clean Gamification Data'!$A:$A,0)),"Not Found")</f>
        <v>82.353059630000004</v>
      </c>
      <c r="Y304" s="28">
        <f>IFERROR(INDEX('Clean Gamification Data'!$H:$H,MATCH($B304,'Clean Gamification Data'!$A:$A,0)),"Not Found")</f>
        <v>67.001753129999997</v>
      </c>
      <c r="Z304" s="28">
        <f>IFERROR(INDEX('Clean Gamification Data'!$I:$I,MATCH($B304,'Clean Gamification Data'!$A:$A,0)),"Not Found")</f>
        <v>60.340591230000001</v>
      </c>
      <c r="AA304" s="28">
        <f>Table1[[#This Row],[Engagement (Gamification %)]]-Table1[[#This Row],[Engagement (Non-Gamification %)]]</f>
        <v>20.965354580000003</v>
      </c>
      <c r="AB304" s="28">
        <f>Table1[[#This Row],[Motivation (Gamification %)]]-Table1[[#This Row],[Motivation (Non-Gamification %)]]</f>
        <v>10.461104129999995</v>
      </c>
      <c r="AC304" s="28">
        <f>Table1[[#This Row],[Participation (Gamification %)]]-Table1[[#This Row],[Participation (Non-Gamification %)]]</f>
        <v>11.83981378</v>
      </c>
      <c r="AD304" s="28">
        <f>Table1[[#This Row],[Learning Outcomes (Gamification %)]]-Table1[[#This Row],[Learning Outcomes (Non-Gamification %)]]</f>
        <v>6.6611618999999962</v>
      </c>
      <c r="AE304" s="44" t="str">
        <f>IF(Table1[[#This Row],[Overall Effectiveness]]&lt;3.9,"Low",IF(Table1[[#This Row],[Overall Effectiveness]]&lt;4.2,"Medium","High"))</f>
        <v>Medium</v>
      </c>
      <c r="AF304" s="30" t="str">
        <f t="shared" si="28"/>
        <v>Experiments</v>
      </c>
      <c r="AG304" s="30" t="str">
        <f t="shared" si="29"/>
        <v>Group Projects</v>
      </c>
      <c r="AH304" s="27">
        <f>COUNTIF(Teacher_Master!$D$2:$D$16,AF304)</f>
        <v>3</v>
      </c>
      <c r="AI304" s="30" t="str">
        <f>INDEX(Teacher_Master!$B$2:$B$16,MATCH(AF304,Teacher_Master!$D$2:$D$16,0))</f>
        <v>Prof. Rahul Singh</v>
      </c>
    </row>
    <row r="305" spans="1:35" ht="14.25" customHeight="1" x14ac:dyDescent="0.3">
      <c r="A305" s="31" t="s">
        <v>630</v>
      </c>
      <c r="B305" s="31" t="s">
        <v>2295</v>
      </c>
      <c r="C305" s="31" t="s">
        <v>2881</v>
      </c>
      <c r="D305" s="12">
        <f t="shared" ca="1" si="24"/>
        <v>20</v>
      </c>
      <c r="E305" s="12" t="str">
        <f ca="1">IF(Table1[[#This Row],[Age]]&lt;=22,"20-22",IF(Table1[[#This Row],[Age]]&lt;=25,"23-25",IF(Table1[[#This Row],[Age]]&lt;=28,"26-28","29-30")))</f>
        <v>20-22</v>
      </c>
      <c r="F305" s="12">
        <v>3.72</v>
      </c>
      <c r="G305" s="12">
        <v>4.5599999999999996</v>
      </c>
      <c r="H305" s="12">
        <v>4.3099999999999996</v>
      </c>
      <c r="I305" s="12">
        <v>3.99</v>
      </c>
      <c r="J305" s="12">
        <v>3.56</v>
      </c>
      <c r="K305" s="12">
        <v>3.98</v>
      </c>
      <c r="L305" s="12">
        <v>4.2300000000000004</v>
      </c>
      <c r="M305" s="12">
        <v>4.0999999999999996</v>
      </c>
      <c r="N305" s="12">
        <v>4.37</v>
      </c>
      <c r="O305" s="12">
        <v>4.4400000000000004</v>
      </c>
      <c r="P305" s="12">
        <f t="shared" si="25"/>
        <v>4.0279999999999996</v>
      </c>
      <c r="Q305" s="12">
        <f t="shared" si="26"/>
        <v>4.03</v>
      </c>
      <c r="R305" s="12">
        <f t="shared" si="27"/>
        <v>4.2240000000000002</v>
      </c>
      <c r="S305" s="28">
        <f>IFERROR(INDEX('Clean Gamification Data'!$B:$B,MATCH($B305,'Clean Gamification Data'!$A:$A,0)),"Not Found")</f>
        <v>88.602698050000001</v>
      </c>
      <c r="T305" s="28">
        <f>IFERROR(INDEX('Clean Gamification Data'!$C:$C,MATCH($B305,'Clean Gamification Data'!$A:$A,0)),"Not Found")</f>
        <v>65.777457470000002</v>
      </c>
      <c r="U305" s="28">
        <f>IFERROR(INDEX('Clean Gamification Data'!$D:$D,MATCH($B305,'Clean Gamification Data'!$A:$A,0)),"Not Found")</f>
        <v>82.985847359999994</v>
      </c>
      <c r="V305" s="28">
        <f>IFERROR(INDEX('Clean Gamification Data'!$E:$E,MATCH($B305,'Clean Gamification Data'!$A:$A,0)),"Not Found")</f>
        <v>66.868773649999994</v>
      </c>
      <c r="W305" s="28">
        <f>IFERROR(INDEX('Clean Gamification Data'!$F:$F,MATCH($B305,'Clean Gamification Data'!$A:$A,0)),"Not Found")</f>
        <v>93.276705789999994</v>
      </c>
      <c r="X305" s="28">
        <f>IFERROR(INDEX('Clean Gamification Data'!$G:$G,MATCH($B305,'Clean Gamification Data'!$A:$A,0)),"Not Found")</f>
        <v>83.242036189999993</v>
      </c>
      <c r="Y305" s="28">
        <f>IFERROR(INDEX('Clean Gamification Data'!$H:$H,MATCH($B305,'Clean Gamification Data'!$A:$A,0)),"Not Found")</f>
        <v>65</v>
      </c>
      <c r="Z305" s="28">
        <f>IFERROR(INDEX('Clean Gamification Data'!$I:$I,MATCH($B305,'Clean Gamification Data'!$A:$A,0)),"Not Found")</f>
        <v>52.18821441</v>
      </c>
      <c r="AA305" s="28">
        <f>Table1[[#This Row],[Engagement (Gamification %)]]-Table1[[#This Row],[Engagement (Non-Gamification %)]]</f>
        <v>22.825240579999999</v>
      </c>
      <c r="AB305" s="28">
        <f>Table1[[#This Row],[Motivation (Gamification %)]]-Table1[[#This Row],[Motivation (Non-Gamification %)]]</f>
        <v>16.11707371</v>
      </c>
      <c r="AC305" s="28">
        <f>Table1[[#This Row],[Participation (Gamification %)]]-Table1[[#This Row],[Participation (Non-Gamification %)]]</f>
        <v>10.034669600000001</v>
      </c>
      <c r="AD305" s="28">
        <f>Table1[[#This Row],[Learning Outcomes (Gamification %)]]-Table1[[#This Row],[Learning Outcomes (Non-Gamification %)]]</f>
        <v>12.81178559</v>
      </c>
      <c r="AE305" s="44" t="str">
        <f>IF(Table1[[#This Row],[Overall Effectiveness]]&lt;3.9,"Low",IF(Table1[[#This Row],[Overall Effectiveness]]&lt;4.2,"Medium","High"))</f>
        <v>Medium</v>
      </c>
      <c r="AF305" s="30" t="str">
        <f t="shared" si="28"/>
        <v>Case Studies</v>
      </c>
      <c r="AG305" s="30" t="str">
        <f t="shared" si="29"/>
        <v>Online Tutorials</v>
      </c>
      <c r="AH305" s="27">
        <f>COUNTIF(Teacher_Master!$D$2:$D$16,AF305)</f>
        <v>3</v>
      </c>
      <c r="AI305" s="30" t="str">
        <f>INDEX(Teacher_Master!$B$2:$B$16,MATCH(AF305,Teacher_Master!$D$2:$D$16,0))</f>
        <v>Prof. Rajesh Mukherjee</v>
      </c>
    </row>
    <row r="306" spans="1:35" ht="14.25" customHeight="1" x14ac:dyDescent="0.3">
      <c r="A306" s="31" t="s">
        <v>632</v>
      </c>
      <c r="B306" s="31" t="s">
        <v>633</v>
      </c>
      <c r="C306" s="31" t="s">
        <v>2882</v>
      </c>
      <c r="D306" s="12">
        <f t="shared" ca="1" si="24"/>
        <v>25</v>
      </c>
      <c r="E306" s="12" t="str">
        <f ca="1">IF(Table1[[#This Row],[Age]]&lt;=22,"20-22",IF(Table1[[#This Row],[Age]]&lt;=25,"23-25",IF(Table1[[#This Row],[Age]]&lt;=28,"26-28","29-30")))</f>
        <v>23-25</v>
      </c>
      <c r="F306" s="12">
        <v>4.04</v>
      </c>
      <c r="G306" s="12">
        <v>4.26</v>
      </c>
      <c r="H306" s="12">
        <v>4.5</v>
      </c>
      <c r="I306" s="12">
        <v>4.4800000000000004</v>
      </c>
      <c r="J306" s="12">
        <v>4.18</v>
      </c>
      <c r="K306" s="12">
        <v>4.63</v>
      </c>
      <c r="L306" s="12">
        <v>4.16</v>
      </c>
      <c r="M306" s="12">
        <v>4.32</v>
      </c>
      <c r="N306" s="12">
        <v>4.05</v>
      </c>
      <c r="O306" s="12">
        <v>3.95</v>
      </c>
      <c r="P306" s="12">
        <f t="shared" si="25"/>
        <v>4.2919999999999998</v>
      </c>
      <c r="Q306" s="12">
        <f t="shared" si="26"/>
        <v>4.29</v>
      </c>
      <c r="R306" s="12">
        <f t="shared" si="27"/>
        <v>4.2219999999999995</v>
      </c>
      <c r="S306" s="28">
        <f>IFERROR(INDEX('Clean Gamification Data'!$B:$B,MATCH($B306,'Clean Gamification Data'!$A:$A,0)),"Not Found")</f>
        <v>84.980853740000001</v>
      </c>
      <c r="T306" s="28">
        <f>IFERROR(INDEX('Clean Gamification Data'!$C:$C,MATCH($B306,'Clean Gamification Data'!$A:$A,0)),"Not Found")</f>
        <v>65.384954930000006</v>
      </c>
      <c r="U306" s="28">
        <f>IFERROR(INDEX('Clean Gamification Data'!$D:$D,MATCH($B306,'Clean Gamification Data'!$A:$A,0)),"Not Found")</f>
        <v>75.713312250000001</v>
      </c>
      <c r="V306" s="28">
        <f>IFERROR(INDEX('Clean Gamification Data'!$E:$E,MATCH($B306,'Clean Gamification Data'!$A:$A,0)),"Not Found")</f>
        <v>65.965296469999998</v>
      </c>
      <c r="W306" s="28">
        <f>IFERROR(INDEX('Clean Gamification Data'!$F:$F,MATCH($B306,'Clean Gamification Data'!$A:$A,0)),"Not Found")</f>
        <v>89.364565499999998</v>
      </c>
      <c r="X306" s="28">
        <f>IFERROR(INDEX('Clean Gamification Data'!$G:$G,MATCH($B306,'Clean Gamification Data'!$A:$A,0)),"Not Found")</f>
        <v>79.153489390000004</v>
      </c>
      <c r="Y306" s="28">
        <f>IFERROR(INDEX('Clean Gamification Data'!$H:$H,MATCH($B306,'Clean Gamification Data'!$A:$A,0)),"Not Found")</f>
        <v>77.726058280000004</v>
      </c>
      <c r="Z306" s="28">
        <f>IFERROR(INDEX('Clean Gamification Data'!$I:$I,MATCH($B306,'Clean Gamification Data'!$A:$A,0)),"Not Found")</f>
        <v>65.541570410000006</v>
      </c>
      <c r="AA306" s="28">
        <f>Table1[[#This Row],[Engagement (Gamification %)]]-Table1[[#This Row],[Engagement (Non-Gamification %)]]</f>
        <v>19.595898809999994</v>
      </c>
      <c r="AB306" s="28">
        <f>Table1[[#This Row],[Motivation (Gamification %)]]-Table1[[#This Row],[Motivation (Non-Gamification %)]]</f>
        <v>9.7480157800000029</v>
      </c>
      <c r="AC306" s="28">
        <f>Table1[[#This Row],[Participation (Gamification %)]]-Table1[[#This Row],[Participation (Non-Gamification %)]]</f>
        <v>10.211076109999993</v>
      </c>
      <c r="AD306" s="28">
        <f>Table1[[#This Row],[Learning Outcomes (Gamification %)]]-Table1[[#This Row],[Learning Outcomes (Non-Gamification %)]]</f>
        <v>12.184487869999998</v>
      </c>
      <c r="AE306" s="44" t="str">
        <f>IF(Table1[[#This Row],[Overall Effectiveness]]&lt;3.9,"Low",IF(Table1[[#This Row],[Overall Effectiveness]]&lt;4.2,"Medium","High"))</f>
        <v>High</v>
      </c>
      <c r="AF306" s="30" t="str">
        <f t="shared" si="28"/>
        <v>Group Projects</v>
      </c>
      <c r="AG306" s="30" t="str">
        <f t="shared" si="29"/>
        <v>Lectures</v>
      </c>
      <c r="AH306" s="27">
        <f>COUNTIF(Teacher_Master!$D$2:$D$16,AF306)</f>
        <v>3</v>
      </c>
      <c r="AI306" s="30" t="str">
        <f>INDEX(Teacher_Master!$B$2:$B$16,MATCH(AF306,Teacher_Master!$D$2:$D$16,0))</f>
        <v>Dr. Rohan Dutta</v>
      </c>
    </row>
    <row r="307" spans="1:35" ht="14.25" customHeight="1" x14ac:dyDescent="0.3">
      <c r="A307" s="31" t="s">
        <v>634</v>
      </c>
      <c r="B307" s="31" t="s">
        <v>635</v>
      </c>
      <c r="C307" s="31" t="s">
        <v>2882</v>
      </c>
      <c r="D307" s="12">
        <f t="shared" ca="1" si="24"/>
        <v>29</v>
      </c>
      <c r="E307" s="12" t="str">
        <f ca="1">IF(Table1[[#This Row],[Age]]&lt;=22,"20-22",IF(Table1[[#This Row],[Age]]&lt;=25,"23-25",IF(Table1[[#This Row],[Age]]&lt;=28,"26-28","29-30")))</f>
        <v>29-30</v>
      </c>
      <c r="F307" s="12">
        <v>4.0999999999999996</v>
      </c>
      <c r="G307" s="12" t="s">
        <v>211</v>
      </c>
      <c r="H307" s="12">
        <v>3.61</v>
      </c>
      <c r="I307" s="12">
        <v>3.38</v>
      </c>
      <c r="J307" s="12">
        <v>4.3</v>
      </c>
      <c r="K307" s="12">
        <v>4.33</v>
      </c>
      <c r="L307" s="12">
        <v>3.95</v>
      </c>
      <c r="M307" s="12">
        <v>4.03</v>
      </c>
      <c r="N307" s="12">
        <v>4.6100000000000003</v>
      </c>
      <c r="O307" s="12">
        <v>3.81</v>
      </c>
      <c r="P307" s="12">
        <f t="shared" si="25"/>
        <v>3.8475000000000001</v>
      </c>
      <c r="Q307" s="12">
        <f t="shared" si="26"/>
        <v>3.85</v>
      </c>
      <c r="R307" s="12">
        <f t="shared" si="27"/>
        <v>4.1459999999999999</v>
      </c>
      <c r="S307" s="28">
        <f>IFERROR(INDEX('Clean Gamification Data'!$B:$B,MATCH($B307,'Clean Gamification Data'!$A:$A,0)),"Not Found")</f>
        <v>84.485385030000003</v>
      </c>
      <c r="T307" s="28">
        <f>IFERROR(INDEX('Clean Gamification Data'!$C:$C,MATCH($B307,'Clean Gamification Data'!$A:$A,0)),"Not Found")</f>
        <v>63.623299400000001</v>
      </c>
      <c r="U307" s="28">
        <f>IFERROR(INDEX('Clean Gamification Data'!$D:$D,MATCH($B307,'Clean Gamification Data'!$A:$A,0)),"Not Found")</f>
        <v>71.490516279999994</v>
      </c>
      <c r="V307" s="28">
        <f>IFERROR(INDEX('Clean Gamification Data'!$E:$E,MATCH($B307,'Clean Gamification Data'!$A:$A,0)),"Not Found")</f>
        <v>63.274076639999997</v>
      </c>
      <c r="W307" s="28">
        <f>IFERROR(INDEX('Clean Gamification Data'!$F:$F,MATCH($B307,'Clean Gamification Data'!$A:$A,0)),"Not Found")</f>
        <v>99.173688290000001</v>
      </c>
      <c r="X307" s="28">
        <f>IFERROR(INDEX('Clean Gamification Data'!$G:$G,MATCH($B307,'Clean Gamification Data'!$A:$A,0)),"Not Found")</f>
        <v>83.898718239999994</v>
      </c>
      <c r="Y307" s="28">
        <f>IFERROR(INDEX('Clean Gamification Data'!$H:$H,MATCH($B307,'Clean Gamification Data'!$A:$A,0)),"Not Found")</f>
        <v>70.602176610000001</v>
      </c>
      <c r="Z307" s="28">
        <f>IFERROR(INDEX('Clean Gamification Data'!$I:$I,MATCH($B307,'Clean Gamification Data'!$A:$A,0)),"Not Found")</f>
        <v>60.66081887</v>
      </c>
      <c r="AA307" s="28">
        <f>Table1[[#This Row],[Engagement (Gamification %)]]-Table1[[#This Row],[Engagement (Non-Gamification %)]]</f>
        <v>20.862085630000003</v>
      </c>
      <c r="AB307" s="28">
        <f>Table1[[#This Row],[Motivation (Gamification %)]]-Table1[[#This Row],[Motivation (Non-Gamification %)]]</f>
        <v>8.2164396399999973</v>
      </c>
      <c r="AC307" s="28">
        <f>Table1[[#This Row],[Participation (Gamification %)]]-Table1[[#This Row],[Participation (Non-Gamification %)]]</f>
        <v>15.274970050000007</v>
      </c>
      <c r="AD307" s="28">
        <f>Table1[[#This Row],[Learning Outcomes (Gamification %)]]-Table1[[#This Row],[Learning Outcomes (Non-Gamification %)]]</f>
        <v>9.9413577400000008</v>
      </c>
      <c r="AE307" s="44" t="str">
        <f>IF(Table1[[#This Row],[Overall Effectiveness]]&lt;3.9,"Low",IF(Table1[[#This Row],[Overall Effectiveness]]&lt;4.2,"Medium","High"))</f>
        <v>Low</v>
      </c>
      <c r="AF307" s="30" t="str">
        <f t="shared" si="28"/>
        <v>Online Tutorials</v>
      </c>
      <c r="AG307" s="30" t="str">
        <f t="shared" si="29"/>
        <v>Experiments</v>
      </c>
      <c r="AH307" s="27">
        <f>COUNTIF(Teacher_Master!$D$2:$D$16,AF307)</f>
        <v>3</v>
      </c>
      <c r="AI307" s="30" t="str">
        <f>INDEX(Teacher_Master!$B$2:$B$16,MATCH(AF307,Teacher_Master!$D$2:$D$16,0))</f>
        <v>Prof. Kavita Rao</v>
      </c>
    </row>
    <row r="308" spans="1:35" ht="14.25" customHeight="1" x14ac:dyDescent="0.3">
      <c r="A308" s="31" t="s">
        <v>636</v>
      </c>
      <c r="B308" s="31" t="s">
        <v>2296</v>
      </c>
      <c r="C308" s="31" t="s">
        <v>2882</v>
      </c>
      <c r="D308" s="12">
        <f t="shared" ca="1" si="24"/>
        <v>20</v>
      </c>
      <c r="E308" s="12" t="str">
        <f ca="1">IF(Table1[[#This Row],[Age]]&lt;=22,"20-22",IF(Table1[[#This Row],[Age]]&lt;=25,"23-25",IF(Table1[[#This Row],[Age]]&lt;=28,"26-28","29-30")))</f>
        <v>20-22</v>
      </c>
      <c r="F308" s="12">
        <v>4.1900000000000004</v>
      </c>
      <c r="G308" s="12">
        <v>3.36</v>
      </c>
      <c r="H308" s="12">
        <v>3.98</v>
      </c>
      <c r="I308" s="12">
        <v>3.87</v>
      </c>
      <c r="J308" s="12">
        <v>4.1100000000000003</v>
      </c>
      <c r="K308" s="12">
        <v>3.91</v>
      </c>
      <c r="L308" s="12">
        <v>3.81</v>
      </c>
      <c r="M308" s="12">
        <v>3.68</v>
      </c>
      <c r="N308" s="12">
        <v>3.76</v>
      </c>
      <c r="O308" s="12">
        <v>4.6399999999999997</v>
      </c>
      <c r="P308" s="12">
        <f t="shared" si="25"/>
        <v>3.9020000000000001</v>
      </c>
      <c r="Q308" s="12">
        <f t="shared" si="26"/>
        <v>3.9</v>
      </c>
      <c r="R308" s="12">
        <f t="shared" si="27"/>
        <v>3.96</v>
      </c>
      <c r="S308" s="28">
        <f>IFERROR(INDEX('Clean Gamification Data'!$B:$B,MATCH($B308,'Clean Gamification Data'!$A:$A,0)),"Not Found")</f>
        <v>82.823692539999996</v>
      </c>
      <c r="T308" s="28">
        <f>IFERROR(INDEX('Clean Gamification Data'!$C:$C,MATCH($B308,'Clean Gamification Data'!$A:$A,0)),"Not Found")</f>
        <v>75.466557449999996</v>
      </c>
      <c r="U308" s="28">
        <f>IFERROR(INDEX('Clean Gamification Data'!$D:$D,MATCH($B308,'Clean Gamification Data'!$A:$A,0)),"Not Found")</f>
        <v>81.715901540000004</v>
      </c>
      <c r="V308" s="28">
        <f>IFERROR(INDEX('Clean Gamification Data'!$E:$E,MATCH($B308,'Clean Gamification Data'!$A:$A,0)),"Not Found")</f>
        <v>63.904729539999998</v>
      </c>
      <c r="W308" s="28">
        <f>IFERROR(INDEX('Clean Gamification Data'!$F:$F,MATCH($B308,'Clean Gamification Data'!$A:$A,0)),"Not Found")</f>
        <v>86.695839509999999</v>
      </c>
      <c r="X308" s="28">
        <f>IFERROR(INDEX('Clean Gamification Data'!$G:$G,MATCH($B308,'Clean Gamification Data'!$A:$A,0)),"Not Found")</f>
        <v>77.964732650000002</v>
      </c>
      <c r="Y308" s="28">
        <f>IFERROR(INDEX('Clean Gamification Data'!$H:$H,MATCH($B308,'Clean Gamification Data'!$A:$A,0)),"Not Found")</f>
        <v>70.415731070000007</v>
      </c>
      <c r="Z308" s="28">
        <f>IFERROR(INDEX('Clean Gamification Data'!$I:$I,MATCH($B308,'Clean Gamification Data'!$A:$A,0)),"Not Found")</f>
        <v>69.319748599999997</v>
      </c>
      <c r="AA308" s="28">
        <f>Table1[[#This Row],[Engagement (Gamification %)]]-Table1[[#This Row],[Engagement (Non-Gamification %)]]</f>
        <v>7.3571350899999999</v>
      </c>
      <c r="AB308" s="28">
        <f>Table1[[#This Row],[Motivation (Gamification %)]]-Table1[[#This Row],[Motivation (Non-Gamification %)]]</f>
        <v>17.811172000000006</v>
      </c>
      <c r="AC308" s="28">
        <f>Table1[[#This Row],[Participation (Gamification %)]]-Table1[[#This Row],[Participation (Non-Gamification %)]]</f>
        <v>8.731106859999997</v>
      </c>
      <c r="AD308" s="28">
        <f>Table1[[#This Row],[Learning Outcomes (Gamification %)]]-Table1[[#This Row],[Learning Outcomes (Non-Gamification %)]]</f>
        <v>1.0959824700000098</v>
      </c>
      <c r="AE308" s="44" t="str">
        <f>IF(Table1[[#This Row],[Overall Effectiveness]]&lt;3.9,"Low",IF(Table1[[#This Row],[Overall Effectiveness]]&lt;4.2,"Medium","High"))</f>
        <v>Medium</v>
      </c>
      <c r="AF308" s="30" t="str">
        <f t="shared" si="28"/>
        <v>Lectures</v>
      </c>
      <c r="AG308" s="30" t="str">
        <f t="shared" si="29"/>
        <v>Online Tutorials</v>
      </c>
      <c r="AH308" s="27">
        <f>COUNTIF(Teacher_Master!$D$2:$D$16,AF308)</f>
        <v>3</v>
      </c>
      <c r="AI308" s="30" t="str">
        <f>INDEX(Teacher_Master!$B$2:$B$16,MATCH(AF308,Teacher_Master!$D$2:$D$16,0))</f>
        <v>Prof. Vikram Gupta</v>
      </c>
    </row>
    <row r="309" spans="1:35" ht="14.25" customHeight="1" x14ac:dyDescent="0.3">
      <c r="A309" s="31" t="s">
        <v>638</v>
      </c>
      <c r="B309" s="31" t="s">
        <v>2297</v>
      </c>
      <c r="C309" s="31" t="s">
        <v>2882</v>
      </c>
      <c r="D309" s="12">
        <f t="shared" ca="1" si="24"/>
        <v>22</v>
      </c>
      <c r="E309" s="12" t="str">
        <f ca="1">IF(Table1[[#This Row],[Age]]&lt;=22,"20-22",IF(Table1[[#This Row],[Age]]&lt;=25,"23-25",IF(Table1[[#This Row],[Age]]&lt;=28,"26-28","29-30")))</f>
        <v>20-22</v>
      </c>
      <c r="F309" s="12">
        <v>3.93</v>
      </c>
      <c r="G309" s="12">
        <v>4.8600000000000003</v>
      </c>
      <c r="H309" s="12">
        <v>4.4000000000000004</v>
      </c>
      <c r="I309" s="12">
        <v>3.99</v>
      </c>
      <c r="J309" s="12">
        <v>4.2699999999999996</v>
      </c>
      <c r="K309" s="12">
        <v>4.3</v>
      </c>
      <c r="L309" s="12">
        <v>3.89</v>
      </c>
      <c r="M309" s="12">
        <v>3.54</v>
      </c>
      <c r="N309" s="12" t="s">
        <v>211</v>
      </c>
      <c r="O309" s="12">
        <v>4.5199999999999996</v>
      </c>
      <c r="P309" s="12">
        <f t="shared" si="25"/>
        <v>4.29</v>
      </c>
      <c r="Q309" s="12">
        <f t="shared" si="26"/>
        <v>4.29</v>
      </c>
      <c r="R309" s="12">
        <f t="shared" si="27"/>
        <v>4.0625</v>
      </c>
      <c r="S309" s="28">
        <f>IFERROR(INDEX('Clean Gamification Data'!$B:$B,MATCH($B309,'Clean Gamification Data'!$A:$A,0)),"Not Found")</f>
        <v>86.882126540000002</v>
      </c>
      <c r="T309" s="28">
        <f>IFERROR(INDEX('Clean Gamification Data'!$C:$C,MATCH($B309,'Clean Gamification Data'!$A:$A,0)),"Not Found")</f>
        <v>72.605183969999999</v>
      </c>
      <c r="U309" s="28">
        <f>IFERROR(INDEX('Clean Gamification Data'!$D:$D,MATCH($B309,'Clean Gamification Data'!$A:$A,0)),"Not Found")</f>
        <v>81.106913090000006</v>
      </c>
      <c r="V309" s="28">
        <f>IFERROR(INDEX('Clean Gamification Data'!$E:$E,MATCH($B309,'Clean Gamification Data'!$A:$A,0)),"Not Found")</f>
        <v>74.590246609999994</v>
      </c>
      <c r="W309" s="28">
        <f>IFERROR(INDEX('Clean Gamification Data'!$F:$F,MATCH($B309,'Clean Gamification Data'!$A:$A,0)),"Not Found")</f>
        <v>93.694948819999993</v>
      </c>
      <c r="X309" s="28">
        <f>IFERROR(INDEX('Clean Gamification Data'!$G:$G,MATCH($B309,'Clean Gamification Data'!$A:$A,0)),"Not Found")</f>
        <v>79.129900219999996</v>
      </c>
      <c r="Y309" s="28">
        <f>IFERROR(INDEX('Clean Gamification Data'!$H:$H,MATCH($B309,'Clean Gamification Data'!$A:$A,0)),"Not Found")</f>
        <v>72.187780059999994</v>
      </c>
      <c r="Z309" s="28">
        <f>IFERROR(INDEX('Clean Gamification Data'!$I:$I,MATCH($B309,'Clean Gamification Data'!$A:$A,0)),"Not Found")</f>
        <v>50</v>
      </c>
      <c r="AA309" s="28">
        <f>Table1[[#This Row],[Engagement (Gamification %)]]-Table1[[#This Row],[Engagement (Non-Gamification %)]]</f>
        <v>14.276942570000003</v>
      </c>
      <c r="AB309" s="28">
        <f>Table1[[#This Row],[Motivation (Gamification %)]]-Table1[[#This Row],[Motivation (Non-Gamification %)]]</f>
        <v>6.516666480000012</v>
      </c>
      <c r="AC309" s="28">
        <f>Table1[[#This Row],[Participation (Gamification %)]]-Table1[[#This Row],[Participation (Non-Gamification %)]]</f>
        <v>14.565048599999997</v>
      </c>
      <c r="AD309" s="28">
        <f>Table1[[#This Row],[Learning Outcomes (Gamification %)]]-Table1[[#This Row],[Learning Outcomes (Non-Gamification %)]]</f>
        <v>22.187780059999994</v>
      </c>
      <c r="AE309" s="44" t="str">
        <f>IF(Table1[[#This Row],[Overall Effectiveness]]&lt;3.9,"Low",IF(Table1[[#This Row],[Overall Effectiveness]]&lt;4.2,"Medium","High"))</f>
        <v>High</v>
      </c>
      <c r="AF309" s="30" t="str">
        <f t="shared" si="28"/>
        <v>Case Studies</v>
      </c>
      <c r="AG309" s="30" t="str">
        <f t="shared" si="29"/>
        <v>Online Tutorials</v>
      </c>
      <c r="AH309" s="27">
        <f>COUNTIF(Teacher_Master!$D$2:$D$16,AF309)</f>
        <v>3</v>
      </c>
      <c r="AI309" s="30" t="str">
        <f>INDEX(Teacher_Master!$B$2:$B$16,MATCH(AF309,Teacher_Master!$D$2:$D$16,0))</f>
        <v>Prof. Rajesh Mukherjee</v>
      </c>
    </row>
    <row r="310" spans="1:35" ht="14.25" customHeight="1" x14ac:dyDescent="0.3">
      <c r="A310" s="31" t="s">
        <v>640</v>
      </c>
      <c r="B310" s="31" t="s">
        <v>641</v>
      </c>
      <c r="C310" s="31" t="s">
        <v>2882</v>
      </c>
      <c r="D310" s="12">
        <f t="shared" ca="1" si="24"/>
        <v>27</v>
      </c>
      <c r="E310" s="12" t="str">
        <f ca="1">IF(Table1[[#This Row],[Age]]&lt;=22,"20-22",IF(Table1[[#This Row],[Age]]&lt;=25,"23-25",IF(Table1[[#This Row],[Age]]&lt;=28,"26-28","29-30")))</f>
        <v>26-28</v>
      </c>
      <c r="F310" s="12">
        <v>4.1900000000000004</v>
      </c>
      <c r="G310" s="12">
        <v>4.4800000000000004</v>
      </c>
      <c r="H310" s="12">
        <v>3.98</v>
      </c>
      <c r="I310" s="12">
        <v>4.34</v>
      </c>
      <c r="J310" s="12">
        <v>3.63</v>
      </c>
      <c r="K310" s="12">
        <v>3.25</v>
      </c>
      <c r="L310" s="12">
        <v>3.58</v>
      </c>
      <c r="M310" s="12">
        <v>3.4</v>
      </c>
      <c r="N310" s="12">
        <v>3.56</v>
      </c>
      <c r="O310" s="12">
        <v>4.04</v>
      </c>
      <c r="P310" s="12">
        <f t="shared" si="25"/>
        <v>4.1240000000000006</v>
      </c>
      <c r="Q310" s="12">
        <f t="shared" si="26"/>
        <v>4.12</v>
      </c>
      <c r="R310" s="12">
        <f t="shared" si="27"/>
        <v>3.5660000000000003</v>
      </c>
      <c r="S310" s="28">
        <f>IFERROR(INDEX('Clean Gamification Data'!$B:$B,MATCH($B310,'Clean Gamification Data'!$A:$A,0)),"Not Found")</f>
        <v>82.501363380000001</v>
      </c>
      <c r="T310" s="28">
        <f>IFERROR(INDEX('Clean Gamification Data'!$C:$C,MATCH($B310,'Clean Gamification Data'!$A:$A,0)),"Not Found")</f>
        <v>68.990362700000006</v>
      </c>
      <c r="U310" s="28">
        <f>IFERROR(INDEX('Clean Gamification Data'!$D:$D,MATCH($B310,'Clean Gamification Data'!$A:$A,0)),"Not Found")</f>
        <v>81.98102059</v>
      </c>
      <c r="V310" s="28">
        <f>IFERROR(INDEX('Clean Gamification Data'!$E:$E,MATCH($B310,'Clean Gamification Data'!$A:$A,0)),"Not Found")</f>
        <v>62.81057122</v>
      </c>
      <c r="W310" s="28">
        <f>IFERROR(INDEX('Clean Gamification Data'!$F:$F,MATCH($B310,'Clean Gamification Data'!$A:$A,0)),"Not Found")</f>
        <v>90.020860720000002</v>
      </c>
      <c r="X310" s="28">
        <f>IFERROR(INDEX('Clean Gamification Data'!$G:$G,MATCH($B310,'Clean Gamification Data'!$A:$A,0)),"Not Found")</f>
        <v>68.447710860000001</v>
      </c>
      <c r="Y310" s="28">
        <f>IFERROR(INDEX('Clean Gamification Data'!$H:$H,MATCH($B310,'Clean Gamification Data'!$A:$A,0)),"Not Found")</f>
        <v>68.912709340000006</v>
      </c>
      <c r="Z310" s="28">
        <f>IFERROR(INDEX('Clean Gamification Data'!$I:$I,MATCH($B310,'Clean Gamification Data'!$A:$A,0)),"Not Found")</f>
        <v>50</v>
      </c>
      <c r="AA310" s="28">
        <f>Table1[[#This Row],[Engagement (Gamification %)]]-Table1[[#This Row],[Engagement (Non-Gamification %)]]</f>
        <v>13.511000679999995</v>
      </c>
      <c r="AB310" s="28">
        <f>Table1[[#This Row],[Motivation (Gamification %)]]-Table1[[#This Row],[Motivation (Non-Gamification %)]]</f>
        <v>19.17044937</v>
      </c>
      <c r="AC310" s="28">
        <f>Table1[[#This Row],[Participation (Gamification %)]]-Table1[[#This Row],[Participation (Non-Gamification %)]]</f>
        <v>21.573149860000001</v>
      </c>
      <c r="AD310" s="28">
        <f>Table1[[#This Row],[Learning Outcomes (Gamification %)]]-Table1[[#This Row],[Learning Outcomes (Non-Gamification %)]]</f>
        <v>18.912709340000006</v>
      </c>
      <c r="AE310" s="44" t="str">
        <f>IF(Table1[[#This Row],[Overall Effectiveness]]&lt;3.9,"Low",IF(Table1[[#This Row],[Overall Effectiveness]]&lt;4.2,"Medium","High"))</f>
        <v>Medium</v>
      </c>
      <c r="AF310" s="30" t="str">
        <f t="shared" si="28"/>
        <v>Case Studies</v>
      </c>
      <c r="AG310" s="30" t="str">
        <f t="shared" si="29"/>
        <v>Online Tutorials</v>
      </c>
      <c r="AH310" s="27">
        <f>COUNTIF(Teacher_Master!$D$2:$D$16,AF310)</f>
        <v>3</v>
      </c>
      <c r="AI310" s="30" t="str">
        <f>INDEX(Teacher_Master!$B$2:$B$16,MATCH(AF310,Teacher_Master!$D$2:$D$16,0))</f>
        <v>Prof. Rajesh Mukherjee</v>
      </c>
    </row>
    <row r="311" spans="1:35" ht="14.25" customHeight="1" x14ac:dyDescent="0.3">
      <c r="A311" s="31" t="s">
        <v>642</v>
      </c>
      <c r="B311" s="31" t="s">
        <v>2298</v>
      </c>
      <c r="C311" s="31" t="s">
        <v>2882</v>
      </c>
      <c r="D311" s="12">
        <f t="shared" ca="1" si="24"/>
        <v>21</v>
      </c>
      <c r="E311" s="12" t="str">
        <f ca="1">IF(Table1[[#This Row],[Age]]&lt;=22,"20-22",IF(Table1[[#This Row],[Age]]&lt;=25,"23-25",IF(Table1[[#This Row],[Age]]&lt;=28,"26-28","29-30")))</f>
        <v>20-22</v>
      </c>
      <c r="F311" s="12">
        <v>4.08</v>
      </c>
      <c r="G311" s="12">
        <v>3.64</v>
      </c>
      <c r="H311" s="12">
        <v>3.39</v>
      </c>
      <c r="I311" s="12">
        <v>3.67</v>
      </c>
      <c r="J311" s="12">
        <v>3.93</v>
      </c>
      <c r="K311" s="12">
        <v>3.59</v>
      </c>
      <c r="L311" s="12">
        <v>4.3600000000000003</v>
      </c>
      <c r="M311" s="12">
        <v>3.81</v>
      </c>
      <c r="N311" s="12">
        <v>4.29</v>
      </c>
      <c r="O311" s="12">
        <v>3.82</v>
      </c>
      <c r="P311" s="12">
        <f t="shared" si="25"/>
        <v>3.742</v>
      </c>
      <c r="Q311" s="12">
        <f t="shared" si="26"/>
        <v>3.74</v>
      </c>
      <c r="R311" s="12">
        <f t="shared" si="27"/>
        <v>3.9740000000000002</v>
      </c>
      <c r="S311" s="28">
        <f>IFERROR(INDEX('Clean Gamification Data'!$B:$B,MATCH($B311,'Clean Gamification Data'!$A:$A,0)),"Not Found")</f>
        <v>77.239641180000007</v>
      </c>
      <c r="T311" s="28">
        <f>IFERROR(INDEX('Clean Gamification Data'!$C:$C,MATCH($B311,'Clean Gamification Data'!$A:$A,0)),"Not Found")</f>
        <v>60.375655870000003</v>
      </c>
      <c r="U311" s="28">
        <f>IFERROR(INDEX('Clean Gamification Data'!$D:$D,MATCH($B311,'Clean Gamification Data'!$A:$A,0)),"Not Found")</f>
        <v>70</v>
      </c>
      <c r="V311" s="28">
        <f>IFERROR(INDEX('Clean Gamification Data'!$E:$E,MATCH($B311,'Clean Gamification Data'!$A:$A,0)),"Not Found")</f>
        <v>67.784226369999999</v>
      </c>
      <c r="W311" s="28">
        <f>IFERROR(INDEX('Clean Gamification Data'!$F:$F,MATCH($B311,'Clean Gamification Data'!$A:$A,0)),"Not Found")</f>
        <v>95.346290449999998</v>
      </c>
      <c r="X311" s="28">
        <f>IFERROR(INDEX('Clean Gamification Data'!$G:$G,MATCH($B311,'Clean Gamification Data'!$A:$A,0)),"Not Found")</f>
        <v>77.002937750000001</v>
      </c>
      <c r="Y311" s="28">
        <f>IFERROR(INDEX('Clean Gamification Data'!$H:$H,MATCH($B311,'Clean Gamification Data'!$A:$A,0)),"Not Found")</f>
        <v>65</v>
      </c>
      <c r="Z311" s="28">
        <f>IFERROR(INDEX('Clean Gamification Data'!$I:$I,MATCH($B311,'Clean Gamification Data'!$A:$A,0)),"Not Found")</f>
        <v>50</v>
      </c>
      <c r="AA311" s="28">
        <f>Table1[[#This Row],[Engagement (Gamification %)]]-Table1[[#This Row],[Engagement (Non-Gamification %)]]</f>
        <v>16.863985310000004</v>
      </c>
      <c r="AB311" s="28">
        <f>Table1[[#This Row],[Motivation (Gamification %)]]-Table1[[#This Row],[Motivation (Non-Gamification %)]]</f>
        <v>2.215773630000001</v>
      </c>
      <c r="AC311" s="28">
        <f>Table1[[#This Row],[Participation (Gamification %)]]-Table1[[#This Row],[Participation (Non-Gamification %)]]</f>
        <v>18.343352699999997</v>
      </c>
      <c r="AD311" s="28">
        <f>Table1[[#This Row],[Learning Outcomes (Gamification %)]]-Table1[[#This Row],[Learning Outcomes (Non-Gamification %)]]</f>
        <v>15</v>
      </c>
      <c r="AE311" s="44" t="str">
        <f>IF(Table1[[#This Row],[Overall Effectiveness]]&lt;3.9,"Low",IF(Table1[[#This Row],[Overall Effectiveness]]&lt;4.2,"Medium","High"))</f>
        <v>Low</v>
      </c>
      <c r="AF311" s="30" t="str">
        <f t="shared" si="28"/>
        <v>Lectures</v>
      </c>
      <c r="AG311" s="30" t="str">
        <f t="shared" si="29"/>
        <v>Case Studies</v>
      </c>
      <c r="AH311" s="27">
        <f>COUNTIF(Teacher_Master!$D$2:$D$16,AF311)</f>
        <v>3</v>
      </c>
      <c r="AI311" s="30" t="str">
        <f>INDEX(Teacher_Master!$B$2:$B$16,MATCH(AF311,Teacher_Master!$D$2:$D$16,0))</f>
        <v>Prof. Vikram Gupta</v>
      </c>
    </row>
    <row r="312" spans="1:35" ht="14.25" customHeight="1" x14ac:dyDescent="0.3">
      <c r="A312" s="31" t="s">
        <v>644</v>
      </c>
      <c r="B312" s="31" t="s">
        <v>645</v>
      </c>
      <c r="C312" s="31" t="s">
        <v>2881</v>
      </c>
      <c r="D312" s="12">
        <f t="shared" ca="1" si="24"/>
        <v>27</v>
      </c>
      <c r="E312" s="12" t="str">
        <f ca="1">IF(Table1[[#This Row],[Age]]&lt;=22,"20-22",IF(Table1[[#This Row],[Age]]&lt;=25,"23-25",IF(Table1[[#This Row],[Age]]&lt;=28,"26-28","29-30")))</f>
        <v>26-28</v>
      </c>
      <c r="F312" s="12">
        <v>4.3</v>
      </c>
      <c r="G312" s="12">
        <v>4.24</v>
      </c>
      <c r="H312" s="12">
        <v>4.1500000000000004</v>
      </c>
      <c r="I312" s="12">
        <v>4.09</v>
      </c>
      <c r="J312" s="12">
        <v>3.99</v>
      </c>
      <c r="K312" s="12">
        <v>4.6100000000000003</v>
      </c>
      <c r="L312" s="12">
        <v>4.53</v>
      </c>
      <c r="M312" s="12">
        <v>4</v>
      </c>
      <c r="N312" s="12">
        <v>4.12</v>
      </c>
      <c r="O312" s="12">
        <v>4.1399999999999997</v>
      </c>
      <c r="P312" s="12">
        <f t="shared" si="25"/>
        <v>4.1540000000000008</v>
      </c>
      <c r="Q312" s="12">
        <f t="shared" si="26"/>
        <v>4.1500000000000004</v>
      </c>
      <c r="R312" s="12">
        <f t="shared" si="27"/>
        <v>4.28</v>
      </c>
      <c r="S312" s="28">
        <f>IFERROR(INDEX('Clean Gamification Data'!$B:$B,MATCH($B312,'Clean Gamification Data'!$A:$A,0)),"Not Found")</f>
        <v>88.336491940000002</v>
      </c>
      <c r="T312" s="28">
        <f>IFERROR(INDEX('Clean Gamification Data'!$C:$C,MATCH($B312,'Clean Gamification Data'!$A:$A,0)),"Not Found")</f>
        <v>70.694512649999993</v>
      </c>
      <c r="U312" s="28">
        <f>IFERROR(INDEX('Clean Gamification Data'!$D:$D,MATCH($B312,'Clean Gamification Data'!$A:$A,0)),"Not Found")</f>
        <v>81.080625839999996</v>
      </c>
      <c r="V312" s="28">
        <f>IFERROR(INDEX('Clean Gamification Data'!$E:$E,MATCH($B312,'Clean Gamification Data'!$A:$A,0)),"Not Found")</f>
        <v>68.055321070000005</v>
      </c>
      <c r="W312" s="28">
        <f>IFERROR(INDEX('Clean Gamification Data'!$F:$F,MATCH($B312,'Clean Gamification Data'!$A:$A,0)),"Not Found")</f>
        <v>85.246726800000005</v>
      </c>
      <c r="X312" s="28">
        <f>IFERROR(INDEX('Clean Gamification Data'!$G:$G,MATCH($B312,'Clean Gamification Data'!$A:$A,0)),"Not Found")</f>
        <v>75.507563500000003</v>
      </c>
      <c r="Y312" s="28">
        <f>IFERROR(INDEX('Clean Gamification Data'!$H:$H,MATCH($B312,'Clean Gamification Data'!$A:$A,0)),"Not Found")</f>
        <v>69.048332939999995</v>
      </c>
      <c r="Z312" s="28">
        <f>IFERROR(INDEX('Clean Gamification Data'!$I:$I,MATCH($B312,'Clean Gamification Data'!$A:$A,0)),"Not Found")</f>
        <v>63.626192860000003</v>
      </c>
      <c r="AA312" s="28">
        <f>Table1[[#This Row],[Engagement (Gamification %)]]-Table1[[#This Row],[Engagement (Non-Gamification %)]]</f>
        <v>17.641979290000009</v>
      </c>
      <c r="AB312" s="28">
        <f>Table1[[#This Row],[Motivation (Gamification %)]]-Table1[[#This Row],[Motivation (Non-Gamification %)]]</f>
        <v>13.025304769999991</v>
      </c>
      <c r="AC312" s="28">
        <f>Table1[[#This Row],[Participation (Gamification %)]]-Table1[[#This Row],[Participation (Non-Gamification %)]]</f>
        <v>9.7391633000000013</v>
      </c>
      <c r="AD312" s="28">
        <f>Table1[[#This Row],[Learning Outcomes (Gamification %)]]-Table1[[#This Row],[Learning Outcomes (Non-Gamification %)]]</f>
        <v>5.4221400799999913</v>
      </c>
      <c r="AE312" s="44" t="str">
        <f>IF(Table1[[#This Row],[Overall Effectiveness]]&lt;3.9,"Low",IF(Table1[[#This Row],[Overall Effectiveness]]&lt;4.2,"Medium","High"))</f>
        <v>Medium</v>
      </c>
      <c r="AF312" s="30" t="str">
        <f t="shared" si="28"/>
        <v>Lectures</v>
      </c>
      <c r="AG312" s="30" t="str">
        <f t="shared" si="29"/>
        <v>Lectures</v>
      </c>
      <c r="AH312" s="27">
        <f>COUNTIF(Teacher_Master!$D$2:$D$16,AF312)</f>
        <v>3</v>
      </c>
      <c r="AI312" s="30" t="str">
        <f>INDEX(Teacher_Master!$B$2:$B$16,MATCH(AF312,Teacher_Master!$D$2:$D$16,0))</f>
        <v>Prof. Vikram Gupta</v>
      </c>
    </row>
    <row r="313" spans="1:35" ht="14.25" customHeight="1" x14ac:dyDescent="0.3">
      <c r="A313" s="31" t="s">
        <v>646</v>
      </c>
      <c r="B313" s="31" t="s">
        <v>2299</v>
      </c>
      <c r="C313" s="31" t="s">
        <v>2882</v>
      </c>
      <c r="D313" s="12">
        <f t="shared" ca="1" si="24"/>
        <v>22</v>
      </c>
      <c r="E313" s="12" t="str">
        <f ca="1">IF(Table1[[#This Row],[Age]]&lt;=22,"20-22",IF(Table1[[#This Row],[Age]]&lt;=25,"23-25",IF(Table1[[#This Row],[Age]]&lt;=28,"26-28","29-30")))</f>
        <v>20-22</v>
      </c>
      <c r="F313" s="12">
        <v>4.05</v>
      </c>
      <c r="G313" s="12">
        <v>3.97</v>
      </c>
      <c r="H313" s="12">
        <v>4.1100000000000003</v>
      </c>
      <c r="I313" s="12">
        <v>3.91</v>
      </c>
      <c r="J313" s="12">
        <v>4.4000000000000004</v>
      </c>
      <c r="K313" s="12">
        <v>3.66</v>
      </c>
      <c r="L313" s="12">
        <v>4.4000000000000004</v>
      </c>
      <c r="M313" s="12">
        <v>3.65</v>
      </c>
      <c r="N313" s="12">
        <v>3.83</v>
      </c>
      <c r="O313" s="12">
        <v>3.96</v>
      </c>
      <c r="P313" s="12">
        <f t="shared" si="25"/>
        <v>4.0879999999999992</v>
      </c>
      <c r="Q313" s="12">
        <f t="shared" si="26"/>
        <v>4.09</v>
      </c>
      <c r="R313" s="12">
        <f t="shared" si="27"/>
        <v>3.9</v>
      </c>
      <c r="S313" s="28">
        <f>IFERROR(INDEX('Clean Gamification Data'!$B:$B,MATCH($B313,'Clean Gamification Data'!$A:$A,0)),"Not Found")</f>
        <v>82.640601160000003</v>
      </c>
      <c r="T313" s="28">
        <f>IFERROR(INDEX('Clean Gamification Data'!$C:$C,MATCH($B313,'Clean Gamification Data'!$A:$A,0)),"Not Found")</f>
        <v>70.557586360000002</v>
      </c>
      <c r="U313" s="28">
        <f>IFERROR(INDEX('Clean Gamification Data'!$D:$D,MATCH($B313,'Clean Gamification Data'!$A:$A,0)),"Not Found")</f>
        <v>84.374784680000005</v>
      </c>
      <c r="V313" s="28">
        <f>IFERROR(INDEX('Clean Gamification Data'!$E:$E,MATCH($B313,'Clean Gamification Data'!$A:$A,0)),"Not Found")</f>
        <v>72.729124959999993</v>
      </c>
      <c r="W313" s="28">
        <f>IFERROR(INDEX('Clean Gamification Data'!$F:$F,MATCH($B313,'Clean Gamification Data'!$A:$A,0)),"Not Found")</f>
        <v>80</v>
      </c>
      <c r="X313" s="28">
        <f>IFERROR(INDEX('Clean Gamification Data'!$G:$G,MATCH($B313,'Clean Gamification Data'!$A:$A,0)),"Not Found")</f>
        <v>75.384170710000006</v>
      </c>
      <c r="Y313" s="28">
        <f>IFERROR(INDEX('Clean Gamification Data'!$H:$H,MATCH($B313,'Clean Gamification Data'!$A:$A,0)),"Not Found")</f>
        <v>70.613273710000001</v>
      </c>
      <c r="Z313" s="28">
        <f>IFERROR(INDEX('Clean Gamification Data'!$I:$I,MATCH($B313,'Clean Gamification Data'!$A:$A,0)),"Not Found")</f>
        <v>64.893408260000001</v>
      </c>
      <c r="AA313" s="28">
        <f>Table1[[#This Row],[Engagement (Gamification %)]]-Table1[[#This Row],[Engagement (Non-Gamification %)]]</f>
        <v>12.083014800000001</v>
      </c>
      <c r="AB313" s="28">
        <f>Table1[[#This Row],[Motivation (Gamification %)]]-Table1[[#This Row],[Motivation (Non-Gamification %)]]</f>
        <v>11.645659720000012</v>
      </c>
      <c r="AC313" s="28">
        <f>Table1[[#This Row],[Participation (Gamification %)]]-Table1[[#This Row],[Participation (Non-Gamification %)]]</f>
        <v>4.6158292899999935</v>
      </c>
      <c r="AD313" s="28">
        <f>Table1[[#This Row],[Learning Outcomes (Gamification %)]]-Table1[[#This Row],[Learning Outcomes (Non-Gamification %)]]</f>
        <v>5.7198654500000004</v>
      </c>
      <c r="AE313" s="44" t="str">
        <f>IF(Table1[[#This Row],[Overall Effectiveness]]&lt;3.9,"Low",IF(Table1[[#This Row],[Overall Effectiveness]]&lt;4.2,"Medium","High"))</f>
        <v>Medium</v>
      </c>
      <c r="AF313" s="30" t="str">
        <f t="shared" si="28"/>
        <v>Online Tutorials</v>
      </c>
      <c r="AG313" s="30" t="str">
        <f t="shared" si="29"/>
        <v>Case Studies</v>
      </c>
      <c r="AH313" s="27">
        <f>COUNTIF(Teacher_Master!$D$2:$D$16,AF313)</f>
        <v>3</v>
      </c>
      <c r="AI313" s="30" t="str">
        <f>INDEX(Teacher_Master!$B$2:$B$16,MATCH(AF313,Teacher_Master!$D$2:$D$16,0))</f>
        <v>Prof. Kavita Rao</v>
      </c>
    </row>
    <row r="314" spans="1:35" ht="14.25" customHeight="1" x14ac:dyDescent="0.3">
      <c r="A314" s="31" t="s">
        <v>648</v>
      </c>
      <c r="B314" s="31" t="s">
        <v>649</v>
      </c>
      <c r="C314" s="31" t="s">
        <v>2882</v>
      </c>
      <c r="D314" s="12">
        <f t="shared" ca="1" si="24"/>
        <v>24</v>
      </c>
      <c r="E314" s="12" t="str">
        <f ca="1">IF(Table1[[#This Row],[Age]]&lt;=22,"20-22",IF(Table1[[#This Row],[Age]]&lt;=25,"23-25",IF(Table1[[#This Row],[Age]]&lt;=28,"26-28","29-30")))</f>
        <v>23-25</v>
      </c>
      <c r="F314" s="12">
        <v>4.33</v>
      </c>
      <c r="G314" s="12">
        <v>3.91</v>
      </c>
      <c r="H314" s="12">
        <v>4.8899999999999997</v>
      </c>
      <c r="I314" s="12">
        <v>3.82</v>
      </c>
      <c r="J314" s="12">
        <v>3.89</v>
      </c>
      <c r="K314" s="12">
        <v>4.42</v>
      </c>
      <c r="L314" s="12">
        <v>4.29</v>
      </c>
      <c r="M314" s="12">
        <v>4.07</v>
      </c>
      <c r="N314" s="12">
        <v>3.64</v>
      </c>
      <c r="O314" s="12">
        <v>3.67</v>
      </c>
      <c r="P314" s="12">
        <f t="shared" si="25"/>
        <v>4.1680000000000001</v>
      </c>
      <c r="Q314" s="12">
        <f t="shared" si="26"/>
        <v>4.17</v>
      </c>
      <c r="R314" s="12">
        <f t="shared" si="27"/>
        <v>4.0180000000000007</v>
      </c>
      <c r="S314" s="28">
        <f>IFERROR(INDEX('Clean Gamification Data'!$B:$B,MATCH($B314,'Clean Gamification Data'!$A:$A,0)),"Not Found")</f>
        <v>85.784232810000006</v>
      </c>
      <c r="T314" s="28">
        <f>IFERROR(INDEX('Clean Gamification Data'!$C:$C,MATCH($B314,'Clean Gamification Data'!$A:$A,0)),"Not Found")</f>
        <v>66.292456509999994</v>
      </c>
      <c r="U314" s="28">
        <f>IFERROR(INDEX('Clean Gamification Data'!$D:$D,MATCH($B314,'Clean Gamification Data'!$A:$A,0)),"Not Found")</f>
        <v>70.604048930000005</v>
      </c>
      <c r="V314" s="28">
        <f>IFERROR(INDEX('Clean Gamification Data'!$E:$E,MATCH($B314,'Clean Gamification Data'!$A:$A,0)),"Not Found")</f>
        <v>61.191103759999997</v>
      </c>
      <c r="W314" s="28">
        <f>IFERROR(INDEX('Clean Gamification Data'!$F:$F,MATCH($B314,'Clean Gamification Data'!$A:$A,0)),"Not Found")</f>
        <v>94.819972930000006</v>
      </c>
      <c r="X314" s="28">
        <f>IFERROR(INDEX('Clean Gamification Data'!$G:$G,MATCH($B314,'Clean Gamification Data'!$A:$A,0)),"Not Found")</f>
        <v>83.056340449999993</v>
      </c>
      <c r="Y314" s="28">
        <f>IFERROR(INDEX('Clean Gamification Data'!$H:$H,MATCH($B314,'Clean Gamification Data'!$A:$A,0)),"Not Found")</f>
        <v>67.44909638</v>
      </c>
      <c r="Z314" s="28">
        <f>IFERROR(INDEX('Clean Gamification Data'!$I:$I,MATCH($B314,'Clean Gamification Data'!$A:$A,0)),"Not Found")</f>
        <v>51.345081790000002</v>
      </c>
      <c r="AA314" s="28">
        <f>Table1[[#This Row],[Engagement (Gamification %)]]-Table1[[#This Row],[Engagement (Non-Gamification %)]]</f>
        <v>19.491776300000012</v>
      </c>
      <c r="AB314" s="28">
        <f>Table1[[#This Row],[Motivation (Gamification %)]]-Table1[[#This Row],[Motivation (Non-Gamification %)]]</f>
        <v>9.4129451700000075</v>
      </c>
      <c r="AC314" s="28">
        <f>Table1[[#This Row],[Participation (Gamification %)]]-Table1[[#This Row],[Participation (Non-Gamification %)]]</f>
        <v>11.763632480000012</v>
      </c>
      <c r="AD314" s="28">
        <f>Table1[[#This Row],[Learning Outcomes (Gamification %)]]-Table1[[#This Row],[Learning Outcomes (Non-Gamification %)]]</f>
        <v>16.104014589999998</v>
      </c>
      <c r="AE314" s="44" t="str">
        <f>IF(Table1[[#This Row],[Overall Effectiveness]]&lt;3.9,"Low",IF(Table1[[#This Row],[Overall Effectiveness]]&lt;4.2,"Medium","High"))</f>
        <v>Medium</v>
      </c>
      <c r="AF314" s="30" t="str">
        <f t="shared" si="28"/>
        <v>Group Projects</v>
      </c>
      <c r="AG314" s="30" t="str">
        <f t="shared" si="29"/>
        <v>Lectures</v>
      </c>
      <c r="AH314" s="27">
        <f>COUNTIF(Teacher_Master!$D$2:$D$16,AF314)</f>
        <v>3</v>
      </c>
      <c r="AI314" s="30" t="str">
        <f>INDEX(Teacher_Master!$B$2:$B$16,MATCH(AF314,Teacher_Master!$D$2:$D$16,0))</f>
        <v>Dr. Rohan Dutta</v>
      </c>
    </row>
    <row r="315" spans="1:35" ht="14.25" customHeight="1" x14ac:dyDescent="0.3">
      <c r="A315" s="31" t="s">
        <v>650</v>
      </c>
      <c r="B315" s="31" t="s">
        <v>2300</v>
      </c>
      <c r="C315" s="31" t="s">
        <v>2881</v>
      </c>
      <c r="D315" s="12">
        <f t="shared" ca="1" si="24"/>
        <v>23</v>
      </c>
      <c r="E315" s="12" t="str">
        <f ca="1">IF(Table1[[#This Row],[Age]]&lt;=22,"20-22",IF(Table1[[#This Row],[Age]]&lt;=25,"23-25",IF(Table1[[#This Row],[Age]]&lt;=28,"26-28","29-30")))</f>
        <v>23-25</v>
      </c>
      <c r="F315" s="12">
        <v>4.47</v>
      </c>
      <c r="G315" s="12">
        <v>3.79</v>
      </c>
      <c r="H315" s="12">
        <v>3.73</v>
      </c>
      <c r="I315" s="12">
        <v>3.62</v>
      </c>
      <c r="J315" s="12">
        <v>3.63</v>
      </c>
      <c r="K315" s="12">
        <v>3.92</v>
      </c>
      <c r="L315" s="12">
        <v>4.1900000000000004</v>
      </c>
      <c r="M315" s="12">
        <v>3.24</v>
      </c>
      <c r="N315" s="12">
        <v>4</v>
      </c>
      <c r="O315" s="12">
        <v>4.24</v>
      </c>
      <c r="P315" s="12">
        <f t="shared" si="25"/>
        <v>3.8479999999999999</v>
      </c>
      <c r="Q315" s="12">
        <f t="shared" si="26"/>
        <v>3.85</v>
      </c>
      <c r="R315" s="12">
        <f t="shared" si="27"/>
        <v>3.9180000000000001</v>
      </c>
      <c r="S315" s="28">
        <f>IFERROR(INDEX('Clean Gamification Data'!$B:$B,MATCH($B315,'Clean Gamification Data'!$A:$A,0)),"Not Found")</f>
        <v>95.144114569999999</v>
      </c>
      <c r="T315" s="28">
        <f>IFERROR(INDEX('Clean Gamification Data'!$C:$C,MATCH($B315,'Clean Gamification Data'!$A:$A,0)),"Not Found")</f>
        <v>71.230283729999996</v>
      </c>
      <c r="U315" s="28">
        <f>IFERROR(INDEX('Clean Gamification Data'!$D:$D,MATCH($B315,'Clean Gamification Data'!$A:$A,0)),"Not Found")</f>
        <v>70</v>
      </c>
      <c r="V315" s="28">
        <f>IFERROR(INDEX('Clean Gamification Data'!$E:$E,MATCH($B315,'Clean Gamification Data'!$A:$A,0)),"Not Found")</f>
        <v>58.407635030000002</v>
      </c>
      <c r="W315" s="28">
        <f>IFERROR(INDEX('Clean Gamification Data'!$F:$F,MATCH($B315,'Clean Gamification Data'!$A:$A,0)),"Not Found")</f>
        <v>80</v>
      </c>
      <c r="X315" s="28">
        <f>IFERROR(INDEX('Clean Gamification Data'!$G:$G,MATCH($B315,'Clean Gamification Data'!$A:$A,0)),"Not Found")</f>
        <v>85</v>
      </c>
      <c r="Y315" s="28">
        <f>IFERROR(INDEX('Clean Gamification Data'!$H:$H,MATCH($B315,'Clean Gamification Data'!$A:$A,0)),"Not Found")</f>
        <v>77.330727359999997</v>
      </c>
      <c r="Z315" s="28">
        <f>IFERROR(INDEX('Clean Gamification Data'!$I:$I,MATCH($B315,'Clean Gamification Data'!$A:$A,0)),"Not Found")</f>
        <v>62.695477330000003</v>
      </c>
      <c r="AA315" s="28">
        <f>Table1[[#This Row],[Engagement (Gamification %)]]-Table1[[#This Row],[Engagement (Non-Gamification %)]]</f>
        <v>23.913830840000003</v>
      </c>
      <c r="AB315" s="28">
        <f>Table1[[#This Row],[Motivation (Gamification %)]]-Table1[[#This Row],[Motivation (Non-Gamification %)]]</f>
        <v>11.592364969999998</v>
      </c>
      <c r="AC315" s="28">
        <f>Table1[[#This Row],[Participation (Gamification %)]]-Table1[[#This Row],[Participation (Non-Gamification %)]]</f>
        <v>-5</v>
      </c>
      <c r="AD315" s="28">
        <f>Table1[[#This Row],[Learning Outcomes (Gamification %)]]-Table1[[#This Row],[Learning Outcomes (Non-Gamification %)]]</f>
        <v>14.635250029999995</v>
      </c>
      <c r="AE315" s="44" t="str">
        <f>IF(Table1[[#This Row],[Overall Effectiveness]]&lt;3.9,"Low",IF(Table1[[#This Row],[Overall Effectiveness]]&lt;4.2,"Medium","High"))</f>
        <v>Low</v>
      </c>
      <c r="AF315" s="30" t="str">
        <f t="shared" si="28"/>
        <v>Lectures</v>
      </c>
      <c r="AG315" s="30" t="str">
        <f t="shared" si="29"/>
        <v>Online Tutorials</v>
      </c>
      <c r="AH315" s="27">
        <f>COUNTIF(Teacher_Master!$D$2:$D$16,AF315)</f>
        <v>3</v>
      </c>
      <c r="AI315" s="30" t="str">
        <f>INDEX(Teacher_Master!$B$2:$B$16,MATCH(AF315,Teacher_Master!$D$2:$D$16,0))</f>
        <v>Prof. Vikram Gupta</v>
      </c>
    </row>
    <row r="316" spans="1:35" ht="14.25" customHeight="1" x14ac:dyDescent="0.3">
      <c r="A316" s="31" t="s">
        <v>652</v>
      </c>
      <c r="B316" s="31" t="s">
        <v>653</v>
      </c>
      <c r="C316" s="31" t="s">
        <v>2881</v>
      </c>
      <c r="D316" s="12">
        <f t="shared" ca="1" si="24"/>
        <v>23</v>
      </c>
      <c r="E316" s="12" t="str">
        <f ca="1">IF(Table1[[#This Row],[Age]]&lt;=22,"20-22",IF(Table1[[#This Row],[Age]]&lt;=25,"23-25",IF(Table1[[#This Row],[Age]]&lt;=28,"26-28","29-30")))</f>
        <v>23-25</v>
      </c>
      <c r="F316" s="12">
        <v>4.5599999999999996</v>
      </c>
      <c r="G316" s="12">
        <v>3.93</v>
      </c>
      <c r="H316" s="12">
        <v>4.12</v>
      </c>
      <c r="I316" s="12">
        <v>4.1100000000000003</v>
      </c>
      <c r="J316" s="12">
        <v>4</v>
      </c>
      <c r="K316" s="12">
        <v>4.3</v>
      </c>
      <c r="L316" s="12">
        <v>4.38</v>
      </c>
      <c r="M316" s="12">
        <v>4.57</v>
      </c>
      <c r="N316" s="12">
        <v>4.41</v>
      </c>
      <c r="O316" s="12">
        <v>4.0599999999999996</v>
      </c>
      <c r="P316" s="12">
        <f t="shared" si="25"/>
        <v>4.1440000000000001</v>
      </c>
      <c r="Q316" s="12">
        <f t="shared" si="26"/>
        <v>4.1399999999999997</v>
      </c>
      <c r="R316" s="12">
        <f t="shared" si="27"/>
        <v>4.3439999999999994</v>
      </c>
      <c r="S316" s="28">
        <f>IFERROR(INDEX('Clean Gamification Data'!$B:$B,MATCH($B316,'Clean Gamification Data'!$A:$A,0)),"Not Found")</f>
        <v>75</v>
      </c>
      <c r="T316" s="28">
        <f>IFERROR(INDEX('Clean Gamification Data'!$C:$C,MATCH($B316,'Clean Gamification Data'!$A:$A,0)),"Not Found")</f>
        <v>77.080502929999994</v>
      </c>
      <c r="U316" s="28">
        <f>IFERROR(INDEX('Clean Gamification Data'!$D:$D,MATCH($B316,'Clean Gamification Data'!$A:$A,0)),"Not Found")</f>
        <v>70</v>
      </c>
      <c r="V316" s="28">
        <f>IFERROR(INDEX('Clean Gamification Data'!$E:$E,MATCH($B316,'Clean Gamification Data'!$A:$A,0)),"Not Found")</f>
        <v>62.092537389999997</v>
      </c>
      <c r="W316" s="28">
        <f>IFERROR(INDEX('Clean Gamification Data'!$F:$F,MATCH($B316,'Clean Gamification Data'!$A:$A,0)),"Not Found")</f>
        <v>81.979822909999996</v>
      </c>
      <c r="X316" s="28">
        <f>IFERROR(INDEX('Clean Gamification Data'!$G:$G,MATCH($B316,'Clean Gamification Data'!$A:$A,0)),"Not Found")</f>
        <v>82.041122450000003</v>
      </c>
      <c r="Y316" s="28">
        <f>IFERROR(INDEX('Clean Gamification Data'!$H:$H,MATCH($B316,'Clean Gamification Data'!$A:$A,0)),"Not Found")</f>
        <v>66.914056709999997</v>
      </c>
      <c r="Z316" s="28">
        <f>IFERROR(INDEX('Clean Gamification Data'!$I:$I,MATCH($B316,'Clean Gamification Data'!$A:$A,0)),"Not Found")</f>
        <v>54.082714670000001</v>
      </c>
      <c r="AA316" s="28">
        <f>Table1[[#This Row],[Engagement (Gamification %)]]-Table1[[#This Row],[Engagement (Non-Gamification %)]]</f>
        <v>-2.0805029299999944</v>
      </c>
      <c r="AB316" s="28">
        <f>Table1[[#This Row],[Motivation (Gamification %)]]-Table1[[#This Row],[Motivation (Non-Gamification %)]]</f>
        <v>7.9074626100000032</v>
      </c>
      <c r="AC316" s="28">
        <f>Table1[[#This Row],[Participation (Gamification %)]]-Table1[[#This Row],[Participation (Non-Gamification %)]]</f>
        <v>-6.1299540000007369E-2</v>
      </c>
      <c r="AD316" s="28">
        <f>Table1[[#This Row],[Learning Outcomes (Gamification %)]]-Table1[[#This Row],[Learning Outcomes (Non-Gamification %)]]</f>
        <v>12.831342039999996</v>
      </c>
      <c r="AE316" s="44" t="str">
        <f>IF(Table1[[#This Row],[Overall Effectiveness]]&lt;3.9,"Low",IF(Table1[[#This Row],[Overall Effectiveness]]&lt;4.2,"Medium","High"))</f>
        <v>Medium</v>
      </c>
      <c r="AF316" s="30" t="str">
        <f t="shared" si="28"/>
        <v>Lectures</v>
      </c>
      <c r="AG316" s="30" t="str">
        <f t="shared" si="29"/>
        <v>Group Projects</v>
      </c>
      <c r="AH316" s="27">
        <f>COUNTIF(Teacher_Master!$D$2:$D$16,AF316)</f>
        <v>3</v>
      </c>
      <c r="AI316" s="30" t="str">
        <f>INDEX(Teacher_Master!$B$2:$B$16,MATCH(AF316,Teacher_Master!$D$2:$D$16,0))</f>
        <v>Prof. Vikram Gupta</v>
      </c>
    </row>
    <row r="317" spans="1:35" ht="14.25" customHeight="1" x14ac:dyDescent="0.3">
      <c r="A317" s="31" t="s">
        <v>654</v>
      </c>
      <c r="B317" s="31" t="s">
        <v>2301</v>
      </c>
      <c r="C317" s="31" t="s">
        <v>2882</v>
      </c>
      <c r="D317" s="12">
        <f t="shared" ca="1" si="24"/>
        <v>24</v>
      </c>
      <c r="E317" s="12" t="str">
        <f ca="1">IF(Table1[[#This Row],[Age]]&lt;=22,"20-22",IF(Table1[[#This Row],[Age]]&lt;=25,"23-25",IF(Table1[[#This Row],[Age]]&lt;=28,"26-28","29-30")))</f>
        <v>23-25</v>
      </c>
      <c r="F317" s="12">
        <v>4.21</v>
      </c>
      <c r="G317" s="12">
        <v>4.28</v>
      </c>
      <c r="H317" s="12">
        <v>4.76</v>
      </c>
      <c r="I317" s="12">
        <v>4.28</v>
      </c>
      <c r="J317" s="12">
        <v>3.7</v>
      </c>
      <c r="K317" s="12">
        <v>3.74</v>
      </c>
      <c r="L317" s="12">
        <v>3.63</v>
      </c>
      <c r="M317" s="12">
        <v>4.07</v>
      </c>
      <c r="N317" s="12" t="s">
        <v>211</v>
      </c>
      <c r="O317" s="12">
        <v>4.49</v>
      </c>
      <c r="P317" s="12">
        <f t="shared" si="25"/>
        <v>4.2460000000000004</v>
      </c>
      <c r="Q317" s="12">
        <f t="shared" si="26"/>
        <v>4.25</v>
      </c>
      <c r="R317" s="12">
        <f t="shared" si="27"/>
        <v>3.9825000000000004</v>
      </c>
      <c r="S317" s="28">
        <f>IFERROR(INDEX('Clean Gamification Data'!$B:$B,MATCH($B317,'Clean Gamification Data'!$A:$A,0)),"Not Found")</f>
        <v>95.645109809999994</v>
      </c>
      <c r="T317" s="28">
        <f>IFERROR(INDEX('Clean Gamification Data'!$C:$C,MATCH($B317,'Clean Gamification Data'!$A:$A,0)),"Not Found")</f>
        <v>69.691463310000003</v>
      </c>
      <c r="U317" s="28">
        <f>IFERROR(INDEX('Clean Gamification Data'!$D:$D,MATCH($B317,'Clean Gamification Data'!$A:$A,0)),"Not Found")</f>
        <v>89.864663770000007</v>
      </c>
      <c r="V317" s="28">
        <f>IFERROR(INDEX('Clean Gamification Data'!$E:$E,MATCH($B317,'Clean Gamification Data'!$A:$A,0)),"Not Found")</f>
        <v>57.975851069999997</v>
      </c>
      <c r="W317" s="28">
        <f>IFERROR(INDEX('Clean Gamification Data'!$F:$F,MATCH($B317,'Clean Gamification Data'!$A:$A,0)),"Not Found")</f>
        <v>80</v>
      </c>
      <c r="X317" s="28">
        <f>IFERROR(INDEX('Clean Gamification Data'!$G:$G,MATCH($B317,'Clean Gamification Data'!$A:$A,0)),"Not Found")</f>
        <v>73.504733920000007</v>
      </c>
      <c r="Y317" s="28">
        <f>IFERROR(INDEX('Clean Gamification Data'!$H:$H,MATCH($B317,'Clean Gamification Data'!$A:$A,0)),"Not Found")</f>
        <v>75.221932879999997</v>
      </c>
      <c r="Z317" s="28">
        <f>IFERROR(INDEX('Clean Gamification Data'!$I:$I,MATCH($B317,'Clean Gamification Data'!$A:$A,0)),"Not Found")</f>
        <v>50</v>
      </c>
      <c r="AA317" s="28">
        <f>Table1[[#This Row],[Engagement (Gamification %)]]-Table1[[#This Row],[Engagement (Non-Gamification %)]]</f>
        <v>25.953646499999991</v>
      </c>
      <c r="AB317" s="28">
        <f>Table1[[#This Row],[Motivation (Gamification %)]]-Table1[[#This Row],[Motivation (Non-Gamification %)]]</f>
        <v>31.88881270000001</v>
      </c>
      <c r="AC317" s="28">
        <f>Table1[[#This Row],[Participation (Gamification %)]]-Table1[[#This Row],[Participation (Non-Gamification %)]]</f>
        <v>6.4952660799999933</v>
      </c>
      <c r="AD317" s="28">
        <f>Table1[[#This Row],[Learning Outcomes (Gamification %)]]-Table1[[#This Row],[Learning Outcomes (Non-Gamification %)]]</f>
        <v>25.221932879999997</v>
      </c>
      <c r="AE317" s="44" t="str">
        <f>IF(Table1[[#This Row],[Overall Effectiveness]]&lt;3.9,"Low",IF(Table1[[#This Row],[Overall Effectiveness]]&lt;4.2,"Medium","High"))</f>
        <v>High</v>
      </c>
      <c r="AF317" s="30" t="str">
        <f t="shared" si="28"/>
        <v>Group Projects</v>
      </c>
      <c r="AG317" s="30" t="str">
        <f t="shared" si="29"/>
        <v>Online Tutorials</v>
      </c>
      <c r="AH317" s="27">
        <f>COUNTIF(Teacher_Master!$D$2:$D$16,AF317)</f>
        <v>3</v>
      </c>
      <c r="AI317" s="30" t="str">
        <f>INDEX(Teacher_Master!$B$2:$B$16,MATCH(AF317,Teacher_Master!$D$2:$D$16,0))</f>
        <v>Dr. Rohan Dutta</v>
      </c>
    </row>
    <row r="318" spans="1:35" ht="14.25" customHeight="1" x14ac:dyDescent="0.3">
      <c r="A318" s="31" t="s">
        <v>656</v>
      </c>
      <c r="B318" s="31" t="s">
        <v>2302</v>
      </c>
      <c r="C318" s="31" t="s">
        <v>2882</v>
      </c>
      <c r="D318" s="12">
        <f t="shared" ca="1" si="24"/>
        <v>25</v>
      </c>
      <c r="E318" s="12" t="str">
        <f ca="1">IF(Table1[[#This Row],[Age]]&lt;=22,"20-22",IF(Table1[[#This Row],[Age]]&lt;=25,"23-25",IF(Table1[[#This Row],[Age]]&lt;=28,"26-28","29-30")))</f>
        <v>23-25</v>
      </c>
      <c r="F318" s="12">
        <v>4.09</v>
      </c>
      <c r="G318" s="12">
        <v>4.25</v>
      </c>
      <c r="H318" s="12">
        <v>4.4000000000000004</v>
      </c>
      <c r="I318" s="12">
        <v>4.21</v>
      </c>
      <c r="J318" s="12">
        <v>3.71</v>
      </c>
      <c r="K318" s="12">
        <v>4.25</v>
      </c>
      <c r="L318" s="12">
        <v>4.24</v>
      </c>
      <c r="M318" s="12">
        <v>4.17</v>
      </c>
      <c r="N318" s="12">
        <v>4.12</v>
      </c>
      <c r="O318" s="12">
        <v>4.33</v>
      </c>
      <c r="P318" s="12">
        <f t="shared" si="25"/>
        <v>4.1319999999999997</v>
      </c>
      <c r="Q318" s="12">
        <f t="shared" si="26"/>
        <v>4.13</v>
      </c>
      <c r="R318" s="12">
        <f t="shared" si="27"/>
        <v>4.2219999999999995</v>
      </c>
      <c r="S318" s="28">
        <f>IFERROR(INDEX('Clean Gamification Data'!$B:$B,MATCH($B318,'Clean Gamification Data'!$A:$A,0)),"Not Found")</f>
        <v>94.893442190000002</v>
      </c>
      <c r="T318" s="28">
        <f>IFERROR(INDEX('Clean Gamification Data'!$C:$C,MATCH($B318,'Clean Gamification Data'!$A:$A,0)),"Not Found")</f>
        <v>65.327649679999993</v>
      </c>
      <c r="U318" s="28">
        <f>IFERROR(INDEX('Clean Gamification Data'!$D:$D,MATCH($B318,'Clean Gamification Data'!$A:$A,0)),"Not Found")</f>
        <v>85.403030970000003</v>
      </c>
      <c r="V318" s="28">
        <f>IFERROR(INDEX('Clean Gamification Data'!$E:$E,MATCH($B318,'Clean Gamification Data'!$A:$A,0)),"Not Found")</f>
        <v>62.825855709999999</v>
      </c>
      <c r="W318" s="28">
        <f>IFERROR(INDEX('Clean Gamification Data'!$F:$F,MATCH($B318,'Clean Gamification Data'!$A:$A,0)),"Not Found")</f>
        <v>86.236034029999999</v>
      </c>
      <c r="X318" s="28">
        <f>IFERROR(INDEX('Clean Gamification Data'!$G:$G,MATCH($B318,'Clean Gamification Data'!$A:$A,0)),"Not Found")</f>
        <v>84.733649679999999</v>
      </c>
      <c r="Y318" s="28">
        <f>IFERROR(INDEX('Clean Gamification Data'!$H:$H,MATCH($B318,'Clean Gamification Data'!$A:$A,0)),"Not Found")</f>
        <v>68.077118150000004</v>
      </c>
      <c r="Z318" s="28">
        <f>IFERROR(INDEX('Clean Gamification Data'!$I:$I,MATCH($B318,'Clean Gamification Data'!$A:$A,0)),"Not Found")</f>
        <v>55.980678019999999</v>
      </c>
      <c r="AA318" s="28">
        <f>Table1[[#This Row],[Engagement (Gamification %)]]-Table1[[#This Row],[Engagement (Non-Gamification %)]]</f>
        <v>29.565792510000009</v>
      </c>
      <c r="AB318" s="28">
        <f>Table1[[#This Row],[Motivation (Gamification %)]]-Table1[[#This Row],[Motivation (Non-Gamification %)]]</f>
        <v>22.577175260000004</v>
      </c>
      <c r="AC318" s="28">
        <f>Table1[[#This Row],[Participation (Gamification %)]]-Table1[[#This Row],[Participation (Non-Gamification %)]]</f>
        <v>1.5023843499999998</v>
      </c>
      <c r="AD318" s="28">
        <f>Table1[[#This Row],[Learning Outcomes (Gamification %)]]-Table1[[#This Row],[Learning Outcomes (Non-Gamification %)]]</f>
        <v>12.096440130000005</v>
      </c>
      <c r="AE318" s="44" t="str">
        <f>IF(Table1[[#This Row],[Overall Effectiveness]]&lt;3.9,"Low",IF(Table1[[#This Row],[Overall Effectiveness]]&lt;4.2,"Medium","High"))</f>
        <v>Medium</v>
      </c>
      <c r="AF318" s="30" t="str">
        <f t="shared" si="28"/>
        <v>Group Projects</v>
      </c>
      <c r="AG318" s="30" t="str">
        <f t="shared" si="29"/>
        <v>Online Tutorials</v>
      </c>
      <c r="AH318" s="27">
        <f>COUNTIF(Teacher_Master!$D$2:$D$16,AF318)</f>
        <v>3</v>
      </c>
      <c r="AI318" s="30" t="str">
        <f>INDEX(Teacher_Master!$B$2:$B$16,MATCH(AF318,Teacher_Master!$D$2:$D$16,0))</f>
        <v>Dr. Rohan Dutta</v>
      </c>
    </row>
    <row r="319" spans="1:35" ht="14.25" customHeight="1" x14ac:dyDescent="0.3">
      <c r="A319" s="31" t="s">
        <v>658</v>
      </c>
      <c r="B319" s="31" t="s">
        <v>659</v>
      </c>
      <c r="C319" s="31" t="s">
        <v>2882</v>
      </c>
      <c r="D319" s="12">
        <f t="shared" ca="1" si="24"/>
        <v>24</v>
      </c>
      <c r="E319" s="12" t="str">
        <f ca="1">IF(Table1[[#This Row],[Age]]&lt;=22,"20-22",IF(Table1[[#This Row],[Age]]&lt;=25,"23-25",IF(Table1[[#This Row],[Age]]&lt;=28,"26-28","29-30")))</f>
        <v>23-25</v>
      </c>
      <c r="F319" s="12">
        <v>4.16</v>
      </c>
      <c r="G319" s="12">
        <v>4.57</v>
      </c>
      <c r="H319" s="12">
        <v>2.99</v>
      </c>
      <c r="I319" s="12">
        <v>3.84</v>
      </c>
      <c r="J319" s="12">
        <v>4.45</v>
      </c>
      <c r="K319" s="12">
        <v>3.24</v>
      </c>
      <c r="L319" s="12">
        <v>4.53</v>
      </c>
      <c r="M319" s="12">
        <v>4.08</v>
      </c>
      <c r="N319" s="12">
        <v>3.4</v>
      </c>
      <c r="O319" s="12">
        <v>4.28</v>
      </c>
      <c r="P319" s="12">
        <f t="shared" si="25"/>
        <v>4.0020000000000007</v>
      </c>
      <c r="Q319" s="12">
        <f t="shared" si="26"/>
        <v>4</v>
      </c>
      <c r="R319" s="12">
        <f t="shared" si="27"/>
        <v>3.9060000000000001</v>
      </c>
      <c r="S319" s="28">
        <f>IFERROR(INDEX('Clean Gamification Data'!$B:$B,MATCH($B319,'Clean Gamification Data'!$A:$A,0)),"Not Found")</f>
        <v>85.396941999999996</v>
      </c>
      <c r="T319" s="28">
        <f>IFERROR(INDEX('Clean Gamification Data'!$C:$C,MATCH($B319,'Clean Gamification Data'!$A:$A,0)),"Not Found")</f>
        <v>69.495467289999993</v>
      </c>
      <c r="U319" s="28">
        <f>IFERROR(INDEX('Clean Gamification Data'!$D:$D,MATCH($B319,'Clean Gamification Data'!$A:$A,0)),"Not Found")</f>
        <v>82.518109039999999</v>
      </c>
      <c r="V319" s="28">
        <f>IFERROR(INDEX('Clean Gamification Data'!$E:$E,MATCH($B319,'Clean Gamification Data'!$A:$A,0)),"Not Found")</f>
        <v>61.219940270000002</v>
      </c>
      <c r="W319" s="28">
        <f>IFERROR(INDEX('Clean Gamification Data'!$F:$F,MATCH($B319,'Clean Gamification Data'!$A:$A,0)),"Not Found")</f>
        <v>95.411490369999996</v>
      </c>
      <c r="X319" s="28">
        <f>IFERROR(INDEX('Clean Gamification Data'!$G:$G,MATCH($B319,'Clean Gamification Data'!$A:$A,0)),"Not Found")</f>
        <v>79.664409419999998</v>
      </c>
      <c r="Y319" s="28">
        <f>IFERROR(INDEX('Clean Gamification Data'!$H:$H,MATCH($B319,'Clean Gamification Data'!$A:$A,0)),"Not Found")</f>
        <v>77.326403990000003</v>
      </c>
      <c r="Z319" s="28">
        <f>IFERROR(INDEX('Clean Gamification Data'!$I:$I,MATCH($B319,'Clean Gamification Data'!$A:$A,0)),"Not Found")</f>
        <v>53.71369791</v>
      </c>
      <c r="AA319" s="28">
        <f>Table1[[#This Row],[Engagement (Gamification %)]]-Table1[[#This Row],[Engagement (Non-Gamification %)]]</f>
        <v>15.901474710000002</v>
      </c>
      <c r="AB319" s="28">
        <f>Table1[[#This Row],[Motivation (Gamification %)]]-Table1[[#This Row],[Motivation (Non-Gamification %)]]</f>
        <v>21.298168769999997</v>
      </c>
      <c r="AC319" s="28">
        <f>Table1[[#This Row],[Participation (Gamification %)]]-Table1[[#This Row],[Participation (Non-Gamification %)]]</f>
        <v>15.747080949999997</v>
      </c>
      <c r="AD319" s="28">
        <f>Table1[[#This Row],[Learning Outcomes (Gamification %)]]-Table1[[#This Row],[Learning Outcomes (Non-Gamification %)]]</f>
        <v>23.612706080000002</v>
      </c>
      <c r="AE319" s="44" t="str">
        <f>IF(Table1[[#This Row],[Overall Effectiveness]]&lt;3.9,"Low",IF(Table1[[#This Row],[Overall Effectiveness]]&lt;4.2,"Medium","High"))</f>
        <v>Medium</v>
      </c>
      <c r="AF319" s="30" t="str">
        <f t="shared" si="28"/>
        <v>Case Studies</v>
      </c>
      <c r="AG319" s="30" t="str">
        <f t="shared" si="29"/>
        <v>Case Studies</v>
      </c>
      <c r="AH319" s="27">
        <f>COUNTIF(Teacher_Master!$D$2:$D$16,AF319)</f>
        <v>3</v>
      </c>
      <c r="AI319" s="30" t="str">
        <f>INDEX(Teacher_Master!$B$2:$B$16,MATCH(AF319,Teacher_Master!$D$2:$D$16,0))</f>
        <v>Prof. Rajesh Mukherjee</v>
      </c>
    </row>
    <row r="320" spans="1:35" ht="14.25" customHeight="1" x14ac:dyDescent="0.3">
      <c r="A320" s="31" t="s">
        <v>660</v>
      </c>
      <c r="B320" s="31" t="s">
        <v>2303</v>
      </c>
      <c r="C320" s="31" t="s">
        <v>2881</v>
      </c>
      <c r="D320" s="12">
        <f t="shared" ca="1" si="24"/>
        <v>29</v>
      </c>
      <c r="E320" s="12" t="str">
        <f ca="1">IF(Table1[[#This Row],[Age]]&lt;=22,"20-22",IF(Table1[[#This Row],[Age]]&lt;=25,"23-25",IF(Table1[[#This Row],[Age]]&lt;=28,"26-28","29-30")))</f>
        <v>29-30</v>
      </c>
      <c r="F320" s="12">
        <v>4.5199999999999996</v>
      </c>
      <c r="G320" s="12">
        <v>3.93</v>
      </c>
      <c r="H320" s="12">
        <v>3.74</v>
      </c>
      <c r="I320" s="12">
        <v>4.6900000000000004</v>
      </c>
      <c r="J320" s="12">
        <v>4.3499999999999996</v>
      </c>
      <c r="K320" s="12">
        <v>3.94</v>
      </c>
      <c r="L320" s="12">
        <v>3.8</v>
      </c>
      <c r="M320" s="12">
        <v>3.98</v>
      </c>
      <c r="N320" s="12">
        <v>4.55</v>
      </c>
      <c r="O320" s="12">
        <v>3.74</v>
      </c>
      <c r="P320" s="12">
        <f t="shared" si="25"/>
        <v>4.2459999999999996</v>
      </c>
      <c r="Q320" s="12">
        <f t="shared" si="26"/>
        <v>4.25</v>
      </c>
      <c r="R320" s="12">
        <f t="shared" si="27"/>
        <v>4.0019999999999998</v>
      </c>
      <c r="S320" s="28">
        <f>IFERROR(INDEX('Clean Gamification Data'!$B:$B,MATCH($B320,'Clean Gamification Data'!$A:$A,0)),"Not Found")</f>
        <v>94.440745849999999</v>
      </c>
      <c r="T320" s="28">
        <f>IFERROR(INDEX('Clean Gamification Data'!$C:$C,MATCH($B320,'Clean Gamification Data'!$A:$A,0)),"Not Found")</f>
        <v>69.364460289999997</v>
      </c>
      <c r="U320" s="28">
        <f>IFERROR(INDEX('Clean Gamification Data'!$D:$D,MATCH($B320,'Clean Gamification Data'!$A:$A,0)),"Not Found")</f>
        <v>76.26141346</v>
      </c>
      <c r="V320" s="28">
        <f>IFERROR(INDEX('Clean Gamification Data'!$E:$E,MATCH($B320,'Clean Gamification Data'!$A:$A,0)),"Not Found")</f>
        <v>62.869059329999999</v>
      </c>
      <c r="W320" s="28">
        <f>IFERROR(INDEX('Clean Gamification Data'!$F:$F,MATCH($B320,'Clean Gamification Data'!$A:$A,0)),"Not Found")</f>
        <v>85.238739769999995</v>
      </c>
      <c r="X320" s="28">
        <f>IFERROR(INDEX('Clean Gamification Data'!$G:$G,MATCH($B320,'Clean Gamification Data'!$A:$A,0)),"Not Found")</f>
        <v>74.134059190000002</v>
      </c>
      <c r="Y320" s="28">
        <f>IFERROR(INDEX('Clean Gamification Data'!$H:$H,MATCH($B320,'Clean Gamification Data'!$A:$A,0)),"Not Found")</f>
        <v>72.702067029999995</v>
      </c>
      <c r="Z320" s="28">
        <f>IFERROR(INDEX('Clean Gamification Data'!$I:$I,MATCH($B320,'Clean Gamification Data'!$A:$A,0)),"Not Found")</f>
        <v>65.320858729999998</v>
      </c>
      <c r="AA320" s="28">
        <f>Table1[[#This Row],[Engagement (Gamification %)]]-Table1[[#This Row],[Engagement (Non-Gamification %)]]</f>
        <v>25.076285560000002</v>
      </c>
      <c r="AB320" s="28">
        <f>Table1[[#This Row],[Motivation (Gamification %)]]-Table1[[#This Row],[Motivation (Non-Gamification %)]]</f>
        <v>13.392354130000001</v>
      </c>
      <c r="AC320" s="28">
        <f>Table1[[#This Row],[Participation (Gamification %)]]-Table1[[#This Row],[Participation (Non-Gamification %)]]</f>
        <v>11.104680579999993</v>
      </c>
      <c r="AD320" s="28">
        <f>Table1[[#This Row],[Learning Outcomes (Gamification %)]]-Table1[[#This Row],[Learning Outcomes (Non-Gamification %)]]</f>
        <v>7.3812082999999973</v>
      </c>
      <c r="AE320" s="44" t="str">
        <f>IF(Table1[[#This Row],[Overall Effectiveness]]&lt;3.9,"Low",IF(Table1[[#This Row],[Overall Effectiveness]]&lt;4.2,"Medium","High"))</f>
        <v>High</v>
      </c>
      <c r="AF320" s="30" t="str">
        <f t="shared" si="28"/>
        <v>Experiments</v>
      </c>
      <c r="AG320" s="30" t="str">
        <f t="shared" si="29"/>
        <v>Experiments</v>
      </c>
      <c r="AH320" s="27">
        <f>COUNTIF(Teacher_Master!$D$2:$D$16,AF320)</f>
        <v>3</v>
      </c>
      <c r="AI320" s="30" t="str">
        <f>INDEX(Teacher_Master!$B$2:$B$16,MATCH(AF320,Teacher_Master!$D$2:$D$16,0))</f>
        <v>Prof. Rahul Singh</v>
      </c>
    </row>
    <row r="321" spans="1:35" ht="14.25" customHeight="1" x14ac:dyDescent="0.3">
      <c r="A321" s="31" t="s">
        <v>662</v>
      </c>
      <c r="B321" s="31" t="s">
        <v>2304</v>
      </c>
      <c r="C321" s="31" t="s">
        <v>2882</v>
      </c>
      <c r="D321" s="12">
        <f t="shared" ca="1" si="24"/>
        <v>25</v>
      </c>
      <c r="E321" s="12" t="str">
        <f ca="1">IF(Table1[[#This Row],[Age]]&lt;=22,"20-22",IF(Table1[[#This Row],[Age]]&lt;=25,"23-25",IF(Table1[[#This Row],[Age]]&lt;=28,"26-28","29-30")))</f>
        <v>23-25</v>
      </c>
      <c r="F321" s="12">
        <v>4.16</v>
      </c>
      <c r="G321" s="12">
        <v>3.72</v>
      </c>
      <c r="H321" s="12">
        <v>4.71</v>
      </c>
      <c r="I321" s="12">
        <v>4.24</v>
      </c>
      <c r="J321" s="12">
        <v>4.1900000000000004</v>
      </c>
      <c r="K321" s="12">
        <v>4.41</v>
      </c>
      <c r="L321" s="12">
        <v>4.2300000000000004</v>
      </c>
      <c r="M321" s="12">
        <v>3.99</v>
      </c>
      <c r="N321" s="12">
        <v>4.43</v>
      </c>
      <c r="O321" s="12">
        <v>3.94</v>
      </c>
      <c r="P321" s="12">
        <f t="shared" si="25"/>
        <v>4.2039999999999997</v>
      </c>
      <c r="Q321" s="12">
        <f t="shared" si="26"/>
        <v>4.2</v>
      </c>
      <c r="R321" s="12">
        <f t="shared" si="27"/>
        <v>4.2000000000000011</v>
      </c>
      <c r="S321" s="28">
        <f>IFERROR(INDEX('Clean Gamification Data'!$B:$B,MATCH($B321,'Clean Gamification Data'!$A:$A,0)),"Not Found")</f>
        <v>90.254717299999996</v>
      </c>
      <c r="T321" s="28">
        <f>IFERROR(INDEX('Clean Gamification Data'!$C:$C,MATCH($B321,'Clean Gamification Data'!$A:$A,0)),"Not Found")</f>
        <v>70.976368089999994</v>
      </c>
      <c r="U321" s="28">
        <f>IFERROR(INDEX('Clean Gamification Data'!$D:$D,MATCH($B321,'Clean Gamification Data'!$A:$A,0)),"Not Found")</f>
        <v>83.703648430000001</v>
      </c>
      <c r="V321" s="28">
        <f>IFERROR(INDEX('Clean Gamification Data'!$E:$E,MATCH($B321,'Clean Gamification Data'!$A:$A,0)),"Not Found")</f>
        <v>57.313002760000003</v>
      </c>
      <c r="W321" s="28">
        <f>IFERROR(INDEX('Clean Gamification Data'!$F:$F,MATCH($B321,'Clean Gamification Data'!$A:$A,0)),"Not Found")</f>
        <v>93.715392649999998</v>
      </c>
      <c r="X321" s="28">
        <f>IFERROR(INDEX('Clean Gamification Data'!$G:$G,MATCH($B321,'Clean Gamification Data'!$A:$A,0)),"Not Found")</f>
        <v>73.125997929999997</v>
      </c>
      <c r="Y321" s="28">
        <f>IFERROR(INDEX('Clean Gamification Data'!$H:$H,MATCH($B321,'Clean Gamification Data'!$A:$A,0)),"Not Found")</f>
        <v>71.859802389999999</v>
      </c>
      <c r="Z321" s="28">
        <f>IFERROR(INDEX('Clean Gamification Data'!$I:$I,MATCH($B321,'Clean Gamification Data'!$A:$A,0)),"Not Found")</f>
        <v>50</v>
      </c>
      <c r="AA321" s="28">
        <f>Table1[[#This Row],[Engagement (Gamification %)]]-Table1[[#This Row],[Engagement (Non-Gamification %)]]</f>
        <v>19.278349210000002</v>
      </c>
      <c r="AB321" s="28">
        <f>Table1[[#This Row],[Motivation (Gamification %)]]-Table1[[#This Row],[Motivation (Non-Gamification %)]]</f>
        <v>26.390645669999998</v>
      </c>
      <c r="AC321" s="28">
        <f>Table1[[#This Row],[Participation (Gamification %)]]-Table1[[#This Row],[Participation (Non-Gamification %)]]</f>
        <v>20.589394720000001</v>
      </c>
      <c r="AD321" s="28">
        <f>Table1[[#This Row],[Learning Outcomes (Gamification %)]]-Table1[[#This Row],[Learning Outcomes (Non-Gamification %)]]</f>
        <v>21.859802389999999</v>
      </c>
      <c r="AE321" s="44" t="str">
        <f>IF(Table1[[#This Row],[Overall Effectiveness]]&lt;3.9,"Low",IF(Table1[[#This Row],[Overall Effectiveness]]&lt;4.2,"Medium","High"))</f>
        <v>High</v>
      </c>
      <c r="AF321" s="30" t="str">
        <f t="shared" si="28"/>
        <v>Group Projects</v>
      </c>
      <c r="AG321" s="30" t="str">
        <f t="shared" si="29"/>
        <v>Experiments</v>
      </c>
      <c r="AH321" s="27">
        <f>COUNTIF(Teacher_Master!$D$2:$D$16,AF321)</f>
        <v>3</v>
      </c>
      <c r="AI321" s="30" t="str">
        <f>INDEX(Teacher_Master!$B$2:$B$16,MATCH(AF321,Teacher_Master!$D$2:$D$16,0))</f>
        <v>Dr. Rohan Dutta</v>
      </c>
    </row>
    <row r="322" spans="1:35" ht="14.25" customHeight="1" x14ac:dyDescent="0.3">
      <c r="A322" s="31" t="s">
        <v>664</v>
      </c>
      <c r="B322" s="31" t="s">
        <v>2305</v>
      </c>
      <c r="C322" s="31" t="s">
        <v>2882</v>
      </c>
      <c r="D322" s="12">
        <f t="shared" ref="D322:D385" ca="1" si="30">RANDBETWEEN(20,30)</f>
        <v>22</v>
      </c>
      <c r="E322" s="12" t="str">
        <f ca="1">IF(Table1[[#This Row],[Age]]&lt;=22,"20-22",IF(Table1[[#This Row],[Age]]&lt;=25,"23-25",IF(Table1[[#This Row],[Age]]&lt;=28,"26-28","29-30")))</f>
        <v>20-22</v>
      </c>
      <c r="F322" s="12">
        <v>4.16</v>
      </c>
      <c r="G322" s="12">
        <v>4.49</v>
      </c>
      <c r="H322" s="12">
        <v>4.16</v>
      </c>
      <c r="I322" s="12">
        <v>4.5199999999999996</v>
      </c>
      <c r="J322" s="12">
        <v>4.16</v>
      </c>
      <c r="K322" s="12">
        <v>3.86</v>
      </c>
      <c r="L322" s="12">
        <v>4.3600000000000003</v>
      </c>
      <c r="M322" s="12">
        <v>3.47</v>
      </c>
      <c r="N322" s="12">
        <v>4.03</v>
      </c>
      <c r="O322" s="12">
        <v>3.71</v>
      </c>
      <c r="P322" s="12">
        <f t="shared" ref="P322:P385" si="31">AVERAGE(F322:J322)</f>
        <v>4.298</v>
      </c>
      <c r="Q322" s="12">
        <f t="shared" ref="Q322:Q385" si="32">ROUND(P322,2)</f>
        <v>4.3</v>
      </c>
      <c r="R322" s="12">
        <f t="shared" ref="R322:R385" si="33">AVERAGE(K322:O322)</f>
        <v>3.8860000000000006</v>
      </c>
      <c r="S322" s="28">
        <f>IFERROR(INDEX('Clean Gamification Data'!$B:$B,MATCH($B322,'Clean Gamification Data'!$A:$A,0)),"Not Found")</f>
        <v>80.333299069999995</v>
      </c>
      <c r="T322" s="28">
        <f>IFERROR(INDEX('Clean Gamification Data'!$C:$C,MATCH($B322,'Clean Gamification Data'!$A:$A,0)),"Not Found")</f>
        <v>77.532827069999996</v>
      </c>
      <c r="U322" s="28">
        <f>IFERROR(INDEX('Clean Gamification Data'!$D:$D,MATCH($B322,'Clean Gamification Data'!$A:$A,0)),"Not Found")</f>
        <v>77.039327</v>
      </c>
      <c r="V322" s="28">
        <f>IFERROR(INDEX('Clean Gamification Data'!$E:$E,MATCH($B322,'Clean Gamification Data'!$A:$A,0)),"Not Found")</f>
        <v>69.851030480000006</v>
      </c>
      <c r="W322" s="28">
        <f>IFERROR(INDEX('Clean Gamification Data'!$F:$F,MATCH($B322,'Clean Gamification Data'!$A:$A,0)),"Not Found")</f>
        <v>91.199989830000007</v>
      </c>
      <c r="X322" s="28">
        <f>IFERROR(INDEX('Clean Gamification Data'!$G:$G,MATCH($B322,'Clean Gamification Data'!$A:$A,0)),"Not Found")</f>
        <v>83.515066050000001</v>
      </c>
      <c r="Y322" s="28">
        <f>IFERROR(INDEX('Clean Gamification Data'!$H:$H,MATCH($B322,'Clean Gamification Data'!$A:$A,0)),"Not Found")</f>
        <v>66.224663960000001</v>
      </c>
      <c r="Z322" s="28">
        <f>IFERROR(INDEX('Clean Gamification Data'!$I:$I,MATCH($B322,'Clean Gamification Data'!$A:$A,0)),"Not Found")</f>
        <v>50.309589449999997</v>
      </c>
      <c r="AA322" s="28">
        <f>Table1[[#This Row],[Engagement (Gamification %)]]-Table1[[#This Row],[Engagement (Non-Gamification %)]]</f>
        <v>2.8004719999999992</v>
      </c>
      <c r="AB322" s="28">
        <f>Table1[[#This Row],[Motivation (Gamification %)]]-Table1[[#This Row],[Motivation (Non-Gamification %)]]</f>
        <v>7.1882965199999944</v>
      </c>
      <c r="AC322" s="28">
        <f>Table1[[#This Row],[Participation (Gamification %)]]-Table1[[#This Row],[Participation (Non-Gamification %)]]</f>
        <v>7.6849237800000054</v>
      </c>
      <c r="AD322" s="28">
        <f>Table1[[#This Row],[Learning Outcomes (Gamification %)]]-Table1[[#This Row],[Learning Outcomes (Non-Gamification %)]]</f>
        <v>15.915074510000004</v>
      </c>
      <c r="AE322" s="44" t="str">
        <f>IF(Table1[[#This Row],[Overall Effectiveness]]&lt;3.9,"Low",IF(Table1[[#This Row],[Overall Effectiveness]]&lt;4.2,"Medium","High"))</f>
        <v>High</v>
      </c>
      <c r="AF322" s="30" t="str">
        <f t="shared" ref="AF322:AF385" si="34">CHOOSE(MATCH(MAX(F322:J322),F322:J322,0),"Lectures","Case Studies","Group Projects","Experiments","Online Tutorials")</f>
        <v>Experiments</v>
      </c>
      <c r="AG322" s="30" t="str">
        <f t="shared" ref="AG322:AG385" si="35">CHOOSE(MATCH(MAX(K322:O322),K322:O322,0),"Lectures","Case Studies","Group Projects","Experiments","Online Tutorials")</f>
        <v>Case Studies</v>
      </c>
      <c r="AH322" s="27">
        <f>COUNTIF(Teacher_Master!$D$2:$D$16,AF322)</f>
        <v>3</v>
      </c>
      <c r="AI322" s="30" t="str">
        <f>INDEX(Teacher_Master!$B$2:$B$16,MATCH(AF322,Teacher_Master!$D$2:$D$16,0))</f>
        <v>Prof. Rahul Singh</v>
      </c>
    </row>
    <row r="323" spans="1:35" ht="14.25" customHeight="1" x14ac:dyDescent="0.3">
      <c r="A323" s="31" t="s">
        <v>666</v>
      </c>
      <c r="B323" s="31" t="s">
        <v>2306</v>
      </c>
      <c r="C323" s="31" t="s">
        <v>2882</v>
      </c>
      <c r="D323" s="12">
        <f t="shared" ca="1" si="30"/>
        <v>21</v>
      </c>
      <c r="E323" s="12" t="str">
        <f ca="1">IF(Table1[[#This Row],[Age]]&lt;=22,"20-22",IF(Table1[[#This Row],[Age]]&lt;=25,"23-25",IF(Table1[[#This Row],[Age]]&lt;=28,"26-28","29-30")))</f>
        <v>20-22</v>
      </c>
      <c r="F323" s="12">
        <v>4.55</v>
      </c>
      <c r="G323" s="12">
        <v>4.13</v>
      </c>
      <c r="H323" s="12">
        <v>4.17</v>
      </c>
      <c r="I323" s="12">
        <v>4.08</v>
      </c>
      <c r="J323" s="12">
        <v>4.16</v>
      </c>
      <c r="K323" s="12">
        <v>4.2699999999999996</v>
      </c>
      <c r="L323" s="12">
        <v>4.59</v>
      </c>
      <c r="M323" s="12">
        <v>4.3</v>
      </c>
      <c r="N323" s="12">
        <v>4.33</v>
      </c>
      <c r="O323" s="12">
        <v>3.88</v>
      </c>
      <c r="P323" s="12">
        <f t="shared" si="31"/>
        <v>4.218</v>
      </c>
      <c r="Q323" s="12">
        <f t="shared" si="32"/>
        <v>4.22</v>
      </c>
      <c r="R323" s="12">
        <f t="shared" si="33"/>
        <v>4.274</v>
      </c>
      <c r="S323" s="28">
        <f>IFERROR(INDEX('Clean Gamification Data'!$B:$B,MATCH($B323,'Clean Gamification Data'!$A:$A,0)),"Not Found")</f>
        <v>81.605650170000004</v>
      </c>
      <c r="T323" s="28">
        <f>IFERROR(INDEX('Clean Gamification Data'!$C:$C,MATCH($B323,'Clean Gamification Data'!$A:$A,0)),"Not Found")</f>
        <v>65.186204840000002</v>
      </c>
      <c r="U323" s="28">
        <f>IFERROR(INDEX('Clean Gamification Data'!$D:$D,MATCH($B323,'Clean Gamification Data'!$A:$A,0)),"Not Found")</f>
        <v>70.192078260000002</v>
      </c>
      <c r="V323" s="28">
        <f>IFERROR(INDEX('Clean Gamification Data'!$E:$E,MATCH($B323,'Clean Gamification Data'!$A:$A,0)),"Not Found")</f>
        <v>58.717705440000003</v>
      </c>
      <c r="W323" s="28">
        <f>IFERROR(INDEX('Clean Gamification Data'!$F:$F,MATCH($B323,'Clean Gamification Data'!$A:$A,0)),"Not Found")</f>
        <v>89.987263650000003</v>
      </c>
      <c r="X323" s="28">
        <f>IFERROR(INDEX('Clean Gamification Data'!$G:$G,MATCH($B323,'Clean Gamification Data'!$A:$A,0)),"Not Found")</f>
        <v>78.707777440000001</v>
      </c>
      <c r="Y323" s="28">
        <f>IFERROR(INDEX('Clean Gamification Data'!$H:$H,MATCH($B323,'Clean Gamification Data'!$A:$A,0)),"Not Found")</f>
        <v>65</v>
      </c>
      <c r="Z323" s="28">
        <f>IFERROR(INDEX('Clean Gamification Data'!$I:$I,MATCH($B323,'Clean Gamification Data'!$A:$A,0)),"Not Found")</f>
        <v>50</v>
      </c>
      <c r="AA323" s="28">
        <f>Table1[[#This Row],[Engagement (Gamification %)]]-Table1[[#This Row],[Engagement (Non-Gamification %)]]</f>
        <v>16.419445330000002</v>
      </c>
      <c r="AB323" s="28">
        <f>Table1[[#This Row],[Motivation (Gamification %)]]-Table1[[#This Row],[Motivation (Non-Gamification %)]]</f>
        <v>11.474372819999999</v>
      </c>
      <c r="AC323" s="28">
        <f>Table1[[#This Row],[Participation (Gamification %)]]-Table1[[#This Row],[Participation (Non-Gamification %)]]</f>
        <v>11.279486210000002</v>
      </c>
      <c r="AD323" s="28">
        <f>Table1[[#This Row],[Learning Outcomes (Gamification %)]]-Table1[[#This Row],[Learning Outcomes (Non-Gamification %)]]</f>
        <v>15</v>
      </c>
      <c r="AE323" s="44" t="str">
        <f>IF(Table1[[#This Row],[Overall Effectiveness]]&lt;3.9,"Low",IF(Table1[[#This Row],[Overall Effectiveness]]&lt;4.2,"Medium","High"))</f>
        <v>High</v>
      </c>
      <c r="AF323" s="30" t="str">
        <f t="shared" si="34"/>
        <v>Lectures</v>
      </c>
      <c r="AG323" s="30" t="str">
        <f t="shared" si="35"/>
        <v>Case Studies</v>
      </c>
      <c r="AH323" s="27">
        <f>COUNTIF(Teacher_Master!$D$2:$D$16,AF323)</f>
        <v>3</v>
      </c>
      <c r="AI323" s="30" t="str">
        <f>INDEX(Teacher_Master!$B$2:$B$16,MATCH(AF323,Teacher_Master!$D$2:$D$16,0))</f>
        <v>Prof. Vikram Gupta</v>
      </c>
    </row>
    <row r="324" spans="1:35" ht="14.25" customHeight="1" x14ac:dyDescent="0.3">
      <c r="A324" s="31" t="s">
        <v>668</v>
      </c>
      <c r="B324" s="31" t="s">
        <v>2307</v>
      </c>
      <c r="C324" s="31" t="s">
        <v>2881</v>
      </c>
      <c r="D324" s="12">
        <f t="shared" ca="1" si="30"/>
        <v>22</v>
      </c>
      <c r="E324" s="12" t="str">
        <f ca="1">IF(Table1[[#This Row],[Age]]&lt;=22,"20-22",IF(Table1[[#This Row],[Age]]&lt;=25,"23-25",IF(Table1[[#This Row],[Age]]&lt;=28,"26-28","29-30")))</f>
        <v>20-22</v>
      </c>
      <c r="F324" s="12">
        <v>4</v>
      </c>
      <c r="G324" s="12">
        <v>4.07</v>
      </c>
      <c r="H324" s="12">
        <v>3.87</v>
      </c>
      <c r="I324" s="12">
        <v>3.7</v>
      </c>
      <c r="J324" s="12">
        <v>3.77</v>
      </c>
      <c r="K324" s="12">
        <v>3.71</v>
      </c>
      <c r="L324" s="12">
        <v>4.07</v>
      </c>
      <c r="M324" s="12">
        <v>3.63</v>
      </c>
      <c r="N324" s="12">
        <v>4.01</v>
      </c>
      <c r="O324" s="12">
        <v>3.93</v>
      </c>
      <c r="P324" s="12">
        <f t="shared" si="31"/>
        <v>3.8820000000000001</v>
      </c>
      <c r="Q324" s="12">
        <f t="shared" si="32"/>
        <v>3.88</v>
      </c>
      <c r="R324" s="12">
        <f t="shared" si="33"/>
        <v>3.87</v>
      </c>
      <c r="S324" s="28">
        <f>IFERROR(INDEX('Clean Gamification Data'!$B:$B,MATCH($B324,'Clean Gamification Data'!$A:$A,0)),"Not Found")</f>
        <v>93.521354560000006</v>
      </c>
      <c r="T324" s="28">
        <f>IFERROR(INDEX('Clean Gamification Data'!$C:$C,MATCH($B324,'Clean Gamification Data'!$A:$A,0)),"Not Found")</f>
        <v>77.315785520000006</v>
      </c>
      <c r="U324" s="28">
        <f>IFERROR(INDEX('Clean Gamification Data'!$D:$D,MATCH($B324,'Clean Gamification Data'!$A:$A,0)),"Not Found")</f>
        <v>78.077806019999997</v>
      </c>
      <c r="V324" s="28">
        <f>IFERROR(INDEX('Clean Gamification Data'!$E:$E,MATCH($B324,'Clean Gamification Data'!$A:$A,0)),"Not Found")</f>
        <v>63.313464430000003</v>
      </c>
      <c r="W324" s="28">
        <f>IFERROR(INDEX('Clean Gamification Data'!$F:$F,MATCH($B324,'Clean Gamification Data'!$A:$A,0)),"Not Found")</f>
        <v>92.782481469999993</v>
      </c>
      <c r="X324" s="28">
        <f>IFERROR(INDEX('Clean Gamification Data'!$G:$G,MATCH($B324,'Clean Gamification Data'!$A:$A,0)),"Not Found")</f>
        <v>73.680714230000007</v>
      </c>
      <c r="Y324" s="28">
        <f>IFERROR(INDEX('Clean Gamification Data'!$H:$H,MATCH($B324,'Clean Gamification Data'!$A:$A,0)),"Not Found")</f>
        <v>71.569837089999993</v>
      </c>
      <c r="Z324" s="28">
        <f>IFERROR(INDEX('Clean Gamification Data'!$I:$I,MATCH($B324,'Clean Gamification Data'!$A:$A,0)),"Not Found")</f>
        <v>50</v>
      </c>
      <c r="AA324" s="28">
        <f>Table1[[#This Row],[Engagement (Gamification %)]]-Table1[[#This Row],[Engagement (Non-Gamification %)]]</f>
        <v>16.20556904</v>
      </c>
      <c r="AB324" s="28">
        <f>Table1[[#This Row],[Motivation (Gamification %)]]-Table1[[#This Row],[Motivation (Non-Gamification %)]]</f>
        <v>14.764341589999994</v>
      </c>
      <c r="AC324" s="28">
        <f>Table1[[#This Row],[Participation (Gamification %)]]-Table1[[#This Row],[Participation (Non-Gamification %)]]</f>
        <v>19.101767239999987</v>
      </c>
      <c r="AD324" s="28">
        <f>Table1[[#This Row],[Learning Outcomes (Gamification %)]]-Table1[[#This Row],[Learning Outcomes (Non-Gamification %)]]</f>
        <v>21.569837089999993</v>
      </c>
      <c r="AE324" s="44" t="str">
        <f>IF(Table1[[#This Row],[Overall Effectiveness]]&lt;3.9,"Low",IF(Table1[[#This Row],[Overall Effectiveness]]&lt;4.2,"Medium","High"))</f>
        <v>Low</v>
      </c>
      <c r="AF324" s="30" t="str">
        <f t="shared" si="34"/>
        <v>Case Studies</v>
      </c>
      <c r="AG324" s="30" t="str">
        <f t="shared" si="35"/>
        <v>Case Studies</v>
      </c>
      <c r="AH324" s="27">
        <f>COUNTIF(Teacher_Master!$D$2:$D$16,AF324)</f>
        <v>3</v>
      </c>
      <c r="AI324" s="30" t="str">
        <f>INDEX(Teacher_Master!$B$2:$B$16,MATCH(AF324,Teacher_Master!$D$2:$D$16,0))</f>
        <v>Prof. Rajesh Mukherjee</v>
      </c>
    </row>
    <row r="325" spans="1:35" ht="14.25" customHeight="1" x14ac:dyDescent="0.3">
      <c r="A325" s="31" t="s">
        <v>670</v>
      </c>
      <c r="B325" s="31" t="s">
        <v>671</v>
      </c>
      <c r="C325" s="31" t="s">
        <v>2882</v>
      </c>
      <c r="D325" s="12">
        <f t="shared" ca="1" si="30"/>
        <v>23</v>
      </c>
      <c r="E325" s="12" t="str">
        <f ca="1">IF(Table1[[#This Row],[Age]]&lt;=22,"20-22",IF(Table1[[#This Row],[Age]]&lt;=25,"23-25",IF(Table1[[#This Row],[Age]]&lt;=28,"26-28","29-30")))</f>
        <v>23-25</v>
      </c>
      <c r="F325" s="12">
        <v>3.93</v>
      </c>
      <c r="G325" s="12">
        <v>4.5199999999999996</v>
      </c>
      <c r="H325" s="12">
        <v>3.85</v>
      </c>
      <c r="I325" s="12">
        <v>3.89</v>
      </c>
      <c r="J325" s="12">
        <v>4.33</v>
      </c>
      <c r="K325" s="12">
        <v>3.91</v>
      </c>
      <c r="L325" s="12">
        <v>4.09</v>
      </c>
      <c r="M325" s="12">
        <v>3.98</v>
      </c>
      <c r="N325" s="12">
        <v>4.18</v>
      </c>
      <c r="O325" s="12">
        <v>4.24</v>
      </c>
      <c r="P325" s="12">
        <f t="shared" si="31"/>
        <v>4.1039999999999992</v>
      </c>
      <c r="Q325" s="12">
        <f t="shared" si="32"/>
        <v>4.0999999999999996</v>
      </c>
      <c r="R325" s="12">
        <f t="shared" si="33"/>
        <v>4.08</v>
      </c>
      <c r="S325" s="28">
        <f>IFERROR(INDEX('Clean Gamification Data'!$B:$B,MATCH($B325,'Clean Gamification Data'!$A:$A,0)),"Not Found")</f>
        <v>90.038907390000006</v>
      </c>
      <c r="T325" s="28">
        <f>IFERROR(INDEX('Clean Gamification Data'!$C:$C,MATCH($B325,'Clean Gamification Data'!$A:$A,0)),"Not Found")</f>
        <v>68.917954159999994</v>
      </c>
      <c r="U325" s="28">
        <f>IFERROR(INDEX('Clean Gamification Data'!$D:$D,MATCH($B325,'Clean Gamification Data'!$A:$A,0)),"Not Found")</f>
        <v>83.177639279999994</v>
      </c>
      <c r="V325" s="28">
        <f>IFERROR(INDEX('Clean Gamification Data'!$E:$E,MATCH($B325,'Clean Gamification Data'!$A:$A,0)),"Not Found")</f>
        <v>60.281808269999999</v>
      </c>
      <c r="W325" s="28">
        <f>IFERROR(INDEX('Clean Gamification Data'!$F:$F,MATCH($B325,'Clean Gamification Data'!$A:$A,0)),"Not Found")</f>
        <v>92.799679249999997</v>
      </c>
      <c r="X325" s="28">
        <f>IFERROR(INDEX('Clean Gamification Data'!$G:$G,MATCH($B325,'Clean Gamification Data'!$A:$A,0)),"Not Found")</f>
        <v>79.962751260000005</v>
      </c>
      <c r="Y325" s="28">
        <f>IFERROR(INDEX('Clean Gamification Data'!$H:$H,MATCH($B325,'Clean Gamification Data'!$A:$A,0)),"Not Found")</f>
        <v>75.308825949999999</v>
      </c>
      <c r="Z325" s="28">
        <f>IFERROR(INDEX('Clean Gamification Data'!$I:$I,MATCH($B325,'Clean Gamification Data'!$A:$A,0)),"Not Found")</f>
        <v>64.672454979999998</v>
      </c>
      <c r="AA325" s="28">
        <f>Table1[[#This Row],[Engagement (Gamification %)]]-Table1[[#This Row],[Engagement (Non-Gamification %)]]</f>
        <v>21.120953230000012</v>
      </c>
      <c r="AB325" s="28">
        <f>Table1[[#This Row],[Motivation (Gamification %)]]-Table1[[#This Row],[Motivation (Non-Gamification %)]]</f>
        <v>22.895831009999995</v>
      </c>
      <c r="AC325" s="28">
        <f>Table1[[#This Row],[Participation (Gamification %)]]-Table1[[#This Row],[Participation (Non-Gamification %)]]</f>
        <v>12.836927989999992</v>
      </c>
      <c r="AD325" s="28">
        <f>Table1[[#This Row],[Learning Outcomes (Gamification %)]]-Table1[[#This Row],[Learning Outcomes (Non-Gamification %)]]</f>
        <v>10.636370970000002</v>
      </c>
      <c r="AE325" s="44" t="str">
        <f>IF(Table1[[#This Row],[Overall Effectiveness]]&lt;3.9,"Low",IF(Table1[[#This Row],[Overall Effectiveness]]&lt;4.2,"Medium","High"))</f>
        <v>Medium</v>
      </c>
      <c r="AF325" s="30" t="str">
        <f t="shared" si="34"/>
        <v>Case Studies</v>
      </c>
      <c r="AG325" s="30" t="str">
        <f t="shared" si="35"/>
        <v>Online Tutorials</v>
      </c>
      <c r="AH325" s="27">
        <f>COUNTIF(Teacher_Master!$D$2:$D$16,AF325)</f>
        <v>3</v>
      </c>
      <c r="AI325" s="30" t="str">
        <f>INDEX(Teacher_Master!$B$2:$B$16,MATCH(AF325,Teacher_Master!$D$2:$D$16,0))</f>
        <v>Prof. Rajesh Mukherjee</v>
      </c>
    </row>
    <row r="326" spans="1:35" ht="14.25" customHeight="1" x14ac:dyDescent="0.3">
      <c r="A326" s="31" t="s">
        <v>672</v>
      </c>
      <c r="B326" s="31" t="s">
        <v>2308</v>
      </c>
      <c r="C326" s="31" t="s">
        <v>2882</v>
      </c>
      <c r="D326" s="12">
        <f t="shared" ca="1" si="30"/>
        <v>29</v>
      </c>
      <c r="E326" s="12" t="str">
        <f ca="1">IF(Table1[[#This Row],[Age]]&lt;=22,"20-22",IF(Table1[[#This Row],[Age]]&lt;=25,"23-25",IF(Table1[[#This Row],[Age]]&lt;=28,"26-28","29-30")))</f>
        <v>29-30</v>
      </c>
      <c r="F326" s="12">
        <v>3.92</v>
      </c>
      <c r="G326" s="12">
        <v>4.49</v>
      </c>
      <c r="H326" s="12">
        <v>3.85</v>
      </c>
      <c r="I326" s="12">
        <v>4.6900000000000004</v>
      </c>
      <c r="J326" s="12">
        <v>4.68</v>
      </c>
      <c r="K326" s="12">
        <v>3.91</v>
      </c>
      <c r="L326" s="12">
        <v>3.57</v>
      </c>
      <c r="M326" s="12">
        <v>3.41</v>
      </c>
      <c r="N326" s="12">
        <v>4.7</v>
      </c>
      <c r="O326" s="12">
        <v>4.0999999999999996</v>
      </c>
      <c r="P326" s="12">
        <f t="shared" si="31"/>
        <v>4.3259999999999996</v>
      </c>
      <c r="Q326" s="12">
        <f t="shared" si="32"/>
        <v>4.33</v>
      </c>
      <c r="R326" s="12">
        <f t="shared" si="33"/>
        <v>3.9379999999999997</v>
      </c>
      <c r="S326" s="28">
        <f>IFERROR(INDEX('Clean Gamification Data'!$B:$B,MATCH($B326,'Clean Gamification Data'!$A:$A,0)),"Not Found")</f>
        <v>82.266986250000002</v>
      </c>
      <c r="T326" s="28">
        <f>IFERROR(INDEX('Clean Gamification Data'!$C:$C,MATCH($B326,'Clean Gamification Data'!$A:$A,0)),"Not Found")</f>
        <v>69.090188740000002</v>
      </c>
      <c r="U326" s="28">
        <f>IFERROR(INDEX('Clean Gamification Data'!$D:$D,MATCH($B326,'Clean Gamification Data'!$A:$A,0)),"Not Found")</f>
        <v>71.540153759999995</v>
      </c>
      <c r="V326" s="28">
        <f>IFERROR(INDEX('Clean Gamification Data'!$E:$E,MATCH($B326,'Clean Gamification Data'!$A:$A,0)),"Not Found")</f>
        <v>68.434879859999995</v>
      </c>
      <c r="W326" s="28">
        <f>IFERROR(INDEX('Clean Gamification Data'!$F:$F,MATCH($B326,'Clean Gamification Data'!$A:$A,0)),"Not Found")</f>
        <v>80</v>
      </c>
      <c r="X326" s="28">
        <f>IFERROR(INDEX('Clean Gamification Data'!$G:$G,MATCH($B326,'Clean Gamification Data'!$A:$A,0)),"Not Found")</f>
        <v>80.92513855</v>
      </c>
      <c r="Y326" s="28">
        <f>IFERROR(INDEX('Clean Gamification Data'!$H:$H,MATCH($B326,'Clean Gamification Data'!$A:$A,0)),"Not Found")</f>
        <v>70.20637954</v>
      </c>
      <c r="Z326" s="28">
        <f>IFERROR(INDEX('Clean Gamification Data'!$I:$I,MATCH($B326,'Clean Gamification Data'!$A:$A,0)),"Not Found")</f>
        <v>50.049317879999997</v>
      </c>
      <c r="AA326" s="28">
        <f>Table1[[#This Row],[Engagement (Gamification %)]]-Table1[[#This Row],[Engagement (Non-Gamification %)]]</f>
        <v>13.17679751</v>
      </c>
      <c r="AB326" s="28">
        <f>Table1[[#This Row],[Motivation (Gamification %)]]-Table1[[#This Row],[Motivation (Non-Gamification %)]]</f>
        <v>3.1052739000000003</v>
      </c>
      <c r="AC326" s="28">
        <f>Table1[[#This Row],[Participation (Gamification %)]]-Table1[[#This Row],[Participation (Non-Gamification %)]]</f>
        <v>-0.92513854999999978</v>
      </c>
      <c r="AD326" s="28">
        <f>Table1[[#This Row],[Learning Outcomes (Gamification %)]]-Table1[[#This Row],[Learning Outcomes (Non-Gamification %)]]</f>
        <v>20.157061660000004</v>
      </c>
      <c r="AE326" s="44" t="str">
        <f>IF(Table1[[#This Row],[Overall Effectiveness]]&lt;3.9,"Low",IF(Table1[[#This Row],[Overall Effectiveness]]&lt;4.2,"Medium","High"))</f>
        <v>High</v>
      </c>
      <c r="AF326" s="30" t="str">
        <f t="shared" si="34"/>
        <v>Experiments</v>
      </c>
      <c r="AG326" s="30" t="str">
        <f t="shared" si="35"/>
        <v>Experiments</v>
      </c>
      <c r="AH326" s="27">
        <f>COUNTIF(Teacher_Master!$D$2:$D$16,AF326)</f>
        <v>3</v>
      </c>
      <c r="AI326" s="30" t="str">
        <f>INDEX(Teacher_Master!$B$2:$B$16,MATCH(AF326,Teacher_Master!$D$2:$D$16,0))</f>
        <v>Prof. Rahul Singh</v>
      </c>
    </row>
    <row r="327" spans="1:35" ht="14.25" customHeight="1" x14ac:dyDescent="0.3">
      <c r="A327" s="31" t="s">
        <v>674</v>
      </c>
      <c r="B327" s="31" t="s">
        <v>2309</v>
      </c>
      <c r="C327" s="31" t="s">
        <v>2881</v>
      </c>
      <c r="D327" s="12">
        <f t="shared" ca="1" si="30"/>
        <v>23</v>
      </c>
      <c r="E327" s="12" t="str">
        <f ca="1">IF(Table1[[#This Row],[Age]]&lt;=22,"20-22",IF(Table1[[#This Row],[Age]]&lt;=25,"23-25",IF(Table1[[#This Row],[Age]]&lt;=28,"26-28","29-30")))</f>
        <v>23-25</v>
      </c>
      <c r="F327" s="12">
        <v>4.45</v>
      </c>
      <c r="G327" s="12">
        <v>4.16</v>
      </c>
      <c r="H327" s="12">
        <v>3.73</v>
      </c>
      <c r="I327" s="12">
        <v>4.3</v>
      </c>
      <c r="J327" s="12">
        <v>4.24</v>
      </c>
      <c r="K327" s="12">
        <v>4.16</v>
      </c>
      <c r="L327" s="12">
        <v>4.0199999999999996</v>
      </c>
      <c r="M327" s="12">
        <v>3.54</v>
      </c>
      <c r="N327" s="12">
        <v>4.22</v>
      </c>
      <c r="O327" s="12">
        <v>4.7300000000000004</v>
      </c>
      <c r="P327" s="12">
        <f t="shared" si="31"/>
        <v>4.1760000000000002</v>
      </c>
      <c r="Q327" s="12">
        <f t="shared" si="32"/>
        <v>4.18</v>
      </c>
      <c r="R327" s="12">
        <f t="shared" si="33"/>
        <v>4.1339999999999995</v>
      </c>
      <c r="S327" s="28">
        <f>IFERROR(INDEX('Clean Gamification Data'!$B:$B,MATCH($B327,'Clean Gamification Data'!$A:$A,0)),"Not Found")</f>
        <v>77.64787303</v>
      </c>
      <c r="T327" s="28">
        <f>IFERROR(INDEX('Clean Gamification Data'!$C:$C,MATCH($B327,'Clean Gamification Data'!$A:$A,0)),"Not Found")</f>
        <v>63.103698039999998</v>
      </c>
      <c r="U327" s="28">
        <f>IFERROR(INDEX('Clean Gamification Data'!$D:$D,MATCH($B327,'Clean Gamification Data'!$A:$A,0)),"Not Found")</f>
        <v>85.353317450000006</v>
      </c>
      <c r="V327" s="28">
        <f>IFERROR(INDEX('Clean Gamification Data'!$E:$E,MATCH($B327,'Clean Gamification Data'!$A:$A,0)),"Not Found")</f>
        <v>66.414649690000005</v>
      </c>
      <c r="W327" s="28">
        <f>IFERROR(INDEX('Clean Gamification Data'!$F:$F,MATCH($B327,'Clean Gamification Data'!$A:$A,0)),"Not Found")</f>
        <v>97.247862600000005</v>
      </c>
      <c r="X327" s="28">
        <f>IFERROR(INDEX('Clean Gamification Data'!$G:$G,MATCH($B327,'Clean Gamification Data'!$A:$A,0)),"Not Found")</f>
        <v>78.727207849999999</v>
      </c>
      <c r="Y327" s="28">
        <f>IFERROR(INDEX('Clean Gamification Data'!$H:$H,MATCH($B327,'Clean Gamification Data'!$A:$A,0)),"Not Found")</f>
        <v>77.289288740000003</v>
      </c>
      <c r="Z327" s="28">
        <f>IFERROR(INDEX('Clean Gamification Data'!$I:$I,MATCH($B327,'Clean Gamification Data'!$A:$A,0)),"Not Found")</f>
        <v>54.803252440000001</v>
      </c>
      <c r="AA327" s="28">
        <f>Table1[[#This Row],[Engagement (Gamification %)]]-Table1[[#This Row],[Engagement (Non-Gamification %)]]</f>
        <v>14.544174990000002</v>
      </c>
      <c r="AB327" s="28">
        <f>Table1[[#This Row],[Motivation (Gamification %)]]-Table1[[#This Row],[Motivation (Non-Gamification %)]]</f>
        <v>18.938667760000001</v>
      </c>
      <c r="AC327" s="28">
        <f>Table1[[#This Row],[Participation (Gamification %)]]-Table1[[#This Row],[Participation (Non-Gamification %)]]</f>
        <v>18.520654750000006</v>
      </c>
      <c r="AD327" s="28">
        <f>Table1[[#This Row],[Learning Outcomes (Gamification %)]]-Table1[[#This Row],[Learning Outcomes (Non-Gamification %)]]</f>
        <v>22.486036300000002</v>
      </c>
      <c r="AE327" s="44" t="str">
        <f>IF(Table1[[#This Row],[Overall Effectiveness]]&lt;3.9,"Low",IF(Table1[[#This Row],[Overall Effectiveness]]&lt;4.2,"Medium","High"))</f>
        <v>Medium</v>
      </c>
      <c r="AF327" s="30" t="str">
        <f t="shared" si="34"/>
        <v>Lectures</v>
      </c>
      <c r="AG327" s="30" t="str">
        <f t="shared" si="35"/>
        <v>Online Tutorials</v>
      </c>
      <c r="AH327" s="27">
        <f>COUNTIF(Teacher_Master!$D$2:$D$16,AF327)</f>
        <v>3</v>
      </c>
      <c r="AI327" s="30" t="str">
        <f>INDEX(Teacher_Master!$B$2:$B$16,MATCH(AF327,Teacher_Master!$D$2:$D$16,0))</f>
        <v>Prof. Vikram Gupta</v>
      </c>
    </row>
    <row r="328" spans="1:35" ht="14.25" customHeight="1" x14ac:dyDescent="0.3">
      <c r="A328" s="31" t="s">
        <v>676</v>
      </c>
      <c r="B328" s="31" t="s">
        <v>2310</v>
      </c>
      <c r="C328" s="31" t="s">
        <v>2881</v>
      </c>
      <c r="D328" s="12">
        <f t="shared" ca="1" si="30"/>
        <v>26</v>
      </c>
      <c r="E328" s="12" t="str">
        <f ca="1">IF(Table1[[#This Row],[Age]]&lt;=22,"20-22",IF(Table1[[#This Row],[Age]]&lt;=25,"23-25",IF(Table1[[#This Row],[Age]]&lt;=28,"26-28","29-30")))</f>
        <v>26-28</v>
      </c>
      <c r="F328" s="12">
        <v>4.17</v>
      </c>
      <c r="G328" s="12" t="s">
        <v>211</v>
      </c>
      <c r="H328" s="12" t="s">
        <v>211</v>
      </c>
      <c r="I328" s="12">
        <v>3.87</v>
      </c>
      <c r="J328" s="12">
        <v>4.29</v>
      </c>
      <c r="K328" s="12" t="s">
        <v>211</v>
      </c>
      <c r="L328" s="12">
        <v>4.42</v>
      </c>
      <c r="M328" s="12">
        <v>3.55</v>
      </c>
      <c r="N328" s="12">
        <v>4.99</v>
      </c>
      <c r="O328" s="12">
        <v>3.63</v>
      </c>
      <c r="P328" s="12">
        <f t="shared" si="31"/>
        <v>4.1099999999999994</v>
      </c>
      <c r="Q328" s="12">
        <f t="shared" si="32"/>
        <v>4.1100000000000003</v>
      </c>
      <c r="R328" s="12">
        <f t="shared" si="33"/>
        <v>4.1475</v>
      </c>
      <c r="S328" s="28">
        <f>IFERROR(INDEX('Clean Gamification Data'!$B:$B,MATCH($B328,'Clean Gamification Data'!$A:$A,0)),"Not Found")</f>
        <v>93.198522299999993</v>
      </c>
      <c r="T328" s="28">
        <f>IFERROR(INDEX('Clean Gamification Data'!$C:$C,MATCH($B328,'Clean Gamification Data'!$A:$A,0)),"Not Found")</f>
        <v>74.393271310000003</v>
      </c>
      <c r="U328" s="28">
        <f>IFERROR(INDEX('Clean Gamification Data'!$D:$D,MATCH($B328,'Clean Gamification Data'!$A:$A,0)),"Not Found")</f>
        <v>72.386188739999994</v>
      </c>
      <c r="V328" s="28">
        <f>IFERROR(INDEX('Clean Gamification Data'!$E:$E,MATCH($B328,'Clean Gamification Data'!$A:$A,0)),"Not Found")</f>
        <v>63.815242130000001</v>
      </c>
      <c r="W328" s="28">
        <f>IFERROR(INDEX('Clean Gamification Data'!$F:$F,MATCH($B328,'Clean Gamification Data'!$A:$A,0)),"Not Found")</f>
        <v>93.227458760000005</v>
      </c>
      <c r="X328" s="28">
        <f>IFERROR(INDEX('Clean Gamification Data'!$G:$G,MATCH($B328,'Clean Gamification Data'!$A:$A,0)),"Not Found")</f>
        <v>76.741547240000003</v>
      </c>
      <c r="Y328" s="28">
        <f>IFERROR(INDEX('Clean Gamification Data'!$H:$H,MATCH($B328,'Clean Gamification Data'!$A:$A,0)),"Not Found")</f>
        <v>70.426329980000006</v>
      </c>
      <c r="Z328" s="28">
        <f>IFERROR(INDEX('Clean Gamification Data'!$I:$I,MATCH($B328,'Clean Gamification Data'!$A:$A,0)),"Not Found")</f>
        <v>64.588370949999998</v>
      </c>
      <c r="AA328" s="28">
        <f>Table1[[#This Row],[Engagement (Gamification %)]]-Table1[[#This Row],[Engagement (Non-Gamification %)]]</f>
        <v>18.80525098999999</v>
      </c>
      <c r="AB328" s="28">
        <f>Table1[[#This Row],[Motivation (Gamification %)]]-Table1[[#This Row],[Motivation (Non-Gamification %)]]</f>
        <v>8.5709466099999929</v>
      </c>
      <c r="AC328" s="28">
        <f>Table1[[#This Row],[Participation (Gamification %)]]-Table1[[#This Row],[Participation (Non-Gamification %)]]</f>
        <v>16.485911520000002</v>
      </c>
      <c r="AD328" s="28">
        <f>Table1[[#This Row],[Learning Outcomes (Gamification %)]]-Table1[[#This Row],[Learning Outcomes (Non-Gamification %)]]</f>
        <v>5.8379590300000075</v>
      </c>
      <c r="AE328" s="44" t="str">
        <f>IF(Table1[[#This Row],[Overall Effectiveness]]&lt;3.9,"Low",IF(Table1[[#This Row],[Overall Effectiveness]]&lt;4.2,"Medium","High"))</f>
        <v>Medium</v>
      </c>
      <c r="AF328" s="30" t="str">
        <f t="shared" si="34"/>
        <v>Online Tutorials</v>
      </c>
      <c r="AG328" s="30" t="str">
        <f t="shared" si="35"/>
        <v>Experiments</v>
      </c>
      <c r="AH328" s="27">
        <f>COUNTIF(Teacher_Master!$D$2:$D$16,AF328)</f>
        <v>3</v>
      </c>
      <c r="AI328" s="30" t="str">
        <f>INDEX(Teacher_Master!$B$2:$B$16,MATCH(AF328,Teacher_Master!$D$2:$D$16,0))</f>
        <v>Prof. Kavita Rao</v>
      </c>
    </row>
    <row r="329" spans="1:35" ht="14.25" customHeight="1" x14ac:dyDescent="0.3">
      <c r="A329" s="31" t="s">
        <v>678</v>
      </c>
      <c r="B329" s="31" t="s">
        <v>2311</v>
      </c>
      <c r="C329" s="31" t="s">
        <v>2881</v>
      </c>
      <c r="D329" s="12">
        <f t="shared" ca="1" si="30"/>
        <v>28</v>
      </c>
      <c r="E329" s="12" t="str">
        <f ca="1">IF(Table1[[#This Row],[Age]]&lt;=22,"20-22",IF(Table1[[#This Row],[Age]]&lt;=25,"23-25",IF(Table1[[#This Row],[Age]]&lt;=28,"26-28","29-30")))</f>
        <v>26-28</v>
      </c>
      <c r="F329" s="12">
        <v>4.0199999999999996</v>
      </c>
      <c r="G329" s="12">
        <v>4.17</v>
      </c>
      <c r="H329" s="12">
        <v>4.47</v>
      </c>
      <c r="I329" s="12">
        <v>4.3499999999999996</v>
      </c>
      <c r="J329" s="12">
        <v>3.76</v>
      </c>
      <c r="K329" s="12">
        <v>4.07</v>
      </c>
      <c r="L329" s="12">
        <v>4.37</v>
      </c>
      <c r="M329" s="12">
        <v>4.3899999999999997</v>
      </c>
      <c r="N329" s="12">
        <v>4.41</v>
      </c>
      <c r="O329" s="12">
        <v>4.3099999999999996</v>
      </c>
      <c r="P329" s="12">
        <f t="shared" si="31"/>
        <v>4.153999999999999</v>
      </c>
      <c r="Q329" s="12">
        <f t="shared" si="32"/>
        <v>4.1500000000000004</v>
      </c>
      <c r="R329" s="12">
        <f t="shared" si="33"/>
        <v>4.3100000000000005</v>
      </c>
      <c r="S329" s="28">
        <f>IFERROR(INDEX('Clean Gamification Data'!$B:$B,MATCH($B329,'Clean Gamification Data'!$A:$A,0)),"Not Found")</f>
        <v>78.523711860000006</v>
      </c>
      <c r="T329" s="28">
        <f>IFERROR(INDEX('Clean Gamification Data'!$C:$C,MATCH($B329,'Clean Gamification Data'!$A:$A,0)),"Not Found")</f>
        <v>62.49296734</v>
      </c>
      <c r="U329" s="28">
        <f>IFERROR(INDEX('Clean Gamification Data'!$D:$D,MATCH($B329,'Clean Gamification Data'!$A:$A,0)),"Not Found")</f>
        <v>74.145977450000004</v>
      </c>
      <c r="V329" s="28">
        <f>IFERROR(INDEX('Clean Gamification Data'!$E:$E,MATCH($B329,'Clean Gamification Data'!$A:$A,0)),"Not Found")</f>
        <v>73.417568500000002</v>
      </c>
      <c r="W329" s="28">
        <f>IFERROR(INDEX('Clean Gamification Data'!$F:$F,MATCH($B329,'Clean Gamification Data'!$A:$A,0)),"Not Found")</f>
        <v>90.238756570000007</v>
      </c>
      <c r="X329" s="28">
        <f>IFERROR(INDEX('Clean Gamification Data'!$G:$G,MATCH($B329,'Clean Gamification Data'!$A:$A,0)),"Not Found")</f>
        <v>79.544545819999996</v>
      </c>
      <c r="Y329" s="28">
        <f>IFERROR(INDEX('Clean Gamification Data'!$H:$H,MATCH($B329,'Clean Gamification Data'!$A:$A,0)),"Not Found")</f>
        <v>74.691284269999997</v>
      </c>
      <c r="Z329" s="28">
        <f>IFERROR(INDEX('Clean Gamification Data'!$I:$I,MATCH($B329,'Clean Gamification Data'!$A:$A,0)),"Not Found")</f>
        <v>66.106093540000003</v>
      </c>
      <c r="AA329" s="28">
        <f>Table1[[#This Row],[Engagement (Gamification %)]]-Table1[[#This Row],[Engagement (Non-Gamification %)]]</f>
        <v>16.030744520000006</v>
      </c>
      <c r="AB329" s="28">
        <f>Table1[[#This Row],[Motivation (Gamification %)]]-Table1[[#This Row],[Motivation (Non-Gamification %)]]</f>
        <v>0.72840895000000216</v>
      </c>
      <c r="AC329" s="28">
        <f>Table1[[#This Row],[Participation (Gamification %)]]-Table1[[#This Row],[Participation (Non-Gamification %)]]</f>
        <v>10.694210750000011</v>
      </c>
      <c r="AD329" s="28">
        <f>Table1[[#This Row],[Learning Outcomes (Gamification %)]]-Table1[[#This Row],[Learning Outcomes (Non-Gamification %)]]</f>
        <v>8.5851907299999937</v>
      </c>
      <c r="AE329" s="44" t="str">
        <f>IF(Table1[[#This Row],[Overall Effectiveness]]&lt;3.9,"Low",IF(Table1[[#This Row],[Overall Effectiveness]]&lt;4.2,"Medium","High"))</f>
        <v>Medium</v>
      </c>
      <c r="AF329" s="30" t="str">
        <f t="shared" si="34"/>
        <v>Group Projects</v>
      </c>
      <c r="AG329" s="30" t="str">
        <f t="shared" si="35"/>
        <v>Experiments</v>
      </c>
      <c r="AH329" s="27">
        <f>COUNTIF(Teacher_Master!$D$2:$D$16,AF329)</f>
        <v>3</v>
      </c>
      <c r="AI329" s="30" t="str">
        <f>INDEX(Teacher_Master!$B$2:$B$16,MATCH(AF329,Teacher_Master!$D$2:$D$16,0))</f>
        <v>Dr. Rohan Dutta</v>
      </c>
    </row>
    <row r="330" spans="1:35" ht="14.25" customHeight="1" x14ac:dyDescent="0.3">
      <c r="A330" s="31" t="s">
        <v>680</v>
      </c>
      <c r="B330" s="31" t="s">
        <v>2312</v>
      </c>
      <c r="C330" s="31" t="s">
        <v>2882</v>
      </c>
      <c r="D330" s="12">
        <f t="shared" ca="1" si="30"/>
        <v>22</v>
      </c>
      <c r="E330" s="12" t="str">
        <f ca="1">IF(Table1[[#This Row],[Age]]&lt;=22,"20-22",IF(Table1[[#This Row],[Age]]&lt;=25,"23-25",IF(Table1[[#This Row],[Age]]&lt;=28,"26-28","29-30")))</f>
        <v>20-22</v>
      </c>
      <c r="F330" s="12">
        <v>3.77</v>
      </c>
      <c r="G330" s="12">
        <v>4.08</v>
      </c>
      <c r="H330" s="12">
        <v>3.78</v>
      </c>
      <c r="I330" s="12">
        <v>3.64</v>
      </c>
      <c r="J330" s="12">
        <v>4.29</v>
      </c>
      <c r="K330" s="12">
        <v>4.3899999999999997</v>
      </c>
      <c r="L330" s="12">
        <v>4.34</v>
      </c>
      <c r="M330" s="12">
        <v>3.29</v>
      </c>
      <c r="N330" s="12">
        <v>4.1900000000000004</v>
      </c>
      <c r="O330" s="12">
        <v>4.29</v>
      </c>
      <c r="P330" s="12">
        <f t="shared" si="31"/>
        <v>3.9119999999999999</v>
      </c>
      <c r="Q330" s="12">
        <f t="shared" si="32"/>
        <v>3.91</v>
      </c>
      <c r="R330" s="12">
        <f t="shared" si="33"/>
        <v>4.0999999999999996</v>
      </c>
      <c r="S330" s="28">
        <f>IFERROR(INDEX('Clean Gamification Data'!$B:$B,MATCH($B330,'Clean Gamification Data'!$A:$A,0)),"Not Found")</f>
        <v>79.979293029999994</v>
      </c>
      <c r="T330" s="28">
        <f>IFERROR(INDEX('Clean Gamification Data'!$C:$C,MATCH($B330,'Clean Gamification Data'!$A:$A,0)),"Not Found")</f>
        <v>68.422185299999995</v>
      </c>
      <c r="U330" s="28">
        <f>IFERROR(INDEX('Clean Gamification Data'!$D:$D,MATCH($B330,'Clean Gamification Data'!$A:$A,0)),"Not Found")</f>
        <v>83.835201549999994</v>
      </c>
      <c r="V330" s="28">
        <f>IFERROR(INDEX('Clean Gamification Data'!$E:$E,MATCH($B330,'Clean Gamification Data'!$A:$A,0)),"Not Found")</f>
        <v>61.314793180000002</v>
      </c>
      <c r="W330" s="28">
        <f>IFERROR(INDEX('Clean Gamification Data'!$F:$F,MATCH($B330,'Clean Gamification Data'!$A:$A,0)),"Not Found")</f>
        <v>85.198664249999993</v>
      </c>
      <c r="X330" s="28">
        <f>IFERROR(INDEX('Clean Gamification Data'!$G:$G,MATCH($B330,'Clean Gamification Data'!$A:$A,0)),"Not Found")</f>
        <v>82.416149899999994</v>
      </c>
      <c r="Y330" s="28">
        <f>IFERROR(INDEX('Clean Gamification Data'!$H:$H,MATCH($B330,'Clean Gamification Data'!$A:$A,0)),"Not Found")</f>
        <v>73.283662219999997</v>
      </c>
      <c r="Z330" s="28">
        <f>IFERROR(INDEX('Clean Gamification Data'!$I:$I,MATCH($B330,'Clean Gamification Data'!$A:$A,0)),"Not Found")</f>
        <v>54.714925149999999</v>
      </c>
      <c r="AA330" s="28">
        <f>Table1[[#This Row],[Engagement (Gamification %)]]-Table1[[#This Row],[Engagement (Non-Gamification %)]]</f>
        <v>11.557107729999998</v>
      </c>
      <c r="AB330" s="28">
        <f>Table1[[#This Row],[Motivation (Gamification %)]]-Table1[[#This Row],[Motivation (Non-Gamification %)]]</f>
        <v>22.520408369999991</v>
      </c>
      <c r="AC330" s="28">
        <f>Table1[[#This Row],[Participation (Gamification %)]]-Table1[[#This Row],[Participation (Non-Gamification %)]]</f>
        <v>2.7825143499999996</v>
      </c>
      <c r="AD330" s="28">
        <f>Table1[[#This Row],[Learning Outcomes (Gamification %)]]-Table1[[#This Row],[Learning Outcomes (Non-Gamification %)]]</f>
        <v>18.568737069999997</v>
      </c>
      <c r="AE330" s="44" t="str">
        <f>IF(Table1[[#This Row],[Overall Effectiveness]]&lt;3.9,"Low",IF(Table1[[#This Row],[Overall Effectiveness]]&lt;4.2,"Medium","High"))</f>
        <v>Medium</v>
      </c>
      <c r="AF330" s="30" t="str">
        <f t="shared" si="34"/>
        <v>Online Tutorials</v>
      </c>
      <c r="AG330" s="30" t="str">
        <f t="shared" si="35"/>
        <v>Lectures</v>
      </c>
      <c r="AH330" s="27">
        <f>COUNTIF(Teacher_Master!$D$2:$D$16,AF330)</f>
        <v>3</v>
      </c>
      <c r="AI330" s="30" t="str">
        <f>INDEX(Teacher_Master!$B$2:$B$16,MATCH(AF330,Teacher_Master!$D$2:$D$16,0))</f>
        <v>Prof. Kavita Rao</v>
      </c>
    </row>
    <row r="331" spans="1:35" ht="14.25" customHeight="1" x14ac:dyDescent="0.3">
      <c r="A331" s="31" t="s">
        <v>682</v>
      </c>
      <c r="B331" s="31" t="s">
        <v>2313</v>
      </c>
      <c r="C331" s="31" t="s">
        <v>2881</v>
      </c>
      <c r="D331" s="12">
        <f t="shared" ca="1" si="30"/>
        <v>20</v>
      </c>
      <c r="E331" s="12" t="str">
        <f ca="1">IF(Table1[[#This Row],[Age]]&lt;=22,"20-22",IF(Table1[[#This Row],[Age]]&lt;=25,"23-25",IF(Table1[[#This Row],[Age]]&lt;=28,"26-28","29-30")))</f>
        <v>20-22</v>
      </c>
      <c r="F331" s="12">
        <v>4</v>
      </c>
      <c r="G331" s="12">
        <v>4.3499999999999996</v>
      </c>
      <c r="H331" s="12">
        <v>3.93</v>
      </c>
      <c r="I331" s="12">
        <v>3.79</v>
      </c>
      <c r="J331" s="12">
        <v>3.71</v>
      </c>
      <c r="K331" s="12">
        <v>4.09</v>
      </c>
      <c r="L331" s="12">
        <v>4.1100000000000003</v>
      </c>
      <c r="M331" s="12">
        <v>3.68</v>
      </c>
      <c r="N331" s="12">
        <v>4.41</v>
      </c>
      <c r="O331" s="12">
        <v>4.34</v>
      </c>
      <c r="P331" s="12">
        <f t="shared" si="31"/>
        <v>3.9560000000000004</v>
      </c>
      <c r="Q331" s="12">
        <f t="shared" si="32"/>
        <v>3.96</v>
      </c>
      <c r="R331" s="12">
        <f t="shared" si="33"/>
        <v>4.1259999999999994</v>
      </c>
      <c r="S331" s="28">
        <f>IFERROR(INDEX('Clean Gamification Data'!$B:$B,MATCH($B331,'Clean Gamification Data'!$A:$A,0)),"Not Found")</f>
        <v>81.555146140000005</v>
      </c>
      <c r="T331" s="28">
        <f>IFERROR(INDEX('Clean Gamification Data'!$C:$C,MATCH($B331,'Clean Gamification Data'!$A:$A,0)),"Not Found")</f>
        <v>64.712481729999993</v>
      </c>
      <c r="U331" s="28">
        <f>IFERROR(INDEX('Clean Gamification Data'!$D:$D,MATCH($B331,'Clean Gamification Data'!$A:$A,0)),"Not Found")</f>
        <v>74.685562669999996</v>
      </c>
      <c r="V331" s="28">
        <f>IFERROR(INDEX('Clean Gamification Data'!$E:$E,MATCH($B331,'Clean Gamification Data'!$A:$A,0)),"Not Found")</f>
        <v>59.17688845</v>
      </c>
      <c r="W331" s="28">
        <f>IFERROR(INDEX('Clean Gamification Data'!$F:$F,MATCH($B331,'Clean Gamification Data'!$A:$A,0)),"Not Found")</f>
        <v>96.877918739999998</v>
      </c>
      <c r="X331" s="28">
        <f>IFERROR(INDEX('Clean Gamification Data'!$G:$G,MATCH($B331,'Clean Gamification Data'!$A:$A,0)),"Not Found")</f>
        <v>83.345870529999999</v>
      </c>
      <c r="Y331" s="28">
        <f>IFERROR(INDEX('Clean Gamification Data'!$H:$H,MATCH($B331,'Clean Gamification Data'!$A:$A,0)),"Not Found")</f>
        <v>74.180375990000002</v>
      </c>
      <c r="Z331" s="28">
        <f>IFERROR(INDEX('Clean Gamification Data'!$I:$I,MATCH($B331,'Clean Gamification Data'!$A:$A,0)),"Not Found")</f>
        <v>61.069768510000003</v>
      </c>
      <c r="AA331" s="28">
        <f>Table1[[#This Row],[Engagement (Gamification %)]]-Table1[[#This Row],[Engagement (Non-Gamification %)]]</f>
        <v>16.842664410000012</v>
      </c>
      <c r="AB331" s="28">
        <f>Table1[[#This Row],[Motivation (Gamification %)]]-Table1[[#This Row],[Motivation (Non-Gamification %)]]</f>
        <v>15.508674219999996</v>
      </c>
      <c r="AC331" s="28">
        <f>Table1[[#This Row],[Participation (Gamification %)]]-Table1[[#This Row],[Participation (Non-Gamification %)]]</f>
        <v>13.532048209999999</v>
      </c>
      <c r="AD331" s="28">
        <f>Table1[[#This Row],[Learning Outcomes (Gamification %)]]-Table1[[#This Row],[Learning Outcomes (Non-Gamification %)]]</f>
        <v>13.110607479999999</v>
      </c>
      <c r="AE331" s="44" t="str">
        <f>IF(Table1[[#This Row],[Overall Effectiveness]]&lt;3.9,"Low",IF(Table1[[#This Row],[Overall Effectiveness]]&lt;4.2,"Medium","High"))</f>
        <v>Medium</v>
      </c>
      <c r="AF331" s="30" t="str">
        <f t="shared" si="34"/>
        <v>Case Studies</v>
      </c>
      <c r="AG331" s="30" t="str">
        <f t="shared" si="35"/>
        <v>Experiments</v>
      </c>
      <c r="AH331" s="27">
        <f>COUNTIF(Teacher_Master!$D$2:$D$16,AF331)</f>
        <v>3</v>
      </c>
      <c r="AI331" s="30" t="str">
        <f>INDEX(Teacher_Master!$B$2:$B$16,MATCH(AF331,Teacher_Master!$D$2:$D$16,0))</f>
        <v>Prof. Rajesh Mukherjee</v>
      </c>
    </row>
    <row r="332" spans="1:35" ht="14.25" customHeight="1" x14ac:dyDescent="0.3">
      <c r="A332" s="31" t="s">
        <v>684</v>
      </c>
      <c r="B332" s="31" t="s">
        <v>2314</v>
      </c>
      <c r="C332" s="31" t="s">
        <v>2882</v>
      </c>
      <c r="D332" s="12">
        <f t="shared" ca="1" si="30"/>
        <v>30</v>
      </c>
      <c r="E332" s="12" t="str">
        <f ca="1">IF(Table1[[#This Row],[Age]]&lt;=22,"20-22",IF(Table1[[#This Row],[Age]]&lt;=25,"23-25",IF(Table1[[#This Row],[Age]]&lt;=28,"26-28","29-30")))</f>
        <v>29-30</v>
      </c>
      <c r="F332" s="12">
        <v>4.16</v>
      </c>
      <c r="G332" s="12">
        <v>3.91</v>
      </c>
      <c r="H332" s="12">
        <v>3.81</v>
      </c>
      <c r="I332" s="12">
        <v>3.99</v>
      </c>
      <c r="J332" s="12">
        <v>4.1500000000000004</v>
      </c>
      <c r="K332" s="12">
        <v>3.97</v>
      </c>
      <c r="L332" s="12">
        <v>4.1100000000000003</v>
      </c>
      <c r="M332" s="12">
        <v>4.08</v>
      </c>
      <c r="N332" s="12">
        <v>3.97</v>
      </c>
      <c r="O332" s="12">
        <v>4.05</v>
      </c>
      <c r="P332" s="12">
        <f t="shared" si="31"/>
        <v>4.0040000000000004</v>
      </c>
      <c r="Q332" s="12">
        <f t="shared" si="32"/>
        <v>4</v>
      </c>
      <c r="R332" s="12">
        <f t="shared" si="33"/>
        <v>4.0359999999999996</v>
      </c>
      <c r="S332" s="28">
        <f>IFERROR(INDEX('Clean Gamification Data'!$B:$B,MATCH($B332,'Clean Gamification Data'!$A:$A,0)),"Not Found")</f>
        <v>90.227442310000001</v>
      </c>
      <c r="T332" s="28">
        <f>IFERROR(INDEX('Clean Gamification Data'!$C:$C,MATCH($B332,'Clean Gamification Data'!$A:$A,0)),"Not Found")</f>
        <v>66.414161429999993</v>
      </c>
      <c r="U332" s="28">
        <f>IFERROR(INDEX('Clean Gamification Data'!$D:$D,MATCH($B332,'Clean Gamification Data'!$A:$A,0)),"Not Found")</f>
        <v>76.003208970000003</v>
      </c>
      <c r="V332" s="28">
        <f>IFERROR(INDEX('Clean Gamification Data'!$E:$E,MATCH($B332,'Clean Gamification Data'!$A:$A,0)),"Not Found")</f>
        <v>72.697826559999996</v>
      </c>
      <c r="W332" s="28">
        <f>IFERROR(INDEX('Clean Gamification Data'!$F:$F,MATCH($B332,'Clean Gamification Data'!$A:$A,0)),"Not Found")</f>
        <v>82.621769209999997</v>
      </c>
      <c r="X332" s="28">
        <f>IFERROR(INDEX('Clean Gamification Data'!$G:$G,MATCH($B332,'Clean Gamification Data'!$A:$A,0)),"Not Found")</f>
        <v>75.507743079999997</v>
      </c>
      <c r="Y332" s="28">
        <f>IFERROR(INDEX('Clean Gamification Data'!$H:$H,MATCH($B332,'Clean Gamification Data'!$A:$A,0)),"Not Found")</f>
        <v>77.315715780000005</v>
      </c>
      <c r="Z332" s="28">
        <f>IFERROR(INDEX('Clean Gamification Data'!$I:$I,MATCH($B332,'Clean Gamification Data'!$A:$A,0)),"Not Found")</f>
        <v>57.240333290000002</v>
      </c>
      <c r="AA332" s="28">
        <f>Table1[[#This Row],[Engagement (Gamification %)]]-Table1[[#This Row],[Engagement (Non-Gamification %)]]</f>
        <v>23.813280880000008</v>
      </c>
      <c r="AB332" s="28">
        <f>Table1[[#This Row],[Motivation (Gamification %)]]-Table1[[#This Row],[Motivation (Non-Gamification %)]]</f>
        <v>3.3053824100000071</v>
      </c>
      <c r="AC332" s="28">
        <f>Table1[[#This Row],[Participation (Gamification %)]]-Table1[[#This Row],[Participation (Non-Gamification %)]]</f>
        <v>7.1140261299999992</v>
      </c>
      <c r="AD332" s="28">
        <f>Table1[[#This Row],[Learning Outcomes (Gamification %)]]-Table1[[#This Row],[Learning Outcomes (Non-Gamification %)]]</f>
        <v>20.075382490000003</v>
      </c>
      <c r="AE332" s="44" t="str">
        <f>IF(Table1[[#This Row],[Overall Effectiveness]]&lt;3.9,"Low",IF(Table1[[#This Row],[Overall Effectiveness]]&lt;4.2,"Medium","High"))</f>
        <v>Medium</v>
      </c>
      <c r="AF332" s="30" t="str">
        <f t="shared" si="34"/>
        <v>Lectures</v>
      </c>
      <c r="AG332" s="30" t="str">
        <f t="shared" si="35"/>
        <v>Case Studies</v>
      </c>
      <c r="AH332" s="27">
        <f>COUNTIF(Teacher_Master!$D$2:$D$16,AF332)</f>
        <v>3</v>
      </c>
      <c r="AI332" s="30" t="str">
        <f>INDEX(Teacher_Master!$B$2:$B$16,MATCH(AF332,Teacher_Master!$D$2:$D$16,0))</f>
        <v>Prof. Vikram Gupta</v>
      </c>
    </row>
    <row r="333" spans="1:35" ht="14.25" customHeight="1" x14ac:dyDescent="0.3">
      <c r="A333" s="31" t="s">
        <v>686</v>
      </c>
      <c r="B333" s="31" t="s">
        <v>2315</v>
      </c>
      <c r="C333" s="31" t="s">
        <v>2882</v>
      </c>
      <c r="D333" s="12">
        <f t="shared" ca="1" si="30"/>
        <v>30</v>
      </c>
      <c r="E333" s="12" t="str">
        <f ca="1">IF(Table1[[#This Row],[Age]]&lt;=22,"20-22",IF(Table1[[#This Row],[Age]]&lt;=25,"23-25",IF(Table1[[#This Row],[Age]]&lt;=28,"26-28","29-30")))</f>
        <v>29-30</v>
      </c>
      <c r="F333" s="12">
        <v>4.08</v>
      </c>
      <c r="G333" s="12">
        <v>3.83</v>
      </c>
      <c r="H333" s="12" t="s">
        <v>211</v>
      </c>
      <c r="I333" s="12">
        <v>4.1100000000000003</v>
      </c>
      <c r="J333" s="12">
        <v>4.3600000000000003</v>
      </c>
      <c r="K333" s="12">
        <v>3.8</v>
      </c>
      <c r="L333" s="12">
        <v>3.95</v>
      </c>
      <c r="M333" s="12">
        <v>3.9</v>
      </c>
      <c r="N333" s="12">
        <v>3.52</v>
      </c>
      <c r="O333" s="12">
        <v>4.47</v>
      </c>
      <c r="P333" s="12">
        <f t="shared" si="31"/>
        <v>4.0949999999999998</v>
      </c>
      <c r="Q333" s="12">
        <f t="shared" si="32"/>
        <v>4.0999999999999996</v>
      </c>
      <c r="R333" s="12">
        <f t="shared" si="33"/>
        <v>3.9279999999999999</v>
      </c>
      <c r="S333" s="28">
        <f>IFERROR(INDEX('Clean Gamification Data'!$B:$B,MATCH($B333,'Clean Gamification Data'!$A:$A,0)),"Not Found")</f>
        <v>77.247486879999997</v>
      </c>
      <c r="T333" s="28">
        <f>IFERROR(INDEX('Clean Gamification Data'!$C:$C,MATCH($B333,'Clean Gamification Data'!$A:$A,0)),"Not Found")</f>
        <v>71.036313050000004</v>
      </c>
      <c r="U333" s="28">
        <f>IFERROR(INDEX('Clean Gamification Data'!$D:$D,MATCH($B333,'Clean Gamification Data'!$A:$A,0)),"Not Found")</f>
        <v>77.150268429999997</v>
      </c>
      <c r="V333" s="28">
        <f>IFERROR(INDEX('Clean Gamification Data'!$E:$E,MATCH($B333,'Clean Gamification Data'!$A:$A,0)),"Not Found")</f>
        <v>63.459561800000003</v>
      </c>
      <c r="W333" s="28">
        <f>IFERROR(INDEX('Clean Gamification Data'!$F:$F,MATCH($B333,'Clean Gamification Data'!$A:$A,0)),"Not Found")</f>
        <v>80</v>
      </c>
      <c r="X333" s="28">
        <f>IFERROR(INDEX('Clean Gamification Data'!$G:$G,MATCH($B333,'Clean Gamification Data'!$A:$A,0)),"Not Found")</f>
        <v>82.829023039999996</v>
      </c>
      <c r="Y333" s="28">
        <f>IFERROR(INDEX('Clean Gamification Data'!$H:$H,MATCH($B333,'Clean Gamification Data'!$A:$A,0)),"Not Found")</f>
        <v>70.209316819999998</v>
      </c>
      <c r="Z333" s="28">
        <f>IFERROR(INDEX('Clean Gamification Data'!$I:$I,MATCH($B333,'Clean Gamification Data'!$A:$A,0)),"Not Found")</f>
        <v>59.422834950000002</v>
      </c>
      <c r="AA333" s="28">
        <f>Table1[[#This Row],[Engagement (Gamification %)]]-Table1[[#This Row],[Engagement (Non-Gamification %)]]</f>
        <v>6.2111738299999928</v>
      </c>
      <c r="AB333" s="28">
        <f>Table1[[#This Row],[Motivation (Gamification %)]]-Table1[[#This Row],[Motivation (Non-Gamification %)]]</f>
        <v>13.690706629999994</v>
      </c>
      <c r="AC333" s="28">
        <f>Table1[[#This Row],[Participation (Gamification %)]]-Table1[[#This Row],[Participation (Non-Gamification %)]]</f>
        <v>-2.8290230399999956</v>
      </c>
      <c r="AD333" s="28">
        <f>Table1[[#This Row],[Learning Outcomes (Gamification %)]]-Table1[[#This Row],[Learning Outcomes (Non-Gamification %)]]</f>
        <v>10.786481869999996</v>
      </c>
      <c r="AE333" s="44" t="str">
        <f>IF(Table1[[#This Row],[Overall Effectiveness]]&lt;3.9,"Low",IF(Table1[[#This Row],[Overall Effectiveness]]&lt;4.2,"Medium","High"))</f>
        <v>Medium</v>
      </c>
      <c r="AF333" s="30" t="str">
        <f t="shared" si="34"/>
        <v>Online Tutorials</v>
      </c>
      <c r="AG333" s="30" t="str">
        <f t="shared" si="35"/>
        <v>Online Tutorials</v>
      </c>
      <c r="AH333" s="27">
        <f>COUNTIF(Teacher_Master!$D$2:$D$16,AF333)</f>
        <v>3</v>
      </c>
      <c r="AI333" s="30" t="str">
        <f>INDEX(Teacher_Master!$B$2:$B$16,MATCH(AF333,Teacher_Master!$D$2:$D$16,0))</f>
        <v>Prof. Kavita Rao</v>
      </c>
    </row>
    <row r="334" spans="1:35" ht="14.25" customHeight="1" x14ac:dyDescent="0.3">
      <c r="A334" s="31" t="s">
        <v>688</v>
      </c>
      <c r="B334" s="31" t="s">
        <v>2316</v>
      </c>
      <c r="C334" s="31" t="s">
        <v>2882</v>
      </c>
      <c r="D334" s="12">
        <f t="shared" ca="1" si="30"/>
        <v>24</v>
      </c>
      <c r="E334" s="12" t="str">
        <f ca="1">IF(Table1[[#This Row],[Age]]&lt;=22,"20-22",IF(Table1[[#This Row],[Age]]&lt;=25,"23-25",IF(Table1[[#This Row],[Age]]&lt;=28,"26-28","29-30")))</f>
        <v>23-25</v>
      </c>
      <c r="F334" s="12">
        <v>4.3</v>
      </c>
      <c r="G334" s="12">
        <v>4.33</v>
      </c>
      <c r="H334" s="12">
        <v>4.3099999999999996</v>
      </c>
      <c r="I334" s="12">
        <v>4.21</v>
      </c>
      <c r="J334" s="12">
        <v>4.29</v>
      </c>
      <c r="K334" s="12">
        <v>4.07</v>
      </c>
      <c r="L334" s="12">
        <v>4.93</v>
      </c>
      <c r="M334" s="12">
        <v>3.85</v>
      </c>
      <c r="N334" s="12">
        <v>3.83</v>
      </c>
      <c r="O334" s="12">
        <v>3.56</v>
      </c>
      <c r="P334" s="12">
        <f t="shared" si="31"/>
        <v>4.2879999999999994</v>
      </c>
      <c r="Q334" s="12">
        <f t="shared" si="32"/>
        <v>4.29</v>
      </c>
      <c r="R334" s="12">
        <f t="shared" si="33"/>
        <v>4.048</v>
      </c>
      <c r="S334" s="28">
        <f>IFERROR(INDEX('Clean Gamification Data'!$B:$B,MATCH($B334,'Clean Gamification Data'!$A:$A,0)),"Not Found")</f>
        <v>84.374158089999995</v>
      </c>
      <c r="T334" s="28">
        <f>IFERROR(INDEX('Clean Gamification Data'!$C:$C,MATCH($B334,'Clean Gamification Data'!$A:$A,0)),"Not Found")</f>
        <v>70.131574799999996</v>
      </c>
      <c r="U334" s="28">
        <f>IFERROR(INDEX('Clean Gamification Data'!$D:$D,MATCH($B334,'Clean Gamification Data'!$A:$A,0)),"Not Found")</f>
        <v>74.247779469999998</v>
      </c>
      <c r="V334" s="28">
        <f>IFERROR(INDEX('Clean Gamification Data'!$E:$E,MATCH($B334,'Clean Gamification Data'!$A:$A,0)),"Not Found")</f>
        <v>68.526296529999996</v>
      </c>
      <c r="W334" s="28">
        <f>IFERROR(INDEX('Clean Gamification Data'!$F:$F,MATCH($B334,'Clean Gamification Data'!$A:$A,0)),"Not Found")</f>
        <v>84.497025410000006</v>
      </c>
      <c r="X334" s="28">
        <f>IFERROR(INDEX('Clean Gamification Data'!$G:$G,MATCH($B334,'Clean Gamification Data'!$A:$A,0)),"Not Found")</f>
        <v>71.444704779999995</v>
      </c>
      <c r="Y334" s="28">
        <f>IFERROR(INDEX('Clean Gamification Data'!$H:$H,MATCH($B334,'Clean Gamification Data'!$A:$A,0)),"Not Found")</f>
        <v>71.530215459999994</v>
      </c>
      <c r="Z334" s="28">
        <f>IFERROR(INDEX('Clean Gamification Data'!$I:$I,MATCH($B334,'Clean Gamification Data'!$A:$A,0)),"Not Found")</f>
        <v>59.435408989999999</v>
      </c>
      <c r="AA334" s="28">
        <f>Table1[[#This Row],[Engagement (Gamification %)]]-Table1[[#This Row],[Engagement (Non-Gamification %)]]</f>
        <v>14.242583289999999</v>
      </c>
      <c r="AB334" s="28">
        <f>Table1[[#This Row],[Motivation (Gamification %)]]-Table1[[#This Row],[Motivation (Non-Gamification %)]]</f>
        <v>5.7214829400000013</v>
      </c>
      <c r="AC334" s="28">
        <f>Table1[[#This Row],[Participation (Gamification %)]]-Table1[[#This Row],[Participation (Non-Gamification %)]]</f>
        <v>13.052320630000011</v>
      </c>
      <c r="AD334" s="28">
        <f>Table1[[#This Row],[Learning Outcomes (Gamification %)]]-Table1[[#This Row],[Learning Outcomes (Non-Gamification %)]]</f>
        <v>12.094806469999995</v>
      </c>
      <c r="AE334" s="44" t="str">
        <f>IF(Table1[[#This Row],[Overall Effectiveness]]&lt;3.9,"Low",IF(Table1[[#This Row],[Overall Effectiveness]]&lt;4.2,"Medium","High"))</f>
        <v>High</v>
      </c>
      <c r="AF334" s="30" t="str">
        <f t="shared" si="34"/>
        <v>Case Studies</v>
      </c>
      <c r="AG334" s="30" t="str">
        <f t="shared" si="35"/>
        <v>Case Studies</v>
      </c>
      <c r="AH334" s="27">
        <f>COUNTIF(Teacher_Master!$D$2:$D$16,AF334)</f>
        <v>3</v>
      </c>
      <c r="AI334" s="30" t="str">
        <f>INDEX(Teacher_Master!$B$2:$B$16,MATCH(AF334,Teacher_Master!$D$2:$D$16,0))</f>
        <v>Prof. Rajesh Mukherjee</v>
      </c>
    </row>
    <row r="335" spans="1:35" ht="14.25" customHeight="1" x14ac:dyDescent="0.3">
      <c r="A335" s="31" t="s">
        <v>690</v>
      </c>
      <c r="B335" s="31" t="s">
        <v>2317</v>
      </c>
      <c r="C335" s="31" t="s">
        <v>2882</v>
      </c>
      <c r="D335" s="12">
        <f t="shared" ca="1" si="30"/>
        <v>22</v>
      </c>
      <c r="E335" s="12" t="str">
        <f ca="1">IF(Table1[[#This Row],[Age]]&lt;=22,"20-22",IF(Table1[[#This Row],[Age]]&lt;=25,"23-25",IF(Table1[[#This Row],[Age]]&lt;=28,"26-28","29-30")))</f>
        <v>20-22</v>
      </c>
      <c r="F335" s="12">
        <v>4.2699999999999996</v>
      </c>
      <c r="G335" s="12">
        <v>4.4000000000000004</v>
      </c>
      <c r="H335" s="12">
        <v>3.46</v>
      </c>
      <c r="I335" s="12">
        <v>3.79</v>
      </c>
      <c r="J335" s="12" t="s">
        <v>211</v>
      </c>
      <c r="K335" s="12">
        <v>4.46</v>
      </c>
      <c r="L335" s="12">
        <v>4.1399999999999997</v>
      </c>
      <c r="M335" s="12">
        <v>4.0199999999999996</v>
      </c>
      <c r="N335" s="12" t="s">
        <v>211</v>
      </c>
      <c r="O335" s="12">
        <v>3.82</v>
      </c>
      <c r="P335" s="12">
        <f t="shared" si="31"/>
        <v>3.9799999999999995</v>
      </c>
      <c r="Q335" s="12">
        <f t="shared" si="32"/>
        <v>3.98</v>
      </c>
      <c r="R335" s="12">
        <f t="shared" si="33"/>
        <v>4.1099999999999994</v>
      </c>
      <c r="S335" s="28">
        <f>IFERROR(INDEX('Clean Gamification Data'!$B:$B,MATCH($B335,'Clean Gamification Data'!$A:$A,0)),"Not Found")</f>
        <v>90.203874519999999</v>
      </c>
      <c r="T335" s="28">
        <f>IFERROR(INDEX('Clean Gamification Data'!$C:$C,MATCH($B335,'Clean Gamification Data'!$A:$A,0)),"Not Found")</f>
        <v>67.586577559999995</v>
      </c>
      <c r="U335" s="28">
        <f>IFERROR(INDEX('Clean Gamification Data'!$D:$D,MATCH($B335,'Clean Gamification Data'!$A:$A,0)),"Not Found")</f>
        <v>79.755481579999994</v>
      </c>
      <c r="V335" s="28">
        <f>IFERROR(INDEX('Clean Gamification Data'!$E:$E,MATCH($B335,'Clean Gamification Data'!$A:$A,0)),"Not Found")</f>
        <v>75</v>
      </c>
      <c r="W335" s="28">
        <f>IFERROR(INDEX('Clean Gamification Data'!$F:$F,MATCH($B335,'Clean Gamification Data'!$A:$A,0)),"Not Found")</f>
        <v>89.59856972</v>
      </c>
      <c r="X335" s="28">
        <f>IFERROR(INDEX('Clean Gamification Data'!$G:$G,MATCH($B335,'Clean Gamification Data'!$A:$A,0)),"Not Found")</f>
        <v>78.022065260000005</v>
      </c>
      <c r="Y335" s="28">
        <f>IFERROR(INDEX('Clean Gamification Data'!$H:$H,MATCH($B335,'Clean Gamification Data'!$A:$A,0)),"Not Found")</f>
        <v>72.319473180000003</v>
      </c>
      <c r="Z335" s="28">
        <f>IFERROR(INDEX('Clean Gamification Data'!$I:$I,MATCH($B335,'Clean Gamification Data'!$A:$A,0)),"Not Found")</f>
        <v>52.599908069999998</v>
      </c>
      <c r="AA335" s="28">
        <f>Table1[[#This Row],[Engagement (Gamification %)]]-Table1[[#This Row],[Engagement (Non-Gamification %)]]</f>
        <v>22.617296960000004</v>
      </c>
      <c r="AB335" s="28">
        <f>Table1[[#This Row],[Motivation (Gamification %)]]-Table1[[#This Row],[Motivation (Non-Gamification %)]]</f>
        <v>4.7554815799999943</v>
      </c>
      <c r="AC335" s="28">
        <f>Table1[[#This Row],[Participation (Gamification %)]]-Table1[[#This Row],[Participation (Non-Gamification %)]]</f>
        <v>11.576504459999995</v>
      </c>
      <c r="AD335" s="28">
        <f>Table1[[#This Row],[Learning Outcomes (Gamification %)]]-Table1[[#This Row],[Learning Outcomes (Non-Gamification %)]]</f>
        <v>19.719565110000005</v>
      </c>
      <c r="AE335" s="44" t="str">
        <f>IF(Table1[[#This Row],[Overall Effectiveness]]&lt;3.9,"Low",IF(Table1[[#This Row],[Overall Effectiveness]]&lt;4.2,"Medium","High"))</f>
        <v>Medium</v>
      </c>
      <c r="AF335" s="30" t="str">
        <f t="shared" si="34"/>
        <v>Case Studies</v>
      </c>
      <c r="AG335" s="30" t="str">
        <f t="shared" si="35"/>
        <v>Lectures</v>
      </c>
      <c r="AH335" s="27">
        <f>COUNTIF(Teacher_Master!$D$2:$D$16,AF335)</f>
        <v>3</v>
      </c>
      <c r="AI335" s="30" t="str">
        <f>INDEX(Teacher_Master!$B$2:$B$16,MATCH(AF335,Teacher_Master!$D$2:$D$16,0))</f>
        <v>Prof. Rajesh Mukherjee</v>
      </c>
    </row>
    <row r="336" spans="1:35" ht="14.25" customHeight="1" x14ac:dyDescent="0.3">
      <c r="A336" s="31" t="s">
        <v>692</v>
      </c>
      <c r="B336" s="31" t="s">
        <v>2318</v>
      </c>
      <c r="C336" s="31" t="s">
        <v>2882</v>
      </c>
      <c r="D336" s="12">
        <f t="shared" ca="1" si="30"/>
        <v>26</v>
      </c>
      <c r="E336" s="12" t="str">
        <f ca="1">IF(Table1[[#This Row],[Age]]&lt;=22,"20-22",IF(Table1[[#This Row],[Age]]&lt;=25,"23-25",IF(Table1[[#This Row],[Age]]&lt;=28,"26-28","29-30")))</f>
        <v>26-28</v>
      </c>
      <c r="F336" s="12">
        <v>4.0999999999999996</v>
      </c>
      <c r="G336" s="12">
        <v>4.5199999999999996</v>
      </c>
      <c r="H336" s="12">
        <v>3.49</v>
      </c>
      <c r="I336" s="12">
        <v>3.99</v>
      </c>
      <c r="J336" s="12">
        <v>3.5</v>
      </c>
      <c r="K336" s="12">
        <v>4.51</v>
      </c>
      <c r="L336" s="12">
        <v>4.12</v>
      </c>
      <c r="M336" s="12">
        <v>3.99</v>
      </c>
      <c r="N336" s="12">
        <v>3.96</v>
      </c>
      <c r="O336" s="12">
        <v>3.93</v>
      </c>
      <c r="P336" s="12">
        <f t="shared" si="31"/>
        <v>3.9200000000000004</v>
      </c>
      <c r="Q336" s="12">
        <f t="shared" si="32"/>
        <v>3.92</v>
      </c>
      <c r="R336" s="12">
        <f t="shared" si="33"/>
        <v>4.1019999999999994</v>
      </c>
      <c r="S336" s="28">
        <f>IFERROR(INDEX('Clean Gamification Data'!$B:$B,MATCH($B336,'Clean Gamification Data'!$A:$A,0)),"Not Found")</f>
        <v>86.331848699999995</v>
      </c>
      <c r="T336" s="28">
        <f>IFERROR(INDEX('Clean Gamification Data'!$C:$C,MATCH($B336,'Clean Gamification Data'!$A:$A,0)),"Not Found")</f>
        <v>67.011729560000006</v>
      </c>
      <c r="U336" s="28">
        <f>IFERROR(INDEX('Clean Gamification Data'!$D:$D,MATCH($B336,'Clean Gamification Data'!$A:$A,0)),"Not Found")</f>
        <v>82.842701570000003</v>
      </c>
      <c r="V336" s="28">
        <f>IFERROR(INDEX('Clean Gamification Data'!$E:$E,MATCH($B336,'Clean Gamification Data'!$A:$A,0)),"Not Found")</f>
        <v>63.830962409999998</v>
      </c>
      <c r="W336" s="28">
        <f>IFERROR(INDEX('Clean Gamification Data'!$F:$F,MATCH($B336,'Clean Gamification Data'!$A:$A,0)),"Not Found")</f>
        <v>83.547080230000006</v>
      </c>
      <c r="X336" s="28">
        <f>IFERROR(INDEX('Clean Gamification Data'!$G:$G,MATCH($B336,'Clean Gamification Data'!$A:$A,0)),"Not Found")</f>
        <v>73.635220279999999</v>
      </c>
      <c r="Y336" s="28">
        <f>IFERROR(INDEX('Clean Gamification Data'!$H:$H,MATCH($B336,'Clean Gamification Data'!$A:$A,0)),"Not Found")</f>
        <v>71.053130039999999</v>
      </c>
      <c r="Z336" s="28">
        <f>IFERROR(INDEX('Clean Gamification Data'!$I:$I,MATCH($B336,'Clean Gamification Data'!$A:$A,0)),"Not Found")</f>
        <v>57.50196107</v>
      </c>
      <c r="AA336" s="28">
        <f>Table1[[#This Row],[Engagement (Gamification %)]]-Table1[[#This Row],[Engagement (Non-Gamification %)]]</f>
        <v>19.320119139999989</v>
      </c>
      <c r="AB336" s="28">
        <f>Table1[[#This Row],[Motivation (Gamification %)]]-Table1[[#This Row],[Motivation (Non-Gamification %)]]</f>
        <v>19.011739160000005</v>
      </c>
      <c r="AC336" s="28">
        <f>Table1[[#This Row],[Participation (Gamification %)]]-Table1[[#This Row],[Participation (Non-Gamification %)]]</f>
        <v>9.9118599500000073</v>
      </c>
      <c r="AD336" s="28">
        <f>Table1[[#This Row],[Learning Outcomes (Gamification %)]]-Table1[[#This Row],[Learning Outcomes (Non-Gamification %)]]</f>
        <v>13.551168969999999</v>
      </c>
      <c r="AE336" s="44" t="str">
        <f>IF(Table1[[#This Row],[Overall Effectiveness]]&lt;3.9,"Low",IF(Table1[[#This Row],[Overall Effectiveness]]&lt;4.2,"Medium","High"))</f>
        <v>Medium</v>
      </c>
      <c r="AF336" s="30" t="str">
        <f t="shared" si="34"/>
        <v>Case Studies</v>
      </c>
      <c r="AG336" s="30" t="str">
        <f t="shared" si="35"/>
        <v>Lectures</v>
      </c>
      <c r="AH336" s="27">
        <f>COUNTIF(Teacher_Master!$D$2:$D$16,AF336)</f>
        <v>3</v>
      </c>
      <c r="AI336" s="30" t="str">
        <f>INDEX(Teacher_Master!$B$2:$B$16,MATCH(AF336,Teacher_Master!$D$2:$D$16,0))</f>
        <v>Prof. Rajesh Mukherjee</v>
      </c>
    </row>
    <row r="337" spans="1:35" ht="14.25" customHeight="1" x14ac:dyDescent="0.3">
      <c r="A337" s="31" t="s">
        <v>694</v>
      </c>
      <c r="B337" s="31" t="s">
        <v>2319</v>
      </c>
      <c r="C337" s="31" t="s">
        <v>2881</v>
      </c>
      <c r="D337" s="12">
        <f t="shared" ca="1" si="30"/>
        <v>26</v>
      </c>
      <c r="E337" s="12" t="str">
        <f ca="1">IF(Table1[[#This Row],[Age]]&lt;=22,"20-22",IF(Table1[[#This Row],[Age]]&lt;=25,"23-25",IF(Table1[[#This Row],[Age]]&lt;=28,"26-28","29-30")))</f>
        <v>26-28</v>
      </c>
      <c r="F337" s="12">
        <v>4.18</v>
      </c>
      <c r="G337" s="12">
        <v>3.83</v>
      </c>
      <c r="H337" s="12">
        <v>3.86</v>
      </c>
      <c r="I337" s="12">
        <v>4</v>
      </c>
      <c r="J337" s="12">
        <v>3.88</v>
      </c>
      <c r="K337" s="12">
        <v>3.8</v>
      </c>
      <c r="L337" s="12">
        <v>3.7</v>
      </c>
      <c r="M337" s="12">
        <v>3.55</v>
      </c>
      <c r="N337" s="12">
        <v>3.74</v>
      </c>
      <c r="O337" s="12">
        <v>4.0199999999999996</v>
      </c>
      <c r="P337" s="12">
        <f t="shared" si="31"/>
        <v>3.95</v>
      </c>
      <c r="Q337" s="12">
        <f t="shared" si="32"/>
        <v>3.95</v>
      </c>
      <c r="R337" s="12">
        <f t="shared" si="33"/>
        <v>3.7620000000000005</v>
      </c>
      <c r="S337" s="28">
        <f>IFERROR(INDEX('Clean Gamification Data'!$B:$B,MATCH($B337,'Clean Gamification Data'!$A:$A,0)),"Not Found")</f>
        <v>90.303378269999996</v>
      </c>
      <c r="T337" s="28">
        <f>IFERROR(INDEX('Clean Gamification Data'!$C:$C,MATCH($B337,'Clean Gamification Data'!$A:$A,0)),"Not Found")</f>
        <v>72.740754089999996</v>
      </c>
      <c r="U337" s="28">
        <f>IFERROR(INDEX('Clean Gamification Data'!$D:$D,MATCH($B337,'Clean Gamification Data'!$A:$A,0)),"Not Found")</f>
        <v>79.731845399999997</v>
      </c>
      <c r="V337" s="28">
        <f>IFERROR(INDEX('Clean Gamification Data'!$E:$E,MATCH($B337,'Clean Gamification Data'!$A:$A,0)),"Not Found")</f>
        <v>58.93523381</v>
      </c>
      <c r="W337" s="28">
        <f>IFERROR(INDEX('Clean Gamification Data'!$F:$F,MATCH($B337,'Clean Gamification Data'!$A:$A,0)),"Not Found")</f>
        <v>82.412734929999999</v>
      </c>
      <c r="X337" s="28">
        <f>IFERROR(INDEX('Clean Gamification Data'!$G:$G,MATCH($B337,'Clean Gamification Data'!$A:$A,0)),"Not Found")</f>
        <v>85</v>
      </c>
      <c r="Y337" s="28">
        <f>IFERROR(INDEX('Clean Gamification Data'!$H:$H,MATCH($B337,'Clean Gamification Data'!$A:$A,0)),"Not Found")</f>
        <v>77.886793060000002</v>
      </c>
      <c r="Z337" s="28">
        <f>IFERROR(INDEX('Clean Gamification Data'!$I:$I,MATCH($B337,'Clean Gamification Data'!$A:$A,0)),"Not Found")</f>
        <v>58.127639299999998</v>
      </c>
      <c r="AA337" s="28">
        <f>Table1[[#This Row],[Engagement (Gamification %)]]-Table1[[#This Row],[Engagement (Non-Gamification %)]]</f>
        <v>17.56262418</v>
      </c>
      <c r="AB337" s="28">
        <f>Table1[[#This Row],[Motivation (Gamification %)]]-Table1[[#This Row],[Motivation (Non-Gamification %)]]</f>
        <v>20.796611589999998</v>
      </c>
      <c r="AC337" s="28">
        <f>Table1[[#This Row],[Participation (Gamification %)]]-Table1[[#This Row],[Participation (Non-Gamification %)]]</f>
        <v>-2.5872650700000008</v>
      </c>
      <c r="AD337" s="28">
        <f>Table1[[#This Row],[Learning Outcomes (Gamification %)]]-Table1[[#This Row],[Learning Outcomes (Non-Gamification %)]]</f>
        <v>19.759153760000004</v>
      </c>
      <c r="AE337" s="44" t="str">
        <f>IF(Table1[[#This Row],[Overall Effectiveness]]&lt;3.9,"Low",IF(Table1[[#This Row],[Overall Effectiveness]]&lt;4.2,"Medium","High"))</f>
        <v>Medium</v>
      </c>
      <c r="AF337" s="30" t="str">
        <f t="shared" si="34"/>
        <v>Lectures</v>
      </c>
      <c r="AG337" s="30" t="str">
        <f t="shared" si="35"/>
        <v>Online Tutorials</v>
      </c>
      <c r="AH337" s="27">
        <f>COUNTIF(Teacher_Master!$D$2:$D$16,AF337)</f>
        <v>3</v>
      </c>
      <c r="AI337" s="30" t="str">
        <f>INDEX(Teacher_Master!$B$2:$B$16,MATCH(AF337,Teacher_Master!$D$2:$D$16,0))</f>
        <v>Prof. Vikram Gupta</v>
      </c>
    </row>
    <row r="338" spans="1:35" ht="14.25" customHeight="1" x14ac:dyDescent="0.3">
      <c r="A338" s="31" t="s">
        <v>696</v>
      </c>
      <c r="B338" s="31" t="s">
        <v>2320</v>
      </c>
      <c r="C338" s="31" t="s">
        <v>2882</v>
      </c>
      <c r="D338" s="12">
        <f t="shared" ca="1" si="30"/>
        <v>29</v>
      </c>
      <c r="E338" s="12" t="str">
        <f ca="1">IF(Table1[[#This Row],[Age]]&lt;=22,"20-22",IF(Table1[[#This Row],[Age]]&lt;=25,"23-25",IF(Table1[[#This Row],[Age]]&lt;=28,"26-28","29-30")))</f>
        <v>29-30</v>
      </c>
      <c r="F338" s="12">
        <v>3.56</v>
      </c>
      <c r="G338" s="12">
        <v>4.38</v>
      </c>
      <c r="H338" s="12">
        <v>3.73</v>
      </c>
      <c r="I338" s="12">
        <v>4.5199999999999996</v>
      </c>
      <c r="J338" s="12">
        <v>4.08</v>
      </c>
      <c r="K338" s="12">
        <v>4.03</v>
      </c>
      <c r="L338" s="12">
        <v>4.3</v>
      </c>
      <c r="M338" s="12">
        <v>3.82</v>
      </c>
      <c r="N338" s="12">
        <v>4.0999999999999996</v>
      </c>
      <c r="O338" s="12">
        <v>4.43</v>
      </c>
      <c r="P338" s="12">
        <f t="shared" si="31"/>
        <v>4.0539999999999994</v>
      </c>
      <c r="Q338" s="12">
        <f t="shared" si="32"/>
        <v>4.05</v>
      </c>
      <c r="R338" s="12">
        <f t="shared" si="33"/>
        <v>4.1360000000000001</v>
      </c>
      <c r="S338" s="28">
        <f>IFERROR(INDEX('Clean Gamification Data'!$B:$B,MATCH($B338,'Clean Gamification Data'!$A:$A,0)),"Not Found")</f>
        <v>96.727014069999996</v>
      </c>
      <c r="T338" s="28">
        <f>IFERROR(INDEX('Clean Gamification Data'!$C:$C,MATCH($B338,'Clean Gamification Data'!$A:$A,0)),"Not Found")</f>
        <v>64.651527200000004</v>
      </c>
      <c r="U338" s="28">
        <f>IFERROR(INDEX('Clean Gamification Data'!$D:$D,MATCH($B338,'Clean Gamification Data'!$A:$A,0)),"Not Found")</f>
        <v>79.485517959999996</v>
      </c>
      <c r="V338" s="28">
        <f>IFERROR(INDEX('Clean Gamification Data'!$E:$E,MATCH($B338,'Clean Gamification Data'!$A:$A,0)),"Not Found")</f>
        <v>67.842895900000002</v>
      </c>
      <c r="W338" s="28">
        <f>IFERROR(INDEX('Clean Gamification Data'!$F:$F,MATCH($B338,'Clean Gamification Data'!$A:$A,0)),"Not Found")</f>
        <v>92.973405959999994</v>
      </c>
      <c r="X338" s="28">
        <f>IFERROR(INDEX('Clean Gamification Data'!$G:$G,MATCH($B338,'Clean Gamification Data'!$A:$A,0)),"Not Found")</f>
        <v>83.500331840000001</v>
      </c>
      <c r="Y338" s="28">
        <f>IFERROR(INDEX('Clean Gamification Data'!$H:$H,MATCH($B338,'Clean Gamification Data'!$A:$A,0)),"Not Found")</f>
        <v>71.873888089999994</v>
      </c>
      <c r="Z338" s="28">
        <f>IFERROR(INDEX('Clean Gamification Data'!$I:$I,MATCH($B338,'Clean Gamification Data'!$A:$A,0)),"Not Found")</f>
        <v>62.499791430000002</v>
      </c>
      <c r="AA338" s="28">
        <f>Table1[[#This Row],[Engagement (Gamification %)]]-Table1[[#This Row],[Engagement (Non-Gamification %)]]</f>
        <v>32.075486869999992</v>
      </c>
      <c r="AB338" s="28">
        <f>Table1[[#This Row],[Motivation (Gamification %)]]-Table1[[#This Row],[Motivation (Non-Gamification %)]]</f>
        <v>11.642622059999994</v>
      </c>
      <c r="AC338" s="28">
        <f>Table1[[#This Row],[Participation (Gamification %)]]-Table1[[#This Row],[Participation (Non-Gamification %)]]</f>
        <v>9.4730741199999926</v>
      </c>
      <c r="AD338" s="28">
        <f>Table1[[#This Row],[Learning Outcomes (Gamification %)]]-Table1[[#This Row],[Learning Outcomes (Non-Gamification %)]]</f>
        <v>9.3740966599999922</v>
      </c>
      <c r="AE338" s="44" t="str">
        <f>IF(Table1[[#This Row],[Overall Effectiveness]]&lt;3.9,"Low",IF(Table1[[#This Row],[Overall Effectiveness]]&lt;4.2,"Medium","High"))</f>
        <v>Medium</v>
      </c>
      <c r="AF338" s="30" t="str">
        <f t="shared" si="34"/>
        <v>Experiments</v>
      </c>
      <c r="AG338" s="30" t="str">
        <f t="shared" si="35"/>
        <v>Online Tutorials</v>
      </c>
      <c r="AH338" s="27">
        <f>COUNTIF(Teacher_Master!$D$2:$D$16,AF338)</f>
        <v>3</v>
      </c>
      <c r="AI338" s="30" t="str">
        <f>INDEX(Teacher_Master!$B$2:$B$16,MATCH(AF338,Teacher_Master!$D$2:$D$16,0))</f>
        <v>Prof. Rahul Singh</v>
      </c>
    </row>
    <row r="339" spans="1:35" ht="14.25" customHeight="1" x14ac:dyDescent="0.3">
      <c r="A339" s="31" t="s">
        <v>698</v>
      </c>
      <c r="B339" s="31" t="s">
        <v>2321</v>
      </c>
      <c r="C339" s="31" t="s">
        <v>2882</v>
      </c>
      <c r="D339" s="12">
        <f t="shared" ca="1" si="30"/>
        <v>29</v>
      </c>
      <c r="E339" s="12" t="str">
        <f ca="1">IF(Table1[[#This Row],[Age]]&lt;=22,"20-22",IF(Table1[[#This Row],[Age]]&lt;=25,"23-25",IF(Table1[[#This Row],[Age]]&lt;=28,"26-28","29-30")))</f>
        <v>29-30</v>
      </c>
      <c r="F339" s="12">
        <v>4.16</v>
      </c>
      <c r="G339" s="12">
        <v>4.2</v>
      </c>
      <c r="H339" s="12">
        <v>3.58</v>
      </c>
      <c r="I339" s="12" t="s">
        <v>211</v>
      </c>
      <c r="J339" s="12">
        <v>3.87</v>
      </c>
      <c r="K339" s="12">
        <v>3.77</v>
      </c>
      <c r="L339" s="12">
        <v>3.97</v>
      </c>
      <c r="M339" s="12">
        <v>4.1900000000000004</v>
      </c>
      <c r="N339" s="12">
        <v>3.88</v>
      </c>
      <c r="O339" s="12">
        <v>3.72</v>
      </c>
      <c r="P339" s="12">
        <f t="shared" si="31"/>
        <v>3.9524999999999997</v>
      </c>
      <c r="Q339" s="12">
        <f t="shared" si="32"/>
        <v>3.95</v>
      </c>
      <c r="R339" s="12">
        <f t="shared" si="33"/>
        <v>3.9059999999999997</v>
      </c>
      <c r="S339" s="28">
        <f>IFERROR(INDEX('Clean Gamification Data'!$B:$B,MATCH($B339,'Clean Gamification Data'!$A:$A,0)),"Not Found")</f>
        <v>83.377128040000002</v>
      </c>
      <c r="T339" s="28">
        <f>IFERROR(INDEX('Clean Gamification Data'!$C:$C,MATCH($B339,'Clean Gamification Data'!$A:$A,0)),"Not Found")</f>
        <v>71.051971570000006</v>
      </c>
      <c r="U339" s="28">
        <f>IFERROR(INDEX('Clean Gamification Data'!$D:$D,MATCH($B339,'Clean Gamification Data'!$A:$A,0)),"Not Found")</f>
        <v>70</v>
      </c>
      <c r="V339" s="28">
        <f>IFERROR(INDEX('Clean Gamification Data'!$E:$E,MATCH($B339,'Clean Gamification Data'!$A:$A,0)),"Not Found")</f>
        <v>62.100252279999999</v>
      </c>
      <c r="W339" s="28">
        <f>IFERROR(INDEX('Clean Gamification Data'!$F:$F,MATCH($B339,'Clean Gamification Data'!$A:$A,0)),"Not Found")</f>
        <v>85.543622060000004</v>
      </c>
      <c r="X339" s="28">
        <f>IFERROR(INDEX('Clean Gamification Data'!$G:$G,MATCH($B339,'Clean Gamification Data'!$A:$A,0)),"Not Found")</f>
        <v>76.854718390000002</v>
      </c>
      <c r="Y339" s="28">
        <f>IFERROR(INDEX('Clean Gamification Data'!$H:$H,MATCH($B339,'Clean Gamification Data'!$A:$A,0)),"Not Found")</f>
        <v>75.421220980000001</v>
      </c>
      <c r="Z339" s="28">
        <f>IFERROR(INDEX('Clean Gamification Data'!$I:$I,MATCH($B339,'Clean Gamification Data'!$A:$A,0)),"Not Found")</f>
        <v>50</v>
      </c>
      <c r="AA339" s="28">
        <f>Table1[[#This Row],[Engagement (Gamification %)]]-Table1[[#This Row],[Engagement (Non-Gamification %)]]</f>
        <v>12.325156469999996</v>
      </c>
      <c r="AB339" s="28">
        <f>Table1[[#This Row],[Motivation (Gamification %)]]-Table1[[#This Row],[Motivation (Non-Gamification %)]]</f>
        <v>7.8997477200000006</v>
      </c>
      <c r="AC339" s="28">
        <f>Table1[[#This Row],[Participation (Gamification %)]]-Table1[[#This Row],[Participation (Non-Gamification %)]]</f>
        <v>8.688903670000002</v>
      </c>
      <c r="AD339" s="28">
        <f>Table1[[#This Row],[Learning Outcomes (Gamification %)]]-Table1[[#This Row],[Learning Outcomes (Non-Gamification %)]]</f>
        <v>25.421220980000001</v>
      </c>
      <c r="AE339" s="44" t="str">
        <f>IF(Table1[[#This Row],[Overall Effectiveness]]&lt;3.9,"Low",IF(Table1[[#This Row],[Overall Effectiveness]]&lt;4.2,"Medium","High"))</f>
        <v>Medium</v>
      </c>
      <c r="AF339" s="30" t="str">
        <f t="shared" si="34"/>
        <v>Case Studies</v>
      </c>
      <c r="AG339" s="30" t="str">
        <f t="shared" si="35"/>
        <v>Group Projects</v>
      </c>
      <c r="AH339" s="27">
        <f>COUNTIF(Teacher_Master!$D$2:$D$16,AF339)</f>
        <v>3</v>
      </c>
      <c r="AI339" s="30" t="str">
        <f>INDEX(Teacher_Master!$B$2:$B$16,MATCH(AF339,Teacher_Master!$D$2:$D$16,0))</f>
        <v>Prof. Rajesh Mukherjee</v>
      </c>
    </row>
    <row r="340" spans="1:35" ht="14.25" customHeight="1" x14ac:dyDescent="0.3">
      <c r="A340" s="31" t="s">
        <v>700</v>
      </c>
      <c r="B340" s="31" t="s">
        <v>2322</v>
      </c>
      <c r="C340" s="31" t="s">
        <v>2881</v>
      </c>
      <c r="D340" s="12">
        <f t="shared" ca="1" si="30"/>
        <v>29</v>
      </c>
      <c r="E340" s="12" t="str">
        <f ca="1">IF(Table1[[#This Row],[Age]]&lt;=22,"20-22",IF(Table1[[#This Row],[Age]]&lt;=25,"23-25",IF(Table1[[#This Row],[Age]]&lt;=28,"26-28","29-30")))</f>
        <v>29-30</v>
      </c>
      <c r="F340" s="12">
        <v>3.85</v>
      </c>
      <c r="G340" s="12">
        <v>3.79</v>
      </c>
      <c r="H340" s="12">
        <v>4.0599999999999996</v>
      </c>
      <c r="I340" s="12">
        <v>4.22</v>
      </c>
      <c r="J340" s="12">
        <v>3.91</v>
      </c>
      <c r="K340" s="12">
        <v>3.96</v>
      </c>
      <c r="L340" s="12">
        <v>3.38</v>
      </c>
      <c r="M340" s="12">
        <v>4</v>
      </c>
      <c r="N340" s="12">
        <v>4.17</v>
      </c>
      <c r="O340" s="12">
        <v>4.2</v>
      </c>
      <c r="P340" s="12">
        <f t="shared" si="31"/>
        <v>3.9659999999999997</v>
      </c>
      <c r="Q340" s="12">
        <f t="shared" si="32"/>
        <v>3.97</v>
      </c>
      <c r="R340" s="12">
        <f t="shared" si="33"/>
        <v>3.9420000000000002</v>
      </c>
      <c r="S340" s="28">
        <f>IFERROR(INDEX('Clean Gamification Data'!$B:$B,MATCH($B340,'Clean Gamification Data'!$A:$A,0)),"Not Found")</f>
        <v>83.435167160000006</v>
      </c>
      <c r="T340" s="28">
        <f>IFERROR(INDEX('Clean Gamification Data'!$C:$C,MATCH($B340,'Clean Gamification Data'!$A:$A,0)),"Not Found")</f>
        <v>61.535117319999998</v>
      </c>
      <c r="U340" s="28">
        <f>IFERROR(INDEX('Clean Gamification Data'!$D:$D,MATCH($B340,'Clean Gamification Data'!$A:$A,0)),"Not Found")</f>
        <v>70</v>
      </c>
      <c r="V340" s="28">
        <f>IFERROR(INDEX('Clean Gamification Data'!$E:$E,MATCH($B340,'Clean Gamification Data'!$A:$A,0)),"Not Found")</f>
        <v>64.393033650000007</v>
      </c>
      <c r="W340" s="28">
        <f>IFERROR(INDEX('Clean Gamification Data'!$F:$F,MATCH($B340,'Clean Gamification Data'!$A:$A,0)),"Not Found")</f>
        <v>92.422721809999999</v>
      </c>
      <c r="X340" s="28">
        <f>IFERROR(INDEX('Clean Gamification Data'!$G:$G,MATCH($B340,'Clean Gamification Data'!$A:$A,0)),"Not Found")</f>
        <v>74.409981799999997</v>
      </c>
      <c r="Y340" s="28">
        <f>IFERROR(INDEX('Clean Gamification Data'!$H:$H,MATCH($B340,'Clean Gamification Data'!$A:$A,0)),"Not Found")</f>
        <v>69.418761259999997</v>
      </c>
      <c r="Z340" s="28">
        <f>IFERROR(INDEX('Clean Gamification Data'!$I:$I,MATCH($B340,'Clean Gamification Data'!$A:$A,0)),"Not Found")</f>
        <v>61.610678159999999</v>
      </c>
      <c r="AA340" s="28">
        <f>Table1[[#This Row],[Engagement (Gamification %)]]-Table1[[#This Row],[Engagement (Non-Gamification %)]]</f>
        <v>21.900049840000008</v>
      </c>
      <c r="AB340" s="28">
        <f>Table1[[#This Row],[Motivation (Gamification %)]]-Table1[[#This Row],[Motivation (Non-Gamification %)]]</f>
        <v>5.6069663499999933</v>
      </c>
      <c r="AC340" s="28">
        <f>Table1[[#This Row],[Participation (Gamification %)]]-Table1[[#This Row],[Participation (Non-Gamification %)]]</f>
        <v>18.012740010000002</v>
      </c>
      <c r="AD340" s="28">
        <f>Table1[[#This Row],[Learning Outcomes (Gamification %)]]-Table1[[#This Row],[Learning Outcomes (Non-Gamification %)]]</f>
        <v>7.8080830999999975</v>
      </c>
      <c r="AE340" s="44" t="str">
        <f>IF(Table1[[#This Row],[Overall Effectiveness]]&lt;3.9,"Low",IF(Table1[[#This Row],[Overall Effectiveness]]&lt;4.2,"Medium","High"))</f>
        <v>Medium</v>
      </c>
      <c r="AF340" s="30" t="str">
        <f t="shared" si="34"/>
        <v>Experiments</v>
      </c>
      <c r="AG340" s="30" t="str">
        <f t="shared" si="35"/>
        <v>Online Tutorials</v>
      </c>
      <c r="AH340" s="27">
        <f>COUNTIF(Teacher_Master!$D$2:$D$16,AF340)</f>
        <v>3</v>
      </c>
      <c r="AI340" s="30" t="str">
        <f>INDEX(Teacher_Master!$B$2:$B$16,MATCH(AF340,Teacher_Master!$D$2:$D$16,0))</f>
        <v>Prof. Rahul Singh</v>
      </c>
    </row>
    <row r="341" spans="1:35" ht="14.25" customHeight="1" x14ac:dyDescent="0.3">
      <c r="A341" s="31" t="s">
        <v>702</v>
      </c>
      <c r="B341" s="31" t="s">
        <v>2323</v>
      </c>
      <c r="C341" s="31" t="s">
        <v>2882</v>
      </c>
      <c r="D341" s="12">
        <f t="shared" ca="1" si="30"/>
        <v>30</v>
      </c>
      <c r="E341" s="12" t="str">
        <f ca="1">IF(Table1[[#This Row],[Age]]&lt;=22,"20-22",IF(Table1[[#This Row],[Age]]&lt;=25,"23-25",IF(Table1[[#This Row],[Age]]&lt;=28,"26-28","29-30")))</f>
        <v>29-30</v>
      </c>
      <c r="F341" s="12">
        <v>4.47</v>
      </c>
      <c r="G341" s="12">
        <v>3.94</v>
      </c>
      <c r="H341" s="12">
        <v>3.99</v>
      </c>
      <c r="I341" s="12">
        <v>4.03</v>
      </c>
      <c r="J341" s="12">
        <v>3.96</v>
      </c>
      <c r="K341" s="12">
        <v>3.59</v>
      </c>
      <c r="L341" s="12">
        <v>4.0199999999999996</v>
      </c>
      <c r="M341" s="12">
        <v>4.18</v>
      </c>
      <c r="N341" s="12">
        <v>3.1</v>
      </c>
      <c r="O341" s="12">
        <v>4.37</v>
      </c>
      <c r="P341" s="12">
        <f t="shared" si="31"/>
        <v>4.0780000000000003</v>
      </c>
      <c r="Q341" s="12">
        <f t="shared" si="32"/>
        <v>4.08</v>
      </c>
      <c r="R341" s="12">
        <f t="shared" si="33"/>
        <v>3.8519999999999994</v>
      </c>
      <c r="S341" s="28">
        <f>IFERROR(INDEX('Clean Gamification Data'!$B:$B,MATCH($B341,'Clean Gamification Data'!$A:$A,0)),"Not Found")</f>
        <v>88.832916560000001</v>
      </c>
      <c r="T341" s="28">
        <f>IFERROR(INDEX('Clean Gamification Data'!$C:$C,MATCH($B341,'Clean Gamification Data'!$A:$A,0)),"Not Found")</f>
        <v>75.408323039999999</v>
      </c>
      <c r="U341" s="28">
        <f>IFERROR(INDEX('Clean Gamification Data'!$D:$D,MATCH($B341,'Clean Gamification Data'!$A:$A,0)),"Not Found")</f>
        <v>70</v>
      </c>
      <c r="V341" s="28">
        <f>IFERROR(INDEX('Clean Gamification Data'!$E:$E,MATCH($B341,'Clean Gamification Data'!$A:$A,0)),"Not Found")</f>
        <v>68.336916340000002</v>
      </c>
      <c r="W341" s="28">
        <f>IFERROR(INDEX('Clean Gamification Data'!$F:$F,MATCH($B341,'Clean Gamification Data'!$A:$A,0)),"Not Found")</f>
        <v>80</v>
      </c>
      <c r="X341" s="28">
        <f>IFERROR(INDEX('Clean Gamification Data'!$G:$G,MATCH($B341,'Clean Gamification Data'!$A:$A,0)),"Not Found")</f>
        <v>76.892534440000006</v>
      </c>
      <c r="Y341" s="28">
        <f>IFERROR(INDEX('Clean Gamification Data'!$H:$H,MATCH($B341,'Clean Gamification Data'!$A:$A,0)),"Not Found")</f>
        <v>72.072460070000005</v>
      </c>
      <c r="Z341" s="28">
        <f>IFERROR(INDEX('Clean Gamification Data'!$I:$I,MATCH($B341,'Clean Gamification Data'!$A:$A,0)),"Not Found")</f>
        <v>52.052529030000002</v>
      </c>
      <c r="AA341" s="28">
        <f>Table1[[#This Row],[Engagement (Gamification %)]]-Table1[[#This Row],[Engagement (Non-Gamification %)]]</f>
        <v>13.424593520000002</v>
      </c>
      <c r="AB341" s="28">
        <f>Table1[[#This Row],[Motivation (Gamification %)]]-Table1[[#This Row],[Motivation (Non-Gamification %)]]</f>
        <v>1.6630836599999981</v>
      </c>
      <c r="AC341" s="28">
        <f>Table1[[#This Row],[Participation (Gamification %)]]-Table1[[#This Row],[Participation (Non-Gamification %)]]</f>
        <v>3.1074655599999943</v>
      </c>
      <c r="AD341" s="28">
        <f>Table1[[#This Row],[Learning Outcomes (Gamification %)]]-Table1[[#This Row],[Learning Outcomes (Non-Gamification %)]]</f>
        <v>20.019931040000003</v>
      </c>
      <c r="AE341" s="44" t="str">
        <f>IF(Table1[[#This Row],[Overall Effectiveness]]&lt;3.9,"Low",IF(Table1[[#This Row],[Overall Effectiveness]]&lt;4.2,"Medium","High"))</f>
        <v>Medium</v>
      </c>
      <c r="AF341" s="30" t="str">
        <f t="shared" si="34"/>
        <v>Lectures</v>
      </c>
      <c r="AG341" s="30" t="str">
        <f t="shared" si="35"/>
        <v>Online Tutorials</v>
      </c>
      <c r="AH341" s="27">
        <f>COUNTIF(Teacher_Master!$D$2:$D$16,AF341)</f>
        <v>3</v>
      </c>
      <c r="AI341" s="30" t="str">
        <f>INDEX(Teacher_Master!$B$2:$B$16,MATCH(AF341,Teacher_Master!$D$2:$D$16,0))</f>
        <v>Prof. Vikram Gupta</v>
      </c>
    </row>
    <row r="342" spans="1:35" ht="14.25" customHeight="1" x14ac:dyDescent="0.3">
      <c r="A342" s="31" t="s">
        <v>704</v>
      </c>
      <c r="B342" s="31" t="s">
        <v>2324</v>
      </c>
      <c r="C342" s="31" t="s">
        <v>2882</v>
      </c>
      <c r="D342" s="12">
        <f t="shared" ca="1" si="30"/>
        <v>29</v>
      </c>
      <c r="E342" s="12" t="str">
        <f ca="1">IF(Table1[[#This Row],[Age]]&lt;=22,"20-22",IF(Table1[[#This Row],[Age]]&lt;=25,"23-25",IF(Table1[[#This Row],[Age]]&lt;=28,"26-28","29-30")))</f>
        <v>29-30</v>
      </c>
      <c r="F342" s="12">
        <v>4.1100000000000003</v>
      </c>
      <c r="G342" s="12">
        <v>4.37</v>
      </c>
      <c r="H342" s="12">
        <v>4.3099999999999996</v>
      </c>
      <c r="I342" s="12">
        <v>4.38</v>
      </c>
      <c r="J342" s="12">
        <v>4.0999999999999996</v>
      </c>
      <c r="K342" s="12">
        <v>3.61</v>
      </c>
      <c r="L342" s="12">
        <v>3.86</v>
      </c>
      <c r="M342" s="12">
        <v>4.04</v>
      </c>
      <c r="N342" s="12">
        <v>3.77</v>
      </c>
      <c r="O342" s="12">
        <v>3.38</v>
      </c>
      <c r="P342" s="12">
        <f t="shared" si="31"/>
        <v>4.2539999999999996</v>
      </c>
      <c r="Q342" s="12">
        <f t="shared" si="32"/>
        <v>4.25</v>
      </c>
      <c r="R342" s="12">
        <f t="shared" si="33"/>
        <v>3.7320000000000002</v>
      </c>
      <c r="S342" s="28">
        <f>IFERROR(INDEX('Clean Gamification Data'!$B:$B,MATCH($B342,'Clean Gamification Data'!$A:$A,0)),"Not Found")</f>
        <v>94.000917479999998</v>
      </c>
      <c r="T342" s="28">
        <f>IFERROR(INDEX('Clean Gamification Data'!$C:$C,MATCH($B342,'Clean Gamification Data'!$A:$A,0)),"Not Found")</f>
        <v>71.314830360000002</v>
      </c>
      <c r="U342" s="28">
        <f>IFERROR(INDEX('Clean Gamification Data'!$D:$D,MATCH($B342,'Clean Gamification Data'!$A:$A,0)),"Not Found")</f>
        <v>70.411735859999993</v>
      </c>
      <c r="V342" s="28">
        <f>IFERROR(INDEX('Clean Gamification Data'!$E:$E,MATCH($B342,'Clean Gamification Data'!$A:$A,0)),"Not Found")</f>
        <v>60.742602159999997</v>
      </c>
      <c r="W342" s="28">
        <f>IFERROR(INDEX('Clean Gamification Data'!$F:$F,MATCH($B342,'Clean Gamification Data'!$A:$A,0)),"Not Found")</f>
        <v>98.209449059999997</v>
      </c>
      <c r="X342" s="28">
        <f>IFERROR(INDEX('Clean Gamification Data'!$G:$G,MATCH($B342,'Clean Gamification Data'!$A:$A,0)),"Not Found")</f>
        <v>76.718524020000004</v>
      </c>
      <c r="Y342" s="28">
        <f>IFERROR(INDEX('Clean Gamification Data'!$H:$H,MATCH($B342,'Clean Gamification Data'!$A:$A,0)),"Not Found")</f>
        <v>65</v>
      </c>
      <c r="Z342" s="28">
        <f>IFERROR(INDEX('Clean Gamification Data'!$I:$I,MATCH($B342,'Clean Gamification Data'!$A:$A,0)),"Not Found")</f>
        <v>56.527842589999999</v>
      </c>
      <c r="AA342" s="28">
        <f>Table1[[#This Row],[Engagement (Gamification %)]]-Table1[[#This Row],[Engagement (Non-Gamification %)]]</f>
        <v>22.686087119999996</v>
      </c>
      <c r="AB342" s="28">
        <f>Table1[[#This Row],[Motivation (Gamification %)]]-Table1[[#This Row],[Motivation (Non-Gamification %)]]</f>
        <v>9.6691336999999962</v>
      </c>
      <c r="AC342" s="28">
        <f>Table1[[#This Row],[Participation (Gamification %)]]-Table1[[#This Row],[Participation (Non-Gamification %)]]</f>
        <v>21.490925039999993</v>
      </c>
      <c r="AD342" s="28">
        <f>Table1[[#This Row],[Learning Outcomes (Gamification %)]]-Table1[[#This Row],[Learning Outcomes (Non-Gamification %)]]</f>
        <v>8.4721574100000012</v>
      </c>
      <c r="AE342" s="44" t="str">
        <f>IF(Table1[[#This Row],[Overall Effectiveness]]&lt;3.9,"Low",IF(Table1[[#This Row],[Overall Effectiveness]]&lt;4.2,"Medium","High"))</f>
        <v>High</v>
      </c>
      <c r="AF342" s="30" t="str">
        <f t="shared" si="34"/>
        <v>Experiments</v>
      </c>
      <c r="AG342" s="30" t="str">
        <f t="shared" si="35"/>
        <v>Group Projects</v>
      </c>
      <c r="AH342" s="27">
        <f>COUNTIF(Teacher_Master!$D$2:$D$16,AF342)</f>
        <v>3</v>
      </c>
      <c r="AI342" s="30" t="str">
        <f>INDEX(Teacher_Master!$B$2:$B$16,MATCH(AF342,Teacher_Master!$D$2:$D$16,0))</f>
        <v>Prof. Rahul Singh</v>
      </c>
    </row>
    <row r="343" spans="1:35" ht="14.25" customHeight="1" x14ac:dyDescent="0.3">
      <c r="A343" s="31" t="s">
        <v>706</v>
      </c>
      <c r="B343" s="31" t="s">
        <v>2325</v>
      </c>
      <c r="C343" s="31" t="s">
        <v>2881</v>
      </c>
      <c r="D343" s="12">
        <f t="shared" ca="1" si="30"/>
        <v>22</v>
      </c>
      <c r="E343" s="12" t="str">
        <f ca="1">IF(Table1[[#This Row],[Age]]&lt;=22,"20-22",IF(Table1[[#This Row],[Age]]&lt;=25,"23-25",IF(Table1[[#This Row],[Age]]&lt;=28,"26-28","29-30")))</f>
        <v>20-22</v>
      </c>
      <c r="F343" s="12">
        <v>4.09</v>
      </c>
      <c r="G343" s="12">
        <v>4.3600000000000003</v>
      </c>
      <c r="H343" s="12">
        <v>4.22</v>
      </c>
      <c r="I343" s="12">
        <v>4.1900000000000004</v>
      </c>
      <c r="J343" s="12">
        <v>4.29</v>
      </c>
      <c r="K343" s="12">
        <v>3.76</v>
      </c>
      <c r="L343" s="12">
        <v>3.89</v>
      </c>
      <c r="M343" s="12">
        <v>4.1399999999999997</v>
      </c>
      <c r="N343" s="12">
        <v>4.3499999999999996</v>
      </c>
      <c r="O343" s="12">
        <v>4.26</v>
      </c>
      <c r="P343" s="12">
        <f t="shared" si="31"/>
        <v>4.2299999999999995</v>
      </c>
      <c r="Q343" s="12">
        <f t="shared" si="32"/>
        <v>4.2300000000000004</v>
      </c>
      <c r="R343" s="12">
        <f t="shared" si="33"/>
        <v>4.08</v>
      </c>
      <c r="S343" s="28">
        <f>IFERROR(INDEX('Clean Gamification Data'!$B:$B,MATCH($B343,'Clean Gamification Data'!$A:$A,0)),"Not Found")</f>
        <v>86.007332649999995</v>
      </c>
      <c r="T343" s="28">
        <f>IFERROR(INDEX('Clean Gamification Data'!$C:$C,MATCH($B343,'Clean Gamification Data'!$A:$A,0)),"Not Found")</f>
        <v>67.389521270000003</v>
      </c>
      <c r="U343" s="28">
        <f>IFERROR(INDEX('Clean Gamification Data'!$D:$D,MATCH($B343,'Clean Gamification Data'!$A:$A,0)),"Not Found")</f>
        <v>75.346390209999996</v>
      </c>
      <c r="V343" s="28">
        <f>IFERROR(INDEX('Clean Gamification Data'!$E:$E,MATCH($B343,'Clean Gamification Data'!$A:$A,0)),"Not Found")</f>
        <v>68.649502240000004</v>
      </c>
      <c r="W343" s="28">
        <f>IFERROR(INDEX('Clean Gamification Data'!$F:$F,MATCH($B343,'Clean Gamification Data'!$A:$A,0)),"Not Found")</f>
        <v>99.9</v>
      </c>
      <c r="X343" s="28">
        <f>IFERROR(INDEX('Clean Gamification Data'!$G:$G,MATCH($B343,'Clean Gamification Data'!$A:$A,0)),"Not Found")</f>
        <v>76.805687070000005</v>
      </c>
      <c r="Y343" s="28">
        <f>IFERROR(INDEX('Clean Gamification Data'!$H:$H,MATCH($B343,'Clean Gamification Data'!$A:$A,0)),"Not Found")</f>
        <v>71.055143290000004</v>
      </c>
      <c r="Z343" s="28">
        <f>IFERROR(INDEX('Clean Gamification Data'!$I:$I,MATCH($B343,'Clean Gamification Data'!$A:$A,0)),"Not Found")</f>
        <v>52.824605290000001</v>
      </c>
      <c r="AA343" s="28">
        <f>Table1[[#This Row],[Engagement (Gamification %)]]-Table1[[#This Row],[Engagement (Non-Gamification %)]]</f>
        <v>18.617811379999992</v>
      </c>
      <c r="AB343" s="28">
        <f>Table1[[#This Row],[Motivation (Gamification %)]]-Table1[[#This Row],[Motivation (Non-Gamification %)]]</f>
        <v>6.6968879699999917</v>
      </c>
      <c r="AC343" s="28">
        <f>Table1[[#This Row],[Participation (Gamification %)]]-Table1[[#This Row],[Participation (Non-Gamification %)]]</f>
        <v>23.094312930000001</v>
      </c>
      <c r="AD343" s="28">
        <f>Table1[[#This Row],[Learning Outcomes (Gamification %)]]-Table1[[#This Row],[Learning Outcomes (Non-Gamification %)]]</f>
        <v>18.230538000000003</v>
      </c>
      <c r="AE343" s="44" t="str">
        <f>IF(Table1[[#This Row],[Overall Effectiveness]]&lt;3.9,"Low",IF(Table1[[#This Row],[Overall Effectiveness]]&lt;4.2,"Medium","High"))</f>
        <v>High</v>
      </c>
      <c r="AF343" s="30" t="str">
        <f t="shared" si="34"/>
        <v>Case Studies</v>
      </c>
      <c r="AG343" s="30" t="str">
        <f t="shared" si="35"/>
        <v>Experiments</v>
      </c>
      <c r="AH343" s="27">
        <f>COUNTIF(Teacher_Master!$D$2:$D$16,AF343)</f>
        <v>3</v>
      </c>
      <c r="AI343" s="30" t="str">
        <f>INDEX(Teacher_Master!$B$2:$B$16,MATCH(AF343,Teacher_Master!$D$2:$D$16,0))</f>
        <v>Prof. Rajesh Mukherjee</v>
      </c>
    </row>
    <row r="344" spans="1:35" ht="14.25" customHeight="1" x14ac:dyDescent="0.3">
      <c r="A344" s="31" t="s">
        <v>708</v>
      </c>
      <c r="B344" s="31" t="s">
        <v>2326</v>
      </c>
      <c r="C344" s="31" t="s">
        <v>2881</v>
      </c>
      <c r="D344" s="12">
        <f t="shared" ca="1" si="30"/>
        <v>24</v>
      </c>
      <c r="E344" s="12" t="str">
        <f ca="1">IF(Table1[[#This Row],[Age]]&lt;=22,"20-22",IF(Table1[[#This Row],[Age]]&lt;=25,"23-25",IF(Table1[[#This Row],[Age]]&lt;=28,"26-28","29-30")))</f>
        <v>23-25</v>
      </c>
      <c r="F344" s="12">
        <v>4.33</v>
      </c>
      <c r="G344" s="12">
        <v>3.78</v>
      </c>
      <c r="H344" s="12">
        <v>4.05</v>
      </c>
      <c r="I344" s="12">
        <v>3.91</v>
      </c>
      <c r="J344" s="12">
        <v>3.68</v>
      </c>
      <c r="K344" s="12">
        <v>3.47</v>
      </c>
      <c r="L344" s="12">
        <v>4.03</v>
      </c>
      <c r="M344" s="12">
        <v>4.05</v>
      </c>
      <c r="N344" s="12">
        <v>4.5</v>
      </c>
      <c r="O344" s="12">
        <v>3.87</v>
      </c>
      <c r="P344" s="12">
        <f t="shared" si="31"/>
        <v>3.95</v>
      </c>
      <c r="Q344" s="12">
        <f t="shared" si="32"/>
        <v>3.95</v>
      </c>
      <c r="R344" s="12">
        <f t="shared" si="33"/>
        <v>3.9840000000000004</v>
      </c>
      <c r="S344" s="28">
        <f>IFERROR(INDEX('Clean Gamification Data'!$B:$B,MATCH($B344,'Clean Gamification Data'!$A:$A,0)),"Not Found")</f>
        <v>77.36388737</v>
      </c>
      <c r="T344" s="28">
        <f>IFERROR(INDEX('Clean Gamification Data'!$C:$C,MATCH($B344,'Clean Gamification Data'!$A:$A,0)),"Not Found")</f>
        <v>67.916894470000003</v>
      </c>
      <c r="U344" s="28">
        <f>IFERROR(INDEX('Clean Gamification Data'!$D:$D,MATCH($B344,'Clean Gamification Data'!$A:$A,0)),"Not Found")</f>
        <v>79.193625580000003</v>
      </c>
      <c r="V344" s="28">
        <f>IFERROR(INDEX('Clean Gamification Data'!$E:$E,MATCH($B344,'Clean Gamification Data'!$A:$A,0)),"Not Found")</f>
        <v>68.371941250000006</v>
      </c>
      <c r="W344" s="28">
        <f>IFERROR(INDEX('Clean Gamification Data'!$F:$F,MATCH($B344,'Clean Gamification Data'!$A:$A,0)),"Not Found")</f>
        <v>80</v>
      </c>
      <c r="X344" s="28">
        <f>IFERROR(INDEX('Clean Gamification Data'!$G:$G,MATCH($B344,'Clean Gamification Data'!$A:$A,0)),"Not Found")</f>
        <v>76.765458629999998</v>
      </c>
      <c r="Y344" s="28">
        <f>IFERROR(INDEX('Clean Gamification Data'!$H:$H,MATCH($B344,'Clean Gamification Data'!$A:$A,0)),"Not Found")</f>
        <v>72.077159609999995</v>
      </c>
      <c r="Z344" s="28">
        <f>IFERROR(INDEX('Clean Gamification Data'!$I:$I,MATCH($B344,'Clean Gamification Data'!$A:$A,0)),"Not Found")</f>
        <v>52.099282109999997</v>
      </c>
      <c r="AA344" s="28">
        <f>Table1[[#This Row],[Engagement (Gamification %)]]-Table1[[#This Row],[Engagement (Non-Gamification %)]]</f>
        <v>9.4469928999999979</v>
      </c>
      <c r="AB344" s="28">
        <f>Table1[[#This Row],[Motivation (Gamification %)]]-Table1[[#This Row],[Motivation (Non-Gamification %)]]</f>
        <v>10.821684329999997</v>
      </c>
      <c r="AC344" s="28">
        <f>Table1[[#This Row],[Participation (Gamification %)]]-Table1[[#This Row],[Participation (Non-Gamification %)]]</f>
        <v>3.2345413700000023</v>
      </c>
      <c r="AD344" s="28">
        <f>Table1[[#This Row],[Learning Outcomes (Gamification %)]]-Table1[[#This Row],[Learning Outcomes (Non-Gamification %)]]</f>
        <v>19.977877499999998</v>
      </c>
      <c r="AE344" s="44" t="str">
        <f>IF(Table1[[#This Row],[Overall Effectiveness]]&lt;3.9,"Low",IF(Table1[[#This Row],[Overall Effectiveness]]&lt;4.2,"Medium","High"))</f>
        <v>Medium</v>
      </c>
      <c r="AF344" s="30" t="str">
        <f t="shared" si="34"/>
        <v>Lectures</v>
      </c>
      <c r="AG344" s="30" t="str">
        <f t="shared" si="35"/>
        <v>Experiments</v>
      </c>
      <c r="AH344" s="27">
        <f>COUNTIF(Teacher_Master!$D$2:$D$16,AF344)</f>
        <v>3</v>
      </c>
      <c r="AI344" s="30" t="str">
        <f>INDEX(Teacher_Master!$B$2:$B$16,MATCH(AF344,Teacher_Master!$D$2:$D$16,0))</f>
        <v>Prof. Vikram Gupta</v>
      </c>
    </row>
    <row r="345" spans="1:35" ht="14.25" customHeight="1" x14ac:dyDescent="0.3">
      <c r="A345" s="31" t="s">
        <v>710</v>
      </c>
      <c r="B345" s="31" t="s">
        <v>711</v>
      </c>
      <c r="C345" s="31" t="s">
        <v>2882</v>
      </c>
      <c r="D345" s="12">
        <f t="shared" ca="1" si="30"/>
        <v>24</v>
      </c>
      <c r="E345" s="12" t="str">
        <f ca="1">IF(Table1[[#This Row],[Age]]&lt;=22,"20-22",IF(Table1[[#This Row],[Age]]&lt;=25,"23-25",IF(Table1[[#This Row],[Age]]&lt;=28,"26-28","29-30")))</f>
        <v>23-25</v>
      </c>
      <c r="F345" s="12">
        <v>3.48</v>
      </c>
      <c r="G345" s="12">
        <v>4.3600000000000003</v>
      </c>
      <c r="H345" s="12">
        <v>3.94</v>
      </c>
      <c r="I345" s="12">
        <v>3.73</v>
      </c>
      <c r="J345" s="12">
        <v>4.3899999999999997</v>
      </c>
      <c r="K345" s="12">
        <v>3.91</v>
      </c>
      <c r="L345" s="12">
        <v>4.08</v>
      </c>
      <c r="M345" s="12">
        <v>3.75</v>
      </c>
      <c r="N345" s="12">
        <v>4.29</v>
      </c>
      <c r="O345" s="12">
        <v>3.39</v>
      </c>
      <c r="P345" s="12">
        <f t="shared" si="31"/>
        <v>3.9799999999999995</v>
      </c>
      <c r="Q345" s="12">
        <f t="shared" si="32"/>
        <v>3.98</v>
      </c>
      <c r="R345" s="12">
        <f t="shared" si="33"/>
        <v>3.8840000000000003</v>
      </c>
      <c r="S345" s="28">
        <f>IFERROR(INDEX('Clean Gamification Data'!$B:$B,MATCH($B345,'Clean Gamification Data'!$A:$A,0)),"Not Found")</f>
        <v>99.9</v>
      </c>
      <c r="T345" s="28">
        <f>IFERROR(INDEX('Clean Gamification Data'!$C:$C,MATCH($B345,'Clean Gamification Data'!$A:$A,0)),"Not Found")</f>
        <v>64.811585899999997</v>
      </c>
      <c r="U345" s="28">
        <f>IFERROR(INDEX('Clean Gamification Data'!$D:$D,MATCH($B345,'Clean Gamification Data'!$A:$A,0)),"Not Found")</f>
        <v>75.450541990000005</v>
      </c>
      <c r="V345" s="28">
        <f>IFERROR(INDEX('Clean Gamification Data'!$E:$E,MATCH($B345,'Clean Gamification Data'!$A:$A,0)),"Not Found")</f>
        <v>65.9960813</v>
      </c>
      <c r="W345" s="28">
        <f>IFERROR(INDEX('Clean Gamification Data'!$F:$F,MATCH($B345,'Clean Gamification Data'!$A:$A,0)),"Not Found")</f>
        <v>89.769776680000007</v>
      </c>
      <c r="X345" s="28">
        <f>IFERROR(INDEX('Clean Gamification Data'!$G:$G,MATCH($B345,'Clean Gamification Data'!$A:$A,0)),"Not Found")</f>
        <v>79.776331339999999</v>
      </c>
      <c r="Y345" s="28">
        <f>IFERROR(INDEX('Clean Gamification Data'!$H:$H,MATCH($B345,'Clean Gamification Data'!$A:$A,0)),"Not Found")</f>
        <v>66.557941839999998</v>
      </c>
      <c r="Z345" s="28">
        <f>IFERROR(INDEX('Clean Gamification Data'!$I:$I,MATCH($B345,'Clean Gamification Data'!$A:$A,0)),"Not Found")</f>
        <v>64.937325909999998</v>
      </c>
      <c r="AA345" s="28">
        <f>Table1[[#This Row],[Engagement (Gamification %)]]-Table1[[#This Row],[Engagement (Non-Gamification %)]]</f>
        <v>35.088414100000008</v>
      </c>
      <c r="AB345" s="28">
        <f>Table1[[#This Row],[Motivation (Gamification %)]]-Table1[[#This Row],[Motivation (Non-Gamification %)]]</f>
        <v>9.4544606900000048</v>
      </c>
      <c r="AC345" s="28">
        <f>Table1[[#This Row],[Participation (Gamification %)]]-Table1[[#This Row],[Participation (Non-Gamification %)]]</f>
        <v>9.9934453400000081</v>
      </c>
      <c r="AD345" s="28">
        <f>Table1[[#This Row],[Learning Outcomes (Gamification %)]]-Table1[[#This Row],[Learning Outcomes (Non-Gamification %)]]</f>
        <v>1.6206159299999996</v>
      </c>
      <c r="AE345" s="44" t="str">
        <f>IF(Table1[[#This Row],[Overall Effectiveness]]&lt;3.9,"Low",IF(Table1[[#This Row],[Overall Effectiveness]]&lt;4.2,"Medium","High"))</f>
        <v>Medium</v>
      </c>
      <c r="AF345" s="30" t="str">
        <f t="shared" si="34"/>
        <v>Online Tutorials</v>
      </c>
      <c r="AG345" s="30" t="str">
        <f t="shared" si="35"/>
        <v>Experiments</v>
      </c>
      <c r="AH345" s="27">
        <f>COUNTIF(Teacher_Master!$D$2:$D$16,AF345)</f>
        <v>3</v>
      </c>
      <c r="AI345" s="30" t="str">
        <f>INDEX(Teacher_Master!$B$2:$B$16,MATCH(AF345,Teacher_Master!$D$2:$D$16,0))</f>
        <v>Prof. Kavita Rao</v>
      </c>
    </row>
    <row r="346" spans="1:35" ht="14.25" customHeight="1" x14ac:dyDescent="0.3">
      <c r="A346" s="31" t="s">
        <v>712</v>
      </c>
      <c r="B346" s="31" t="s">
        <v>713</v>
      </c>
      <c r="C346" s="31" t="s">
        <v>2882</v>
      </c>
      <c r="D346" s="12">
        <f t="shared" ca="1" si="30"/>
        <v>30</v>
      </c>
      <c r="E346" s="12" t="str">
        <f ca="1">IF(Table1[[#This Row],[Age]]&lt;=22,"20-22",IF(Table1[[#This Row],[Age]]&lt;=25,"23-25",IF(Table1[[#This Row],[Age]]&lt;=28,"26-28","29-30")))</f>
        <v>29-30</v>
      </c>
      <c r="F346" s="12">
        <v>3.83</v>
      </c>
      <c r="G346" s="12">
        <v>4.16</v>
      </c>
      <c r="H346" s="12">
        <v>4.12</v>
      </c>
      <c r="I346" s="12">
        <v>3.35</v>
      </c>
      <c r="J346" s="12">
        <v>4.42</v>
      </c>
      <c r="K346" s="12">
        <v>4.2699999999999996</v>
      </c>
      <c r="L346" s="12">
        <v>3.81</v>
      </c>
      <c r="M346" s="12">
        <v>3.98</v>
      </c>
      <c r="N346" s="12">
        <v>4.58</v>
      </c>
      <c r="O346" s="12">
        <v>4.07</v>
      </c>
      <c r="P346" s="12">
        <f t="shared" si="31"/>
        <v>3.976</v>
      </c>
      <c r="Q346" s="12">
        <f t="shared" si="32"/>
        <v>3.98</v>
      </c>
      <c r="R346" s="12">
        <f t="shared" si="33"/>
        <v>4.1420000000000003</v>
      </c>
      <c r="S346" s="28">
        <f>IFERROR(INDEX('Clean Gamification Data'!$B:$B,MATCH($B346,'Clean Gamification Data'!$A:$A,0)),"Not Found")</f>
        <v>84.980801</v>
      </c>
      <c r="T346" s="28">
        <f>IFERROR(INDEX('Clean Gamification Data'!$C:$C,MATCH($B346,'Clean Gamification Data'!$A:$A,0)),"Not Found")</f>
        <v>68.43768197</v>
      </c>
      <c r="U346" s="28">
        <f>IFERROR(INDEX('Clean Gamification Data'!$D:$D,MATCH($B346,'Clean Gamification Data'!$A:$A,0)),"Not Found")</f>
        <v>81.206730219999997</v>
      </c>
      <c r="V346" s="28">
        <f>IFERROR(INDEX('Clean Gamification Data'!$E:$E,MATCH($B346,'Clean Gamification Data'!$A:$A,0)),"Not Found")</f>
        <v>62.04899211</v>
      </c>
      <c r="W346" s="28">
        <f>IFERROR(INDEX('Clean Gamification Data'!$F:$F,MATCH($B346,'Clean Gamification Data'!$A:$A,0)),"Not Found")</f>
        <v>89.873255830000005</v>
      </c>
      <c r="X346" s="28">
        <f>IFERROR(INDEX('Clean Gamification Data'!$G:$G,MATCH($B346,'Clean Gamification Data'!$A:$A,0)),"Not Found")</f>
        <v>74.969910510000005</v>
      </c>
      <c r="Y346" s="28">
        <f>IFERROR(INDEX('Clean Gamification Data'!$H:$H,MATCH($B346,'Clean Gamification Data'!$A:$A,0)),"Not Found")</f>
        <v>74.823388030000004</v>
      </c>
      <c r="Z346" s="28">
        <f>IFERROR(INDEX('Clean Gamification Data'!$I:$I,MATCH($B346,'Clean Gamification Data'!$A:$A,0)),"Not Found")</f>
        <v>63.642405549999999</v>
      </c>
      <c r="AA346" s="28">
        <f>Table1[[#This Row],[Engagement (Gamification %)]]-Table1[[#This Row],[Engagement (Non-Gamification %)]]</f>
        <v>16.54311903</v>
      </c>
      <c r="AB346" s="28">
        <f>Table1[[#This Row],[Motivation (Gamification %)]]-Table1[[#This Row],[Motivation (Non-Gamification %)]]</f>
        <v>19.157738109999997</v>
      </c>
      <c r="AC346" s="28">
        <f>Table1[[#This Row],[Participation (Gamification %)]]-Table1[[#This Row],[Participation (Non-Gamification %)]]</f>
        <v>14.90334532</v>
      </c>
      <c r="AD346" s="28">
        <f>Table1[[#This Row],[Learning Outcomes (Gamification %)]]-Table1[[#This Row],[Learning Outcomes (Non-Gamification %)]]</f>
        <v>11.180982480000004</v>
      </c>
      <c r="AE346" s="44" t="str">
        <f>IF(Table1[[#This Row],[Overall Effectiveness]]&lt;3.9,"Low",IF(Table1[[#This Row],[Overall Effectiveness]]&lt;4.2,"Medium","High"))</f>
        <v>Medium</v>
      </c>
      <c r="AF346" s="30" t="str">
        <f t="shared" si="34"/>
        <v>Online Tutorials</v>
      </c>
      <c r="AG346" s="30" t="str">
        <f t="shared" si="35"/>
        <v>Experiments</v>
      </c>
      <c r="AH346" s="27">
        <f>COUNTIF(Teacher_Master!$D$2:$D$16,AF346)</f>
        <v>3</v>
      </c>
      <c r="AI346" s="30" t="str">
        <f>INDEX(Teacher_Master!$B$2:$B$16,MATCH(AF346,Teacher_Master!$D$2:$D$16,0))</f>
        <v>Prof. Kavita Rao</v>
      </c>
    </row>
    <row r="347" spans="1:35" ht="14.25" customHeight="1" x14ac:dyDescent="0.3">
      <c r="A347" s="31" t="s">
        <v>714</v>
      </c>
      <c r="B347" s="31" t="s">
        <v>715</v>
      </c>
      <c r="C347" s="31" t="s">
        <v>2882</v>
      </c>
      <c r="D347" s="12">
        <f t="shared" ca="1" si="30"/>
        <v>26</v>
      </c>
      <c r="E347" s="12" t="str">
        <f ca="1">IF(Table1[[#This Row],[Age]]&lt;=22,"20-22",IF(Table1[[#This Row],[Age]]&lt;=25,"23-25",IF(Table1[[#This Row],[Age]]&lt;=28,"26-28","29-30")))</f>
        <v>26-28</v>
      </c>
      <c r="F347" s="12">
        <v>4.08</v>
      </c>
      <c r="G347" s="12">
        <v>4.08</v>
      </c>
      <c r="H347" s="12">
        <v>3.77</v>
      </c>
      <c r="I347" s="12" t="s">
        <v>211</v>
      </c>
      <c r="J347" s="12">
        <v>3.93</v>
      </c>
      <c r="K347" s="12">
        <v>4.33</v>
      </c>
      <c r="L347" s="12">
        <v>4.3099999999999996</v>
      </c>
      <c r="M347" s="12">
        <v>4.43</v>
      </c>
      <c r="N347" s="12">
        <v>4.04</v>
      </c>
      <c r="O347" s="12">
        <v>4.68</v>
      </c>
      <c r="P347" s="12">
        <f t="shared" si="31"/>
        <v>3.9649999999999999</v>
      </c>
      <c r="Q347" s="12">
        <f t="shared" si="32"/>
        <v>3.97</v>
      </c>
      <c r="R347" s="12">
        <f t="shared" si="33"/>
        <v>4.3579999999999997</v>
      </c>
      <c r="S347" s="28">
        <f>IFERROR(INDEX('Clean Gamification Data'!$B:$B,MATCH($B347,'Clean Gamification Data'!$A:$A,0)),"Not Found")</f>
        <v>99.705481019999993</v>
      </c>
      <c r="T347" s="28">
        <f>IFERROR(INDEX('Clean Gamification Data'!$C:$C,MATCH($B347,'Clean Gamification Data'!$A:$A,0)),"Not Found")</f>
        <v>71.424267479999997</v>
      </c>
      <c r="U347" s="28">
        <f>IFERROR(INDEX('Clean Gamification Data'!$D:$D,MATCH($B347,'Clean Gamification Data'!$A:$A,0)),"Not Found")</f>
        <v>73.667679829999997</v>
      </c>
      <c r="V347" s="28">
        <f>IFERROR(INDEX('Clean Gamification Data'!$E:$E,MATCH($B347,'Clean Gamification Data'!$A:$A,0)),"Not Found")</f>
        <v>72.432877849999997</v>
      </c>
      <c r="W347" s="28">
        <f>IFERROR(INDEX('Clean Gamification Data'!$F:$F,MATCH($B347,'Clean Gamification Data'!$A:$A,0)),"Not Found")</f>
        <v>88.649390109999999</v>
      </c>
      <c r="X347" s="28">
        <f>IFERROR(INDEX('Clean Gamification Data'!$G:$G,MATCH($B347,'Clean Gamification Data'!$A:$A,0)),"Not Found")</f>
        <v>79.459407409999997</v>
      </c>
      <c r="Y347" s="28">
        <f>IFERROR(INDEX('Clean Gamification Data'!$H:$H,MATCH($B347,'Clean Gamification Data'!$A:$A,0)),"Not Found")</f>
        <v>70.916351640000002</v>
      </c>
      <c r="Z347" s="28">
        <f>IFERROR(INDEX('Clean Gamification Data'!$I:$I,MATCH($B347,'Clean Gamification Data'!$A:$A,0)),"Not Found")</f>
        <v>61.345340319999998</v>
      </c>
      <c r="AA347" s="28">
        <f>Table1[[#This Row],[Engagement (Gamification %)]]-Table1[[#This Row],[Engagement (Non-Gamification %)]]</f>
        <v>28.281213539999996</v>
      </c>
      <c r="AB347" s="28">
        <f>Table1[[#This Row],[Motivation (Gamification %)]]-Table1[[#This Row],[Motivation (Non-Gamification %)]]</f>
        <v>1.2348019800000003</v>
      </c>
      <c r="AC347" s="28">
        <f>Table1[[#This Row],[Participation (Gamification %)]]-Table1[[#This Row],[Participation (Non-Gamification %)]]</f>
        <v>9.1899827000000016</v>
      </c>
      <c r="AD347" s="28">
        <f>Table1[[#This Row],[Learning Outcomes (Gamification %)]]-Table1[[#This Row],[Learning Outcomes (Non-Gamification %)]]</f>
        <v>9.5710113200000038</v>
      </c>
      <c r="AE347" s="44" t="str">
        <f>IF(Table1[[#This Row],[Overall Effectiveness]]&lt;3.9,"Low",IF(Table1[[#This Row],[Overall Effectiveness]]&lt;4.2,"Medium","High"))</f>
        <v>Medium</v>
      </c>
      <c r="AF347" s="30" t="str">
        <f t="shared" si="34"/>
        <v>Lectures</v>
      </c>
      <c r="AG347" s="30" t="str">
        <f t="shared" si="35"/>
        <v>Online Tutorials</v>
      </c>
      <c r="AH347" s="27">
        <f>COUNTIF(Teacher_Master!$D$2:$D$16,AF347)</f>
        <v>3</v>
      </c>
      <c r="AI347" s="30" t="str">
        <f>INDEX(Teacher_Master!$B$2:$B$16,MATCH(AF347,Teacher_Master!$D$2:$D$16,0))</f>
        <v>Prof. Vikram Gupta</v>
      </c>
    </row>
    <row r="348" spans="1:35" ht="14.25" customHeight="1" x14ac:dyDescent="0.3">
      <c r="A348" s="31" t="s">
        <v>716</v>
      </c>
      <c r="B348" s="31" t="s">
        <v>2327</v>
      </c>
      <c r="C348" s="31" t="s">
        <v>2882</v>
      </c>
      <c r="D348" s="12">
        <f t="shared" ca="1" si="30"/>
        <v>23</v>
      </c>
      <c r="E348" s="12" t="str">
        <f ca="1">IF(Table1[[#This Row],[Age]]&lt;=22,"20-22",IF(Table1[[#This Row],[Age]]&lt;=25,"23-25",IF(Table1[[#This Row],[Age]]&lt;=28,"26-28","29-30")))</f>
        <v>23-25</v>
      </c>
      <c r="F348" s="12">
        <v>3.29</v>
      </c>
      <c r="G348" s="12">
        <v>3.41</v>
      </c>
      <c r="H348" s="12">
        <v>3.88</v>
      </c>
      <c r="I348" s="12">
        <v>4.18</v>
      </c>
      <c r="J348" s="12">
        <v>3.66</v>
      </c>
      <c r="K348" s="12">
        <v>3.92</v>
      </c>
      <c r="L348" s="12">
        <v>4.2300000000000004</v>
      </c>
      <c r="M348" s="12">
        <v>4.42</v>
      </c>
      <c r="N348" s="12">
        <v>3.1</v>
      </c>
      <c r="O348" s="12">
        <v>4.1500000000000004</v>
      </c>
      <c r="P348" s="12">
        <f t="shared" si="31"/>
        <v>3.6840000000000002</v>
      </c>
      <c r="Q348" s="12">
        <f t="shared" si="32"/>
        <v>3.68</v>
      </c>
      <c r="R348" s="12">
        <f t="shared" si="33"/>
        <v>3.964</v>
      </c>
      <c r="S348" s="28">
        <f>IFERROR(INDEX('Clean Gamification Data'!$B:$B,MATCH($B348,'Clean Gamification Data'!$A:$A,0)),"Not Found")</f>
        <v>83.429563659999999</v>
      </c>
      <c r="T348" s="28">
        <f>IFERROR(INDEX('Clean Gamification Data'!$C:$C,MATCH($B348,'Clean Gamification Data'!$A:$A,0)),"Not Found")</f>
        <v>67.130783489999999</v>
      </c>
      <c r="U348" s="28">
        <f>IFERROR(INDEX('Clean Gamification Data'!$D:$D,MATCH($B348,'Clean Gamification Data'!$A:$A,0)),"Not Found")</f>
        <v>70</v>
      </c>
      <c r="V348" s="28">
        <f>IFERROR(INDEX('Clean Gamification Data'!$E:$E,MATCH($B348,'Clean Gamification Data'!$A:$A,0)),"Not Found")</f>
        <v>55.857954380000002</v>
      </c>
      <c r="W348" s="28">
        <f>IFERROR(INDEX('Clean Gamification Data'!$F:$F,MATCH($B348,'Clean Gamification Data'!$A:$A,0)),"Not Found")</f>
        <v>85.99526487</v>
      </c>
      <c r="X348" s="28">
        <f>IFERROR(INDEX('Clean Gamification Data'!$G:$G,MATCH($B348,'Clean Gamification Data'!$A:$A,0)),"Not Found")</f>
        <v>74.183628519999999</v>
      </c>
      <c r="Y348" s="28">
        <f>IFERROR(INDEX('Clean Gamification Data'!$H:$H,MATCH($B348,'Clean Gamification Data'!$A:$A,0)),"Not Found")</f>
        <v>71.354242450000001</v>
      </c>
      <c r="Z348" s="28">
        <f>IFERROR(INDEX('Clean Gamification Data'!$I:$I,MATCH($B348,'Clean Gamification Data'!$A:$A,0)),"Not Found")</f>
        <v>50.131428579999998</v>
      </c>
      <c r="AA348" s="28">
        <f>Table1[[#This Row],[Engagement (Gamification %)]]-Table1[[#This Row],[Engagement (Non-Gamification %)]]</f>
        <v>16.298780170000001</v>
      </c>
      <c r="AB348" s="28">
        <f>Table1[[#This Row],[Motivation (Gamification %)]]-Table1[[#This Row],[Motivation (Non-Gamification %)]]</f>
        <v>14.142045619999998</v>
      </c>
      <c r="AC348" s="28">
        <f>Table1[[#This Row],[Participation (Gamification %)]]-Table1[[#This Row],[Participation (Non-Gamification %)]]</f>
        <v>11.811636350000001</v>
      </c>
      <c r="AD348" s="28">
        <f>Table1[[#This Row],[Learning Outcomes (Gamification %)]]-Table1[[#This Row],[Learning Outcomes (Non-Gamification %)]]</f>
        <v>21.222813870000003</v>
      </c>
      <c r="AE348" s="44" t="str">
        <f>IF(Table1[[#This Row],[Overall Effectiveness]]&lt;3.9,"Low",IF(Table1[[#This Row],[Overall Effectiveness]]&lt;4.2,"Medium","High"))</f>
        <v>Low</v>
      </c>
      <c r="AF348" s="30" t="str">
        <f t="shared" si="34"/>
        <v>Experiments</v>
      </c>
      <c r="AG348" s="30" t="str">
        <f t="shared" si="35"/>
        <v>Group Projects</v>
      </c>
      <c r="AH348" s="27">
        <f>COUNTIF(Teacher_Master!$D$2:$D$16,AF348)</f>
        <v>3</v>
      </c>
      <c r="AI348" s="30" t="str">
        <f>INDEX(Teacher_Master!$B$2:$B$16,MATCH(AF348,Teacher_Master!$D$2:$D$16,0))</f>
        <v>Prof. Rahul Singh</v>
      </c>
    </row>
    <row r="349" spans="1:35" ht="14.25" customHeight="1" x14ac:dyDescent="0.3">
      <c r="A349" s="31" t="s">
        <v>718</v>
      </c>
      <c r="B349" s="31" t="s">
        <v>2328</v>
      </c>
      <c r="C349" s="31" t="s">
        <v>2882</v>
      </c>
      <c r="D349" s="12">
        <f t="shared" ca="1" si="30"/>
        <v>22</v>
      </c>
      <c r="E349" s="12" t="str">
        <f ca="1">IF(Table1[[#This Row],[Age]]&lt;=22,"20-22",IF(Table1[[#This Row],[Age]]&lt;=25,"23-25",IF(Table1[[#This Row],[Age]]&lt;=28,"26-28","29-30")))</f>
        <v>20-22</v>
      </c>
      <c r="F349" s="12">
        <v>4.0999999999999996</v>
      </c>
      <c r="G349" s="12">
        <v>3.73</v>
      </c>
      <c r="H349" s="12">
        <v>4.46</v>
      </c>
      <c r="I349" s="12">
        <v>4.54</v>
      </c>
      <c r="J349" s="12">
        <v>4.22</v>
      </c>
      <c r="K349" s="12">
        <v>4.21</v>
      </c>
      <c r="L349" s="12" t="s">
        <v>211</v>
      </c>
      <c r="M349" s="12">
        <v>3.29</v>
      </c>
      <c r="N349" s="12" t="s">
        <v>211</v>
      </c>
      <c r="O349" s="12">
        <v>4.2699999999999996</v>
      </c>
      <c r="P349" s="12">
        <f t="shared" si="31"/>
        <v>4.2099999999999991</v>
      </c>
      <c r="Q349" s="12">
        <f t="shared" si="32"/>
        <v>4.21</v>
      </c>
      <c r="R349" s="12">
        <f t="shared" si="33"/>
        <v>3.9233333333333333</v>
      </c>
      <c r="S349" s="28">
        <f>IFERROR(INDEX('Clean Gamification Data'!$B:$B,MATCH($B349,'Clean Gamification Data'!$A:$A,0)),"Not Found")</f>
        <v>85.004704889999999</v>
      </c>
      <c r="T349" s="28">
        <f>IFERROR(INDEX('Clean Gamification Data'!$C:$C,MATCH($B349,'Clean Gamification Data'!$A:$A,0)),"Not Found")</f>
        <v>71.829854780000005</v>
      </c>
      <c r="U349" s="28">
        <f>IFERROR(INDEX('Clean Gamification Data'!$D:$D,MATCH($B349,'Clean Gamification Data'!$A:$A,0)),"Not Found")</f>
        <v>70</v>
      </c>
      <c r="V349" s="28">
        <f>IFERROR(INDEX('Clean Gamification Data'!$E:$E,MATCH($B349,'Clean Gamification Data'!$A:$A,0)),"Not Found")</f>
        <v>75</v>
      </c>
      <c r="W349" s="28">
        <f>IFERROR(INDEX('Clean Gamification Data'!$F:$F,MATCH($B349,'Clean Gamification Data'!$A:$A,0)),"Not Found")</f>
        <v>80</v>
      </c>
      <c r="X349" s="28">
        <f>IFERROR(INDEX('Clean Gamification Data'!$G:$G,MATCH($B349,'Clean Gamification Data'!$A:$A,0)),"Not Found")</f>
        <v>75.715868200000003</v>
      </c>
      <c r="Y349" s="28">
        <f>IFERROR(INDEX('Clean Gamification Data'!$H:$H,MATCH($B349,'Clean Gamification Data'!$A:$A,0)),"Not Found")</f>
        <v>75.194365950000005</v>
      </c>
      <c r="Z349" s="28">
        <f>IFERROR(INDEX('Clean Gamification Data'!$I:$I,MATCH($B349,'Clean Gamification Data'!$A:$A,0)),"Not Found")</f>
        <v>59.044104590000003</v>
      </c>
      <c r="AA349" s="28">
        <f>Table1[[#This Row],[Engagement (Gamification %)]]-Table1[[#This Row],[Engagement (Non-Gamification %)]]</f>
        <v>13.174850109999994</v>
      </c>
      <c r="AB349" s="28">
        <f>Table1[[#This Row],[Motivation (Gamification %)]]-Table1[[#This Row],[Motivation (Non-Gamification %)]]</f>
        <v>-5</v>
      </c>
      <c r="AC349" s="28">
        <f>Table1[[#This Row],[Participation (Gamification %)]]-Table1[[#This Row],[Participation (Non-Gamification %)]]</f>
        <v>4.2841317999999973</v>
      </c>
      <c r="AD349" s="28">
        <f>Table1[[#This Row],[Learning Outcomes (Gamification %)]]-Table1[[#This Row],[Learning Outcomes (Non-Gamification %)]]</f>
        <v>16.150261360000002</v>
      </c>
      <c r="AE349" s="44" t="str">
        <f>IF(Table1[[#This Row],[Overall Effectiveness]]&lt;3.9,"Low",IF(Table1[[#This Row],[Overall Effectiveness]]&lt;4.2,"Medium","High"))</f>
        <v>High</v>
      </c>
      <c r="AF349" s="30" t="str">
        <f t="shared" si="34"/>
        <v>Experiments</v>
      </c>
      <c r="AG349" s="30" t="str">
        <f t="shared" si="35"/>
        <v>Online Tutorials</v>
      </c>
      <c r="AH349" s="27">
        <f>COUNTIF(Teacher_Master!$D$2:$D$16,AF349)</f>
        <v>3</v>
      </c>
      <c r="AI349" s="30" t="str">
        <f>INDEX(Teacher_Master!$B$2:$B$16,MATCH(AF349,Teacher_Master!$D$2:$D$16,0))</f>
        <v>Prof. Rahul Singh</v>
      </c>
    </row>
    <row r="350" spans="1:35" ht="14.25" customHeight="1" x14ac:dyDescent="0.3">
      <c r="A350" s="31" t="s">
        <v>720</v>
      </c>
      <c r="B350" s="31" t="s">
        <v>2329</v>
      </c>
      <c r="C350" s="31" t="s">
        <v>2881</v>
      </c>
      <c r="D350" s="12">
        <f t="shared" ca="1" si="30"/>
        <v>22</v>
      </c>
      <c r="E350" s="12" t="str">
        <f ca="1">IF(Table1[[#This Row],[Age]]&lt;=22,"20-22",IF(Table1[[#This Row],[Age]]&lt;=25,"23-25",IF(Table1[[#This Row],[Age]]&lt;=28,"26-28","29-30")))</f>
        <v>20-22</v>
      </c>
      <c r="F350" s="12">
        <v>4.49</v>
      </c>
      <c r="G350" s="12">
        <v>4.75</v>
      </c>
      <c r="H350" s="12">
        <v>4.1900000000000004</v>
      </c>
      <c r="I350" s="12">
        <v>4.05</v>
      </c>
      <c r="J350" s="12">
        <v>4.5</v>
      </c>
      <c r="K350" s="12" t="s">
        <v>211</v>
      </c>
      <c r="L350" s="12">
        <v>3.94</v>
      </c>
      <c r="M350" s="12">
        <v>4.0999999999999996</v>
      </c>
      <c r="N350" s="12">
        <v>4.07</v>
      </c>
      <c r="O350" s="12">
        <v>4.18</v>
      </c>
      <c r="P350" s="12">
        <f t="shared" si="31"/>
        <v>4.3959999999999999</v>
      </c>
      <c r="Q350" s="12">
        <f t="shared" si="32"/>
        <v>4.4000000000000004</v>
      </c>
      <c r="R350" s="12">
        <f t="shared" si="33"/>
        <v>4.0724999999999998</v>
      </c>
      <c r="S350" s="28">
        <f>IFERROR(INDEX('Clean Gamification Data'!$B:$B,MATCH($B350,'Clean Gamification Data'!$A:$A,0)),"Not Found")</f>
        <v>87.833597350000005</v>
      </c>
      <c r="T350" s="28">
        <f>IFERROR(INDEX('Clean Gamification Data'!$C:$C,MATCH($B350,'Clean Gamification Data'!$A:$A,0)),"Not Found")</f>
        <v>74.43256083</v>
      </c>
      <c r="U350" s="28">
        <f>IFERROR(INDEX('Clean Gamification Data'!$D:$D,MATCH($B350,'Clean Gamification Data'!$A:$A,0)),"Not Found")</f>
        <v>75.487169710000003</v>
      </c>
      <c r="V350" s="28">
        <f>IFERROR(INDEX('Clean Gamification Data'!$E:$E,MATCH($B350,'Clean Gamification Data'!$A:$A,0)),"Not Found")</f>
        <v>62.222122919999997</v>
      </c>
      <c r="W350" s="28">
        <f>IFERROR(INDEX('Clean Gamification Data'!$F:$F,MATCH($B350,'Clean Gamification Data'!$A:$A,0)),"Not Found")</f>
        <v>80</v>
      </c>
      <c r="X350" s="28">
        <f>IFERROR(INDEX('Clean Gamification Data'!$G:$G,MATCH($B350,'Clean Gamification Data'!$A:$A,0)),"Not Found")</f>
        <v>78.304563000000002</v>
      </c>
      <c r="Y350" s="28">
        <f>IFERROR(INDEX('Clean Gamification Data'!$H:$H,MATCH($B350,'Clean Gamification Data'!$A:$A,0)),"Not Found")</f>
        <v>78.920769829999998</v>
      </c>
      <c r="Z350" s="28">
        <f>IFERROR(INDEX('Clean Gamification Data'!$I:$I,MATCH($B350,'Clean Gamification Data'!$A:$A,0)),"Not Found")</f>
        <v>50</v>
      </c>
      <c r="AA350" s="28">
        <f>Table1[[#This Row],[Engagement (Gamification %)]]-Table1[[#This Row],[Engagement (Non-Gamification %)]]</f>
        <v>13.401036520000005</v>
      </c>
      <c r="AB350" s="28">
        <f>Table1[[#This Row],[Motivation (Gamification %)]]-Table1[[#This Row],[Motivation (Non-Gamification %)]]</f>
        <v>13.265046790000007</v>
      </c>
      <c r="AC350" s="28">
        <f>Table1[[#This Row],[Participation (Gamification %)]]-Table1[[#This Row],[Participation (Non-Gamification %)]]</f>
        <v>1.6954369999999983</v>
      </c>
      <c r="AD350" s="28">
        <f>Table1[[#This Row],[Learning Outcomes (Gamification %)]]-Table1[[#This Row],[Learning Outcomes (Non-Gamification %)]]</f>
        <v>28.920769829999998</v>
      </c>
      <c r="AE350" s="44" t="str">
        <f>IF(Table1[[#This Row],[Overall Effectiveness]]&lt;3.9,"Low",IF(Table1[[#This Row],[Overall Effectiveness]]&lt;4.2,"Medium","High"))</f>
        <v>High</v>
      </c>
      <c r="AF350" s="30" t="str">
        <f t="shared" si="34"/>
        <v>Case Studies</v>
      </c>
      <c r="AG350" s="30" t="str">
        <f t="shared" si="35"/>
        <v>Online Tutorials</v>
      </c>
      <c r="AH350" s="27">
        <f>COUNTIF(Teacher_Master!$D$2:$D$16,AF350)</f>
        <v>3</v>
      </c>
      <c r="AI350" s="30" t="str">
        <f>INDEX(Teacher_Master!$B$2:$B$16,MATCH(AF350,Teacher_Master!$D$2:$D$16,0))</f>
        <v>Prof. Rajesh Mukherjee</v>
      </c>
    </row>
    <row r="351" spans="1:35" ht="14.25" customHeight="1" x14ac:dyDescent="0.3">
      <c r="A351" s="31" t="s">
        <v>722</v>
      </c>
      <c r="B351" s="31" t="s">
        <v>2330</v>
      </c>
      <c r="C351" s="31" t="s">
        <v>2881</v>
      </c>
      <c r="D351" s="12">
        <f t="shared" ca="1" si="30"/>
        <v>25</v>
      </c>
      <c r="E351" s="12" t="str">
        <f ca="1">IF(Table1[[#This Row],[Age]]&lt;=22,"20-22",IF(Table1[[#This Row],[Age]]&lt;=25,"23-25",IF(Table1[[#This Row],[Age]]&lt;=28,"26-28","29-30")))</f>
        <v>23-25</v>
      </c>
      <c r="F351" s="12">
        <v>4.34</v>
      </c>
      <c r="G351" s="12">
        <v>3.91</v>
      </c>
      <c r="H351" s="12">
        <v>3.9</v>
      </c>
      <c r="I351" s="12">
        <v>3.83</v>
      </c>
      <c r="J351" s="12">
        <v>4.16</v>
      </c>
      <c r="K351" s="12">
        <v>4.0199999999999996</v>
      </c>
      <c r="L351" s="12">
        <v>4.08</v>
      </c>
      <c r="M351" s="12">
        <v>3.85</v>
      </c>
      <c r="N351" s="12">
        <v>4</v>
      </c>
      <c r="O351" s="12">
        <v>4.05</v>
      </c>
      <c r="P351" s="12">
        <f t="shared" si="31"/>
        <v>4.0280000000000005</v>
      </c>
      <c r="Q351" s="12">
        <f t="shared" si="32"/>
        <v>4.03</v>
      </c>
      <c r="R351" s="12">
        <f t="shared" si="33"/>
        <v>4</v>
      </c>
      <c r="S351" s="28">
        <f>IFERROR(INDEX('Clean Gamification Data'!$B:$B,MATCH($B351,'Clean Gamification Data'!$A:$A,0)),"Not Found")</f>
        <v>78.441817299999997</v>
      </c>
      <c r="T351" s="28">
        <f>IFERROR(INDEX('Clean Gamification Data'!$C:$C,MATCH($B351,'Clean Gamification Data'!$A:$A,0)),"Not Found")</f>
        <v>76.317452549999999</v>
      </c>
      <c r="U351" s="28">
        <f>IFERROR(INDEX('Clean Gamification Data'!$D:$D,MATCH($B351,'Clean Gamification Data'!$A:$A,0)),"Not Found")</f>
        <v>90</v>
      </c>
      <c r="V351" s="28">
        <f>IFERROR(INDEX('Clean Gamification Data'!$E:$E,MATCH($B351,'Clean Gamification Data'!$A:$A,0)),"Not Found")</f>
        <v>66.456216359999999</v>
      </c>
      <c r="W351" s="28">
        <f>IFERROR(INDEX('Clean Gamification Data'!$F:$F,MATCH($B351,'Clean Gamification Data'!$A:$A,0)),"Not Found")</f>
        <v>99.9</v>
      </c>
      <c r="X351" s="28">
        <f>IFERROR(INDEX('Clean Gamification Data'!$G:$G,MATCH($B351,'Clean Gamification Data'!$A:$A,0)),"Not Found")</f>
        <v>74.256337400000007</v>
      </c>
      <c r="Y351" s="28">
        <f>IFERROR(INDEX('Clean Gamification Data'!$H:$H,MATCH($B351,'Clean Gamification Data'!$A:$A,0)),"Not Found")</f>
        <v>76.230477559999997</v>
      </c>
      <c r="Z351" s="28">
        <f>IFERROR(INDEX('Clean Gamification Data'!$I:$I,MATCH($B351,'Clean Gamification Data'!$A:$A,0)),"Not Found")</f>
        <v>64.47365035</v>
      </c>
      <c r="AA351" s="28">
        <f>Table1[[#This Row],[Engagement (Gamification %)]]-Table1[[#This Row],[Engagement (Non-Gamification %)]]</f>
        <v>2.124364749999998</v>
      </c>
      <c r="AB351" s="28">
        <f>Table1[[#This Row],[Motivation (Gamification %)]]-Table1[[#This Row],[Motivation (Non-Gamification %)]]</f>
        <v>23.543783640000001</v>
      </c>
      <c r="AC351" s="28">
        <f>Table1[[#This Row],[Participation (Gamification %)]]-Table1[[#This Row],[Participation (Non-Gamification %)]]</f>
        <v>25.643662599999999</v>
      </c>
      <c r="AD351" s="28">
        <f>Table1[[#This Row],[Learning Outcomes (Gamification %)]]-Table1[[#This Row],[Learning Outcomes (Non-Gamification %)]]</f>
        <v>11.756827209999997</v>
      </c>
      <c r="AE351" s="44" t="str">
        <f>IF(Table1[[#This Row],[Overall Effectiveness]]&lt;3.9,"Low",IF(Table1[[#This Row],[Overall Effectiveness]]&lt;4.2,"Medium","High"))</f>
        <v>Medium</v>
      </c>
      <c r="AF351" s="30" t="str">
        <f t="shared" si="34"/>
        <v>Lectures</v>
      </c>
      <c r="AG351" s="30" t="str">
        <f t="shared" si="35"/>
        <v>Case Studies</v>
      </c>
      <c r="AH351" s="27">
        <f>COUNTIF(Teacher_Master!$D$2:$D$16,AF351)</f>
        <v>3</v>
      </c>
      <c r="AI351" s="30" t="str">
        <f>INDEX(Teacher_Master!$B$2:$B$16,MATCH(AF351,Teacher_Master!$D$2:$D$16,0))</f>
        <v>Prof. Vikram Gupta</v>
      </c>
    </row>
    <row r="352" spans="1:35" ht="14.25" customHeight="1" x14ac:dyDescent="0.3">
      <c r="A352" s="31" t="s">
        <v>724</v>
      </c>
      <c r="B352" s="31" t="s">
        <v>2331</v>
      </c>
      <c r="C352" s="31" t="s">
        <v>2881</v>
      </c>
      <c r="D352" s="12">
        <f t="shared" ca="1" si="30"/>
        <v>27</v>
      </c>
      <c r="E352" s="12" t="str">
        <f ca="1">IF(Table1[[#This Row],[Age]]&lt;=22,"20-22",IF(Table1[[#This Row],[Age]]&lt;=25,"23-25",IF(Table1[[#This Row],[Age]]&lt;=28,"26-28","29-30")))</f>
        <v>26-28</v>
      </c>
      <c r="F352" s="12">
        <v>4.24</v>
      </c>
      <c r="G352" s="12">
        <v>4.58</v>
      </c>
      <c r="H352" s="12">
        <v>3.56</v>
      </c>
      <c r="I352" s="12">
        <v>4.0199999999999996</v>
      </c>
      <c r="J352" s="12">
        <v>3.69</v>
      </c>
      <c r="K352" s="12">
        <v>3.73</v>
      </c>
      <c r="L352" s="12">
        <v>3.75</v>
      </c>
      <c r="M352" s="12">
        <v>4.41</v>
      </c>
      <c r="N352" s="12">
        <v>4.18</v>
      </c>
      <c r="O352" s="12">
        <v>4.03</v>
      </c>
      <c r="P352" s="12">
        <f t="shared" si="31"/>
        <v>4.0179999999999998</v>
      </c>
      <c r="Q352" s="12">
        <f t="shared" si="32"/>
        <v>4.0199999999999996</v>
      </c>
      <c r="R352" s="12">
        <f t="shared" si="33"/>
        <v>4.0200000000000005</v>
      </c>
      <c r="S352" s="28">
        <f>IFERROR(INDEX('Clean Gamification Data'!$B:$B,MATCH($B352,'Clean Gamification Data'!$A:$A,0)),"Not Found")</f>
        <v>89.256144449999994</v>
      </c>
      <c r="T352" s="28">
        <f>IFERROR(INDEX('Clean Gamification Data'!$C:$C,MATCH($B352,'Clean Gamification Data'!$A:$A,0)),"Not Found")</f>
        <v>60</v>
      </c>
      <c r="U352" s="28">
        <f>IFERROR(INDEX('Clean Gamification Data'!$D:$D,MATCH($B352,'Clean Gamification Data'!$A:$A,0)),"Not Found")</f>
        <v>70</v>
      </c>
      <c r="V352" s="28">
        <f>IFERROR(INDEX('Clean Gamification Data'!$E:$E,MATCH($B352,'Clean Gamification Data'!$A:$A,0)),"Not Found")</f>
        <v>64.577038079999994</v>
      </c>
      <c r="W352" s="28">
        <f>IFERROR(INDEX('Clean Gamification Data'!$F:$F,MATCH($B352,'Clean Gamification Data'!$A:$A,0)),"Not Found")</f>
        <v>91.401485059999999</v>
      </c>
      <c r="X352" s="28">
        <f>IFERROR(INDEX('Clean Gamification Data'!$G:$G,MATCH($B352,'Clean Gamification Data'!$A:$A,0)),"Not Found")</f>
        <v>85</v>
      </c>
      <c r="Y352" s="28">
        <f>IFERROR(INDEX('Clean Gamification Data'!$H:$H,MATCH($B352,'Clean Gamification Data'!$A:$A,0)),"Not Found")</f>
        <v>75.285721890000005</v>
      </c>
      <c r="Z352" s="28">
        <f>IFERROR(INDEX('Clean Gamification Data'!$I:$I,MATCH($B352,'Clean Gamification Data'!$A:$A,0)),"Not Found")</f>
        <v>50</v>
      </c>
      <c r="AA352" s="28">
        <f>Table1[[#This Row],[Engagement (Gamification %)]]-Table1[[#This Row],[Engagement (Non-Gamification %)]]</f>
        <v>29.256144449999994</v>
      </c>
      <c r="AB352" s="28">
        <f>Table1[[#This Row],[Motivation (Gamification %)]]-Table1[[#This Row],[Motivation (Non-Gamification %)]]</f>
        <v>5.4229619200000059</v>
      </c>
      <c r="AC352" s="28">
        <f>Table1[[#This Row],[Participation (Gamification %)]]-Table1[[#This Row],[Participation (Non-Gamification %)]]</f>
        <v>6.4014850599999988</v>
      </c>
      <c r="AD352" s="28">
        <f>Table1[[#This Row],[Learning Outcomes (Gamification %)]]-Table1[[#This Row],[Learning Outcomes (Non-Gamification %)]]</f>
        <v>25.285721890000005</v>
      </c>
      <c r="AE352" s="44" t="str">
        <f>IF(Table1[[#This Row],[Overall Effectiveness]]&lt;3.9,"Low",IF(Table1[[#This Row],[Overall Effectiveness]]&lt;4.2,"Medium","High"))</f>
        <v>Medium</v>
      </c>
      <c r="AF352" s="30" t="str">
        <f t="shared" si="34"/>
        <v>Case Studies</v>
      </c>
      <c r="AG352" s="30" t="str">
        <f t="shared" si="35"/>
        <v>Group Projects</v>
      </c>
      <c r="AH352" s="27">
        <f>COUNTIF(Teacher_Master!$D$2:$D$16,AF352)</f>
        <v>3</v>
      </c>
      <c r="AI352" s="30" t="str">
        <f>INDEX(Teacher_Master!$B$2:$B$16,MATCH(AF352,Teacher_Master!$D$2:$D$16,0))</f>
        <v>Prof. Rajesh Mukherjee</v>
      </c>
    </row>
    <row r="353" spans="1:35" ht="14.25" customHeight="1" x14ac:dyDescent="0.3">
      <c r="A353" s="31" t="s">
        <v>726</v>
      </c>
      <c r="B353" s="31" t="s">
        <v>2332</v>
      </c>
      <c r="C353" s="31" t="s">
        <v>2881</v>
      </c>
      <c r="D353" s="12">
        <f t="shared" ca="1" si="30"/>
        <v>20</v>
      </c>
      <c r="E353" s="12" t="str">
        <f ca="1">IF(Table1[[#This Row],[Age]]&lt;=22,"20-22",IF(Table1[[#This Row],[Age]]&lt;=25,"23-25",IF(Table1[[#This Row],[Age]]&lt;=28,"26-28","29-30")))</f>
        <v>20-22</v>
      </c>
      <c r="F353" s="12">
        <v>3.86</v>
      </c>
      <c r="G353" s="12">
        <v>4.3099999999999996</v>
      </c>
      <c r="H353" s="12">
        <v>3.72</v>
      </c>
      <c r="I353" s="12">
        <v>3.85</v>
      </c>
      <c r="J353" s="12">
        <v>4.04</v>
      </c>
      <c r="K353" s="12">
        <v>3.93</v>
      </c>
      <c r="L353" s="12">
        <v>4.2699999999999996</v>
      </c>
      <c r="M353" s="12">
        <v>4.1900000000000004</v>
      </c>
      <c r="N353" s="12">
        <v>4.3899999999999997</v>
      </c>
      <c r="O353" s="12">
        <v>3.43</v>
      </c>
      <c r="P353" s="12">
        <f t="shared" si="31"/>
        <v>3.9560000000000004</v>
      </c>
      <c r="Q353" s="12">
        <f t="shared" si="32"/>
        <v>3.96</v>
      </c>
      <c r="R353" s="12">
        <f t="shared" si="33"/>
        <v>4.0419999999999998</v>
      </c>
      <c r="S353" s="28">
        <f>IFERROR(INDEX('Clean Gamification Data'!$B:$B,MATCH($B353,'Clean Gamification Data'!$A:$A,0)),"Not Found")</f>
        <v>93.957778910000002</v>
      </c>
      <c r="T353" s="28">
        <f>IFERROR(INDEX('Clean Gamification Data'!$C:$C,MATCH($B353,'Clean Gamification Data'!$A:$A,0)),"Not Found")</f>
        <v>70.747057440000006</v>
      </c>
      <c r="U353" s="28">
        <f>IFERROR(INDEX('Clean Gamification Data'!$D:$D,MATCH($B353,'Clean Gamification Data'!$A:$A,0)),"Not Found")</f>
        <v>81.51386608</v>
      </c>
      <c r="V353" s="28">
        <f>IFERROR(INDEX('Clean Gamification Data'!$E:$E,MATCH($B353,'Clean Gamification Data'!$A:$A,0)),"Not Found")</f>
        <v>62.212023950000003</v>
      </c>
      <c r="W353" s="28">
        <f>IFERROR(INDEX('Clean Gamification Data'!$F:$F,MATCH($B353,'Clean Gamification Data'!$A:$A,0)),"Not Found")</f>
        <v>92.042873200000002</v>
      </c>
      <c r="X353" s="28">
        <f>IFERROR(INDEX('Clean Gamification Data'!$G:$G,MATCH($B353,'Clean Gamification Data'!$A:$A,0)),"Not Found")</f>
        <v>77.246067170000003</v>
      </c>
      <c r="Y353" s="28">
        <f>IFERROR(INDEX('Clean Gamification Data'!$H:$H,MATCH($B353,'Clean Gamification Data'!$A:$A,0)),"Not Found")</f>
        <v>72.238566259999999</v>
      </c>
      <c r="Z353" s="28">
        <f>IFERROR(INDEX('Clean Gamification Data'!$I:$I,MATCH($B353,'Clean Gamification Data'!$A:$A,0)),"Not Found")</f>
        <v>59.033410310000001</v>
      </c>
      <c r="AA353" s="28">
        <f>Table1[[#This Row],[Engagement (Gamification %)]]-Table1[[#This Row],[Engagement (Non-Gamification %)]]</f>
        <v>23.210721469999996</v>
      </c>
      <c r="AB353" s="28">
        <f>Table1[[#This Row],[Motivation (Gamification %)]]-Table1[[#This Row],[Motivation (Non-Gamification %)]]</f>
        <v>19.301842129999997</v>
      </c>
      <c r="AC353" s="28">
        <f>Table1[[#This Row],[Participation (Gamification %)]]-Table1[[#This Row],[Participation (Non-Gamification %)]]</f>
        <v>14.796806029999999</v>
      </c>
      <c r="AD353" s="28">
        <f>Table1[[#This Row],[Learning Outcomes (Gamification %)]]-Table1[[#This Row],[Learning Outcomes (Non-Gamification %)]]</f>
        <v>13.205155949999998</v>
      </c>
      <c r="AE353" s="44" t="str">
        <f>IF(Table1[[#This Row],[Overall Effectiveness]]&lt;3.9,"Low",IF(Table1[[#This Row],[Overall Effectiveness]]&lt;4.2,"Medium","High"))</f>
        <v>Medium</v>
      </c>
      <c r="AF353" s="30" t="str">
        <f t="shared" si="34"/>
        <v>Case Studies</v>
      </c>
      <c r="AG353" s="30" t="str">
        <f t="shared" si="35"/>
        <v>Experiments</v>
      </c>
      <c r="AH353" s="27">
        <f>COUNTIF(Teacher_Master!$D$2:$D$16,AF353)</f>
        <v>3</v>
      </c>
      <c r="AI353" s="30" t="str">
        <f>INDEX(Teacher_Master!$B$2:$B$16,MATCH(AF353,Teacher_Master!$D$2:$D$16,0))</f>
        <v>Prof. Rajesh Mukherjee</v>
      </c>
    </row>
    <row r="354" spans="1:35" ht="14.25" customHeight="1" x14ac:dyDescent="0.3">
      <c r="A354" s="31" t="s">
        <v>728</v>
      </c>
      <c r="B354" s="31" t="s">
        <v>2333</v>
      </c>
      <c r="C354" s="31" t="s">
        <v>2882</v>
      </c>
      <c r="D354" s="12">
        <f t="shared" ca="1" si="30"/>
        <v>22</v>
      </c>
      <c r="E354" s="12" t="str">
        <f ca="1">IF(Table1[[#This Row],[Age]]&lt;=22,"20-22",IF(Table1[[#This Row],[Age]]&lt;=25,"23-25",IF(Table1[[#This Row],[Age]]&lt;=28,"26-28","29-30")))</f>
        <v>20-22</v>
      </c>
      <c r="F354" s="12">
        <v>4.3</v>
      </c>
      <c r="G354" s="12">
        <v>3.99</v>
      </c>
      <c r="H354" s="12">
        <v>3.88</v>
      </c>
      <c r="I354" s="12">
        <v>3.92</v>
      </c>
      <c r="J354" s="12">
        <v>4.43</v>
      </c>
      <c r="K354" s="12">
        <v>3.87</v>
      </c>
      <c r="L354" s="12">
        <v>4.03</v>
      </c>
      <c r="M354" s="12">
        <v>4.38</v>
      </c>
      <c r="N354" s="12">
        <v>4.1500000000000004</v>
      </c>
      <c r="O354" s="12">
        <v>4.13</v>
      </c>
      <c r="P354" s="12">
        <f t="shared" si="31"/>
        <v>4.1039999999999992</v>
      </c>
      <c r="Q354" s="12">
        <f t="shared" si="32"/>
        <v>4.0999999999999996</v>
      </c>
      <c r="R354" s="12">
        <f t="shared" si="33"/>
        <v>4.1120000000000001</v>
      </c>
      <c r="S354" s="28">
        <f>IFERROR(INDEX('Clean Gamification Data'!$B:$B,MATCH($B354,'Clean Gamification Data'!$A:$A,0)),"Not Found")</f>
        <v>92.121745379999993</v>
      </c>
      <c r="T354" s="28">
        <f>IFERROR(INDEX('Clean Gamification Data'!$C:$C,MATCH($B354,'Clean Gamification Data'!$A:$A,0)),"Not Found")</f>
        <v>66.428637359999996</v>
      </c>
      <c r="U354" s="28">
        <f>IFERROR(INDEX('Clean Gamification Data'!$D:$D,MATCH($B354,'Clean Gamification Data'!$A:$A,0)),"Not Found")</f>
        <v>78.045694780000005</v>
      </c>
      <c r="V354" s="28">
        <f>IFERROR(INDEX('Clean Gamification Data'!$E:$E,MATCH($B354,'Clean Gamification Data'!$A:$A,0)),"Not Found")</f>
        <v>69.399908960000005</v>
      </c>
      <c r="W354" s="28">
        <f>IFERROR(INDEX('Clean Gamification Data'!$F:$F,MATCH($B354,'Clean Gamification Data'!$A:$A,0)),"Not Found")</f>
        <v>99.9</v>
      </c>
      <c r="X354" s="28">
        <f>IFERROR(INDEX('Clean Gamification Data'!$G:$G,MATCH($B354,'Clean Gamification Data'!$A:$A,0)),"Not Found")</f>
        <v>76.064747100000005</v>
      </c>
      <c r="Y354" s="28">
        <f>IFERROR(INDEX('Clean Gamification Data'!$H:$H,MATCH($B354,'Clean Gamification Data'!$A:$A,0)),"Not Found")</f>
        <v>73.844859850000006</v>
      </c>
      <c r="Z354" s="28">
        <f>IFERROR(INDEX('Clean Gamification Data'!$I:$I,MATCH($B354,'Clean Gamification Data'!$A:$A,0)),"Not Found")</f>
        <v>51.825453860000003</v>
      </c>
      <c r="AA354" s="28">
        <f>Table1[[#This Row],[Engagement (Gamification %)]]-Table1[[#This Row],[Engagement (Non-Gamification %)]]</f>
        <v>25.693108019999997</v>
      </c>
      <c r="AB354" s="28">
        <f>Table1[[#This Row],[Motivation (Gamification %)]]-Table1[[#This Row],[Motivation (Non-Gamification %)]]</f>
        <v>8.6457858200000004</v>
      </c>
      <c r="AC354" s="28">
        <f>Table1[[#This Row],[Participation (Gamification %)]]-Table1[[#This Row],[Participation (Non-Gamification %)]]</f>
        <v>23.8352529</v>
      </c>
      <c r="AD354" s="28">
        <f>Table1[[#This Row],[Learning Outcomes (Gamification %)]]-Table1[[#This Row],[Learning Outcomes (Non-Gamification %)]]</f>
        <v>22.019405990000003</v>
      </c>
      <c r="AE354" s="44" t="str">
        <f>IF(Table1[[#This Row],[Overall Effectiveness]]&lt;3.9,"Low",IF(Table1[[#This Row],[Overall Effectiveness]]&lt;4.2,"Medium","High"))</f>
        <v>Medium</v>
      </c>
      <c r="AF354" s="30" t="str">
        <f t="shared" si="34"/>
        <v>Online Tutorials</v>
      </c>
      <c r="AG354" s="30" t="str">
        <f t="shared" si="35"/>
        <v>Group Projects</v>
      </c>
      <c r="AH354" s="27">
        <f>COUNTIF(Teacher_Master!$D$2:$D$16,AF354)</f>
        <v>3</v>
      </c>
      <c r="AI354" s="30" t="str">
        <f>INDEX(Teacher_Master!$B$2:$B$16,MATCH(AF354,Teacher_Master!$D$2:$D$16,0))</f>
        <v>Prof. Kavita Rao</v>
      </c>
    </row>
    <row r="355" spans="1:35" ht="14.25" customHeight="1" x14ac:dyDescent="0.3">
      <c r="A355" s="31" t="s">
        <v>730</v>
      </c>
      <c r="B355" s="31" t="s">
        <v>2334</v>
      </c>
      <c r="C355" s="31" t="s">
        <v>2882</v>
      </c>
      <c r="D355" s="12">
        <f t="shared" ca="1" si="30"/>
        <v>25</v>
      </c>
      <c r="E355" s="12" t="str">
        <f ca="1">IF(Table1[[#This Row],[Age]]&lt;=22,"20-22",IF(Table1[[#This Row],[Age]]&lt;=25,"23-25",IF(Table1[[#This Row],[Age]]&lt;=28,"26-28","29-30")))</f>
        <v>23-25</v>
      </c>
      <c r="F355" s="12">
        <v>4.5999999999999996</v>
      </c>
      <c r="G355" s="12">
        <v>3.86</v>
      </c>
      <c r="H355" s="12">
        <v>4.68</v>
      </c>
      <c r="I355" s="12">
        <v>3.87</v>
      </c>
      <c r="J355" s="12">
        <v>4.21</v>
      </c>
      <c r="K355" s="12">
        <v>3.66</v>
      </c>
      <c r="L355" s="12">
        <v>3.76</v>
      </c>
      <c r="M355" s="12">
        <v>3.27</v>
      </c>
      <c r="N355" s="12">
        <v>3.54</v>
      </c>
      <c r="O355" s="12">
        <v>3.84</v>
      </c>
      <c r="P355" s="12">
        <f t="shared" si="31"/>
        <v>4.2439999999999998</v>
      </c>
      <c r="Q355" s="12">
        <f t="shared" si="32"/>
        <v>4.24</v>
      </c>
      <c r="R355" s="12">
        <f t="shared" si="33"/>
        <v>3.6139999999999999</v>
      </c>
      <c r="S355" s="28">
        <f>IFERROR(INDEX('Clean Gamification Data'!$B:$B,MATCH($B355,'Clean Gamification Data'!$A:$A,0)),"Not Found")</f>
        <v>82.564242429999993</v>
      </c>
      <c r="T355" s="28">
        <f>IFERROR(INDEX('Clean Gamification Data'!$C:$C,MATCH($B355,'Clean Gamification Data'!$A:$A,0)),"Not Found")</f>
        <v>66.789460079999998</v>
      </c>
      <c r="U355" s="28">
        <f>IFERROR(INDEX('Clean Gamification Data'!$D:$D,MATCH($B355,'Clean Gamification Data'!$A:$A,0)),"Not Found")</f>
        <v>78.377577459999998</v>
      </c>
      <c r="V355" s="28">
        <f>IFERROR(INDEX('Clean Gamification Data'!$E:$E,MATCH($B355,'Clean Gamification Data'!$A:$A,0)),"Not Found")</f>
        <v>65.294324090000003</v>
      </c>
      <c r="W355" s="28">
        <f>IFERROR(INDEX('Clean Gamification Data'!$F:$F,MATCH($B355,'Clean Gamification Data'!$A:$A,0)),"Not Found")</f>
        <v>85.248631459999999</v>
      </c>
      <c r="X355" s="28">
        <f>IFERROR(INDEX('Clean Gamification Data'!$G:$G,MATCH($B355,'Clean Gamification Data'!$A:$A,0)),"Not Found")</f>
        <v>85</v>
      </c>
      <c r="Y355" s="28">
        <f>IFERROR(INDEX('Clean Gamification Data'!$H:$H,MATCH($B355,'Clean Gamification Data'!$A:$A,0)),"Not Found")</f>
        <v>68.531433539999995</v>
      </c>
      <c r="Z355" s="28">
        <f>IFERROR(INDEX('Clean Gamification Data'!$I:$I,MATCH($B355,'Clean Gamification Data'!$A:$A,0)),"Not Found")</f>
        <v>58.091893409999997</v>
      </c>
      <c r="AA355" s="28">
        <f>Table1[[#This Row],[Engagement (Gamification %)]]-Table1[[#This Row],[Engagement (Non-Gamification %)]]</f>
        <v>15.774782349999995</v>
      </c>
      <c r="AB355" s="28">
        <f>Table1[[#This Row],[Motivation (Gamification %)]]-Table1[[#This Row],[Motivation (Non-Gamification %)]]</f>
        <v>13.083253369999994</v>
      </c>
      <c r="AC355" s="28">
        <f>Table1[[#This Row],[Participation (Gamification %)]]-Table1[[#This Row],[Participation (Non-Gamification %)]]</f>
        <v>0.24863145999999858</v>
      </c>
      <c r="AD355" s="28">
        <f>Table1[[#This Row],[Learning Outcomes (Gamification %)]]-Table1[[#This Row],[Learning Outcomes (Non-Gamification %)]]</f>
        <v>10.439540129999997</v>
      </c>
      <c r="AE355" s="44" t="str">
        <f>IF(Table1[[#This Row],[Overall Effectiveness]]&lt;3.9,"Low",IF(Table1[[#This Row],[Overall Effectiveness]]&lt;4.2,"Medium","High"))</f>
        <v>High</v>
      </c>
      <c r="AF355" s="30" t="str">
        <f t="shared" si="34"/>
        <v>Group Projects</v>
      </c>
      <c r="AG355" s="30" t="str">
        <f t="shared" si="35"/>
        <v>Online Tutorials</v>
      </c>
      <c r="AH355" s="27">
        <f>COUNTIF(Teacher_Master!$D$2:$D$16,AF355)</f>
        <v>3</v>
      </c>
      <c r="AI355" s="30" t="str">
        <f>INDEX(Teacher_Master!$B$2:$B$16,MATCH(AF355,Teacher_Master!$D$2:$D$16,0))</f>
        <v>Dr. Rohan Dutta</v>
      </c>
    </row>
    <row r="356" spans="1:35" ht="14.25" customHeight="1" x14ac:dyDescent="0.3">
      <c r="A356" s="31" t="s">
        <v>732</v>
      </c>
      <c r="B356" s="31" t="s">
        <v>733</v>
      </c>
      <c r="C356" s="31" t="s">
        <v>2881</v>
      </c>
      <c r="D356" s="12">
        <f t="shared" ca="1" si="30"/>
        <v>22</v>
      </c>
      <c r="E356" s="12" t="str">
        <f ca="1">IF(Table1[[#This Row],[Age]]&lt;=22,"20-22",IF(Table1[[#This Row],[Age]]&lt;=25,"23-25",IF(Table1[[#This Row],[Age]]&lt;=28,"26-28","29-30")))</f>
        <v>20-22</v>
      </c>
      <c r="F356" s="12">
        <v>3.77</v>
      </c>
      <c r="G356" s="12">
        <v>3.43</v>
      </c>
      <c r="H356" s="12">
        <v>4.29</v>
      </c>
      <c r="I356" s="12">
        <v>3.77</v>
      </c>
      <c r="J356" s="12">
        <v>4.03</v>
      </c>
      <c r="K356" s="12">
        <v>4.3600000000000003</v>
      </c>
      <c r="L356" s="12">
        <v>4.0999999999999996</v>
      </c>
      <c r="M356" s="12">
        <v>3.83</v>
      </c>
      <c r="N356" s="12">
        <v>3.88</v>
      </c>
      <c r="O356" s="12">
        <v>3.5</v>
      </c>
      <c r="P356" s="12">
        <f t="shared" si="31"/>
        <v>3.8579999999999997</v>
      </c>
      <c r="Q356" s="12">
        <f t="shared" si="32"/>
        <v>3.86</v>
      </c>
      <c r="R356" s="12">
        <f t="shared" si="33"/>
        <v>3.9340000000000002</v>
      </c>
      <c r="S356" s="28">
        <f>IFERROR(INDEX('Clean Gamification Data'!$B:$B,MATCH($B356,'Clean Gamification Data'!$A:$A,0)),"Not Found")</f>
        <v>83.123466660000005</v>
      </c>
      <c r="T356" s="28">
        <f>IFERROR(INDEX('Clean Gamification Data'!$C:$C,MATCH($B356,'Clean Gamification Data'!$A:$A,0)),"Not Found")</f>
        <v>63.01032214</v>
      </c>
      <c r="U356" s="28">
        <f>IFERROR(INDEX('Clean Gamification Data'!$D:$D,MATCH($B356,'Clean Gamification Data'!$A:$A,0)),"Not Found")</f>
        <v>74.465532550000006</v>
      </c>
      <c r="V356" s="28">
        <f>IFERROR(INDEX('Clean Gamification Data'!$E:$E,MATCH($B356,'Clean Gamification Data'!$A:$A,0)),"Not Found")</f>
        <v>61.850031219999998</v>
      </c>
      <c r="W356" s="28">
        <f>IFERROR(INDEX('Clean Gamification Data'!$F:$F,MATCH($B356,'Clean Gamification Data'!$A:$A,0)),"Not Found")</f>
        <v>86.582600749999997</v>
      </c>
      <c r="X356" s="28">
        <f>IFERROR(INDEX('Clean Gamification Data'!$G:$G,MATCH($B356,'Clean Gamification Data'!$A:$A,0)),"Not Found")</f>
        <v>83.247844979999996</v>
      </c>
      <c r="Y356" s="28">
        <f>IFERROR(INDEX('Clean Gamification Data'!$H:$H,MATCH($B356,'Clean Gamification Data'!$A:$A,0)),"Not Found")</f>
        <v>69.211899349999996</v>
      </c>
      <c r="Z356" s="28">
        <f>IFERROR(INDEX('Clean Gamification Data'!$I:$I,MATCH($B356,'Clean Gamification Data'!$A:$A,0)),"Not Found")</f>
        <v>68.999952820000004</v>
      </c>
      <c r="AA356" s="28">
        <f>Table1[[#This Row],[Engagement (Gamification %)]]-Table1[[#This Row],[Engagement (Non-Gamification %)]]</f>
        <v>20.113144520000006</v>
      </c>
      <c r="AB356" s="28">
        <f>Table1[[#This Row],[Motivation (Gamification %)]]-Table1[[#This Row],[Motivation (Non-Gamification %)]]</f>
        <v>12.615501330000008</v>
      </c>
      <c r="AC356" s="28">
        <f>Table1[[#This Row],[Participation (Gamification %)]]-Table1[[#This Row],[Participation (Non-Gamification %)]]</f>
        <v>3.334755770000001</v>
      </c>
      <c r="AD356" s="28">
        <f>Table1[[#This Row],[Learning Outcomes (Gamification %)]]-Table1[[#This Row],[Learning Outcomes (Non-Gamification %)]]</f>
        <v>0.21194652999999164</v>
      </c>
      <c r="AE356" s="44" t="str">
        <f>IF(Table1[[#This Row],[Overall Effectiveness]]&lt;3.9,"Low",IF(Table1[[#This Row],[Overall Effectiveness]]&lt;4.2,"Medium","High"))</f>
        <v>Low</v>
      </c>
      <c r="AF356" s="30" t="str">
        <f t="shared" si="34"/>
        <v>Group Projects</v>
      </c>
      <c r="AG356" s="30" t="str">
        <f t="shared" si="35"/>
        <v>Lectures</v>
      </c>
      <c r="AH356" s="27">
        <f>COUNTIF(Teacher_Master!$D$2:$D$16,AF356)</f>
        <v>3</v>
      </c>
      <c r="AI356" s="30" t="str">
        <f>INDEX(Teacher_Master!$B$2:$B$16,MATCH(AF356,Teacher_Master!$D$2:$D$16,0))</f>
        <v>Dr. Rohan Dutta</v>
      </c>
    </row>
    <row r="357" spans="1:35" ht="14.25" customHeight="1" x14ac:dyDescent="0.3">
      <c r="A357" s="31" t="s">
        <v>734</v>
      </c>
      <c r="B357" s="31" t="s">
        <v>735</v>
      </c>
      <c r="C357" s="31" t="s">
        <v>2882</v>
      </c>
      <c r="D357" s="12">
        <f t="shared" ca="1" si="30"/>
        <v>28</v>
      </c>
      <c r="E357" s="12" t="str">
        <f ca="1">IF(Table1[[#This Row],[Age]]&lt;=22,"20-22",IF(Table1[[#This Row],[Age]]&lt;=25,"23-25",IF(Table1[[#This Row],[Age]]&lt;=28,"26-28","29-30")))</f>
        <v>26-28</v>
      </c>
      <c r="F357" s="12">
        <v>4.01</v>
      </c>
      <c r="G357" s="12">
        <v>4.05</v>
      </c>
      <c r="H357" s="12">
        <v>4.17</v>
      </c>
      <c r="I357" s="12">
        <v>3.84</v>
      </c>
      <c r="J357" s="12">
        <v>4.45</v>
      </c>
      <c r="K357" s="12">
        <v>4.3099999999999996</v>
      </c>
      <c r="L357" s="12">
        <v>4.0999999999999996</v>
      </c>
      <c r="M357" s="12" t="s">
        <v>736</v>
      </c>
      <c r="N357" s="12">
        <v>4.38</v>
      </c>
      <c r="O357" s="12">
        <v>3.9</v>
      </c>
      <c r="P357" s="12">
        <f t="shared" si="31"/>
        <v>4.1040000000000001</v>
      </c>
      <c r="Q357" s="12">
        <f t="shared" si="32"/>
        <v>4.0999999999999996</v>
      </c>
      <c r="R357" s="12">
        <f t="shared" si="33"/>
        <v>4.1724999999999994</v>
      </c>
      <c r="S357" s="28">
        <f>IFERROR(INDEX('Clean Gamification Data'!$B:$B,MATCH($B357,'Clean Gamification Data'!$A:$A,0)),"Not Found")</f>
        <v>86.090038419999999</v>
      </c>
      <c r="T357" s="28">
        <f>IFERROR(INDEX('Clean Gamification Data'!$C:$C,MATCH($B357,'Clean Gamification Data'!$A:$A,0)),"Not Found")</f>
        <v>61.926111970000001</v>
      </c>
      <c r="U357" s="28">
        <f>IFERROR(INDEX('Clean Gamification Data'!$D:$D,MATCH($B357,'Clean Gamification Data'!$A:$A,0)),"Not Found")</f>
        <v>80.177304759999998</v>
      </c>
      <c r="V357" s="28">
        <f>IFERROR(INDEX('Clean Gamification Data'!$E:$E,MATCH($B357,'Clean Gamification Data'!$A:$A,0)),"Not Found")</f>
        <v>59.490071550000003</v>
      </c>
      <c r="W357" s="28">
        <f>IFERROR(INDEX('Clean Gamification Data'!$F:$F,MATCH($B357,'Clean Gamification Data'!$A:$A,0)),"Not Found")</f>
        <v>98.554243470000003</v>
      </c>
      <c r="X357" s="28">
        <f>IFERROR(INDEX('Clean Gamification Data'!$G:$G,MATCH($B357,'Clean Gamification Data'!$A:$A,0)),"Not Found")</f>
        <v>75.805432749999994</v>
      </c>
      <c r="Y357" s="28">
        <f>IFERROR(INDEX('Clean Gamification Data'!$H:$H,MATCH($B357,'Clean Gamification Data'!$A:$A,0)),"Not Found")</f>
        <v>74.924207460000005</v>
      </c>
      <c r="Z357" s="28">
        <f>IFERROR(INDEX('Clean Gamification Data'!$I:$I,MATCH($B357,'Clean Gamification Data'!$A:$A,0)),"Not Found")</f>
        <v>51.975408629999997</v>
      </c>
      <c r="AA357" s="28">
        <f>Table1[[#This Row],[Engagement (Gamification %)]]-Table1[[#This Row],[Engagement (Non-Gamification %)]]</f>
        <v>24.163926449999998</v>
      </c>
      <c r="AB357" s="28">
        <f>Table1[[#This Row],[Motivation (Gamification %)]]-Table1[[#This Row],[Motivation (Non-Gamification %)]]</f>
        <v>20.687233209999995</v>
      </c>
      <c r="AC357" s="28">
        <f>Table1[[#This Row],[Participation (Gamification %)]]-Table1[[#This Row],[Participation (Non-Gamification %)]]</f>
        <v>22.748810720000009</v>
      </c>
      <c r="AD357" s="28">
        <f>Table1[[#This Row],[Learning Outcomes (Gamification %)]]-Table1[[#This Row],[Learning Outcomes (Non-Gamification %)]]</f>
        <v>22.948798830000008</v>
      </c>
      <c r="AE357" s="44" t="str">
        <f>IF(Table1[[#This Row],[Overall Effectiveness]]&lt;3.9,"Low",IF(Table1[[#This Row],[Overall Effectiveness]]&lt;4.2,"Medium","High"))</f>
        <v>Medium</v>
      </c>
      <c r="AF357" s="30" t="str">
        <f t="shared" si="34"/>
        <v>Online Tutorials</v>
      </c>
      <c r="AG357" s="30" t="str">
        <f t="shared" si="35"/>
        <v>Experiments</v>
      </c>
      <c r="AH357" s="27">
        <f>COUNTIF(Teacher_Master!$D$2:$D$16,AF357)</f>
        <v>3</v>
      </c>
      <c r="AI357" s="30" t="str">
        <f>INDEX(Teacher_Master!$B$2:$B$16,MATCH(AF357,Teacher_Master!$D$2:$D$16,0))</f>
        <v>Prof. Kavita Rao</v>
      </c>
    </row>
    <row r="358" spans="1:35" ht="14.25" customHeight="1" x14ac:dyDescent="0.3">
      <c r="A358" s="31" t="s">
        <v>737</v>
      </c>
      <c r="B358" s="31" t="s">
        <v>2335</v>
      </c>
      <c r="C358" s="31" t="s">
        <v>2881</v>
      </c>
      <c r="D358" s="12">
        <f t="shared" ca="1" si="30"/>
        <v>25</v>
      </c>
      <c r="E358" s="12" t="str">
        <f ca="1">IF(Table1[[#This Row],[Age]]&lt;=22,"20-22",IF(Table1[[#This Row],[Age]]&lt;=25,"23-25",IF(Table1[[#This Row],[Age]]&lt;=28,"26-28","29-30")))</f>
        <v>23-25</v>
      </c>
      <c r="F358" s="12">
        <v>4.25</v>
      </c>
      <c r="G358" s="12">
        <v>3.89</v>
      </c>
      <c r="H358" s="12">
        <v>4.51</v>
      </c>
      <c r="I358" s="12">
        <v>3.89</v>
      </c>
      <c r="J358" s="12">
        <v>4.37</v>
      </c>
      <c r="K358" s="12">
        <v>3.85</v>
      </c>
      <c r="L358" s="12">
        <v>4.21</v>
      </c>
      <c r="M358" s="12" t="s">
        <v>739</v>
      </c>
      <c r="N358" s="12">
        <v>4.2</v>
      </c>
      <c r="O358" s="12">
        <v>3.89</v>
      </c>
      <c r="P358" s="12">
        <f t="shared" si="31"/>
        <v>4.1820000000000004</v>
      </c>
      <c r="Q358" s="12">
        <f t="shared" si="32"/>
        <v>4.18</v>
      </c>
      <c r="R358" s="12">
        <f t="shared" si="33"/>
        <v>4.0375000000000005</v>
      </c>
      <c r="S358" s="28">
        <f>IFERROR(INDEX('Clean Gamification Data'!$B:$B,MATCH($B358,'Clean Gamification Data'!$A:$A,0)),"Not Found")</f>
        <v>82.504321070000003</v>
      </c>
      <c r="T358" s="28">
        <f>IFERROR(INDEX('Clean Gamification Data'!$C:$C,MATCH($B358,'Clean Gamification Data'!$A:$A,0)),"Not Found")</f>
        <v>65.165823219999993</v>
      </c>
      <c r="U358" s="28">
        <f>IFERROR(INDEX('Clean Gamification Data'!$D:$D,MATCH($B358,'Clean Gamification Data'!$A:$A,0)),"Not Found")</f>
        <v>70</v>
      </c>
      <c r="V358" s="28">
        <f>IFERROR(INDEX('Clean Gamification Data'!$E:$E,MATCH($B358,'Clean Gamification Data'!$A:$A,0)),"Not Found")</f>
        <v>71.04469272</v>
      </c>
      <c r="W358" s="28">
        <f>IFERROR(INDEX('Clean Gamification Data'!$F:$F,MATCH($B358,'Clean Gamification Data'!$A:$A,0)),"Not Found")</f>
        <v>92.148350840000006</v>
      </c>
      <c r="X358" s="28">
        <f>IFERROR(INDEX('Clean Gamification Data'!$G:$G,MATCH($B358,'Clean Gamification Data'!$A:$A,0)),"Not Found")</f>
        <v>85</v>
      </c>
      <c r="Y358" s="28">
        <f>IFERROR(INDEX('Clean Gamification Data'!$H:$H,MATCH($B358,'Clean Gamification Data'!$A:$A,0)),"Not Found")</f>
        <v>72.006660999999994</v>
      </c>
      <c r="Z358" s="28">
        <f>IFERROR(INDEX('Clean Gamification Data'!$I:$I,MATCH($B358,'Clean Gamification Data'!$A:$A,0)),"Not Found")</f>
        <v>55.200658930000003</v>
      </c>
      <c r="AA358" s="28">
        <f>Table1[[#This Row],[Engagement (Gamification %)]]-Table1[[#This Row],[Engagement (Non-Gamification %)]]</f>
        <v>17.33849785000001</v>
      </c>
      <c r="AB358" s="28">
        <f>Table1[[#This Row],[Motivation (Gamification %)]]-Table1[[#This Row],[Motivation (Non-Gamification %)]]</f>
        <v>-1.0446927200000005</v>
      </c>
      <c r="AC358" s="28">
        <f>Table1[[#This Row],[Participation (Gamification %)]]-Table1[[#This Row],[Participation (Non-Gamification %)]]</f>
        <v>7.1483508400000062</v>
      </c>
      <c r="AD358" s="28">
        <f>Table1[[#This Row],[Learning Outcomes (Gamification %)]]-Table1[[#This Row],[Learning Outcomes (Non-Gamification %)]]</f>
        <v>16.806002069999991</v>
      </c>
      <c r="AE358" s="44" t="str">
        <f>IF(Table1[[#This Row],[Overall Effectiveness]]&lt;3.9,"Low",IF(Table1[[#This Row],[Overall Effectiveness]]&lt;4.2,"Medium","High"))</f>
        <v>Medium</v>
      </c>
      <c r="AF358" s="30" t="str">
        <f t="shared" si="34"/>
        <v>Group Projects</v>
      </c>
      <c r="AG358" s="30" t="str">
        <f t="shared" si="35"/>
        <v>Case Studies</v>
      </c>
      <c r="AH358" s="27">
        <f>COUNTIF(Teacher_Master!$D$2:$D$16,AF358)</f>
        <v>3</v>
      </c>
      <c r="AI358" s="30" t="str">
        <f>INDEX(Teacher_Master!$B$2:$B$16,MATCH(AF358,Teacher_Master!$D$2:$D$16,0))</f>
        <v>Dr. Rohan Dutta</v>
      </c>
    </row>
    <row r="359" spans="1:35" ht="14.25" customHeight="1" x14ac:dyDescent="0.3">
      <c r="A359" s="31" t="s">
        <v>740</v>
      </c>
      <c r="B359" s="31" t="s">
        <v>741</v>
      </c>
      <c r="C359" s="31" t="s">
        <v>2882</v>
      </c>
      <c r="D359" s="12">
        <f t="shared" ca="1" si="30"/>
        <v>23</v>
      </c>
      <c r="E359" s="12" t="str">
        <f ca="1">IF(Table1[[#This Row],[Age]]&lt;=22,"20-22",IF(Table1[[#This Row],[Age]]&lt;=25,"23-25",IF(Table1[[#This Row],[Age]]&lt;=28,"26-28","29-30")))</f>
        <v>23-25</v>
      </c>
      <c r="F359" s="12">
        <v>4.2</v>
      </c>
      <c r="G359" s="12">
        <v>3.79</v>
      </c>
      <c r="H359" s="12">
        <v>4.08</v>
      </c>
      <c r="I359" s="12">
        <v>3.89</v>
      </c>
      <c r="J359" s="12">
        <v>4.75</v>
      </c>
      <c r="K359" s="12">
        <v>4.43</v>
      </c>
      <c r="L359" s="12">
        <v>4.01</v>
      </c>
      <c r="M359" s="12">
        <v>4.05</v>
      </c>
      <c r="N359" s="12">
        <v>4.55</v>
      </c>
      <c r="O359" s="12">
        <v>3.42</v>
      </c>
      <c r="P359" s="12">
        <f t="shared" si="31"/>
        <v>4.1420000000000003</v>
      </c>
      <c r="Q359" s="12">
        <f t="shared" si="32"/>
        <v>4.1399999999999997</v>
      </c>
      <c r="R359" s="12">
        <f t="shared" si="33"/>
        <v>4.0920000000000005</v>
      </c>
      <c r="S359" s="28">
        <f>IFERROR(INDEX('Clean Gamification Data'!$B:$B,MATCH($B359,'Clean Gamification Data'!$A:$A,0)),"Not Found")</f>
        <v>86.196641330000006</v>
      </c>
      <c r="T359" s="28">
        <f>IFERROR(INDEX('Clean Gamification Data'!$C:$C,MATCH($B359,'Clean Gamification Data'!$A:$A,0)),"Not Found")</f>
        <v>66.16723949</v>
      </c>
      <c r="U359" s="28">
        <f>IFERROR(INDEX('Clean Gamification Data'!$D:$D,MATCH($B359,'Clean Gamification Data'!$A:$A,0)),"Not Found")</f>
        <v>79.940802289999993</v>
      </c>
      <c r="V359" s="28">
        <f>IFERROR(INDEX('Clean Gamification Data'!$E:$E,MATCH($B359,'Clean Gamification Data'!$A:$A,0)),"Not Found")</f>
        <v>63.623066809999997</v>
      </c>
      <c r="W359" s="28">
        <f>IFERROR(INDEX('Clean Gamification Data'!$F:$F,MATCH($B359,'Clean Gamification Data'!$A:$A,0)),"Not Found")</f>
        <v>85.445350919999996</v>
      </c>
      <c r="X359" s="28">
        <f>IFERROR(INDEX('Clean Gamification Data'!$G:$G,MATCH($B359,'Clean Gamification Data'!$A:$A,0)),"Not Found")</f>
        <v>79.690344620000005</v>
      </c>
      <c r="Y359" s="28">
        <f>IFERROR(INDEX('Clean Gamification Data'!$H:$H,MATCH($B359,'Clean Gamification Data'!$A:$A,0)),"Not Found")</f>
        <v>66.428357129999995</v>
      </c>
      <c r="Z359" s="28">
        <f>IFERROR(INDEX('Clean Gamification Data'!$I:$I,MATCH($B359,'Clean Gamification Data'!$A:$A,0)),"Not Found")</f>
        <v>60.385902919999999</v>
      </c>
      <c r="AA359" s="28">
        <f>Table1[[#This Row],[Engagement (Gamification %)]]-Table1[[#This Row],[Engagement (Non-Gamification %)]]</f>
        <v>20.029401840000006</v>
      </c>
      <c r="AB359" s="28">
        <f>Table1[[#This Row],[Motivation (Gamification %)]]-Table1[[#This Row],[Motivation (Non-Gamification %)]]</f>
        <v>16.317735479999996</v>
      </c>
      <c r="AC359" s="28">
        <f>Table1[[#This Row],[Participation (Gamification %)]]-Table1[[#This Row],[Participation (Non-Gamification %)]]</f>
        <v>5.7550062999999909</v>
      </c>
      <c r="AD359" s="28">
        <f>Table1[[#This Row],[Learning Outcomes (Gamification %)]]-Table1[[#This Row],[Learning Outcomes (Non-Gamification %)]]</f>
        <v>6.0424542099999954</v>
      </c>
      <c r="AE359" s="44" t="str">
        <f>IF(Table1[[#This Row],[Overall Effectiveness]]&lt;3.9,"Low",IF(Table1[[#This Row],[Overall Effectiveness]]&lt;4.2,"Medium","High"))</f>
        <v>Medium</v>
      </c>
      <c r="AF359" s="30" t="str">
        <f t="shared" si="34"/>
        <v>Online Tutorials</v>
      </c>
      <c r="AG359" s="30" t="str">
        <f t="shared" si="35"/>
        <v>Experiments</v>
      </c>
      <c r="AH359" s="27">
        <f>COUNTIF(Teacher_Master!$D$2:$D$16,AF359)</f>
        <v>3</v>
      </c>
      <c r="AI359" s="30" t="str">
        <f>INDEX(Teacher_Master!$B$2:$B$16,MATCH(AF359,Teacher_Master!$D$2:$D$16,0))</f>
        <v>Prof. Kavita Rao</v>
      </c>
    </row>
    <row r="360" spans="1:35" ht="14.25" customHeight="1" x14ac:dyDescent="0.3">
      <c r="A360" s="31" t="s">
        <v>742</v>
      </c>
      <c r="B360" s="31" t="s">
        <v>2336</v>
      </c>
      <c r="C360" s="31" t="s">
        <v>2882</v>
      </c>
      <c r="D360" s="12">
        <f t="shared" ca="1" si="30"/>
        <v>24</v>
      </c>
      <c r="E360" s="12" t="str">
        <f ca="1">IF(Table1[[#This Row],[Age]]&lt;=22,"20-22",IF(Table1[[#This Row],[Age]]&lt;=25,"23-25",IF(Table1[[#This Row],[Age]]&lt;=28,"26-28","29-30")))</f>
        <v>23-25</v>
      </c>
      <c r="F360" s="12">
        <v>3.78</v>
      </c>
      <c r="G360" s="12">
        <v>3.79</v>
      </c>
      <c r="H360" s="12">
        <v>4.7300000000000004</v>
      </c>
      <c r="I360" s="12">
        <v>3.99</v>
      </c>
      <c r="J360" s="12">
        <v>4.3</v>
      </c>
      <c r="K360" s="12">
        <v>3.78</v>
      </c>
      <c r="L360" s="12">
        <v>4.76</v>
      </c>
      <c r="M360" s="12">
        <v>3.98</v>
      </c>
      <c r="N360" s="12">
        <v>4.01</v>
      </c>
      <c r="O360" s="12">
        <v>4.2699999999999996</v>
      </c>
      <c r="P360" s="12">
        <f t="shared" si="31"/>
        <v>4.1180000000000003</v>
      </c>
      <c r="Q360" s="12">
        <f t="shared" si="32"/>
        <v>4.12</v>
      </c>
      <c r="R360" s="12">
        <f t="shared" si="33"/>
        <v>4.16</v>
      </c>
      <c r="S360" s="28">
        <f>IFERROR(INDEX('Clean Gamification Data'!$B:$B,MATCH($B360,'Clean Gamification Data'!$A:$A,0)),"Not Found")</f>
        <v>90.273697479999996</v>
      </c>
      <c r="T360" s="28">
        <f>IFERROR(INDEX('Clean Gamification Data'!$C:$C,MATCH($B360,'Clean Gamification Data'!$A:$A,0)),"Not Found")</f>
        <v>76.087938620000003</v>
      </c>
      <c r="U360" s="28">
        <f>IFERROR(INDEX('Clean Gamification Data'!$D:$D,MATCH($B360,'Clean Gamification Data'!$A:$A,0)),"Not Found")</f>
        <v>70</v>
      </c>
      <c r="V360" s="28">
        <f>IFERROR(INDEX('Clean Gamification Data'!$E:$E,MATCH($B360,'Clean Gamification Data'!$A:$A,0)),"Not Found")</f>
        <v>73.180038280000005</v>
      </c>
      <c r="W360" s="28">
        <f>IFERROR(INDEX('Clean Gamification Data'!$F:$F,MATCH($B360,'Clean Gamification Data'!$A:$A,0)),"Not Found")</f>
        <v>95.641008439999993</v>
      </c>
      <c r="X360" s="28">
        <f>IFERROR(INDEX('Clean Gamification Data'!$G:$G,MATCH($B360,'Clean Gamification Data'!$A:$A,0)),"Not Found")</f>
        <v>77.78035457</v>
      </c>
      <c r="Y360" s="28">
        <f>IFERROR(INDEX('Clean Gamification Data'!$H:$H,MATCH($B360,'Clean Gamification Data'!$A:$A,0)),"Not Found")</f>
        <v>72.524501569999998</v>
      </c>
      <c r="Z360" s="28">
        <f>IFERROR(INDEX('Clean Gamification Data'!$I:$I,MATCH($B360,'Clean Gamification Data'!$A:$A,0)),"Not Found")</f>
        <v>50</v>
      </c>
      <c r="AA360" s="28">
        <f>Table1[[#This Row],[Engagement (Gamification %)]]-Table1[[#This Row],[Engagement (Non-Gamification %)]]</f>
        <v>14.185758859999993</v>
      </c>
      <c r="AB360" s="28">
        <f>Table1[[#This Row],[Motivation (Gamification %)]]-Table1[[#This Row],[Motivation (Non-Gamification %)]]</f>
        <v>-3.1800382800000051</v>
      </c>
      <c r="AC360" s="28">
        <f>Table1[[#This Row],[Participation (Gamification %)]]-Table1[[#This Row],[Participation (Non-Gamification %)]]</f>
        <v>17.860653869999993</v>
      </c>
      <c r="AD360" s="28">
        <f>Table1[[#This Row],[Learning Outcomes (Gamification %)]]-Table1[[#This Row],[Learning Outcomes (Non-Gamification %)]]</f>
        <v>22.524501569999998</v>
      </c>
      <c r="AE360" s="44" t="str">
        <f>IF(Table1[[#This Row],[Overall Effectiveness]]&lt;3.9,"Low",IF(Table1[[#This Row],[Overall Effectiveness]]&lt;4.2,"Medium","High"))</f>
        <v>Medium</v>
      </c>
      <c r="AF360" s="30" t="str">
        <f t="shared" si="34"/>
        <v>Group Projects</v>
      </c>
      <c r="AG360" s="30" t="str">
        <f t="shared" si="35"/>
        <v>Case Studies</v>
      </c>
      <c r="AH360" s="27">
        <f>COUNTIF(Teacher_Master!$D$2:$D$16,AF360)</f>
        <v>3</v>
      </c>
      <c r="AI360" s="30" t="str">
        <f>INDEX(Teacher_Master!$B$2:$B$16,MATCH(AF360,Teacher_Master!$D$2:$D$16,0))</f>
        <v>Dr. Rohan Dutta</v>
      </c>
    </row>
    <row r="361" spans="1:35" ht="14.25" customHeight="1" x14ac:dyDescent="0.3">
      <c r="A361" s="31" t="s">
        <v>744</v>
      </c>
      <c r="B361" s="31" t="s">
        <v>745</v>
      </c>
      <c r="C361" s="31" t="s">
        <v>2882</v>
      </c>
      <c r="D361" s="12">
        <f t="shared" ca="1" si="30"/>
        <v>30</v>
      </c>
      <c r="E361" s="12" t="str">
        <f ca="1">IF(Table1[[#This Row],[Age]]&lt;=22,"20-22",IF(Table1[[#This Row],[Age]]&lt;=25,"23-25",IF(Table1[[#This Row],[Age]]&lt;=28,"26-28","29-30")))</f>
        <v>29-30</v>
      </c>
      <c r="F361" s="12">
        <v>4.59</v>
      </c>
      <c r="G361" s="12">
        <v>4.24</v>
      </c>
      <c r="H361" s="12">
        <v>3.65</v>
      </c>
      <c r="I361" s="12">
        <v>4.0999999999999996</v>
      </c>
      <c r="J361" s="12">
        <v>3.73</v>
      </c>
      <c r="K361" s="12">
        <v>4.05</v>
      </c>
      <c r="L361" s="12">
        <v>3.97</v>
      </c>
      <c r="M361" s="12">
        <v>3.87</v>
      </c>
      <c r="N361" s="12">
        <v>4.54</v>
      </c>
      <c r="O361" s="12">
        <v>3.98</v>
      </c>
      <c r="P361" s="12">
        <f t="shared" si="31"/>
        <v>4.0619999999999994</v>
      </c>
      <c r="Q361" s="12">
        <f t="shared" si="32"/>
        <v>4.0599999999999996</v>
      </c>
      <c r="R361" s="12">
        <f t="shared" si="33"/>
        <v>4.0819999999999999</v>
      </c>
      <c r="S361" s="28">
        <f>IFERROR(INDEX('Clean Gamification Data'!$B:$B,MATCH($B361,'Clean Gamification Data'!$A:$A,0)),"Not Found")</f>
        <v>79.081704990000006</v>
      </c>
      <c r="T361" s="28">
        <f>IFERROR(INDEX('Clean Gamification Data'!$C:$C,MATCH($B361,'Clean Gamification Data'!$A:$A,0)),"Not Found")</f>
        <v>74.260574559999995</v>
      </c>
      <c r="U361" s="28">
        <f>IFERROR(INDEX('Clean Gamification Data'!$D:$D,MATCH($B361,'Clean Gamification Data'!$A:$A,0)),"Not Found")</f>
        <v>79.77168605</v>
      </c>
      <c r="V361" s="28">
        <f>IFERROR(INDEX('Clean Gamification Data'!$E:$E,MATCH($B361,'Clean Gamification Data'!$A:$A,0)),"Not Found")</f>
        <v>67.472650619999996</v>
      </c>
      <c r="W361" s="28">
        <f>IFERROR(INDEX('Clean Gamification Data'!$F:$F,MATCH($B361,'Clean Gamification Data'!$A:$A,0)),"Not Found")</f>
        <v>94.797563839999995</v>
      </c>
      <c r="X361" s="28">
        <f>IFERROR(INDEX('Clean Gamification Data'!$G:$G,MATCH($B361,'Clean Gamification Data'!$A:$A,0)),"Not Found")</f>
        <v>85</v>
      </c>
      <c r="Y361" s="28">
        <f>IFERROR(INDEX('Clean Gamification Data'!$H:$H,MATCH($B361,'Clean Gamification Data'!$A:$A,0)),"Not Found")</f>
        <v>73.330741020000005</v>
      </c>
      <c r="Z361" s="28">
        <f>IFERROR(INDEX('Clean Gamification Data'!$I:$I,MATCH($B361,'Clean Gamification Data'!$A:$A,0)),"Not Found")</f>
        <v>69.443576129999997</v>
      </c>
      <c r="AA361" s="28">
        <f>Table1[[#This Row],[Engagement (Gamification %)]]-Table1[[#This Row],[Engagement (Non-Gamification %)]]</f>
        <v>4.8211304300000108</v>
      </c>
      <c r="AB361" s="28">
        <f>Table1[[#This Row],[Motivation (Gamification %)]]-Table1[[#This Row],[Motivation (Non-Gamification %)]]</f>
        <v>12.299035430000004</v>
      </c>
      <c r="AC361" s="28">
        <f>Table1[[#This Row],[Participation (Gamification %)]]-Table1[[#This Row],[Participation (Non-Gamification %)]]</f>
        <v>9.7975638399999951</v>
      </c>
      <c r="AD361" s="28">
        <f>Table1[[#This Row],[Learning Outcomes (Gamification %)]]-Table1[[#This Row],[Learning Outcomes (Non-Gamification %)]]</f>
        <v>3.8871648900000082</v>
      </c>
      <c r="AE361" s="44" t="str">
        <f>IF(Table1[[#This Row],[Overall Effectiveness]]&lt;3.9,"Low",IF(Table1[[#This Row],[Overall Effectiveness]]&lt;4.2,"Medium","High"))</f>
        <v>Medium</v>
      </c>
      <c r="AF361" s="30" t="str">
        <f t="shared" si="34"/>
        <v>Lectures</v>
      </c>
      <c r="AG361" s="30" t="str">
        <f t="shared" si="35"/>
        <v>Experiments</v>
      </c>
      <c r="AH361" s="27">
        <f>COUNTIF(Teacher_Master!$D$2:$D$16,AF361)</f>
        <v>3</v>
      </c>
      <c r="AI361" s="30" t="str">
        <f>INDEX(Teacher_Master!$B$2:$B$16,MATCH(AF361,Teacher_Master!$D$2:$D$16,0))</f>
        <v>Prof. Vikram Gupta</v>
      </c>
    </row>
    <row r="362" spans="1:35" ht="14.25" customHeight="1" x14ac:dyDescent="0.3">
      <c r="A362" s="31" t="s">
        <v>746</v>
      </c>
      <c r="B362" s="31" t="s">
        <v>747</v>
      </c>
      <c r="C362" s="31" t="s">
        <v>2881</v>
      </c>
      <c r="D362" s="12">
        <f t="shared" ca="1" si="30"/>
        <v>24</v>
      </c>
      <c r="E362" s="12" t="str">
        <f ca="1">IF(Table1[[#This Row],[Age]]&lt;=22,"20-22",IF(Table1[[#This Row],[Age]]&lt;=25,"23-25",IF(Table1[[#This Row],[Age]]&lt;=28,"26-28","29-30")))</f>
        <v>23-25</v>
      </c>
      <c r="F362" s="12">
        <v>4.03</v>
      </c>
      <c r="G362" s="12">
        <v>4</v>
      </c>
      <c r="H362" s="12">
        <v>4.1500000000000004</v>
      </c>
      <c r="I362" s="12">
        <v>4.46</v>
      </c>
      <c r="J362" s="12">
        <v>3.85</v>
      </c>
      <c r="K362" s="12">
        <v>4.4400000000000004</v>
      </c>
      <c r="L362" s="12">
        <v>4.03</v>
      </c>
      <c r="M362" s="12">
        <v>4.45</v>
      </c>
      <c r="N362" s="12">
        <v>4.08</v>
      </c>
      <c r="O362" s="12">
        <v>4.41</v>
      </c>
      <c r="P362" s="12">
        <f t="shared" si="31"/>
        <v>4.0980000000000008</v>
      </c>
      <c r="Q362" s="12">
        <f t="shared" si="32"/>
        <v>4.0999999999999996</v>
      </c>
      <c r="R362" s="12">
        <f t="shared" si="33"/>
        <v>4.282</v>
      </c>
      <c r="S362" s="28">
        <f>IFERROR(INDEX('Clean Gamification Data'!$B:$B,MATCH($B362,'Clean Gamification Data'!$A:$A,0)),"Not Found")</f>
        <v>84.582987739999993</v>
      </c>
      <c r="T362" s="28">
        <f>IFERROR(INDEX('Clean Gamification Data'!$C:$C,MATCH($B362,'Clean Gamification Data'!$A:$A,0)),"Not Found")</f>
        <v>80</v>
      </c>
      <c r="U362" s="28">
        <f>IFERROR(INDEX('Clean Gamification Data'!$D:$D,MATCH($B362,'Clean Gamification Data'!$A:$A,0)),"Not Found")</f>
        <v>80.309255489999998</v>
      </c>
      <c r="V362" s="28">
        <f>IFERROR(INDEX('Clean Gamification Data'!$E:$E,MATCH($B362,'Clean Gamification Data'!$A:$A,0)),"Not Found")</f>
        <v>69.038388159999997</v>
      </c>
      <c r="W362" s="28">
        <f>IFERROR(INDEX('Clean Gamification Data'!$F:$F,MATCH($B362,'Clean Gamification Data'!$A:$A,0)),"Not Found")</f>
        <v>96.116979220000005</v>
      </c>
      <c r="X362" s="28">
        <f>IFERROR(INDEX('Clean Gamification Data'!$G:$G,MATCH($B362,'Clean Gamification Data'!$A:$A,0)),"Not Found")</f>
        <v>76.447755340000001</v>
      </c>
      <c r="Y362" s="28">
        <f>IFERROR(INDEX('Clean Gamification Data'!$H:$H,MATCH($B362,'Clean Gamification Data'!$A:$A,0)),"Not Found")</f>
        <v>72.108986200000004</v>
      </c>
      <c r="Z362" s="28">
        <f>IFERROR(INDEX('Clean Gamification Data'!$I:$I,MATCH($B362,'Clean Gamification Data'!$A:$A,0)),"Not Found")</f>
        <v>54.779195080000001</v>
      </c>
      <c r="AA362" s="28">
        <f>Table1[[#This Row],[Engagement (Gamification %)]]-Table1[[#This Row],[Engagement (Non-Gamification %)]]</f>
        <v>4.582987739999993</v>
      </c>
      <c r="AB362" s="28">
        <f>Table1[[#This Row],[Motivation (Gamification %)]]-Table1[[#This Row],[Motivation (Non-Gamification %)]]</f>
        <v>11.270867330000002</v>
      </c>
      <c r="AC362" s="28">
        <f>Table1[[#This Row],[Participation (Gamification %)]]-Table1[[#This Row],[Participation (Non-Gamification %)]]</f>
        <v>19.669223880000004</v>
      </c>
      <c r="AD362" s="28">
        <f>Table1[[#This Row],[Learning Outcomes (Gamification %)]]-Table1[[#This Row],[Learning Outcomes (Non-Gamification %)]]</f>
        <v>17.329791120000003</v>
      </c>
      <c r="AE362" s="44" t="str">
        <f>IF(Table1[[#This Row],[Overall Effectiveness]]&lt;3.9,"Low",IF(Table1[[#This Row],[Overall Effectiveness]]&lt;4.2,"Medium","High"))</f>
        <v>Medium</v>
      </c>
      <c r="AF362" s="30" t="str">
        <f t="shared" si="34"/>
        <v>Experiments</v>
      </c>
      <c r="AG362" s="30" t="str">
        <f t="shared" si="35"/>
        <v>Group Projects</v>
      </c>
      <c r="AH362" s="27">
        <f>COUNTIF(Teacher_Master!$D$2:$D$16,AF362)</f>
        <v>3</v>
      </c>
      <c r="AI362" s="30" t="str">
        <f>INDEX(Teacher_Master!$B$2:$B$16,MATCH(AF362,Teacher_Master!$D$2:$D$16,0))</f>
        <v>Prof. Rahul Singh</v>
      </c>
    </row>
    <row r="363" spans="1:35" ht="14.25" customHeight="1" x14ac:dyDescent="0.3">
      <c r="A363" s="31" t="s">
        <v>748</v>
      </c>
      <c r="B363" s="31" t="s">
        <v>2337</v>
      </c>
      <c r="C363" s="31" t="s">
        <v>2881</v>
      </c>
      <c r="D363" s="12">
        <f t="shared" ca="1" si="30"/>
        <v>20</v>
      </c>
      <c r="E363" s="12" t="str">
        <f ca="1">IF(Table1[[#This Row],[Age]]&lt;=22,"20-22",IF(Table1[[#This Row],[Age]]&lt;=25,"23-25",IF(Table1[[#This Row],[Age]]&lt;=28,"26-28","29-30")))</f>
        <v>20-22</v>
      </c>
      <c r="F363" s="12">
        <v>3.8</v>
      </c>
      <c r="G363" s="12">
        <v>4.33</v>
      </c>
      <c r="H363" s="12">
        <v>4.17</v>
      </c>
      <c r="I363" s="12">
        <v>4.53</v>
      </c>
      <c r="J363" s="12">
        <v>3.61</v>
      </c>
      <c r="K363" s="12">
        <v>4.5</v>
      </c>
      <c r="L363" s="12">
        <v>4.01</v>
      </c>
      <c r="M363" s="12">
        <v>4.25</v>
      </c>
      <c r="N363" s="12">
        <v>4.33</v>
      </c>
      <c r="O363" s="12">
        <v>4.3600000000000003</v>
      </c>
      <c r="P363" s="12">
        <f t="shared" si="31"/>
        <v>4.0879999999999992</v>
      </c>
      <c r="Q363" s="12">
        <f t="shared" si="32"/>
        <v>4.09</v>
      </c>
      <c r="R363" s="12">
        <f t="shared" si="33"/>
        <v>4.29</v>
      </c>
      <c r="S363" s="28">
        <f>IFERROR(INDEX('Clean Gamification Data'!$B:$B,MATCH($B363,'Clean Gamification Data'!$A:$A,0)),"Not Found")</f>
        <v>75</v>
      </c>
      <c r="T363" s="28">
        <f>IFERROR(INDEX('Clean Gamification Data'!$C:$C,MATCH($B363,'Clean Gamification Data'!$A:$A,0)),"Not Found")</f>
        <v>60.279451719999997</v>
      </c>
      <c r="U363" s="28">
        <f>IFERROR(INDEX('Clean Gamification Data'!$D:$D,MATCH($B363,'Clean Gamification Data'!$A:$A,0)),"Not Found")</f>
        <v>77.496646870000006</v>
      </c>
      <c r="V363" s="28">
        <f>IFERROR(INDEX('Clean Gamification Data'!$E:$E,MATCH($B363,'Clean Gamification Data'!$A:$A,0)),"Not Found")</f>
        <v>55.463112260000003</v>
      </c>
      <c r="W363" s="28">
        <f>IFERROR(INDEX('Clean Gamification Data'!$F:$F,MATCH($B363,'Clean Gamification Data'!$A:$A,0)),"Not Found")</f>
        <v>94.985503969999996</v>
      </c>
      <c r="X363" s="28">
        <f>IFERROR(INDEX('Clean Gamification Data'!$G:$G,MATCH($B363,'Clean Gamification Data'!$A:$A,0)),"Not Found")</f>
        <v>79.779273480000001</v>
      </c>
      <c r="Y363" s="28">
        <f>IFERROR(INDEX('Clean Gamification Data'!$H:$H,MATCH($B363,'Clean Gamification Data'!$A:$A,0)),"Not Found")</f>
        <v>71.218498159999996</v>
      </c>
      <c r="Z363" s="28">
        <f>IFERROR(INDEX('Clean Gamification Data'!$I:$I,MATCH($B363,'Clean Gamification Data'!$A:$A,0)),"Not Found")</f>
        <v>61.349469480000003</v>
      </c>
      <c r="AA363" s="28">
        <f>Table1[[#This Row],[Engagement (Gamification %)]]-Table1[[#This Row],[Engagement (Non-Gamification %)]]</f>
        <v>14.720548280000003</v>
      </c>
      <c r="AB363" s="28">
        <f>Table1[[#This Row],[Motivation (Gamification %)]]-Table1[[#This Row],[Motivation (Non-Gamification %)]]</f>
        <v>22.033534610000004</v>
      </c>
      <c r="AC363" s="28">
        <f>Table1[[#This Row],[Participation (Gamification %)]]-Table1[[#This Row],[Participation (Non-Gamification %)]]</f>
        <v>15.206230489999996</v>
      </c>
      <c r="AD363" s="28">
        <f>Table1[[#This Row],[Learning Outcomes (Gamification %)]]-Table1[[#This Row],[Learning Outcomes (Non-Gamification %)]]</f>
        <v>9.8690286799999924</v>
      </c>
      <c r="AE363" s="44" t="str">
        <f>IF(Table1[[#This Row],[Overall Effectiveness]]&lt;3.9,"Low",IF(Table1[[#This Row],[Overall Effectiveness]]&lt;4.2,"Medium","High"))</f>
        <v>Medium</v>
      </c>
      <c r="AF363" s="30" t="str">
        <f t="shared" si="34"/>
        <v>Experiments</v>
      </c>
      <c r="AG363" s="30" t="str">
        <f t="shared" si="35"/>
        <v>Lectures</v>
      </c>
      <c r="AH363" s="27">
        <f>COUNTIF(Teacher_Master!$D$2:$D$16,AF363)</f>
        <v>3</v>
      </c>
      <c r="AI363" s="30" t="str">
        <f>INDEX(Teacher_Master!$B$2:$B$16,MATCH(AF363,Teacher_Master!$D$2:$D$16,0))</f>
        <v>Prof. Rahul Singh</v>
      </c>
    </row>
    <row r="364" spans="1:35" ht="14.25" customHeight="1" x14ac:dyDescent="0.3">
      <c r="A364" s="31" t="s">
        <v>750</v>
      </c>
      <c r="B364" s="31" t="s">
        <v>2338</v>
      </c>
      <c r="C364" s="31" t="s">
        <v>2881</v>
      </c>
      <c r="D364" s="12">
        <f t="shared" ca="1" si="30"/>
        <v>30</v>
      </c>
      <c r="E364" s="12" t="str">
        <f ca="1">IF(Table1[[#This Row],[Age]]&lt;=22,"20-22",IF(Table1[[#This Row],[Age]]&lt;=25,"23-25",IF(Table1[[#This Row],[Age]]&lt;=28,"26-28","29-30")))</f>
        <v>29-30</v>
      </c>
      <c r="F364" s="12">
        <v>3.94</v>
      </c>
      <c r="G364" s="12">
        <v>3.48</v>
      </c>
      <c r="H364" s="12">
        <v>3.46</v>
      </c>
      <c r="I364" s="12">
        <v>3.84</v>
      </c>
      <c r="J364" s="12">
        <v>4.24</v>
      </c>
      <c r="K364" s="12">
        <v>4.59</v>
      </c>
      <c r="L364" s="12">
        <v>4.0199999999999996</v>
      </c>
      <c r="M364" s="12">
        <v>3.69</v>
      </c>
      <c r="N364" s="12">
        <v>4.38</v>
      </c>
      <c r="O364" s="12">
        <v>4.07</v>
      </c>
      <c r="P364" s="12">
        <f t="shared" si="31"/>
        <v>3.7920000000000003</v>
      </c>
      <c r="Q364" s="12">
        <f t="shared" si="32"/>
        <v>3.79</v>
      </c>
      <c r="R364" s="12">
        <f t="shared" si="33"/>
        <v>4.1500000000000004</v>
      </c>
      <c r="S364" s="28">
        <f>IFERROR(INDEX('Clean Gamification Data'!$B:$B,MATCH($B364,'Clean Gamification Data'!$A:$A,0)),"Not Found")</f>
        <v>81.909123440000002</v>
      </c>
      <c r="T364" s="28">
        <f>IFERROR(INDEX('Clean Gamification Data'!$C:$C,MATCH($B364,'Clean Gamification Data'!$A:$A,0)),"Not Found")</f>
        <v>65.628774680000006</v>
      </c>
      <c r="U364" s="28">
        <f>IFERROR(INDEX('Clean Gamification Data'!$D:$D,MATCH($B364,'Clean Gamification Data'!$A:$A,0)),"Not Found")</f>
        <v>77.420450450000004</v>
      </c>
      <c r="V364" s="28">
        <f>IFERROR(INDEX('Clean Gamification Data'!$E:$E,MATCH($B364,'Clean Gamification Data'!$A:$A,0)),"Not Found")</f>
        <v>55</v>
      </c>
      <c r="W364" s="28">
        <f>IFERROR(INDEX('Clean Gamification Data'!$F:$F,MATCH($B364,'Clean Gamification Data'!$A:$A,0)),"Not Found")</f>
        <v>80</v>
      </c>
      <c r="X364" s="28">
        <f>IFERROR(INDEX('Clean Gamification Data'!$G:$G,MATCH($B364,'Clean Gamification Data'!$A:$A,0)),"Not Found")</f>
        <v>76.132227</v>
      </c>
      <c r="Y364" s="28">
        <f>IFERROR(INDEX('Clean Gamification Data'!$H:$H,MATCH($B364,'Clean Gamification Data'!$A:$A,0)),"Not Found")</f>
        <v>75.399688519999998</v>
      </c>
      <c r="Z364" s="28">
        <f>IFERROR(INDEX('Clean Gamification Data'!$I:$I,MATCH($B364,'Clean Gamification Data'!$A:$A,0)),"Not Found")</f>
        <v>54.592104659999997</v>
      </c>
      <c r="AA364" s="28">
        <f>Table1[[#This Row],[Engagement (Gamification %)]]-Table1[[#This Row],[Engagement (Non-Gamification %)]]</f>
        <v>16.280348759999995</v>
      </c>
      <c r="AB364" s="28">
        <f>Table1[[#This Row],[Motivation (Gamification %)]]-Table1[[#This Row],[Motivation (Non-Gamification %)]]</f>
        <v>22.420450450000004</v>
      </c>
      <c r="AC364" s="28">
        <f>Table1[[#This Row],[Participation (Gamification %)]]-Table1[[#This Row],[Participation (Non-Gamification %)]]</f>
        <v>3.8677729999999997</v>
      </c>
      <c r="AD364" s="28">
        <f>Table1[[#This Row],[Learning Outcomes (Gamification %)]]-Table1[[#This Row],[Learning Outcomes (Non-Gamification %)]]</f>
        <v>20.807583860000001</v>
      </c>
      <c r="AE364" s="44" t="str">
        <f>IF(Table1[[#This Row],[Overall Effectiveness]]&lt;3.9,"Low",IF(Table1[[#This Row],[Overall Effectiveness]]&lt;4.2,"Medium","High"))</f>
        <v>Low</v>
      </c>
      <c r="AF364" s="30" t="str">
        <f t="shared" si="34"/>
        <v>Online Tutorials</v>
      </c>
      <c r="AG364" s="30" t="str">
        <f t="shared" si="35"/>
        <v>Lectures</v>
      </c>
      <c r="AH364" s="27">
        <f>COUNTIF(Teacher_Master!$D$2:$D$16,AF364)</f>
        <v>3</v>
      </c>
      <c r="AI364" s="30" t="str">
        <f>INDEX(Teacher_Master!$B$2:$B$16,MATCH(AF364,Teacher_Master!$D$2:$D$16,0))</f>
        <v>Prof. Kavita Rao</v>
      </c>
    </row>
    <row r="365" spans="1:35" ht="14.25" customHeight="1" x14ac:dyDescent="0.3">
      <c r="A365" s="31" t="s">
        <v>752</v>
      </c>
      <c r="B365" s="31" t="s">
        <v>2339</v>
      </c>
      <c r="C365" s="31" t="s">
        <v>2882</v>
      </c>
      <c r="D365" s="12">
        <f t="shared" ca="1" si="30"/>
        <v>30</v>
      </c>
      <c r="E365" s="12" t="str">
        <f ca="1">IF(Table1[[#This Row],[Age]]&lt;=22,"20-22",IF(Table1[[#This Row],[Age]]&lt;=25,"23-25",IF(Table1[[#This Row],[Age]]&lt;=28,"26-28","29-30")))</f>
        <v>29-30</v>
      </c>
      <c r="F365" s="12">
        <v>3.78</v>
      </c>
      <c r="G365" s="12">
        <v>3.99</v>
      </c>
      <c r="H365" s="12" t="s">
        <v>211</v>
      </c>
      <c r="I365" s="12">
        <v>4.07</v>
      </c>
      <c r="J365" s="12">
        <v>4.1100000000000003</v>
      </c>
      <c r="K365" s="12">
        <v>3.97</v>
      </c>
      <c r="L365" s="12">
        <v>4.21</v>
      </c>
      <c r="M365" s="12">
        <v>4.16</v>
      </c>
      <c r="N365" s="12">
        <v>4.0999999999999996</v>
      </c>
      <c r="O365" s="12">
        <v>4.29</v>
      </c>
      <c r="P365" s="12">
        <f t="shared" si="31"/>
        <v>3.9874999999999998</v>
      </c>
      <c r="Q365" s="12">
        <f t="shared" si="32"/>
        <v>3.99</v>
      </c>
      <c r="R365" s="12">
        <f t="shared" si="33"/>
        <v>4.145999999999999</v>
      </c>
      <c r="S365" s="28">
        <f>IFERROR(INDEX('Clean Gamification Data'!$B:$B,MATCH($B365,'Clean Gamification Data'!$A:$A,0)),"Not Found")</f>
        <v>79.26211017</v>
      </c>
      <c r="T365" s="28">
        <f>IFERROR(INDEX('Clean Gamification Data'!$C:$C,MATCH($B365,'Clean Gamification Data'!$A:$A,0)),"Not Found")</f>
        <v>70.456464620000006</v>
      </c>
      <c r="U365" s="28">
        <f>IFERROR(INDEX('Clean Gamification Data'!$D:$D,MATCH($B365,'Clean Gamification Data'!$A:$A,0)),"Not Found")</f>
        <v>76.930034980000002</v>
      </c>
      <c r="V365" s="28">
        <f>IFERROR(INDEX('Clean Gamification Data'!$E:$E,MATCH($B365,'Clean Gamification Data'!$A:$A,0)),"Not Found")</f>
        <v>70.738821490000007</v>
      </c>
      <c r="W365" s="28">
        <f>IFERROR(INDEX('Clean Gamification Data'!$F:$F,MATCH($B365,'Clean Gamification Data'!$A:$A,0)),"Not Found")</f>
        <v>80</v>
      </c>
      <c r="X365" s="28">
        <f>IFERROR(INDEX('Clean Gamification Data'!$G:$G,MATCH($B365,'Clean Gamification Data'!$A:$A,0)),"Not Found")</f>
        <v>82.748561140000007</v>
      </c>
      <c r="Y365" s="28">
        <f>IFERROR(INDEX('Clean Gamification Data'!$H:$H,MATCH($B365,'Clean Gamification Data'!$A:$A,0)),"Not Found")</f>
        <v>70.838083549999993</v>
      </c>
      <c r="Z365" s="28">
        <f>IFERROR(INDEX('Clean Gamification Data'!$I:$I,MATCH($B365,'Clean Gamification Data'!$A:$A,0)),"Not Found")</f>
        <v>55.542779860000003</v>
      </c>
      <c r="AA365" s="28">
        <f>Table1[[#This Row],[Engagement (Gamification %)]]-Table1[[#This Row],[Engagement (Non-Gamification %)]]</f>
        <v>8.8056455499999942</v>
      </c>
      <c r="AB365" s="28">
        <f>Table1[[#This Row],[Motivation (Gamification %)]]-Table1[[#This Row],[Motivation (Non-Gamification %)]]</f>
        <v>6.1912134899999955</v>
      </c>
      <c r="AC365" s="28">
        <f>Table1[[#This Row],[Participation (Gamification %)]]-Table1[[#This Row],[Participation (Non-Gamification %)]]</f>
        <v>-2.7485611400000067</v>
      </c>
      <c r="AD365" s="28">
        <f>Table1[[#This Row],[Learning Outcomes (Gamification %)]]-Table1[[#This Row],[Learning Outcomes (Non-Gamification %)]]</f>
        <v>15.29530368999999</v>
      </c>
      <c r="AE365" s="44" t="str">
        <f>IF(Table1[[#This Row],[Overall Effectiveness]]&lt;3.9,"Low",IF(Table1[[#This Row],[Overall Effectiveness]]&lt;4.2,"Medium","High"))</f>
        <v>Medium</v>
      </c>
      <c r="AF365" s="30" t="str">
        <f t="shared" si="34"/>
        <v>Online Tutorials</v>
      </c>
      <c r="AG365" s="30" t="str">
        <f t="shared" si="35"/>
        <v>Online Tutorials</v>
      </c>
      <c r="AH365" s="27">
        <f>COUNTIF(Teacher_Master!$D$2:$D$16,AF365)</f>
        <v>3</v>
      </c>
      <c r="AI365" s="30" t="str">
        <f>INDEX(Teacher_Master!$B$2:$B$16,MATCH(AF365,Teacher_Master!$D$2:$D$16,0))</f>
        <v>Prof. Kavita Rao</v>
      </c>
    </row>
    <row r="366" spans="1:35" ht="14.25" customHeight="1" x14ac:dyDescent="0.3">
      <c r="A366" s="31" t="s">
        <v>754</v>
      </c>
      <c r="B366" s="31" t="s">
        <v>755</v>
      </c>
      <c r="C366" s="31" t="s">
        <v>2882</v>
      </c>
      <c r="D366" s="12">
        <f t="shared" ca="1" si="30"/>
        <v>28</v>
      </c>
      <c r="E366" s="12" t="str">
        <f ca="1">IF(Table1[[#This Row],[Age]]&lt;=22,"20-22",IF(Table1[[#This Row],[Age]]&lt;=25,"23-25",IF(Table1[[#This Row],[Age]]&lt;=28,"26-28","29-30")))</f>
        <v>26-28</v>
      </c>
      <c r="F366" s="12">
        <v>4.04</v>
      </c>
      <c r="G366" s="12">
        <v>3.8</v>
      </c>
      <c r="H366" s="12">
        <v>3.79</v>
      </c>
      <c r="I366" s="12" t="s">
        <v>211</v>
      </c>
      <c r="J366" s="12">
        <v>4.16</v>
      </c>
      <c r="K366" s="12">
        <v>3.78</v>
      </c>
      <c r="L366" s="12">
        <v>3.8</v>
      </c>
      <c r="M366" s="12">
        <v>4.21</v>
      </c>
      <c r="N366" s="12">
        <v>3.86</v>
      </c>
      <c r="O366" s="12">
        <v>3.66</v>
      </c>
      <c r="P366" s="12">
        <f t="shared" si="31"/>
        <v>3.9474999999999998</v>
      </c>
      <c r="Q366" s="12">
        <f t="shared" si="32"/>
        <v>3.95</v>
      </c>
      <c r="R366" s="12">
        <f t="shared" si="33"/>
        <v>3.8619999999999997</v>
      </c>
      <c r="S366" s="28">
        <f>IFERROR(INDEX('Clean Gamification Data'!$B:$B,MATCH($B366,'Clean Gamification Data'!$A:$A,0)),"Not Found")</f>
        <v>81.370713170000002</v>
      </c>
      <c r="T366" s="28">
        <f>IFERROR(INDEX('Clean Gamification Data'!$C:$C,MATCH($B366,'Clean Gamification Data'!$A:$A,0)),"Not Found")</f>
        <v>69.508235029999994</v>
      </c>
      <c r="U366" s="28">
        <f>IFERROR(INDEX('Clean Gamification Data'!$D:$D,MATCH($B366,'Clean Gamification Data'!$A:$A,0)),"Not Found")</f>
        <v>70.794900200000001</v>
      </c>
      <c r="V366" s="28">
        <f>IFERROR(INDEX('Clean Gamification Data'!$E:$E,MATCH($B366,'Clean Gamification Data'!$A:$A,0)),"Not Found")</f>
        <v>64.325123270000006</v>
      </c>
      <c r="W366" s="28">
        <f>IFERROR(INDEX('Clean Gamification Data'!$F:$F,MATCH($B366,'Clean Gamification Data'!$A:$A,0)),"Not Found")</f>
        <v>93.468810410000003</v>
      </c>
      <c r="X366" s="28">
        <f>IFERROR(INDEX('Clean Gamification Data'!$G:$G,MATCH($B366,'Clean Gamification Data'!$A:$A,0)),"Not Found")</f>
        <v>84.304742430000005</v>
      </c>
      <c r="Y366" s="28">
        <f>IFERROR(INDEX('Clean Gamification Data'!$H:$H,MATCH($B366,'Clean Gamification Data'!$A:$A,0)),"Not Found")</f>
        <v>69.755798690000006</v>
      </c>
      <c r="Z366" s="28">
        <f>IFERROR(INDEX('Clean Gamification Data'!$I:$I,MATCH($B366,'Clean Gamification Data'!$A:$A,0)),"Not Found")</f>
        <v>61.17088004</v>
      </c>
      <c r="AA366" s="28">
        <f>Table1[[#This Row],[Engagement (Gamification %)]]-Table1[[#This Row],[Engagement (Non-Gamification %)]]</f>
        <v>11.862478140000007</v>
      </c>
      <c r="AB366" s="28">
        <f>Table1[[#This Row],[Motivation (Gamification %)]]-Table1[[#This Row],[Motivation (Non-Gamification %)]]</f>
        <v>6.4697769299999948</v>
      </c>
      <c r="AC366" s="28">
        <f>Table1[[#This Row],[Participation (Gamification %)]]-Table1[[#This Row],[Participation (Non-Gamification %)]]</f>
        <v>9.1640679799999987</v>
      </c>
      <c r="AD366" s="28">
        <f>Table1[[#This Row],[Learning Outcomes (Gamification %)]]-Table1[[#This Row],[Learning Outcomes (Non-Gamification %)]]</f>
        <v>8.5849186500000059</v>
      </c>
      <c r="AE366" s="44" t="str">
        <f>IF(Table1[[#This Row],[Overall Effectiveness]]&lt;3.9,"Low",IF(Table1[[#This Row],[Overall Effectiveness]]&lt;4.2,"Medium","High"))</f>
        <v>Medium</v>
      </c>
      <c r="AF366" s="30" t="str">
        <f t="shared" si="34"/>
        <v>Online Tutorials</v>
      </c>
      <c r="AG366" s="30" t="str">
        <f t="shared" si="35"/>
        <v>Group Projects</v>
      </c>
      <c r="AH366" s="27">
        <f>COUNTIF(Teacher_Master!$D$2:$D$16,AF366)</f>
        <v>3</v>
      </c>
      <c r="AI366" s="30" t="str">
        <f>INDEX(Teacher_Master!$B$2:$B$16,MATCH(AF366,Teacher_Master!$D$2:$D$16,0))</f>
        <v>Prof. Kavita Rao</v>
      </c>
    </row>
    <row r="367" spans="1:35" ht="14.25" customHeight="1" x14ac:dyDescent="0.3">
      <c r="A367" s="31" t="s">
        <v>756</v>
      </c>
      <c r="B367" s="31" t="s">
        <v>2340</v>
      </c>
      <c r="C367" s="31" t="s">
        <v>2882</v>
      </c>
      <c r="D367" s="12">
        <f t="shared" ca="1" si="30"/>
        <v>29</v>
      </c>
      <c r="E367" s="12" t="str">
        <f ca="1">IF(Table1[[#This Row],[Age]]&lt;=22,"20-22",IF(Table1[[#This Row],[Age]]&lt;=25,"23-25",IF(Table1[[#This Row],[Age]]&lt;=28,"26-28","29-30")))</f>
        <v>29-30</v>
      </c>
      <c r="F367" s="12">
        <v>4.3</v>
      </c>
      <c r="G367" s="12">
        <v>4.55</v>
      </c>
      <c r="H367" s="12">
        <v>3.76</v>
      </c>
      <c r="I367" s="12">
        <v>4.43</v>
      </c>
      <c r="J367" s="12">
        <v>3.53</v>
      </c>
      <c r="K367" s="12">
        <v>4.09</v>
      </c>
      <c r="L367" s="12">
        <v>4.29</v>
      </c>
      <c r="M367" s="12">
        <v>3.85</v>
      </c>
      <c r="N367" s="12">
        <v>3.95</v>
      </c>
      <c r="O367" s="12">
        <v>4.49</v>
      </c>
      <c r="P367" s="12">
        <f t="shared" si="31"/>
        <v>4.1139999999999999</v>
      </c>
      <c r="Q367" s="12">
        <f t="shared" si="32"/>
        <v>4.1100000000000003</v>
      </c>
      <c r="R367" s="12">
        <f t="shared" si="33"/>
        <v>4.1340000000000003</v>
      </c>
      <c r="S367" s="28">
        <f>IFERROR(INDEX('Clean Gamification Data'!$B:$B,MATCH($B367,'Clean Gamification Data'!$A:$A,0)),"Not Found")</f>
        <v>80.85630055</v>
      </c>
      <c r="T367" s="28">
        <f>IFERROR(INDEX('Clean Gamification Data'!$C:$C,MATCH($B367,'Clean Gamification Data'!$A:$A,0)),"Not Found")</f>
        <v>63.057179840000003</v>
      </c>
      <c r="U367" s="28">
        <f>IFERROR(INDEX('Clean Gamification Data'!$D:$D,MATCH($B367,'Clean Gamification Data'!$A:$A,0)),"Not Found")</f>
        <v>83.485143190000002</v>
      </c>
      <c r="V367" s="28">
        <f>IFERROR(INDEX('Clean Gamification Data'!$E:$E,MATCH($B367,'Clean Gamification Data'!$A:$A,0)),"Not Found")</f>
        <v>64.79457524</v>
      </c>
      <c r="W367" s="28">
        <f>IFERROR(INDEX('Clean Gamification Data'!$F:$F,MATCH($B367,'Clean Gamification Data'!$A:$A,0)),"Not Found")</f>
        <v>99.9</v>
      </c>
      <c r="X367" s="28">
        <f>IFERROR(INDEX('Clean Gamification Data'!$G:$G,MATCH($B367,'Clean Gamification Data'!$A:$A,0)),"Not Found")</f>
        <v>72.289864600000001</v>
      </c>
      <c r="Y367" s="28">
        <f>IFERROR(INDEX('Clean Gamification Data'!$H:$H,MATCH($B367,'Clean Gamification Data'!$A:$A,0)),"Not Found")</f>
        <v>69.637563069999999</v>
      </c>
      <c r="Z367" s="28">
        <f>IFERROR(INDEX('Clean Gamification Data'!$I:$I,MATCH($B367,'Clean Gamification Data'!$A:$A,0)),"Not Found")</f>
        <v>65.082522159999996</v>
      </c>
      <c r="AA367" s="28">
        <f>Table1[[#This Row],[Engagement (Gamification %)]]-Table1[[#This Row],[Engagement (Non-Gamification %)]]</f>
        <v>17.799120709999997</v>
      </c>
      <c r="AB367" s="28">
        <f>Table1[[#This Row],[Motivation (Gamification %)]]-Table1[[#This Row],[Motivation (Non-Gamification %)]]</f>
        <v>18.690567950000002</v>
      </c>
      <c r="AC367" s="28">
        <f>Table1[[#This Row],[Participation (Gamification %)]]-Table1[[#This Row],[Participation (Non-Gamification %)]]</f>
        <v>27.610135400000004</v>
      </c>
      <c r="AD367" s="28">
        <f>Table1[[#This Row],[Learning Outcomes (Gamification %)]]-Table1[[#This Row],[Learning Outcomes (Non-Gamification %)]]</f>
        <v>4.5550409100000024</v>
      </c>
      <c r="AE367" s="44" t="str">
        <f>IF(Table1[[#This Row],[Overall Effectiveness]]&lt;3.9,"Low",IF(Table1[[#This Row],[Overall Effectiveness]]&lt;4.2,"Medium","High"))</f>
        <v>Medium</v>
      </c>
      <c r="AF367" s="30" t="str">
        <f t="shared" si="34"/>
        <v>Case Studies</v>
      </c>
      <c r="AG367" s="30" t="str">
        <f t="shared" si="35"/>
        <v>Online Tutorials</v>
      </c>
      <c r="AH367" s="27">
        <f>COUNTIF(Teacher_Master!$D$2:$D$16,AF367)</f>
        <v>3</v>
      </c>
      <c r="AI367" s="30" t="str">
        <f>INDEX(Teacher_Master!$B$2:$B$16,MATCH(AF367,Teacher_Master!$D$2:$D$16,0))</f>
        <v>Prof. Rajesh Mukherjee</v>
      </c>
    </row>
    <row r="368" spans="1:35" ht="14.25" customHeight="1" x14ac:dyDescent="0.3">
      <c r="A368" s="31" t="s">
        <v>758</v>
      </c>
      <c r="B368" s="31" t="s">
        <v>2341</v>
      </c>
      <c r="C368" s="31" t="s">
        <v>2882</v>
      </c>
      <c r="D368" s="12">
        <f t="shared" ca="1" si="30"/>
        <v>25</v>
      </c>
      <c r="E368" s="12" t="str">
        <f ca="1">IF(Table1[[#This Row],[Age]]&lt;=22,"20-22",IF(Table1[[#This Row],[Age]]&lt;=25,"23-25",IF(Table1[[#This Row],[Age]]&lt;=28,"26-28","29-30")))</f>
        <v>23-25</v>
      </c>
      <c r="F368" s="12">
        <v>3.58</v>
      </c>
      <c r="G368" s="12">
        <v>3.48</v>
      </c>
      <c r="H368" s="12">
        <v>3.66</v>
      </c>
      <c r="I368" s="12">
        <v>4.26</v>
      </c>
      <c r="J368" s="12">
        <v>3.47</v>
      </c>
      <c r="K368" s="12">
        <v>4.4400000000000004</v>
      </c>
      <c r="L368" s="12">
        <v>4.3099999999999996</v>
      </c>
      <c r="M368" s="12">
        <v>4.1900000000000004</v>
      </c>
      <c r="N368" s="12">
        <v>3.87</v>
      </c>
      <c r="O368" s="12">
        <v>4.4800000000000004</v>
      </c>
      <c r="P368" s="12">
        <f t="shared" si="31"/>
        <v>3.69</v>
      </c>
      <c r="Q368" s="12">
        <f t="shared" si="32"/>
        <v>3.69</v>
      </c>
      <c r="R368" s="12">
        <f t="shared" si="33"/>
        <v>4.2580000000000009</v>
      </c>
      <c r="S368" s="28">
        <f>IFERROR(INDEX('Clean Gamification Data'!$B:$B,MATCH($B368,'Clean Gamification Data'!$A:$A,0)),"Not Found")</f>
        <v>86.979532059999997</v>
      </c>
      <c r="T368" s="28">
        <f>IFERROR(INDEX('Clean Gamification Data'!$C:$C,MATCH($B368,'Clean Gamification Data'!$A:$A,0)),"Not Found")</f>
        <v>72.871366499999993</v>
      </c>
      <c r="U368" s="28">
        <f>IFERROR(INDEX('Clean Gamification Data'!$D:$D,MATCH($B368,'Clean Gamification Data'!$A:$A,0)),"Not Found")</f>
        <v>70.876500250000007</v>
      </c>
      <c r="V368" s="28">
        <f>IFERROR(INDEX('Clean Gamification Data'!$E:$E,MATCH($B368,'Clean Gamification Data'!$A:$A,0)),"Not Found")</f>
        <v>71.875750640000007</v>
      </c>
      <c r="W368" s="28">
        <f>IFERROR(INDEX('Clean Gamification Data'!$F:$F,MATCH($B368,'Clean Gamification Data'!$A:$A,0)),"Not Found")</f>
        <v>97.128715839999998</v>
      </c>
      <c r="X368" s="28">
        <f>IFERROR(INDEX('Clean Gamification Data'!$G:$G,MATCH($B368,'Clean Gamification Data'!$A:$A,0)),"Not Found")</f>
        <v>81.082443319999996</v>
      </c>
      <c r="Y368" s="28">
        <f>IFERROR(INDEX('Clean Gamification Data'!$H:$H,MATCH($B368,'Clean Gamification Data'!$A:$A,0)),"Not Found")</f>
        <v>71.95556723</v>
      </c>
      <c r="Z368" s="28">
        <f>IFERROR(INDEX('Clean Gamification Data'!$I:$I,MATCH($B368,'Clean Gamification Data'!$A:$A,0)),"Not Found")</f>
        <v>56.44894309</v>
      </c>
      <c r="AA368" s="28">
        <f>Table1[[#This Row],[Engagement (Gamification %)]]-Table1[[#This Row],[Engagement (Non-Gamification %)]]</f>
        <v>14.108165560000003</v>
      </c>
      <c r="AB368" s="28">
        <f>Table1[[#This Row],[Motivation (Gamification %)]]-Table1[[#This Row],[Motivation (Non-Gamification %)]]</f>
        <v>-0.99925039000000027</v>
      </c>
      <c r="AC368" s="28">
        <f>Table1[[#This Row],[Participation (Gamification %)]]-Table1[[#This Row],[Participation (Non-Gamification %)]]</f>
        <v>16.046272520000002</v>
      </c>
      <c r="AD368" s="28">
        <f>Table1[[#This Row],[Learning Outcomes (Gamification %)]]-Table1[[#This Row],[Learning Outcomes (Non-Gamification %)]]</f>
        <v>15.50662414</v>
      </c>
      <c r="AE368" s="44" t="str">
        <f>IF(Table1[[#This Row],[Overall Effectiveness]]&lt;3.9,"Low",IF(Table1[[#This Row],[Overall Effectiveness]]&lt;4.2,"Medium","High"))</f>
        <v>Low</v>
      </c>
      <c r="AF368" s="30" t="str">
        <f t="shared" si="34"/>
        <v>Experiments</v>
      </c>
      <c r="AG368" s="30" t="str">
        <f t="shared" si="35"/>
        <v>Online Tutorials</v>
      </c>
      <c r="AH368" s="27">
        <f>COUNTIF(Teacher_Master!$D$2:$D$16,AF368)</f>
        <v>3</v>
      </c>
      <c r="AI368" s="30" t="str">
        <f>INDEX(Teacher_Master!$B$2:$B$16,MATCH(AF368,Teacher_Master!$D$2:$D$16,0))</f>
        <v>Prof. Rahul Singh</v>
      </c>
    </row>
    <row r="369" spans="1:35" ht="14.25" customHeight="1" x14ac:dyDescent="0.3">
      <c r="A369" s="31" t="s">
        <v>760</v>
      </c>
      <c r="B369" s="31" t="s">
        <v>2342</v>
      </c>
      <c r="C369" s="31" t="s">
        <v>2882</v>
      </c>
      <c r="D369" s="12">
        <f t="shared" ca="1" si="30"/>
        <v>25</v>
      </c>
      <c r="E369" s="12" t="str">
        <f ca="1">IF(Table1[[#This Row],[Age]]&lt;=22,"20-22",IF(Table1[[#This Row],[Age]]&lt;=25,"23-25",IF(Table1[[#This Row],[Age]]&lt;=28,"26-28","29-30")))</f>
        <v>23-25</v>
      </c>
      <c r="F369" s="12">
        <v>4</v>
      </c>
      <c r="G369" s="12">
        <v>4.3899999999999997</v>
      </c>
      <c r="H369" s="12">
        <v>4.25</v>
      </c>
      <c r="I369" s="12">
        <v>3.82</v>
      </c>
      <c r="J369" s="12">
        <v>3.34</v>
      </c>
      <c r="K369" s="12">
        <v>3.62</v>
      </c>
      <c r="L369" s="12" t="s">
        <v>211</v>
      </c>
      <c r="M369" s="12">
        <v>4.1500000000000004</v>
      </c>
      <c r="N369" s="12">
        <v>4.5599999999999996</v>
      </c>
      <c r="O369" s="12">
        <v>4.12</v>
      </c>
      <c r="P369" s="12">
        <f t="shared" si="31"/>
        <v>3.96</v>
      </c>
      <c r="Q369" s="12">
        <f t="shared" si="32"/>
        <v>3.96</v>
      </c>
      <c r="R369" s="12">
        <f t="shared" si="33"/>
        <v>4.1124999999999998</v>
      </c>
      <c r="S369" s="28">
        <f>IFERROR(INDEX('Clean Gamification Data'!$B:$B,MATCH($B369,'Clean Gamification Data'!$A:$A,0)),"Not Found")</f>
        <v>89.794427670000005</v>
      </c>
      <c r="T369" s="28">
        <f>IFERROR(INDEX('Clean Gamification Data'!$C:$C,MATCH($B369,'Clean Gamification Data'!$A:$A,0)),"Not Found")</f>
        <v>74.191147880000003</v>
      </c>
      <c r="U369" s="28">
        <f>IFERROR(INDEX('Clean Gamification Data'!$D:$D,MATCH($B369,'Clean Gamification Data'!$A:$A,0)),"Not Found")</f>
        <v>76.837291800000003</v>
      </c>
      <c r="V369" s="28">
        <f>IFERROR(INDEX('Clean Gamification Data'!$E:$E,MATCH($B369,'Clean Gamification Data'!$A:$A,0)),"Not Found")</f>
        <v>67.936367340000004</v>
      </c>
      <c r="W369" s="28">
        <f>IFERROR(INDEX('Clean Gamification Data'!$F:$F,MATCH($B369,'Clean Gamification Data'!$A:$A,0)),"Not Found")</f>
        <v>80</v>
      </c>
      <c r="X369" s="28">
        <f>IFERROR(INDEX('Clean Gamification Data'!$G:$G,MATCH($B369,'Clean Gamification Data'!$A:$A,0)),"Not Found")</f>
        <v>76.431240720000005</v>
      </c>
      <c r="Y369" s="28">
        <f>IFERROR(INDEX('Clean Gamification Data'!$H:$H,MATCH($B369,'Clean Gamification Data'!$A:$A,0)),"Not Found")</f>
        <v>77.197634730000004</v>
      </c>
      <c r="Z369" s="28">
        <f>IFERROR(INDEX('Clean Gamification Data'!$I:$I,MATCH($B369,'Clean Gamification Data'!$A:$A,0)),"Not Found")</f>
        <v>66.340444020000007</v>
      </c>
      <c r="AA369" s="28">
        <f>Table1[[#This Row],[Engagement (Gamification %)]]-Table1[[#This Row],[Engagement (Non-Gamification %)]]</f>
        <v>15.603279790000002</v>
      </c>
      <c r="AB369" s="28">
        <f>Table1[[#This Row],[Motivation (Gamification %)]]-Table1[[#This Row],[Motivation (Non-Gamification %)]]</f>
        <v>8.9009244599999988</v>
      </c>
      <c r="AC369" s="28">
        <f>Table1[[#This Row],[Participation (Gamification %)]]-Table1[[#This Row],[Participation (Non-Gamification %)]]</f>
        <v>3.5687592799999948</v>
      </c>
      <c r="AD369" s="28">
        <f>Table1[[#This Row],[Learning Outcomes (Gamification %)]]-Table1[[#This Row],[Learning Outcomes (Non-Gamification %)]]</f>
        <v>10.857190709999998</v>
      </c>
      <c r="AE369" s="44" t="str">
        <f>IF(Table1[[#This Row],[Overall Effectiveness]]&lt;3.9,"Low",IF(Table1[[#This Row],[Overall Effectiveness]]&lt;4.2,"Medium","High"))</f>
        <v>Medium</v>
      </c>
      <c r="AF369" s="30" t="str">
        <f t="shared" si="34"/>
        <v>Case Studies</v>
      </c>
      <c r="AG369" s="30" t="str">
        <f t="shared" si="35"/>
        <v>Experiments</v>
      </c>
      <c r="AH369" s="27">
        <f>COUNTIF(Teacher_Master!$D$2:$D$16,AF369)</f>
        <v>3</v>
      </c>
      <c r="AI369" s="30" t="str">
        <f>INDEX(Teacher_Master!$B$2:$B$16,MATCH(AF369,Teacher_Master!$D$2:$D$16,0))</f>
        <v>Prof. Rajesh Mukherjee</v>
      </c>
    </row>
    <row r="370" spans="1:35" ht="14.25" customHeight="1" x14ac:dyDescent="0.3">
      <c r="A370" s="31" t="s">
        <v>762</v>
      </c>
      <c r="B370" s="31" t="s">
        <v>2343</v>
      </c>
      <c r="C370" s="31" t="s">
        <v>2882</v>
      </c>
      <c r="D370" s="12">
        <f t="shared" ca="1" si="30"/>
        <v>25</v>
      </c>
      <c r="E370" s="12" t="str">
        <f ca="1">IF(Table1[[#This Row],[Age]]&lt;=22,"20-22",IF(Table1[[#This Row],[Age]]&lt;=25,"23-25",IF(Table1[[#This Row],[Age]]&lt;=28,"26-28","29-30")))</f>
        <v>23-25</v>
      </c>
      <c r="F370" s="12">
        <v>4.13</v>
      </c>
      <c r="G370" s="12">
        <v>4.3600000000000003</v>
      </c>
      <c r="H370" s="12">
        <v>4.67</v>
      </c>
      <c r="I370" s="12">
        <v>4.47</v>
      </c>
      <c r="J370" s="12">
        <v>3.95</v>
      </c>
      <c r="K370" s="12">
        <v>4.07</v>
      </c>
      <c r="L370" s="12">
        <v>4.0999999999999996</v>
      </c>
      <c r="M370" s="12">
        <v>3.66</v>
      </c>
      <c r="N370" s="12">
        <v>4.2</v>
      </c>
      <c r="O370" s="12">
        <v>4.05</v>
      </c>
      <c r="P370" s="12">
        <f t="shared" si="31"/>
        <v>4.3159999999999998</v>
      </c>
      <c r="Q370" s="12">
        <f t="shared" si="32"/>
        <v>4.32</v>
      </c>
      <c r="R370" s="12">
        <f t="shared" si="33"/>
        <v>4.016</v>
      </c>
      <c r="S370" s="28">
        <f>IFERROR(INDEX('Clean Gamification Data'!$B:$B,MATCH($B370,'Clean Gamification Data'!$A:$A,0)),"Not Found")</f>
        <v>86.391368889999995</v>
      </c>
      <c r="T370" s="28">
        <f>IFERROR(INDEX('Clean Gamification Data'!$C:$C,MATCH($B370,'Clean Gamification Data'!$A:$A,0)),"Not Found")</f>
        <v>66.813648779999994</v>
      </c>
      <c r="U370" s="28">
        <f>IFERROR(INDEX('Clean Gamification Data'!$D:$D,MATCH($B370,'Clean Gamification Data'!$A:$A,0)),"Not Found")</f>
        <v>72.812526800000001</v>
      </c>
      <c r="V370" s="28">
        <f>IFERROR(INDEX('Clean Gamification Data'!$E:$E,MATCH($B370,'Clean Gamification Data'!$A:$A,0)),"Not Found")</f>
        <v>66.665052279999998</v>
      </c>
      <c r="W370" s="28">
        <f>IFERROR(INDEX('Clean Gamification Data'!$F:$F,MATCH($B370,'Clean Gamification Data'!$A:$A,0)),"Not Found")</f>
        <v>94.739192059999993</v>
      </c>
      <c r="X370" s="28">
        <f>IFERROR(INDEX('Clean Gamification Data'!$G:$G,MATCH($B370,'Clean Gamification Data'!$A:$A,0)),"Not Found")</f>
        <v>79.827846600000001</v>
      </c>
      <c r="Y370" s="28">
        <f>IFERROR(INDEX('Clean Gamification Data'!$H:$H,MATCH($B370,'Clean Gamification Data'!$A:$A,0)),"Not Found")</f>
        <v>67.812210199999996</v>
      </c>
      <c r="Z370" s="28">
        <f>IFERROR(INDEX('Clean Gamification Data'!$I:$I,MATCH($B370,'Clean Gamification Data'!$A:$A,0)),"Not Found")</f>
        <v>56.968933110000002</v>
      </c>
      <c r="AA370" s="28">
        <f>Table1[[#This Row],[Engagement (Gamification %)]]-Table1[[#This Row],[Engagement (Non-Gamification %)]]</f>
        <v>19.577720110000001</v>
      </c>
      <c r="AB370" s="28">
        <f>Table1[[#This Row],[Motivation (Gamification %)]]-Table1[[#This Row],[Motivation (Non-Gamification %)]]</f>
        <v>6.1474745200000029</v>
      </c>
      <c r="AC370" s="28">
        <f>Table1[[#This Row],[Participation (Gamification %)]]-Table1[[#This Row],[Participation (Non-Gamification %)]]</f>
        <v>14.911345459999993</v>
      </c>
      <c r="AD370" s="28">
        <f>Table1[[#This Row],[Learning Outcomes (Gamification %)]]-Table1[[#This Row],[Learning Outcomes (Non-Gamification %)]]</f>
        <v>10.843277089999994</v>
      </c>
      <c r="AE370" s="44" t="str">
        <f>IF(Table1[[#This Row],[Overall Effectiveness]]&lt;3.9,"Low",IF(Table1[[#This Row],[Overall Effectiveness]]&lt;4.2,"Medium","High"))</f>
        <v>High</v>
      </c>
      <c r="AF370" s="30" t="str">
        <f t="shared" si="34"/>
        <v>Group Projects</v>
      </c>
      <c r="AG370" s="30" t="str">
        <f t="shared" si="35"/>
        <v>Experiments</v>
      </c>
      <c r="AH370" s="27">
        <f>COUNTIF(Teacher_Master!$D$2:$D$16,AF370)</f>
        <v>3</v>
      </c>
      <c r="AI370" s="30" t="str">
        <f>INDEX(Teacher_Master!$B$2:$B$16,MATCH(AF370,Teacher_Master!$D$2:$D$16,0))</f>
        <v>Dr. Rohan Dutta</v>
      </c>
    </row>
    <row r="371" spans="1:35" ht="14.25" customHeight="1" x14ac:dyDescent="0.3">
      <c r="A371" s="31" t="s">
        <v>764</v>
      </c>
      <c r="B371" s="31" t="s">
        <v>765</v>
      </c>
      <c r="C371" s="31" t="s">
        <v>2881</v>
      </c>
      <c r="D371" s="12">
        <f t="shared" ca="1" si="30"/>
        <v>21</v>
      </c>
      <c r="E371" s="12" t="str">
        <f ca="1">IF(Table1[[#This Row],[Age]]&lt;=22,"20-22",IF(Table1[[#This Row],[Age]]&lt;=25,"23-25",IF(Table1[[#This Row],[Age]]&lt;=28,"26-28","29-30")))</f>
        <v>20-22</v>
      </c>
      <c r="F371" s="12">
        <v>4.6900000000000004</v>
      </c>
      <c r="G371" s="12">
        <v>4.42</v>
      </c>
      <c r="H371" s="12">
        <v>3.87</v>
      </c>
      <c r="I371" s="12">
        <v>4.2</v>
      </c>
      <c r="J371" s="12">
        <v>4.0199999999999996</v>
      </c>
      <c r="K371" s="12">
        <v>3.7</v>
      </c>
      <c r="L371" s="12">
        <v>4.32</v>
      </c>
      <c r="M371" s="12">
        <v>4.33</v>
      </c>
      <c r="N371" s="12">
        <v>4.09</v>
      </c>
      <c r="O371" s="12">
        <v>4.13</v>
      </c>
      <c r="P371" s="12">
        <f t="shared" si="31"/>
        <v>4.24</v>
      </c>
      <c r="Q371" s="12">
        <f t="shared" si="32"/>
        <v>4.24</v>
      </c>
      <c r="R371" s="12">
        <f t="shared" si="33"/>
        <v>4.113999999999999</v>
      </c>
      <c r="S371" s="28">
        <f>IFERROR(INDEX('Clean Gamification Data'!$B:$B,MATCH($B371,'Clean Gamification Data'!$A:$A,0)),"Not Found")</f>
        <v>84.122651230000002</v>
      </c>
      <c r="T371" s="28">
        <f>IFERROR(INDEX('Clean Gamification Data'!$C:$C,MATCH($B371,'Clean Gamification Data'!$A:$A,0)),"Not Found")</f>
        <v>62.417669969999999</v>
      </c>
      <c r="U371" s="28">
        <f>IFERROR(INDEX('Clean Gamification Data'!$D:$D,MATCH($B371,'Clean Gamification Data'!$A:$A,0)),"Not Found")</f>
        <v>81.188542819999995</v>
      </c>
      <c r="V371" s="28">
        <f>IFERROR(INDEX('Clean Gamification Data'!$E:$E,MATCH($B371,'Clean Gamification Data'!$A:$A,0)),"Not Found")</f>
        <v>59.872044449999997</v>
      </c>
      <c r="W371" s="28">
        <f>IFERROR(INDEX('Clean Gamification Data'!$F:$F,MATCH($B371,'Clean Gamification Data'!$A:$A,0)),"Not Found")</f>
        <v>80.890220080000006</v>
      </c>
      <c r="X371" s="28">
        <f>IFERROR(INDEX('Clean Gamification Data'!$G:$G,MATCH($B371,'Clean Gamification Data'!$A:$A,0)),"Not Found")</f>
        <v>81.338472850000002</v>
      </c>
      <c r="Y371" s="28">
        <f>IFERROR(INDEX('Clean Gamification Data'!$H:$H,MATCH($B371,'Clean Gamification Data'!$A:$A,0)),"Not Found")</f>
        <v>71.986308449999996</v>
      </c>
      <c r="Z371" s="28">
        <f>IFERROR(INDEX('Clean Gamification Data'!$I:$I,MATCH($B371,'Clean Gamification Data'!$A:$A,0)),"Not Found")</f>
        <v>57.008455529999999</v>
      </c>
      <c r="AA371" s="28">
        <f>Table1[[#This Row],[Engagement (Gamification %)]]-Table1[[#This Row],[Engagement (Non-Gamification %)]]</f>
        <v>21.704981260000004</v>
      </c>
      <c r="AB371" s="28">
        <f>Table1[[#This Row],[Motivation (Gamification %)]]-Table1[[#This Row],[Motivation (Non-Gamification %)]]</f>
        <v>21.316498369999998</v>
      </c>
      <c r="AC371" s="28">
        <f>Table1[[#This Row],[Participation (Gamification %)]]-Table1[[#This Row],[Participation (Non-Gamification %)]]</f>
        <v>-0.4482527699999963</v>
      </c>
      <c r="AD371" s="28">
        <f>Table1[[#This Row],[Learning Outcomes (Gamification %)]]-Table1[[#This Row],[Learning Outcomes (Non-Gamification %)]]</f>
        <v>14.977852919999997</v>
      </c>
      <c r="AE371" s="44" t="str">
        <f>IF(Table1[[#This Row],[Overall Effectiveness]]&lt;3.9,"Low",IF(Table1[[#This Row],[Overall Effectiveness]]&lt;4.2,"Medium","High"))</f>
        <v>High</v>
      </c>
      <c r="AF371" s="30" t="str">
        <f t="shared" si="34"/>
        <v>Lectures</v>
      </c>
      <c r="AG371" s="30" t="str">
        <f t="shared" si="35"/>
        <v>Group Projects</v>
      </c>
      <c r="AH371" s="27">
        <f>COUNTIF(Teacher_Master!$D$2:$D$16,AF371)</f>
        <v>3</v>
      </c>
      <c r="AI371" s="30" t="str">
        <f>INDEX(Teacher_Master!$B$2:$B$16,MATCH(AF371,Teacher_Master!$D$2:$D$16,0))</f>
        <v>Prof. Vikram Gupta</v>
      </c>
    </row>
    <row r="372" spans="1:35" ht="14.25" customHeight="1" x14ac:dyDescent="0.3">
      <c r="A372" s="31" t="s">
        <v>766</v>
      </c>
      <c r="B372" s="31" t="s">
        <v>2344</v>
      </c>
      <c r="C372" s="31" t="s">
        <v>2882</v>
      </c>
      <c r="D372" s="12">
        <f t="shared" ca="1" si="30"/>
        <v>21</v>
      </c>
      <c r="E372" s="12" t="str">
        <f ca="1">IF(Table1[[#This Row],[Age]]&lt;=22,"20-22",IF(Table1[[#This Row],[Age]]&lt;=25,"23-25",IF(Table1[[#This Row],[Age]]&lt;=28,"26-28","29-30")))</f>
        <v>20-22</v>
      </c>
      <c r="F372" s="12">
        <v>4.29</v>
      </c>
      <c r="G372" s="12">
        <v>3.78</v>
      </c>
      <c r="H372" s="12" t="s">
        <v>211</v>
      </c>
      <c r="I372" s="12">
        <v>3.51</v>
      </c>
      <c r="J372" s="12" t="s">
        <v>211</v>
      </c>
      <c r="K372" s="12">
        <v>4</v>
      </c>
      <c r="L372" s="12">
        <v>4.43</v>
      </c>
      <c r="M372" s="12">
        <v>3.92</v>
      </c>
      <c r="N372" s="12">
        <v>3.75</v>
      </c>
      <c r="O372" s="12">
        <v>3.86</v>
      </c>
      <c r="P372" s="12">
        <f t="shared" si="31"/>
        <v>3.86</v>
      </c>
      <c r="Q372" s="12">
        <f t="shared" si="32"/>
        <v>3.86</v>
      </c>
      <c r="R372" s="12">
        <f t="shared" si="33"/>
        <v>3.992</v>
      </c>
      <c r="S372" s="28">
        <f>IFERROR(INDEX('Clean Gamification Data'!$B:$B,MATCH($B372,'Clean Gamification Data'!$A:$A,0)),"Not Found")</f>
        <v>75</v>
      </c>
      <c r="T372" s="28">
        <f>IFERROR(INDEX('Clean Gamification Data'!$C:$C,MATCH($B372,'Clean Gamification Data'!$A:$A,0)),"Not Found")</f>
        <v>60.001509630000001</v>
      </c>
      <c r="U372" s="28">
        <f>IFERROR(INDEX('Clean Gamification Data'!$D:$D,MATCH($B372,'Clean Gamification Data'!$A:$A,0)),"Not Found")</f>
        <v>78.272564459999998</v>
      </c>
      <c r="V372" s="28">
        <f>IFERROR(INDEX('Clean Gamification Data'!$E:$E,MATCH($B372,'Clean Gamification Data'!$A:$A,0)),"Not Found")</f>
        <v>61.05405477</v>
      </c>
      <c r="W372" s="28">
        <f>IFERROR(INDEX('Clean Gamification Data'!$F:$F,MATCH($B372,'Clean Gamification Data'!$A:$A,0)),"Not Found")</f>
        <v>92.628720830000006</v>
      </c>
      <c r="X372" s="28">
        <f>IFERROR(INDEX('Clean Gamification Data'!$G:$G,MATCH($B372,'Clean Gamification Data'!$A:$A,0)),"Not Found")</f>
        <v>77.227366349999997</v>
      </c>
      <c r="Y372" s="28">
        <f>IFERROR(INDEX('Clean Gamification Data'!$H:$H,MATCH($B372,'Clean Gamification Data'!$A:$A,0)),"Not Found")</f>
        <v>75.619516430000004</v>
      </c>
      <c r="Z372" s="28">
        <f>IFERROR(INDEX('Clean Gamification Data'!$I:$I,MATCH($B372,'Clean Gamification Data'!$A:$A,0)),"Not Found")</f>
        <v>63.821382919999998</v>
      </c>
      <c r="AA372" s="28">
        <f>Table1[[#This Row],[Engagement (Gamification %)]]-Table1[[#This Row],[Engagement (Non-Gamification %)]]</f>
        <v>14.998490369999999</v>
      </c>
      <c r="AB372" s="28">
        <f>Table1[[#This Row],[Motivation (Gamification %)]]-Table1[[#This Row],[Motivation (Non-Gamification %)]]</f>
        <v>17.218509689999998</v>
      </c>
      <c r="AC372" s="28">
        <f>Table1[[#This Row],[Participation (Gamification %)]]-Table1[[#This Row],[Participation (Non-Gamification %)]]</f>
        <v>15.401354480000009</v>
      </c>
      <c r="AD372" s="28">
        <f>Table1[[#This Row],[Learning Outcomes (Gamification %)]]-Table1[[#This Row],[Learning Outcomes (Non-Gamification %)]]</f>
        <v>11.798133510000007</v>
      </c>
      <c r="AE372" s="44" t="str">
        <f>IF(Table1[[#This Row],[Overall Effectiveness]]&lt;3.9,"Low",IF(Table1[[#This Row],[Overall Effectiveness]]&lt;4.2,"Medium","High"))</f>
        <v>Low</v>
      </c>
      <c r="AF372" s="30" t="str">
        <f t="shared" si="34"/>
        <v>Lectures</v>
      </c>
      <c r="AG372" s="30" t="str">
        <f t="shared" si="35"/>
        <v>Case Studies</v>
      </c>
      <c r="AH372" s="27">
        <f>COUNTIF(Teacher_Master!$D$2:$D$16,AF372)</f>
        <v>3</v>
      </c>
      <c r="AI372" s="30" t="str">
        <f>INDEX(Teacher_Master!$B$2:$B$16,MATCH(AF372,Teacher_Master!$D$2:$D$16,0))</f>
        <v>Prof. Vikram Gupta</v>
      </c>
    </row>
    <row r="373" spans="1:35" ht="14.25" customHeight="1" x14ac:dyDescent="0.3">
      <c r="A373" s="31" t="s">
        <v>768</v>
      </c>
      <c r="B373" s="31" t="s">
        <v>2345</v>
      </c>
      <c r="C373" s="31" t="s">
        <v>2882</v>
      </c>
      <c r="D373" s="12">
        <f t="shared" ca="1" si="30"/>
        <v>30</v>
      </c>
      <c r="E373" s="12" t="str">
        <f ca="1">IF(Table1[[#This Row],[Age]]&lt;=22,"20-22",IF(Table1[[#This Row],[Age]]&lt;=25,"23-25",IF(Table1[[#This Row],[Age]]&lt;=28,"26-28","29-30")))</f>
        <v>29-30</v>
      </c>
      <c r="F373" s="12">
        <v>3.6</v>
      </c>
      <c r="G373" s="12">
        <v>3.98</v>
      </c>
      <c r="H373" s="12">
        <v>3.94</v>
      </c>
      <c r="I373" s="12">
        <v>4.33</v>
      </c>
      <c r="J373" s="12">
        <v>3.49</v>
      </c>
      <c r="K373" s="12">
        <v>3.91</v>
      </c>
      <c r="L373" s="12">
        <v>3.76</v>
      </c>
      <c r="M373" s="12">
        <v>4.16</v>
      </c>
      <c r="N373" s="12">
        <v>4.03</v>
      </c>
      <c r="O373" s="12">
        <v>4.32</v>
      </c>
      <c r="P373" s="12">
        <f t="shared" si="31"/>
        <v>3.8679999999999999</v>
      </c>
      <c r="Q373" s="12">
        <f t="shared" si="32"/>
        <v>3.87</v>
      </c>
      <c r="R373" s="12">
        <f t="shared" si="33"/>
        <v>4.0359999999999996</v>
      </c>
      <c r="S373" s="28">
        <f>IFERROR(INDEX('Clean Gamification Data'!$B:$B,MATCH($B373,'Clean Gamification Data'!$A:$A,0)),"Not Found")</f>
        <v>93.281959560000004</v>
      </c>
      <c r="T373" s="28">
        <f>IFERROR(INDEX('Clean Gamification Data'!$C:$C,MATCH($B373,'Clean Gamification Data'!$A:$A,0)),"Not Found")</f>
        <v>73.997488590000003</v>
      </c>
      <c r="U373" s="28">
        <f>IFERROR(INDEX('Clean Gamification Data'!$D:$D,MATCH($B373,'Clean Gamification Data'!$A:$A,0)),"Not Found")</f>
        <v>86.297361730000006</v>
      </c>
      <c r="V373" s="28">
        <f>IFERROR(INDEX('Clean Gamification Data'!$E:$E,MATCH($B373,'Clean Gamification Data'!$A:$A,0)),"Not Found")</f>
        <v>59.84918596</v>
      </c>
      <c r="W373" s="28">
        <f>IFERROR(INDEX('Clean Gamification Data'!$F:$F,MATCH($B373,'Clean Gamification Data'!$A:$A,0)),"Not Found")</f>
        <v>95.301395139999997</v>
      </c>
      <c r="X373" s="28">
        <f>IFERROR(INDEX('Clean Gamification Data'!$G:$G,MATCH($B373,'Clean Gamification Data'!$A:$A,0)),"Not Found")</f>
        <v>70.117682169999995</v>
      </c>
      <c r="Y373" s="28">
        <f>IFERROR(INDEX('Clean Gamification Data'!$H:$H,MATCH($B373,'Clean Gamification Data'!$A:$A,0)),"Not Found")</f>
        <v>71.215726070000002</v>
      </c>
      <c r="Z373" s="28">
        <f>IFERROR(INDEX('Clean Gamification Data'!$I:$I,MATCH($B373,'Clean Gamification Data'!$A:$A,0)),"Not Found")</f>
        <v>56.106182230000002</v>
      </c>
      <c r="AA373" s="28">
        <f>Table1[[#This Row],[Engagement (Gamification %)]]-Table1[[#This Row],[Engagement (Non-Gamification %)]]</f>
        <v>19.284470970000001</v>
      </c>
      <c r="AB373" s="28">
        <f>Table1[[#This Row],[Motivation (Gamification %)]]-Table1[[#This Row],[Motivation (Non-Gamification %)]]</f>
        <v>26.448175770000006</v>
      </c>
      <c r="AC373" s="28">
        <f>Table1[[#This Row],[Participation (Gamification %)]]-Table1[[#This Row],[Participation (Non-Gamification %)]]</f>
        <v>25.183712970000002</v>
      </c>
      <c r="AD373" s="28">
        <f>Table1[[#This Row],[Learning Outcomes (Gamification %)]]-Table1[[#This Row],[Learning Outcomes (Non-Gamification %)]]</f>
        <v>15.109543840000001</v>
      </c>
      <c r="AE373" s="44" t="str">
        <f>IF(Table1[[#This Row],[Overall Effectiveness]]&lt;3.9,"Low",IF(Table1[[#This Row],[Overall Effectiveness]]&lt;4.2,"Medium","High"))</f>
        <v>Low</v>
      </c>
      <c r="AF373" s="30" t="str">
        <f t="shared" si="34"/>
        <v>Experiments</v>
      </c>
      <c r="AG373" s="30" t="str">
        <f t="shared" si="35"/>
        <v>Online Tutorials</v>
      </c>
      <c r="AH373" s="27">
        <f>COUNTIF(Teacher_Master!$D$2:$D$16,AF373)</f>
        <v>3</v>
      </c>
      <c r="AI373" s="30" t="str">
        <f>INDEX(Teacher_Master!$B$2:$B$16,MATCH(AF373,Teacher_Master!$D$2:$D$16,0))</f>
        <v>Prof. Rahul Singh</v>
      </c>
    </row>
    <row r="374" spans="1:35" ht="14.25" customHeight="1" x14ac:dyDescent="0.3">
      <c r="A374" s="31" t="s">
        <v>770</v>
      </c>
      <c r="B374" s="31" t="s">
        <v>2346</v>
      </c>
      <c r="C374" s="31" t="s">
        <v>2882</v>
      </c>
      <c r="D374" s="12">
        <f t="shared" ca="1" si="30"/>
        <v>27</v>
      </c>
      <c r="E374" s="12" t="str">
        <f ca="1">IF(Table1[[#This Row],[Age]]&lt;=22,"20-22",IF(Table1[[#This Row],[Age]]&lt;=25,"23-25",IF(Table1[[#This Row],[Age]]&lt;=28,"26-28","29-30")))</f>
        <v>26-28</v>
      </c>
      <c r="F374" s="12">
        <v>4.3</v>
      </c>
      <c r="G374" s="12">
        <v>3.48</v>
      </c>
      <c r="H374" s="12">
        <v>3.85</v>
      </c>
      <c r="I374" s="12">
        <v>4.3499999999999996</v>
      </c>
      <c r="J374" s="12">
        <v>4.7699999999999996</v>
      </c>
      <c r="K374" s="12">
        <v>4.09</v>
      </c>
      <c r="L374" s="12">
        <v>4.3899999999999997</v>
      </c>
      <c r="M374" s="12">
        <v>3.93</v>
      </c>
      <c r="N374" s="12">
        <v>4.3899999999999997</v>
      </c>
      <c r="O374" s="12">
        <v>4.07</v>
      </c>
      <c r="P374" s="12">
        <f t="shared" si="31"/>
        <v>4.1500000000000004</v>
      </c>
      <c r="Q374" s="12">
        <f t="shared" si="32"/>
        <v>4.1500000000000004</v>
      </c>
      <c r="R374" s="12">
        <f t="shared" si="33"/>
        <v>4.1740000000000004</v>
      </c>
      <c r="S374" s="28">
        <f>IFERROR(INDEX('Clean Gamification Data'!$B:$B,MATCH($B374,'Clean Gamification Data'!$A:$A,0)),"Not Found")</f>
        <v>84.167413300000007</v>
      </c>
      <c r="T374" s="28">
        <f>IFERROR(INDEX('Clean Gamification Data'!$C:$C,MATCH($B374,'Clean Gamification Data'!$A:$A,0)),"Not Found")</f>
        <v>74.325790940000005</v>
      </c>
      <c r="U374" s="28">
        <f>IFERROR(INDEX('Clean Gamification Data'!$D:$D,MATCH($B374,'Clean Gamification Data'!$A:$A,0)),"Not Found")</f>
        <v>87.968823330000006</v>
      </c>
      <c r="V374" s="28">
        <f>IFERROR(INDEX('Clean Gamification Data'!$E:$E,MATCH($B374,'Clean Gamification Data'!$A:$A,0)),"Not Found")</f>
        <v>64.627440000000007</v>
      </c>
      <c r="W374" s="28">
        <f>IFERROR(INDEX('Clean Gamification Data'!$F:$F,MATCH($B374,'Clean Gamification Data'!$A:$A,0)),"Not Found")</f>
        <v>90.373712330000004</v>
      </c>
      <c r="X374" s="28">
        <f>IFERROR(INDEX('Clean Gamification Data'!$G:$G,MATCH($B374,'Clean Gamification Data'!$A:$A,0)),"Not Found")</f>
        <v>74.254229420000001</v>
      </c>
      <c r="Y374" s="28">
        <f>IFERROR(INDEX('Clean Gamification Data'!$H:$H,MATCH($B374,'Clean Gamification Data'!$A:$A,0)),"Not Found")</f>
        <v>75.2720664</v>
      </c>
      <c r="Z374" s="28">
        <f>IFERROR(INDEX('Clean Gamification Data'!$I:$I,MATCH($B374,'Clean Gamification Data'!$A:$A,0)),"Not Found")</f>
        <v>52.550003390000001</v>
      </c>
      <c r="AA374" s="28">
        <f>Table1[[#This Row],[Engagement (Gamification %)]]-Table1[[#This Row],[Engagement (Non-Gamification %)]]</f>
        <v>9.8416223600000023</v>
      </c>
      <c r="AB374" s="28">
        <f>Table1[[#This Row],[Motivation (Gamification %)]]-Table1[[#This Row],[Motivation (Non-Gamification %)]]</f>
        <v>23.341383329999999</v>
      </c>
      <c r="AC374" s="28">
        <f>Table1[[#This Row],[Participation (Gamification %)]]-Table1[[#This Row],[Participation (Non-Gamification %)]]</f>
        <v>16.119482910000002</v>
      </c>
      <c r="AD374" s="28">
        <f>Table1[[#This Row],[Learning Outcomes (Gamification %)]]-Table1[[#This Row],[Learning Outcomes (Non-Gamification %)]]</f>
        <v>22.722063009999999</v>
      </c>
      <c r="AE374" s="44" t="str">
        <f>IF(Table1[[#This Row],[Overall Effectiveness]]&lt;3.9,"Low",IF(Table1[[#This Row],[Overall Effectiveness]]&lt;4.2,"Medium","High"))</f>
        <v>Medium</v>
      </c>
      <c r="AF374" s="30" t="str">
        <f t="shared" si="34"/>
        <v>Online Tutorials</v>
      </c>
      <c r="AG374" s="30" t="str">
        <f t="shared" si="35"/>
        <v>Case Studies</v>
      </c>
      <c r="AH374" s="27">
        <f>COUNTIF(Teacher_Master!$D$2:$D$16,AF374)</f>
        <v>3</v>
      </c>
      <c r="AI374" s="30" t="str">
        <f>INDEX(Teacher_Master!$B$2:$B$16,MATCH(AF374,Teacher_Master!$D$2:$D$16,0))</f>
        <v>Prof. Kavita Rao</v>
      </c>
    </row>
    <row r="375" spans="1:35" ht="14.25" customHeight="1" x14ac:dyDescent="0.3">
      <c r="A375" s="31" t="s">
        <v>772</v>
      </c>
      <c r="B375" s="31" t="s">
        <v>2347</v>
      </c>
      <c r="C375" s="31" t="s">
        <v>2881</v>
      </c>
      <c r="D375" s="12">
        <f t="shared" ca="1" si="30"/>
        <v>30</v>
      </c>
      <c r="E375" s="12" t="str">
        <f ca="1">IF(Table1[[#This Row],[Age]]&lt;=22,"20-22",IF(Table1[[#This Row],[Age]]&lt;=25,"23-25",IF(Table1[[#This Row],[Age]]&lt;=28,"26-28","29-30")))</f>
        <v>29-30</v>
      </c>
      <c r="F375" s="12">
        <v>4.17</v>
      </c>
      <c r="G375" s="12">
        <v>3.66</v>
      </c>
      <c r="H375" s="12">
        <v>4.3</v>
      </c>
      <c r="I375" s="12">
        <v>4.66</v>
      </c>
      <c r="J375" s="12">
        <v>3.83</v>
      </c>
      <c r="K375" s="12">
        <v>4.1399999999999997</v>
      </c>
      <c r="L375" s="12">
        <v>3.95</v>
      </c>
      <c r="M375" s="12">
        <v>3.6</v>
      </c>
      <c r="N375" s="12">
        <v>4.16</v>
      </c>
      <c r="O375" s="12">
        <v>3.85</v>
      </c>
      <c r="P375" s="12">
        <f t="shared" si="31"/>
        <v>4.1239999999999997</v>
      </c>
      <c r="Q375" s="12">
        <f t="shared" si="32"/>
        <v>4.12</v>
      </c>
      <c r="R375" s="12">
        <f t="shared" si="33"/>
        <v>3.94</v>
      </c>
      <c r="S375" s="28">
        <f>IFERROR(INDEX('Clean Gamification Data'!$B:$B,MATCH($B375,'Clean Gamification Data'!$A:$A,0)),"Not Found")</f>
        <v>85.368802529999996</v>
      </c>
      <c r="T375" s="28">
        <f>IFERROR(INDEX('Clean Gamification Data'!$C:$C,MATCH($B375,'Clean Gamification Data'!$A:$A,0)),"Not Found")</f>
        <v>76.842273469999995</v>
      </c>
      <c r="U375" s="28">
        <f>IFERROR(INDEX('Clean Gamification Data'!$D:$D,MATCH($B375,'Clean Gamification Data'!$A:$A,0)),"Not Found")</f>
        <v>74.21052195</v>
      </c>
      <c r="V375" s="28">
        <f>IFERROR(INDEX('Clean Gamification Data'!$E:$E,MATCH($B375,'Clean Gamification Data'!$A:$A,0)),"Not Found")</f>
        <v>66.710410170000003</v>
      </c>
      <c r="W375" s="28">
        <f>IFERROR(INDEX('Clean Gamification Data'!$F:$F,MATCH($B375,'Clean Gamification Data'!$A:$A,0)),"Not Found")</f>
        <v>91.528830679999999</v>
      </c>
      <c r="X375" s="28">
        <f>IFERROR(INDEX('Clean Gamification Data'!$G:$G,MATCH($B375,'Clean Gamification Data'!$A:$A,0)),"Not Found")</f>
        <v>85</v>
      </c>
      <c r="Y375" s="28">
        <f>IFERROR(INDEX('Clean Gamification Data'!$H:$H,MATCH($B375,'Clean Gamification Data'!$A:$A,0)),"Not Found")</f>
        <v>68.499246650000003</v>
      </c>
      <c r="Z375" s="28">
        <f>IFERROR(INDEX('Clean Gamification Data'!$I:$I,MATCH($B375,'Clean Gamification Data'!$A:$A,0)),"Not Found")</f>
        <v>60.192737690000001</v>
      </c>
      <c r="AA375" s="28">
        <f>Table1[[#This Row],[Engagement (Gamification %)]]-Table1[[#This Row],[Engagement (Non-Gamification %)]]</f>
        <v>8.5265290600000014</v>
      </c>
      <c r="AB375" s="28">
        <f>Table1[[#This Row],[Motivation (Gamification %)]]-Table1[[#This Row],[Motivation (Non-Gamification %)]]</f>
        <v>7.5001117799999975</v>
      </c>
      <c r="AC375" s="28">
        <f>Table1[[#This Row],[Participation (Gamification %)]]-Table1[[#This Row],[Participation (Non-Gamification %)]]</f>
        <v>6.5288306799999987</v>
      </c>
      <c r="AD375" s="28">
        <f>Table1[[#This Row],[Learning Outcomes (Gamification %)]]-Table1[[#This Row],[Learning Outcomes (Non-Gamification %)]]</f>
        <v>8.3065089600000022</v>
      </c>
      <c r="AE375" s="44" t="str">
        <f>IF(Table1[[#This Row],[Overall Effectiveness]]&lt;3.9,"Low",IF(Table1[[#This Row],[Overall Effectiveness]]&lt;4.2,"Medium","High"))</f>
        <v>Medium</v>
      </c>
      <c r="AF375" s="30" t="str">
        <f t="shared" si="34"/>
        <v>Experiments</v>
      </c>
      <c r="AG375" s="30" t="str">
        <f t="shared" si="35"/>
        <v>Experiments</v>
      </c>
      <c r="AH375" s="27">
        <f>COUNTIF(Teacher_Master!$D$2:$D$16,AF375)</f>
        <v>3</v>
      </c>
      <c r="AI375" s="30" t="str">
        <f>INDEX(Teacher_Master!$B$2:$B$16,MATCH(AF375,Teacher_Master!$D$2:$D$16,0))</f>
        <v>Prof. Rahul Singh</v>
      </c>
    </row>
    <row r="376" spans="1:35" ht="14.25" customHeight="1" x14ac:dyDescent="0.3">
      <c r="A376" s="31" t="s">
        <v>774</v>
      </c>
      <c r="B376" s="31" t="s">
        <v>2348</v>
      </c>
      <c r="C376" s="31" t="s">
        <v>2882</v>
      </c>
      <c r="D376" s="12">
        <f t="shared" ca="1" si="30"/>
        <v>24</v>
      </c>
      <c r="E376" s="12" t="str">
        <f ca="1">IF(Table1[[#This Row],[Age]]&lt;=22,"20-22",IF(Table1[[#This Row],[Age]]&lt;=25,"23-25",IF(Table1[[#This Row],[Age]]&lt;=28,"26-28","29-30")))</f>
        <v>23-25</v>
      </c>
      <c r="F376" s="12">
        <v>3.78</v>
      </c>
      <c r="G376" s="12">
        <v>3.78</v>
      </c>
      <c r="H376" s="12">
        <v>4.1900000000000004</v>
      </c>
      <c r="I376" s="12">
        <v>3.63</v>
      </c>
      <c r="J376" s="12">
        <v>3.96</v>
      </c>
      <c r="K376" s="12">
        <v>3.81</v>
      </c>
      <c r="L376" s="12">
        <v>3.82</v>
      </c>
      <c r="M376" s="12">
        <v>3.73</v>
      </c>
      <c r="N376" s="12">
        <v>4.03</v>
      </c>
      <c r="O376" s="12">
        <v>4.26</v>
      </c>
      <c r="P376" s="12">
        <f t="shared" si="31"/>
        <v>3.8679999999999999</v>
      </c>
      <c r="Q376" s="12">
        <f t="shared" si="32"/>
        <v>3.87</v>
      </c>
      <c r="R376" s="12">
        <f t="shared" si="33"/>
        <v>3.9299999999999997</v>
      </c>
      <c r="S376" s="28">
        <f>IFERROR(INDEX('Clean Gamification Data'!$B:$B,MATCH($B376,'Clean Gamification Data'!$A:$A,0)),"Not Found")</f>
        <v>85.030460199999993</v>
      </c>
      <c r="T376" s="28">
        <f>IFERROR(INDEX('Clean Gamification Data'!$C:$C,MATCH($B376,'Clean Gamification Data'!$A:$A,0)),"Not Found")</f>
        <v>70.393970449999998</v>
      </c>
      <c r="U376" s="28">
        <f>IFERROR(INDEX('Clean Gamification Data'!$D:$D,MATCH($B376,'Clean Gamification Data'!$A:$A,0)),"Not Found")</f>
        <v>77.520024460000002</v>
      </c>
      <c r="V376" s="28">
        <f>IFERROR(INDEX('Clean Gamification Data'!$E:$E,MATCH($B376,'Clean Gamification Data'!$A:$A,0)),"Not Found")</f>
        <v>62.905413609999997</v>
      </c>
      <c r="W376" s="28">
        <f>IFERROR(INDEX('Clean Gamification Data'!$F:$F,MATCH($B376,'Clean Gamification Data'!$A:$A,0)),"Not Found")</f>
        <v>99.9</v>
      </c>
      <c r="X376" s="28">
        <f>IFERROR(INDEX('Clean Gamification Data'!$G:$G,MATCH($B376,'Clean Gamification Data'!$A:$A,0)),"Not Found")</f>
        <v>69.702764029999997</v>
      </c>
      <c r="Y376" s="28">
        <f>IFERROR(INDEX('Clean Gamification Data'!$H:$H,MATCH($B376,'Clean Gamification Data'!$A:$A,0)),"Not Found")</f>
        <v>67.300036739999996</v>
      </c>
      <c r="Z376" s="28">
        <f>IFERROR(INDEX('Clean Gamification Data'!$I:$I,MATCH($B376,'Clean Gamification Data'!$A:$A,0)),"Not Found")</f>
        <v>50</v>
      </c>
      <c r="AA376" s="28">
        <f>Table1[[#This Row],[Engagement (Gamification %)]]-Table1[[#This Row],[Engagement (Non-Gamification %)]]</f>
        <v>14.636489749999996</v>
      </c>
      <c r="AB376" s="28">
        <f>Table1[[#This Row],[Motivation (Gamification %)]]-Table1[[#This Row],[Motivation (Non-Gamification %)]]</f>
        <v>14.614610850000005</v>
      </c>
      <c r="AC376" s="28">
        <f>Table1[[#This Row],[Participation (Gamification %)]]-Table1[[#This Row],[Participation (Non-Gamification %)]]</f>
        <v>30.197235970000008</v>
      </c>
      <c r="AD376" s="28">
        <f>Table1[[#This Row],[Learning Outcomes (Gamification %)]]-Table1[[#This Row],[Learning Outcomes (Non-Gamification %)]]</f>
        <v>17.300036739999996</v>
      </c>
      <c r="AE376" s="44" t="str">
        <f>IF(Table1[[#This Row],[Overall Effectiveness]]&lt;3.9,"Low",IF(Table1[[#This Row],[Overall Effectiveness]]&lt;4.2,"Medium","High"))</f>
        <v>Low</v>
      </c>
      <c r="AF376" s="30" t="str">
        <f t="shared" si="34"/>
        <v>Group Projects</v>
      </c>
      <c r="AG376" s="30" t="str">
        <f t="shared" si="35"/>
        <v>Online Tutorials</v>
      </c>
      <c r="AH376" s="27">
        <f>COUNTIF(Teacher_Master!$D$2:$D$16,AF376)</f>
        <v>3</v>
      </c>
      <c r="AI376" s="30" t="str">
        <f>INDEX(Teacher_Master!$B$2:$B$16,MATCH(AF376,Teacher_Master!$D$2:$D$16,0))</f>
        <v>Dr. Rohan Dutta</v>
      </c>
    </row>
    <row r="377" spans="1:35" ht="14.25" customHeight="1" x14ac:dyDescent="0.3">
      <c r="A377" s="31" t="s">
        <v>776</v>
      </c>
      <c r="B377" s="31" t="s">
        <v>777</v>
      </c>
      <c r="C377" s="31" t="s">
        <v>2881</v>
      </c>
      <c r="D377" s="12">
        <f t="shared" ca="1" si="30"/>
        <v>20</v>
      </c>
      <c r="E377" s="12" t="str">
        <f ca="1">IF(Table1[[#This Row],[Age]]&lt;=22,"20-22",IF(Table1[[#This Row],[Age]]&lt;=25,"23-25",IF(Table1[[#This Row],[Age]]&lt;=28,"26-28","29-30")))</f>
        <v>20-22</v>
      </c>
      <c r="F377" s="12">
        <v>4.1500000000000004</v>
      </c>
      <c r="G377" s="12">
        <v>4.17</v>
      </c>
      <c r="H377" s="12">
        <v>3.71</v>
      </c>
      <c r="I377" s="12">
        <v>4.1500000000000004</v>
      </c>
      <c r="J377" s="12">
        <v>3.94</v>
      </c>
      <c r="K377" s="12">
        <v>3.7</v>
      </c>
      <c r="L377" s="12">
        <v>3.97</v>
      </c>
      <c r="M377" s="12">
        <v>4.22</v>
      </c>
      <c r="N377" s="12">
        <v>4.12</v>
      </c>
      <c r="O377" s="12">
        <v>4.04</v>
      </c>
      <c r="P377" s="12">
        <f t="shared" si="31"/>
        <v>4.024</v>
      </c>
      <c r="Q377" s="12">
        <f t="shared" si="32"/>
        <v>4.0199999999999996</v>
      </c>
      <c r="R377" s="12">
        <f t="shared" si="33"/>
        <v>4.01</v>
      </c>
      <c r="S377" s="28">
        <f>IFERROR(INDEX('Clean Gamification Data'!$B:$B,MATCH($B377,'Clean Gamification Data'!$A:$A,0)),"Not Found")</f>
        <v>86.544273950000004</v>
      </c>
      <c r="T377" s="28">
        <f>IFERROR(INDEX('Clean Gamification Data'!$C:$C,MATCH($B377,'Clean Gamification Data'!$A:$A,0)),"Not Found")</f>
        <v>71.292252520000005</v>
      </c>
      <c r="U377" s="28">
        <f>IFERROR(INDEX('Clean Gamification Data'!$D:$D,MATCH($B377,'Clean Gamification Data'!$A:$A,0)),"Not Found")</f>
        <v>70</v>
      </c>
      <c r="V377" s="28">
        <f>IFERROR(INDEX('Clean Gamification Data'!$E:$E,MATCH($B377,'Clean Gamification Data'!$A:$A,0)),"Not Found")</f>
        <v>72.386061999999995</v>
      </c>
      <c r="W377" s="28">
        <f>IFERROR(INDEX('Clean Gamification Data'!$F:$F,MATCH($B377,'Clean Gamification Data'!$A:$A,0)),"Not Found")</f>
        <v>91.421110819999996</v>
      </c>
      <c r="X377" s="28">
        <f>IFERROR(INDEX('Clean Gamification Data'!$G:$G,MATCH($B377,'Clean Gamification Data'!$A:$A,0)),"Not Found")</f>
        <v>68.443270100000007</v>
      </c>
      <c r="Y377" s="28">
        <f>IFERROR(INDEX('Clean Gamification Data'!$H:$H,MATCH($B377,'Clean Gamification Data'!$A:$A,0)),"Not Found")</f>
        <v>72.044862960000003</v>
      </c>
      <c r="Z377" s="28">
        <f>IFERROR(INDEX('Clean Gamification Data'!$I:$I,MATCH($B377,'Clean Gamification Data'!$A:$A,0)),"Not Found")</f>
        <v>58.765412750000003</v>
      </c>
      <c r="AA377" s="28">
        <f>Table1[[#This Row],[Engagement (Gamification %)]]-Table1[[#This Row],[Engagement (Non-Gamification %)]]</f>
        <v>15.252021429999999</v>
      </c>
      <c r="AB377" s="28">
        <f>Table1[[#This Row],[Motivation (Gamification %)]]-Table1[[#This Row],[Motivation (Non-Gamification %)]]</f>
        <v>-2.3860619999999955</v>
      </c>
      <c r="AC377" s="28">
        <f>Table1[[#This Row],[Participation (Gamification %)]]-Table1[[#This Row],[Participation (Non-Gamification %)]]</f>
        <v>22.977840719999989</v>
      </c>
      <c r="AD377" s="28">
        <f>Table1[[#This Row],[Learning Outcomes (Gamification %)]]-Table1[[#This Row],[Learning Outcomes (Non-Gamification %)]]</f>
        <v>13.27945021</v>
      </c>
      <c r="AE377" s="44" t="str">
        <f>IF(Table1[[#This Row],[Overall Effectiveness]]&lt;3.9,"Low",IF(Table1[[#This Row],[Overall Effectiveness]]&lt;4.2,"Medium","High"))</f>
        <v>Medium</v>
      </c>
      <c r="AF377" s="30" t="str">
        <f t="shared" si="34"/>
        <v>Case Studies</v>
      </c>
      <c r="AG377" s="30" t="str">
        <f t="shared" si="35"/>
        <v>Group Projects</v>
      </c>
      <c r="AH377" s="27">
        <f>COUNTIF(Teacher_Master!$D$2:$D$16,AF377)</f>
        <v>3</v>
      </c>
      <c r="AI377" s="30" t="str">
        <f>INDEX(Teacher_Master!$B$2:$B$16,MATCH(AF377,Teacher_Master!$D$2:$D$16,0))</f>
        <v>Prof. Rajesh Mukherjee</v>
      </c>
    </row>
    <row r="378" spans="1:35" ht="14.25" customHeight="1" x14ac:dyDescent="0.3">
      <c r="A378" s="31" t="s">
        <v>778</v>
      </c>
      <c r="B378" s="31" t="s">
        <v>2349</v>
      </c>
      <c r="C378" s="31" t="s">
        <v>2882</v>
      </c>
      <c r="D378" s="12">
        <f t="shared" ca="1" si="30"/>
        <v>23</v>
      </c>
      <c r="E378" s="12" t="str">
        <f ca="1">IF(Table1[[#This Row],[Age]]&lt;=22,"20-22",IF(Table1[[#This Row],[Age]]&lt;=25,"23-25",IF(Table1[[#This Row],[Age]]&lt;=28,"26-28","29-30")))</f>
        <v>23-25</v>
      </c>
      <c r="F378" s="12">
        <v>3.99</v>
      </c>
      <c r="G378" s="12">
        <v>4.55</v>
      </c>
      <c r="H378" s="12">
        <v>4.0199999999999996</v>
      </c>
      <c r="I378" s="12">
        <v>3.82</v>
      </c>
      <c r="J378" s="12">
        <v>4.2699999999999996</v>
      </c>
      <c r="K378" s="12">
        <v>4.3499999999999996</v>
      </c>
      <c r="L378" s="12">
        <v>3.9</v>
      </c>
      <c r="M378" s="12">
        <v>4.28</v>
      </c>
      <c r="N378" s="12">
        <v>4.3899999999999997</v>
      </c>
      <c r="O378" s="12">
        <v>2.98</v>
      </c>
      <c r="P378" s="12">
        <f t="shared" si="31"/>
        <v>4.13</v>
      </c>
      <c r="Q378" s="12">
        <f t="shared" si="32"/>
        <v>4.13</v>
      </c>
      <c r="R378" s="12">
        <f t="shared" si="33"/>
        <v>3.9800000000000004</v>
      </c>
      <c r="S378" s="28">
        <f>IFERROR(INDEX('Clean Gamification Data'!$B:$B,MATCH($B378,'Clean Gamification Data'!$A:$A,0)),"Not Found")</f>
        <v>86.732846940000002</v>
      </c>
      <c r="T378" s="28">
        <f>IFERROR(INDEX('Clean Gamification Data'!$C:$C,MATCH($B378,'Clean Gamification Data'!$A:$A,0)),"Not Found")</f>
        <v>66.596353179999994</v>
      </c>
      <c r="U378" s="28">
        <f>IFERROR(INDEX('Clean Gamification Data'!$D:$D,MATCH($B378,'Clean Gamification Data'!$A:$A,0)),"Not Found")</f>
        <v>70.091743960000002</v>
      </c>
      <c r="V378" s="28">
        <f>IFERROR(INDEX('Clean Gamification Data'!$E:$E,MATCH($B378,'Clean Gamification Data'!$A:$A,0)),"Not Found")</f>
        <v>63.271449390000001</v>
      </c>
      <c r="W378" s="28">
        <f>IFERROR(INDEX('Clean Gamification Data'!$F:$F,MATCH($B378,'Clean Gamification Data'!$A:$A,0)),"Not Found")</f>
        <v>99.9</v>
      </c>
      <c r="X378" s="28">
        <f>IFERROR(INDEX('Clean Gamification Data'!$G:$G,MATCH($B378,'Clean Gamification Data'!$A:$A,0)),"Not Found")</f>
        <v>78.271985240000006</v>
      </c>
      <c r="Y378" s="28">
        <f>IFERROR(INDEX('Clean Gamification Data'!$H:$H,MATCH($B378,'Clean Gamification Data'!$A:$A,0)),"Not Found")</f>
        <v>65.797106189999994</v>
      </c>
      <c r="Z378" s="28">
        <f>IFERROR(INDEX('Clean Gamification Data'!$I:$I,MATCH($B378,'Clean Gamification Data'!$A:$A,0)),"Not Found")</f>
        <v>66.357549680000005</v>
      </c>
      <c r="AA378" s="28">
        <f>Table1[[#This Row],[Engagement (Gamification %)]]-Table1[[#This Row],[Engagement (Non-Gamification %)]]</f>
        <v>20.136493760000008</v>
      </c>
      <c r="AB378" s="28">
        <f>Table1[[#This Row],[Motivation (Gamification %)]]-Table1[[#This Row],[Motivation (Non-Gamification %)]]</f>
        <v>6.8202945700000015</v>
      </c>
      <c r="AC378" s="28">
        <f>Table1[[#This Row],[Participation (Gamification %)]]-Table1[[#This Row],[Participation (Non-Gamification %)]]</f>
        <v>21.628014759999999</v>
      </c>
      <c r="AD378" s="28">
        <f>Table1[[#This Row],[Learning Outcomes (Gamification %)]]-Table1[[#This Row],[Learning Outcomes (Non-Gamification %)]]</f>
        <v>-0.56044349000001148</v>
      </c>
      <c r="AE378" s="44" t="str">
        <f>IF(Table1[[#This Row],[Overall Effectiveness]]&lt;3.9,"Low",IF(Table1[[#This Row],[Overall Effectiveness]]&lt;4.2,"Medium","High"))</f>
        <v>Medium</v>
      </c>
      <c r="AF378" s="30" t="str">
        <f t="shared" si="34"/>
        <v>Case Studies</v>
      </c>
      <c r="AG378" s="30" t="str">
        <f t="shared" si="35"/>
        <v>Experiments</v>
      </c>
      <c r="AH378" s="27">
        <f>COUNTIF(Teacher_Master!$D$2:$D$16,AF378)</f>
        <v>3</v>
      </c>
      <c r="AI378" s="30" t="str">
        <f>INDEX(Teacher_Master!$B$2:$B$16,MATCH(AF378,Teacher_Master!$D$2:$D$16,0))</f>
        <v>Prof. Rajesh Mukherjee</v>
      </c>
    </row>
    <row r="379" spans="1:35" ht="14.25" customHeight="1" x14ac:dyDescent="0.3">
      <c r="A379" s="31" t="s">
        <v>780</v>
      </c>
      <c r="B379" s="31" t="s">
        <v>781</v>
      </c>
      <c r="C379" s="31" t="s">
        <v>2881</v>
      </c>
      <c r="D379" s="12">
        <f t="shared" ca="1" si="30"/>
        <v>28</v>
      </c>
      <c r="E379" s="12" t="str">
        <f ca="1">IF(Table1[[#This Row],[Age]]&lt;=22,"20-22",IF(Table1[[#This Row],[Age]]&lt;=25,"23-25",IF(Table1[[#This Row],[Age]]&lt;=28,"26-28","29-30")))</f>
        <v>26-28</v>
      </c>
      <c r="F379" s="12">
        <v>3.75</v>
      </c>
      <c r="G379" s="12">
        <v>4.59</v>
      </c>
      <c r="H379" s="12">
        <v>4.1500000000000004</v>
      </c>
      <c r="I379" s="12">
        <v>4.0199999999999996</v>
      </c>
      <c r="J379" s="12">
        <v>4.07</v>
      </c>
      <c r="K379" s="12">
        <v>3.93</v>
      </c>
      <c r="L379" s="12">
        <v>3.84</v>
      </c>
      <c r="M379" s="12">
        <v>4.09</v>
      </c>
      <c r="N379" s="12">
        <v>4.37</v>
      </c>
      <c r="O379" s="12">
        <v>3.55</v>
      </c>
      <c r="P379" s="12">
        <f t="shared" si="31"/>
        <v>4.1159999999999997</v>
      </c>
      <c r="Q379" s="12">
        <f t="shared" si="32"/>
        <v>4.12</v>
      </c>
      <c r="R379" s="12">
        <f t="shared" si="33"/>
        <v>3.9560000000000004</v>
      </c>
      <c r="S379" s="28">
        <f>IFERROR(INDEX('Clean Gamification Data'!$B:$B,MATCH($B379,'Clean Gamification Data'!$A:$A,0)),"Not Found")</f>
        <v>88.543550620000005</v>
      </c>
      <c r="T379" s="28">
        <f>IFERROR(INDEX('Clean Gamification Data'!$C:$C,MATCH($B379,'Clean Gamification Data'!$A:$A,0)),"Not Found")</f>
        <v>73.377650189999997</v>
      </c>
      <c r="U379" s="28">
        <f>IFERROR(INDEX('Clean Gamification Data'!$D:$D,MATCH($B379,'Clean Gamification Data'!$A:$A,0)),"Not Found")</f>
        <v>75.565321310000002</v>
      </c>
      <c r="V379" s="28">
        <f>IFERROR(INDEX('Clean Gamification Data'!$E:$E,MATCH($B379,'Clean Gamification Data'!$A:$A,0)),"Not Found")</f>
        <v>70.906605859999999</v>
      </c>
      <c r="W379" s="28">
        <f>IFERROR(INDEX('Clean Gamification Data'!$F:$F,MATCH($B379,'Clean Gamification Data'!$A:$A,0)),"Not Found")</f>
        <v>89.680378289999993</v>
      </c>
      <c r="X379" s="28">
        <f>IFERROR(INDEX('Clean Gamification Data'!$G:$G,MATCH($B379,'Clean Gamification Data'!$A:$A,0)),"Not Found")</f>
        <v>83.747738490000003</v>
      </c>
      <c r="Y379" s="28">
        <f>IFERROR(INDEX('Clean Gamification Data'!$H:$H,MATCH($B379,'Clean Gamification Data'!$A:$A,0)),"Not Found")</f>
        <v>66.932350790000001</v>
      </c>
      <c r="Z379" s="28">
        <f>IFERROR(INDEX('Clean Gamification Data'!$I:$I,MATCH($B379,'Clean Gamification Data'!$A:$A,0)),"Not Found")</f>
        <v>59.5763113</v>
      </c>
      <c r="AA379" s="28">
        <f>Table1[[#This Row],[Engagement (Gamification %)]]-Table1[[#This Row],[Engagement (Non-Gamification %)]]</f>
        <v>15.165900430000008</v>
      </c>
      <c r="AB379" s="28">
        <f>Table1[[#This Row],[Motivation (Gamification %)]]-Table1[[#This Row],[Motivation (Non-Gamification %)]]</f>
        <v>4.6587154500000025</v>
      </c>
      <c r="AC379" s="28">
        <f>Table1[[#This Row],[Participation (Gamification %)]]-Table1[[#This Row],[Participation (Non-Gamification %)]]</f>
        <v>5.9326397999999898</v>
      </c>
      <c r="AD379" s="28">
        <f>Table1[[#This Row],[Learning Outcomes (Gamification %)]]-Table1[[#This Row],[Learning Outcomes (Non-Gamification %)]]</f>
        <v>7.3560394900000006</v>
      </c>
      <c r="AE379" s="44" t="str">
        <f>IF(Table1[[#This Row],[Overall Effectiveness]]&lt;3.9,"Low",IF(Table1[[#This Row],[Overall Effectiveness]]&lt;4.2,"Medium","High"))</f>
        <v>Medium</v>
      </c>
      <c r="AF379" s="30" t="str">
        <f t="shared" si="34"/>
        <v>Case Studies</v>
      </c>
      <c r="AG379" s="30" t="str">
        <f t="shared" si="35"/>
        <v>Experiments</v>
      </c>
      <c r="AH379" s="27">
        <f>COUNTIF(Teacher_Master!$D$2:$D$16,AF379)</f>
        <v>3</v>
      </c>
      <c r="AI379" s="30" t="str">
        <f>INDEX(Teacher_Master!$B$2:$B$16,MATCH(AF379,Teacher_Master!$D$2:$D$16,0))</f>
        <v>Prof. Rajesh Mukherjee</v>
      </c>
    </row>
    <row r="380" spans="1:35" ht="14.25" customHeight="1" x14ac:dyDescent="0.3">
      <c r="A380" s="31" t="s">
        <v>782</v>
      </c>
      <c r="B380" s="31" t="s">
        <v>783</v>
      </c>
      <c r="C380" s="31" t="s">
        <v>2881</v>
      </c>
      <c r="D380" s="12">
        <f t="shared" ca="1" si="30"/>
        <v>21</v>
      </c>
      <c r="E380" s="12" t="str">
        <f ca="1">IF(Table1[[#This Row],[Age]]&lt;=22,"20-22",IF(Table1[[#This Row],[Age]]&lt;=25,"23-25",IF(Table1[[#This Row],[Age]]&lt;=28,"26-28","29-30")))</f>
        <v>20-22</v>
      </c>
      <c r="F380" s="12">
        <v>4.55</v>
      </c>
      <c r="G380" s="12">
        <v>3.97</v>
      </c>
      <c r="H380" s="12">
        <v>3.4</v>
      </c>
      <c r="I380" s="12">
        <v>4.63</v>
      </c>
      <c r="J380" s="12">
        <v>4.07</v>
      </c>
      <c r="K380" s="12">
        <v>5.08</v>
      </c>
      <c r="L380" s="12">
        <v>4.21</v>
      </c>
      <c r="M380" s="12">
        <v>4.55</v>
      </c>
      <c r="N380" s="12">
        <v>4.4400000000000004</v>
      </c>
      <c r="O380" s="12">
        <v>4.3099999999999996</v>
      </c>
      <c r="P380" s="12">
        <f t="shared" si="31"/>
        <v>4.1240000000000006</v>
      </c>
      <c r="Q380" s="12">
        <f t="shared" si="32"/>
        <v>4.12</v>
      </c>
      <c r="R380" s="12">
        <f t="shared" si="33"/>
        <v>4.5179999999999998</v>
      </c>
      <c r="S380" s="28">
        <f>IFERROR(INDEX('Clean Gamification Data'!$B:$B,MATCH($B380,'Clean Gamification Data'!$A:$A,0)),"Not Found")</f>
        <v>81.705677850000001</v>
      </c>
      <c r="T380" s="28">
        <f>IFERROR(INDEX('Clean Gamification Data'!$C:$C,MATCH($B380,'Clean Gamification Data'!$A:$A,0)),"Not Found")</f>
        <v>63.635003220000002</v>
      </c>
      <c r="U380" s="28">
        <f>IFERROR(INDEX('Clean Gamification Data'!$D:$D,MATCH($B380,'Clean Gamification Data'!$A:$A,0)),"Not Found")</f>
        <v>70</v>
      </c>
      <c r="V380" s="28">
        <f>IFERROR(INDEX('Clean Gamification Data'!$E:$E,MATCH($B380,'Clean Gamification Data'!$A:$A,0)),"Not Found")</f>
        <v>68.416427569999996</v>
      </c>
      <c r="W380" s="28">
        <f>IFERROR(INDEX('Clean Gamification Data'!$F:$F,MATCH($B380,'Clean Gamification Data'!$A:$A,0)),"Not Found")</f>
        <v>91.965297000000007</v>
      </c>
      <c r="X380" s="28">
        <f>IFERROR(INDEX('Clean Gamification Data'!$G:$G,MATCH($B380,'Clean Gamification Data'!$A:$A,0)),"Not Found")</f>
        <v>78.578977989999998</v>
      </c>
      <c r="Y380" s="28">
        <f>IFERROR(INDEX('Clean Gamification Data'!$H:$H,MATCH($B380,'Clean Gamification Data'!$A:$A,0)),"Not Found")</f>
        <v>70.807955879999994</v>
      </c>
      <c r="Z380" s="28">
        <f>IFERROR(INDEX('Clean Gamification Data'!$I:$I,MATCH($B380,'Clean Gamification Data'!$A:$A,0)),"Not Found")</f>
        <v>60.248034990000001</v>
      </c>
      <c r="AA380" s="28">
        <f>Table1[[#This Row],[Engagement (Gamification %)]]-Table1[[#This Row],[Engagement (Non-Gamification %)]]</f>
        <v>18.070674629999999</v>
      </c>
      <c r="AB380" s="28">
        <f>Table1[[#This Row],[Motivation (Gamification %)]]-Table1[[#This Row],[Motivation (Non-Gamification %)]]</f>
        <v>1.5835724300000038</v>
      </c>
      <c r="AC380" s="28">
        <f>Table1[[#This Row],[Participation (Gamification %)]]-Table1[[#This Row],[Participation (Non-Gamification %)]]</f>
        <v>13.386319010000008</v>
      </c>
      <c r="AD380" s="28">
        <f>Table1[[#This Row],[Learning Outcomes (Gamification %)]]-Table1[[#This Row],[Learning Outcomes (Non-Gamification %)]]</f>
        <v>10.559920889999994</v>
      </c>
      <c r="AE380" s="44" t="str">
        <f>IF(Table1[[#This Row],[Overall Effectiveness]]&lt;3.9,"Low",IF(Table1[[#This Row],[Overall Effectiveness]]&lt;4.2,"Medium","High"))</f>
        <v>Medium</v>
      </c>
      <c r="AF380" s="30" t="str">
        <f t="shared" si="34"/>
        <v>Experiments</v>
      </c>
      <c r="AG380" s="30" t="str">
        <f t="shared" si="35"/>
        <v>Lectures</v>
      </c>
      <c r="AH380" s="27">
        <f>COUNTIF(Teacher_Master!$D$2:$D$16,AF380)</f>
        <v>3</v>
      </c>
      <c r="AI380" s="30" t="str">
        <f>INDEX(Teacher_Master!$B$2:$B$16,MATCH(AF380,Teacher_Master!$D$2:$D$16,0))</f>
        <v>Prof. Rahul Singh</v>
      </c>
    </row>
    <row r="381" spans="1:35" ht="14.25" customHeight="1" x14ac:dyDescent="0.3">
      <c r="A381" s="31" t="s">
        <v>784</v>
      </c>
      <c r="B381" s="31" t="s">
        <v>785</v>
      </c>
      <c r="C381" s="31" t="s">
        <v>2882</v>
      </c>
      <c r="D381" s="12">
        <f t="shared" ca="1" si="30"/>
        <v>23</v>
      </c>
      <c r="E381" s="12" t="str">
        <f ca="1">IF(Table1[[#This Row],[Age]]&lt;=22,"20-22",IF(Table1[[#This Row],[Age]]&lt;=25,"23-25",IF(Table1[[#This Row],[Age]]&lt;=28,"26-28","29-30")))</f>
        <v>23-25</v>
      </c>
      <c r="F381" s="12">
        <v>3.42</v>
      </c>
      <c r="G381" s="12">
        <v>4.57</v>
      </c>
      <c r="H381" s="12">
        <v>4.22</v>
      </c>
      <c r="I381" s="12">
        <v>3.98</v>
      </c>
      <c r="J381" s="12">
        <v>3.98</v>
      </c>
      <c r="K381" s="12">
        <v>3.53</v>
      </c>
      <c r="L381" s="12">
        <v>3.89</v>
      </c>
      <c r="M381" s="12">
        <v>4</v>
      </c>
      <c r="N381" s="12">
        <v>3.78</v>
      </c>
      <c r="O381" s="12">
        <v>4.08</v>
      </c>
      <c r="P381" s="12">
        <f t="shared" si="31"/>
        <v>4.0340000000000007</v>
      </c>
      <c r="Q381" s="12">
        <f t="shared" si="32"/>
        <v>4.03</v>
      </c>
      <c r="R381" s="12">
        <f t="shared" si="33"/>
        <v>3.8560000000000003</v>
      </c>
      <c r="S381" s="28">
        <f>IFERROR(INDEX('Clean Gamification Data'!$B:$B,MATCH($B381,'Clean Gamification Data'!$A:$A,0)),"Not Found")</f>
        <v>88.001547889999998</v>
      </c>
      <c r="T381" s="28">
        <f>IFERROR(INDEX('Clean Gamification Data'!$C:$C,MATCH($B381,'Clean Gamification Data'!$A:$A,0)),"Not Found")</f>
        <v>75.073334149999994</v>
      </c>
      <c r="U381" s="28">
        <f>IFERROR(INDEX('Clean Gamification Data'!$D:$D,MATCH($B381,'Clean Gamification Data'!$A:$A,0)),"Not Found")</f>
        <v>70</v>
      </c>
      <c r="V381" s="28">
        <f>IFERROR(INDEX('Clean Gamification Data'!$E:$E,MATCH($B381,'Clean Gamification Data'!$A:$A,0)),"Not Found")</f>
        <v>69.067097369999999</v>
      </c>
      <c r="W381" s="28">
        <f>IFERROR(INDEX('Clean Gamification Data'!$F:$F,MATCH($B381,'Clean Gamification Data'!$A:$A,0)),"Not Found")</f>
        <v>82.703709790000005</v>
      </c>
      <c r="X381" s="28">
        <f>IFERROR(INDEX('Clean Gamification Data'!$G:$G,MATCH($B381,'Clean Gamification Data'!$A:$A,0)),"Not Found")</f>
        <v>85</v>
      </c>
      <c r="Y381" s="28">
        <f>IFERROR(INDEX('Clean Gamification Data'!$H:$H,MATCH($B381,'Clean Gamification Data'!$A:$A,0)),"Not Found")</f>
        <v>72.852870240000001</v>
      </c>
      <c r="Z381" s="28">
        <f>IFERROR(INDEX('Clean Gamification Data'!$I:$I,MATCH($B381,'Clean Gamification Data'!$A:$A,0)),"Not Found")</f>
        <v>63.804496780000001</v>
      </c>
      <c r="AA381" s="28">
        <f>Table1[[#This Row],[Engagement (Gamification %)]]-Table1[[#This Row],[Engagement (Non-Gamification %)]]</f>
        <v>12.928213740000004</v>
      </c>
      <c r="AB381" s="28">
        <f>Table1[[#This Row],[Motivation (Gamification %)]]-Table1[[#This Row],[Motivation (Non-Gamification %)]]</f>
        <v>0.93290263000000095</v>
      </c>
      <c r="AC381" s="28">
        <f>Table1[[#This Row],[Participation (Gamification %)]]-Table1[[#This Row],[Participation (Non-Gamification %)]]</f>
        <v>-2.2962902099999951</v>
      </c>
      <c r="AD381" s="28">
        <f>Table1[[#This Row],[Learning Outcomes (Gamification %)]]-Table1[[#This Row],[Learning Outcomes (Non-Gamification %)]]</f>
        <v>9.0483734600000005</v>
      </c>
      <c r="AE381" s="44" t="str">
        <f>IF(Table1[[#This Row],[Overall Effectiveness]]&lt;3.9,"Low",IF(Table1[[#This Row],[Overall Effectiveness]]&lt;4.2,"Medium","High"))</f>
        <v>Medium</v>
      </c>
      <c r="AF381" s="30" t="str">
        <f t="shared" si="34"/>
        <v>Case Studies</v>
      </c>
      <c r="AG381" s="30" t="str">
        <f t="shared" si="35"/>
        <v>Online Tutorials</v>
      </c>
      <c r="AH381" s="27">
        <f>COUNTIF(Teacher_Master!$D$2:$D$16,AF381)</f>
        <v>3</v>
      </c>
      <c r="AI381" s="30" t="str">
        <f>INDEX(Teacher_Master!$B$2:$B$16,MATCH(AF381,Teacher_Master!$D$2:$D$16,0))</f>
        <v>Prof. Rajesh Mukherjee</v>
      </c>
    </row>
    <row r="382" spans="1:35" ht="14.25" customHeight="1" x14ac:dyDescent="0.3">
      <c r="A382" s="31" t="s">
        <v>786</v>
      </c>
      <c r="B382" s="31" t="s">
        <v>2350</v>
      </c>
      <c r="C382" s="31" t="s">
        <v>2882</v>
      </c>
      <c r="D382" s="12">
        <f t="shared" ca="1" si="30"/>
        <v>26</v>
      </c>
      <c r="E382" s="12" t="str">
        <f ca="1">IF(Table1[[#This Row],[Age]]&lt;=22,"20-22",IF(Table1[[#This Row],[Age]]&lt;=25,"23-25",IF(Table1[[#This Row],[Age]]&lt;=28,"26-28","29-30")))</f>
        <v>26-28</v>
      </c>
      <c r="F382" s="12">
        <v>4.2</v>
      </c>
      <c r="G382" s="12">
        <v>3.88</v>
      </c>
      <c r="H382" s="12">
        <v>4.3899999999999997</v>
      </c>
      <c r="I382" s="12">
        <v>4.3499999999999996</v>
      </c>
      <c r="J382" s="12">
        <v>3.96</v>
      </c>
      <c r="K382" s="12">
        <v>4.22</v>
      </c>
      <c r="L382" s="12">
        <v>4.0199999999999996</v>
      </c>
      <c r="M382" s="12">
        <v>4.21</v>
      </c>
      <c r="N382" s="12">
        <v>4.0599999999999996</v>
      </c>
      <c r="O382" s="12">
        <v>4.01</v>
      </c>
      <c r="P382" s="12">
        <f t="shared" si="31"/>
        <v>4.1560000000000006</v>
      </c>
      <c r="Q382" s="12">
        <f t="shared" si="32"/>
        <v>4.16</v>
      </c>
      <c r="R382" s="12">
        <f t="shared" si="33"/>
        <v>4.1039999999999992</v>
      </c>
      <c r="S382" s="28">
        <f>IFERROR(INDEX('Clean Gamification Data'!$B:$B,MATCH($B382,'Clean Gamification Data'!$A:$A,0)),"Not Found")</f>
        <v>79.334524349999995</v>
      </c>
      <c r="T382" s="28">
        <f>IFERROR(INDEX('Clean Gamification Data'!$C:$C,MATCH($B382,'Clean Gamification Data'!$A:$A,0)),"Not Found")</f>
        <v>73.170136350000007</v>
      </c>
      <c r="U382" s="28">
        <f>IFERROR(INDEX('Clean Gamification Data'!$D:$D,MATCH($B382,'Clean Gamification Data'!$A:$A,0)),"Not Found")</f>
        <v>75.331468659999999</v>
      </c>
      <c r="V382" s="28">
        <f>IFERROR(INDEX('Clean Gamification Data'!$E:$E,MATCH($B382,'Clean Gamification Data'!$A:$A,0)),"Not Found")</f>
        <v>71.463669850000002</v>
      </c>
      <c r="W382" s="28">
        <f>IFERROR(INDEX('Clean Gamification Data'!$F:$F,MATCH($B382,'Clean Gamification Data'!$A:$A,0)),"Not Found")</f>
        <v>87.573906429999994</v>
      </c>
      <c r="X382" s="28">
        <f>IFERROR(INDEX('Clean Gamification Data'!$G:$G,MATCH($B382,'Clean Gamification Data'!$A:$A,0)),"Not Found")</f>
        <v>78.670292439999997</v>
      </c>
      <c r="Y382" s="28">
        <f>IFERROR(INDEX('Clean Gamification Data'!$H:$H,MATCH($B382,'Clean Gamification Data'!$A:$A,0)),"Not Found")</f>
        <v>69.402333110000001</v>
      </c>
      <c r="Z382" s="28">
        <f>IFERROR(INDEX('Clean Gamification Data'!$I:$I,MATCH($B382,'Clean Gamification Data'!$A:$A,0)),"Not Found")</f>
        <v>55.931671600000001</v>
      </c>
      <c r="AA382" s="28">
        <f>Table1[[#This Row],[Engagement (Gamification %)]]-Table1[[#This Row],[Engagement (Non-Gamification %)]]</f>
        <v>6.1643879999999882</v>
      </c>
      <c r="AB382" s="28">
        <f>Table1[[#This Row],[Motivation (Gamification %)]]-Table1[[#This Row],[Motivation (Non-Gamification %)]]</f>
        <v>3.8677988099999965</v>
      </c>
      <c r="AC382" s="28">
        <f>Table1[[#This Row],[Participation (Gamification %)]]-Table1[[#This Row],[Participation (Non-Gamification %)]]</f>
        <v>8.9036139899999966</v>
      </c>
      <c r="AD382" s="28">
        <f>Table1[[#This Row],[Learning Outcomes (Gamification %)]]-Table1[[#This Row],[Learning Outcomes (Non-Gamification %)]]</f>
        <v>13.470661509999999</v>
      </c>
      <c r="AE382" s="44" t="str">
        <f>IF(Table1[[#This Row],[Overall Effectiveness]]&lt;3.9,"Low",IF(Table1[[#This Row],[Overall Effectiveness]]&lt;4.2,"Medium","High"))</f>
        <v>Medium</v>
      </c>
      <c r="AF382" s="30" t="str">
        <f t="shared" si="34"/>
        <v>Group Projects</v>
      </c>
      <c r="AG382" s="30" t="str">
        <f t="shared" si="35"/>
        <v>Lectures</v>
      </c>
      <c r="AH382" s="27">
        <f>COUNTIF(Teacher_Master!$D$2:$D$16,AF382)</f>
        <v>3</v>
      </c>
      <c r="AI382" s="30" t="str">
        <f>INDEX(Teacher_Master!$B$2:$B$16,MATCH(AF382,Teacher_Master!$D$2:$D$16,0))</f>
        <v>Dr. Rohan Dutta</v>
      </c>
    </row>
    <row r="383" spans="1:35" ht="14.25" customHeight="1" x14ac:dyDescent="0.3">
      <c r="A383" s="31" t="s">
        <v>788</v>
      </c>
      <c r="B383" s="31" t="s">
        <v>2351</v>
      </c>
      <c r="C383" s="31" t="s">
        <v>2882</v>
      </c>
      <c r="D383" s="12">
        <f t="shared" ca="1" si="30"/>
        <v>29</v>
      </c>
      <c r="E383" s="12" t="str">
        <f ca="1">IF(Table1[[#This Row],[Age]]&lt;=22,"20-22",IF(Table1[[#This Row],[Age]]&lt;=25,"23-25",IF(Table1[[#This Row],[Age]]&lt;=28,"26-28","29-30")))</f>
        <v>29-30</v>
      </c>
      <c r="F383" s="12">
        <v>3.98</v>
      </c>
      <c r="G383" s="12" t="s">
        <v>211</v>
      </c>
      <c r="H383" s="12">
        <v>4.08</v>
      </c>
      <c r="I383" s="12">
        <v>3.81</v>
      </c>
      <c r="J383" s="12">
        <v>3.56</v>
      </c>
      <c r="K383" s="12">
        <v>4.05</v>
      </c>
      <c r="L383" s="12">
        <v>3.6</v>
      </c>
      <c r="M383" s="12">
        <v>4.7699999999999996</v>
      </c>
      <c r="N383" s="12">
        <v>4.0599999999999996</v>
      </c>
      <c r="O383" s="12">
        <v>3.94</v>
      </c>
      <c r="P383" s="12">
        <f t="shared" si="31"/>
        <v>3.8575000000000004</v>
      </c>
      <c r="Q383" s="12">
        <f t="shared" si="32"/>
        <v>3.86</v>
      </c>
      <c r="R383" s="12">
        <f t="shared" si="33"/>
        <v>4.0840000000000005</v>
      </c>
      <c r="S383" s="28">
        <f>IFERROR(INDEX('Clean Gamification Data'!$B:$B,MATCH($B383,'Clean Gamification Data'!$A:$A,0)),"Not Found")</f>
        <v>84.064157769999994</v>
      </c>
      <c r="T383" s="28">
        <f>IFERROR(INDEX('Clean Gamification Data'!$C:$C,MATCH($B383,'Clean Gamification Data'!$A:$A,0)),"Not Found")</f>
        <v>71.490482310000004</v>
      </c>
      <c r="U383" s="28">
        <f>IFERROR(INDEX('Clean Gamification Data'!$D:$D,MATCH($B383,'Clean Gamification Data'!$A:$A,0)),"Not Found")</f>
        <v>70</v>
      </c>
      <c r="V383" s="28">
        <f>IFERROR(INDEX('Clean Gamification Data'!$E:$E,MATCH($B383,'Clean Gamification Data'!$A:$A,0)),"Not Found")</f>
        <v>58.072833289999998</v>
      </c>
      <c r="W383" s="28">
        <f>IFERROR(INDEX('Clean Gamification Data'!$F:$F,MATCH($B383,'Clean Gamification Data'!$A:$A,0)),"Not Found")</f>
        <v>97.850067330000002</v>
      </c>
      <c r="X383" s="28">
        <f>IFERROR(INDEX('Clean Gamification Data'!$G:$G,MATCH($B383,'Clean Gamification Data'!$A:$A,0)),"Not Found")</f>
        <v>74.540688579999994</v>
      </c>
      <c r="Y383" s="28">
        <f>IFERROR(INDEX('Clean Gamification Data'!$H:$H,MATCH($B383,'Clean Gamification Data'!$A:$A,0)),"Not Found")</f>
        <v>75.283029159999998</v>
      </c>
      <c r="Z383" s="28">
        <f>IFERROR(INDEX('Clean Gamification Data'!$I:$I,MATCH($B383,'Clean Gamification Data'!$A:$A,0)),"Not Found")</f>
        <v>57.077784870000002</v>
      </c>
      <c r="AA383" s="28">
        <f>Table1[[#This Row],[Engagement (Gamification %)]]-Table1[[#This Row],[Engagement (Non-Gamification %)]]</f>
        <v>12.57367545999999</v>
      </c>
      <c r="AB383" s="28">
        <f>Table1[[#This Row],[Motivation (Gamification %)]]-Table1[[#This Row],[Motivation (Non-Gamification %)]]</f>
        <v>11.927166710000002</v>
      </c>
      <c r="AC383" s="28">
        <f>Table1[[#This Row],[Participation (Gamification %)]]-Table1[[#This Row],[Participation (Non-Gamification %)]]</f>
        <v>23.309378750000008</v>
      </c>
      <c r="AD383" s="28">
        <f>Table1[[#This Row],[Learning Outcomes (Gamification %)]]-Table1[[#This Row],[Learning Outcomes (Non-Gamification %)]]</f>
        <v>18.205244289999996</v>
      </c>
      <c r="AE383" s="44" t="str">
        <f>IF(Table1[[#This Row],[Overall Effectiveness]]&lt;3.9,"Low",IF(Table1[[#This Row],[Overall Effectiveness]]&lt;4.2,"Medium","High"))</f>
        <v>Low</v>
      </c>
      <c r="AF383" s="30" t="str">
        <f t="shared" si="34"/>
        <v>Group Projects</v>
      </c>
      <c r="AG383" s="30" t="str">
        <f t="shared" si="35"/>
        <v>Group Projects</v>
      </c>
      <c r="AH383" s="27">
        <f>COUNTIF(Teacher_Master!$D$2:$D$16,AF383)</f>
        <v>3</v>
      </c>
      <c r="AI383" s="30" t="str">
        <f>INDEX(Teacher_Master!$B$2:$B$16,MATCH(AF383,Teacher_Master!$D$2:$D$16,0))</f>
        <v>Dr. Rohan Dutta</v>
      </c>
    </row>
    <row r="384" spans="1:35" ht="14.25" customHeight="1" x14ac:dyDescent="0.3">
      <c r="A384" s="31" t="s">
        <v>790</v>
      </c>
      <c r="B384" s="31" t="s">
        <v>2352</v>
      </c>
      <c r="C384" s="31" t="s">
        <v>2882</v>
      </c>
      <c r="D384" s="12">
        <f t="shared" ca="1" si="30"/>
        <v>22</v>
      </c>
      <c r="E384" s="12" t="str">
        <f ca="1">IF(Table1[[#This Row],[Age]]&lt;=22,"20-22",IF(Table1[[#This Row],[Age]]&lt;=25,"23-25",IF(Table1[[#This Row],[Age]]&lt;=28,"26-28","29-30")))</f>
        <v>20-22</v>
      </c>
      <c r="F384" s="12">
        <v>3.88</v>
      </c>
      <c r="G384" s="12">
        <v>3.51</v>
      </c>
      <c r="H384" s="12">
        <v>4.21</v>
      </c>
      <c r="I384" s="12">
        <v>4.22</v>
      </c>
      <c r="J384" s="12">
        <v>4.6100000000000003</v>
      </c>
      <c r="K384" s="12">
        <v>3.99</v>
      </c>
      <c r="L384" s="12">
        <v>4.07</v>
      </c>
      <c r="M384" s="12">
        <v>3.47</v>
      </c>
      <c r="N384" s="12">
        <v>3.86</v>
      </c>
      <c r="O384" s="12">
        <v>4.13</v>
      </c>
      <c r="P384" s="12">
        <f t="shared" si="31"/>
        <v>4.0860000000000003</v>
      </c>
      <c r="Q384" s="12">
        <f t="shared" si="32"/>
        <v>4.09</v>
      </c>
      <c r="R384" s="12">
        <f t="shared" si="33"/>
        <v>3.9039999999999999</v>
      </c>
      <c r="S384" s="28">
        <f>IFERROR(INDEX('Clean Gamification Data'!$B:$B,MATCH($B384,'Clean Gamification Data'!$A:$A,0)),"Not Found")</f>
        <v>80.058793089999995</v>
      </c>
      <c r="T384" s="28">
        <f>IFERROR(INDEX('Clean Gamification Data'!$C:$C,MATCH($B384,'Clean Gamification Data'!$A:$A,0)),"Not Found")</f>
        <v>66.965704840000001</v>
      </c>
      <c r="U384" s="28">
        <f>IFERROR(INDEX('Clean Gamification Data'!$D:$D,MATCH($B384,'Clean Gamification Data'!$A:$A,0)),"Not Found")</f>
        <v>78.206511169999999</v>
      </c>
      <c r="V384" s="28">
        <f>IFERROR(INDEX('Clean Gamification Data'!$E:$E,MATCH($B384,'Clean Gamification Data'!$A:$A,0)),"Not Found")</f>
        <v>64.484274510000006</v>
      </c>
      <c r="W384" s="28">
        <f>IFERROR(INDEX('Clean Gamification Data'!$F:$F,MATCH($B384,'Clean Gamification Data'!$A:$A,0)),"Not Found")</f>
        <v>80</v>
      </c>
      <c r="X384" s="28">
        <f>IFERROR(INDEX('Clean Gamification Data'!$G:$G,MATCH($B384,'Clean Gamification Data'!$A:$A,0)),"Not Found")</f>
        <v>85</v>
      </c>
      <c r="Y384" s="28">
        <f>IFERROR(INDEX('Clean Gamification Data'!$H:$H,MATCH($B384,'Clean Gamification Data'!$A:$A,0)),"Not Found")</f>
        <v>65</v>
      </c>
      <c r="Z384" s="28">
        <f>IFERROR(INDEX('Clean Gamification Data'!$I:$I,MATCH($B384,'Clean Gamification Data'!$A:$A,0)),"Not Found")</f>
        <v>60.11313406</v>
      </c>
      <c r="AA384" s="28">
        <f>Table1[[#This Row],[Engagement (Gamification %)]]-Table1[[#This Row],[Engagement (Non-Gamification %)]]</f>
        <v>13.093088249999994</v>
      </c>
      <c r="AB384" s="28">
        <f>Table1[[#This Row],[Motivation (Gamification %)]]-Table1[[#This Row],[Motivation (Non-Gamification %)]]</f>
        <v>13.722236659999993</v>
      </c>
      <c r="AC384" s="28">
        <f>Table1[[#This Row],[Participation (Gamification %)]]-Table1[[#This Row],[Participation (Non-Gamification %)]]</f>
        <v>-5</v>
      </c>
      <c r="AD384" s="28">
        <f>Table1[[#This Row],[Learning Outcomes (Gamification %)]]-Table1[[#This Row],[Learning Outcomes (Non-Gamification %)]]</f>
        <v>4.8868659399999999</v>
      </c>
      <c r="AE384" s="44" t="str">
        <f>IF(Table1[[#This Row],[Overall Effectiveness]]&lt;3.9,"Low",IF(Table1[[#This Row],[Overall Effectiveness]]&lt;4.2,"Medium","High"))</f>
        <v>Medium</v>
      </c>
      <c r="AF384" s="30" t="str">
        <f t="shared" si="34"/>
        <v>Online Tutorials</v>
      </c>
      <c r="AG384" s="30" t="str">
        <f t="shared" si="35"/>
        <v>Online Tutorials</v>
      </c>
      <c r="AH384" s="27">
        <f>COUNTIF(Teacher_Master!$D$2:$D$16,AF384)</f>
        <v>3</v>
      </c>
      <c r="AI384" s="30" t="str">
        <f>INDEX(Teacher_Master!$B$2:$B$16,MATCH(AF384,Teacher_Master!$D$2:$D$16,0))</f>
        <v>Prof. Kavita Rao</v>
      </c>
    </row>
    <row r="385" spans="1:35" ht="14.25" customHeight="1" x14ac:dyDescent="0.3">
      <c r="A385" s="31" t="s">
        <v>792</v>
      </c>
      <c r="B385" s="31" t="s">
        <v>2353</v>
      </c>
      <c r="C385" s="31" t="s">
        <v>2882</v>
      </c>
      <c r="D385" s="12">
        <f t="shared" ca="1" si="30"/>
        <v>21</v>
      </c>
      <c r="E385" s="12" t="str">
        <f ca="1">IF(Table1[[#This Row],[Age]]&lt;=22,"20-22",IF(Table1[[#This Row],[Age]]&lt;=25,"23-25",IF(Table1[[#This Row],[Age]]&lt;=28,"26-28","29-30")))</f>
        <v>20-22</v>
      </c>
      <c r="F385" s="12">
        <v>4.01</v>
      </c>
      <c r="G385" s="12">
        <v>3.81</v>
      </c>
      <c r="H385" s="12">
        <v>4.54</v>
      </c>
      <c r="I385" s="12">
        <v>4.17</v>
      </c>
      <c r="J385" s="12">
        <v>3.68</v>
      </c>
      <c r="K385" s="12">
        <v>3.9</v>
      </c>
      <c r="L385" s="12">
        <v>3.64</v>
      </c>
      <c r="M385" s="12">
        <v>4.08</v>
      </c>
      <c r="N385" s="12">
        <v>3.78</v>
      </c>
      <c r="O385" s="12">
        <v>3.97</v>
      </c>
      <c r="P385" s="12">
        <f t="shared" si="31"/>
        <v>4.0419999999999998</v>
      </c>
      <c r="Q385" s="12">
        <f t="shared" si="32"/>
        <v>4.04</v>
      </c>
      <c r="R385" s="12">
        <f t="shared" si="33"/>
        <v>3.8740000000000001</v>
      </c>
      <c r="S385" s="28">
        <f>IFERROR(INDEX('Clean Gamification Data'!$B:$B,MATCH($B385,'Clean Gamification Data'!$A:$A,0)),"Not Found")</f>
        <v>83.134443700000006</v>
      </c>
      <c r="T385" s="28">
        <f>IFERROR(INDEX('Clean Gamification Data'!$C:$C,MATCH($B385,'Clean Gamification Data'!$A:$A,0)),"Not Found")</f>
        <v>60.134823779999998</v>
      </c>
      <c r="U385" s="28">
        <f>IFERROR(INDEX('Clean Gamification Data'!$D:$D,MATCH($B385,'Clean Gamification Data'!$A:$A,0)),"Not Found")</f>
        <v>76.754082460000006</v>
      </c>
      <c r="V385" s="28">
        <f>IFERROR(INDEX('Clean Gamification Data'!$E:$E,MATCH($B385,'Clean Gamification Data'!$A:$A,0)),"Not Found")</f>
        <v>58.659745119999997</v>
      </c>
      <c r="W385" s="28">
        <f>IFERROR(INDEX('Clean Gamification Data'!$F:$F,MATCH($B385,'Clean Gamification Data'!$A:$A,0)),"Not Found")</f>
        <v>81.141235600000002</v>
      </c>
      <c r="X385" s="28">
        <f>IFERROR(INDEX('Clean Gamification Data'!$G:$G,MATCH($B385,'Clean Gamification Data'!$A:$A,0)),"Not Found")</f>
        <v>73.022155170000005</v>
      </c>
      <c r="Y385" s="28">
        <f>IFERROR(INDEX('Clean Gamification Data'!$H:$H,MATCH($B385,'Clean Gamification Data'!$A:$A,0)),"Not Found")</f>
        <v>78.260349649999995</v>
      </c>
      <c r="Z385" s="28">
        <f>IFERROR(INDEX('Clean Gamification Data'!$I:$I,MATCH($B385,'Clean Gamification Data'!$A:$A,0)),"Not Found")</f>
        <v>64.776671710000002</v>
      </c>
      <c r="AA385" s="28">
        <f>Table1[[#This Row],[Engagement (Gamification %)]]-Table1[[#This Row],[Engagement (Non-Gamification %)]]</f>
        <v>22.999619920000008</v>
      </c>
      <c r="AB385" s="28">
        <f>Table1[[#This Row],[Motivation (Gamification %)]]-Table1[[#This Row],[Motivation (Non-Gamification %)]]</f>
        <v>18.09433734000001</v>
      </c>
      <c r="AC385" s="28">
        <f>Table1[[#This Row],[Participation (Gamification %)]]-Table1[[#This Row],[Participation (Non-Gamification %)]]</f>
        <v>8.1190804299999968</v>
      </c>
      <c r="AD385" s="28">
        <f>Table1[[#This Row],[Learning Outcomes (Gamification %)]]-Table1[[#This Row],[Learning Outcomes (Non-Gamification %)]]</f>
        <v>13.483677939999993</v>
      </c>
      <c r="AE385" s="44" t="str">
        <f>IF(Table1[[#This Row],[Overall Effectiveness]]&lt;3.9,"Low",IF(Table1[[#This Row],[Overall Effectiveness]]&lt;4.2,"Medium","High"))</f>
        <v>Medium</v>
      </c>
      <c r="AF385" s="30" t="str">
        <f t="shared" si="34"/>
        <v>Group Projects</v>
      </c>
      <c r="AG385" s="30" t="str">
        <f t="shared" si="35"/>
        <v>Group Projects</v>
      </c>
      <c r="AH385" s="27">
        <f>COUNTIF(Teacher_Master!$D$2:$D$16,AF385)</f>
        <v>3</v>
      </c>
      <c r="AI385" s="30" t="str">
        <f>INDEX(Teacher_Master!$B$2:$B$16,MATCH(AF385,Teacher_Master!$D$2:$D$16,0))</f>
        <v>Dr. Rohan Dutta</v>
      </c>
    </row>
    <row r="386" spans="1:35" ht="14.25" customHeight="1" x14ac:dyDescent="0.3">
      <c r="A386" s="31" t="s">
        <v>794</v>
      </c>
      <c r="B386" s="31" t="s">
        <v>2354</v>
      </c>
      <c r="C386" s="31" t="s">
        <v>2881</v>
      </c>
      <c r="D386" s="12">
        <f t="shared" ref="D386:D449" ca="1" si="36">RANDBETWEEN(20,30)</f>
        <v>28</v>
      </c>
      <c r="E386" s="12" t="str">
        <f ca="1">IF(Table1[[#This Row],[Age]]&lt;=22,"20-22",IF(Table1[[#This Row],[Age]]&lt;=25,"23-25",IF(Table1[[#This Row],[Age]]&lt;=28,"26-28","29-30")))</f>
        <v>26-28</v>
      </c>
      <c r="F386" s="12">
        <v>4.34</v>
      </c>
      <c r="G386" s="12">
        <v>3.73</v>
      </c>
      <c r="H386" s="12">
        <v>4.17</v>
      </c>
      <c r="I386" s="12">
        <v>3.9</v>
      </c>
      <c r="J386" s="12">
        <v>3.71</v>
      </c>
      <c r="K386" s="12">
        <v>3.98</v>
      </c>
      <c r="L386" s="12">
        <v>4.22</v>
      </c>
      <c r="M386" s="12">
        <v>3.69</v>
      </c>
      <c r="N386" s="12">
        <v>3.52</v>
      </c>
      <c r="O386" s="12">
        <v>4.21</v>
      </c>
      <c r="P386" s="12">
        <f t="shared" ref="P386:P449" si="37">AVERAGE(F386:J386)</f>
        <v>3.97</v>
      </c>
      <c r="Q386" s="12">
        <f t="shared" ref="Q386:Q449" si="38">ROUND(P386,2)</f>
        <v>3.97</v>
      </c>
      <c r="R386" s="12">
        <f t="shared" ref="R386:R449" si="39">AVERAGE(K386:O386)</f>
        <v>3.9239999999999995</v>
      </c>
      <c r="S386" s="28">
        <f>IFERROR(INDEX('Clean Gamification Data'!$B:$B,MATCH($B386,'Clean Gamification Data'!$A:$A,0)),"Not Found")</f>
        <v>92.808523690000001</v>
      </c>
      <c r="T386" s="28">
        <f>IFERROR(INDEX('Clean Gamification Data'!$C:$C,MATCH($B386,'Clean Gamification Data'!$A:$A,0)),"Not Found")</f>
        <v>64.430334610000003</v>
      </c>
      <c r="U386" s="28">
        <f>IFERROR(INDEX('Clean Gamification Data'!$D:$D,MATCH($B386,'Clean Gamification Data'!$A:$A,0)),"Not Found")</f>
        <v>70.394543880000001</v>
      </c>
      <c r="V386" s="28">
        <f>IFERROR(INDEX('Clean Gamification Data'!$E:$E,MATCH($B386,'Clean Gamification Data'!$A:$A,0)),"Not Found")</f>
        <v>66.918872550000003</v>
      </c>
      <c r="W386" s="28">
        <f>IFERROR(INDEX('Clean Gamification Data'!$F:$F,MATCH($B386,'Clean Gamification Data'!$A:$A,0)),"Not Found")</f>
        <v>87.140447460000004</v>
      </c>
      <c r="X386" s="28">
        <f>IFERROR(INDEX('Clean Gamification Data'!$G:$G,MATCH($B386,'Clean Gamification Data'!$A:$A,0)),"Not Found")</f>
        <v>82.706769899999998</v>
      </c>
      <c r="Y386" s="28">
        <f>IFERROR(INDEX('Clean Gamification Data'!$H:$H,MATCH($B386,'Clean Gamification Data'!$A:$A,0)),"Not Found")</f>
        <v>71.913676300000006</v>
      </c>
      <c r="Z386" s="28">
        <f>IFERROR(INDEX('Clean Gamification Data'!$I:$I,MATCH($B386,'Clean Gamification Data'!$A:$A,0)),"Not Found")</f>
        <v>58.91609854</v>
      </c>
      <c r="AA386" s="28">
        <f>Table1[[#This Row],[Engagement (Gamification %)]]-Table1[[#This Row],[Engagement (Non-Gamification %)]]</f>
        <v>28.378189079999999</v>
      </c>
      <c r="AB386" s="28">
        <f>Table1[[#This Row],[Motivation (Gamification %)]]-Table1[[#This Row],[Motivation (Non-Gamification %)]]</f>
        <v>3.4756713299999973</v>
      </c>
      <c r="AC386" s="28">
        <f>Table1[[#This Row],[Participation (Gamification %)]]-Table1[[#This Row],[Participation (Non-Gamification %)]]</f>
        <v>4.4336775600000067</v>
      </c>
      <c r="AD386" s="28">
        <f>Table1[[#This Row],[Learning Outcomes (Gamification %)]]-Table1[[#This Row],[Learning Outcomes (Non-Gamification %)]]</f>
        <v>12.997577760000006</v>
      </c>
      <c r="AE386" s="44" t="str">
        <f>IF(Table1[[#This Row],[Overall Effectiveness]]&lt;3.9,"Low",IF(Table1[[#This Row],[Overall Effectiveness]]&lt;4.2,"Medium","High"))</f>
        <v>Medium</v>
      </c>
      <c r="AF386" s="30" t="str">
        <f t="shared" ref="AF386:AF449" si="40">CHOOSE(MATCH(MAX(F386:J386),F386:J386,0),"Lectures","Case Studies","Group Projects","Experiments","Online Tutorials")</f>
        <v>Lectures</v>
      </c>
      <c r="AG386" s="30" t="str">
        <f t="shared" ref="AG386:AG449" si="41">CHOOSE(MATCH(MAX(K386:O386),K386:O386,0),"Lectures","Case Studies","Group Projects","Experiments","Online Tutorials")</f>
        <v>Case Studies</v>
      </c>
      <c r="AH386" s="27">
        <f>COUNTIF(Teacher_Master!$D$2:$D$16,AF386)</f>
        <v>3</v>
      </c>
      <c r="AI386" s="30" t="str">
        <f>INDEX(Teacher_Master!$B$2:$B$16,MATCH(AF386,Teacher_Master!$D$2:$D$16,0))</f>
        <v>Prof. Vikram Gupta</v>
      </c>
    </row>
    <row r="387" spans="1:35" ht="14.25" customHeight="1" x14ac:dyDescent="0.3">
      <c r="A387" s="31" t="s">
        <v>796</v>
      </c>
      <c r="B387" s="31" t="s">
        <v>2355</v>
      </c>
      <c r="C387" s="31" t="s">
        <v>2882</v>
      </c>
      <c r="D387" s="12">
        <f t="shared" ca="1" si="36"/>
        <v>24</v>
      </c>
      <c r="E387" s="12" t="str">
        <f ca="1">IF(Table1[[#This Row],[Age]]&lt;=22,"20-22",IF(Table1[[#This Row],[Age]]&lt;=25,"23-25",IF(Table1[[#This Row],[Age]]&lt;=28,"26-28","29-30")))</f>
        <v>23-25</v>
      </c>
      <c r="F387" s="12">
        <v>3.98</v>
      </c>
      <c r="G387" s="12">
        <v>3.39</v>
      </c>
      <c r="H387" s="12">
        <v>3.83</v>
      </c>
      <c r="I387" s="12">
        <v>3.84</v>
      </c>
      <c r="J387" s="12">
        <v>3.85</v>
      </c>
      <c r="K387" s="12">
        <v>3.86</v>
      </c>
      <c r="L387" s="12">
        <v>4.82</v>
      </c>
      <c r="M387" s="12">
        <v>4.37</v>
      </c>
      <c r="N387" s="12">
        <v>4.1399999999999997</v>
      </c>
      <c r="O387" s="12">
        <v>3.86</v>
      </c>
      <c r="P387" s="12">
        <f t="shared" si="37"/>
        <v>3.778</v>
      </c>
      <c r="Q387" s="12">
        <f t="shared" si="38"/>
        <v>3.78</v>
      </c>
      <c r="R387" s="12">
        <f t="shared" si="39"/>
        <v>4.21</v>
      </c>
      <c r="S387" s="28">
        <f>IFERROR(INDEX('Clean Gamification Data'!$B:$B,MATCH($B387,'Clean Gamification Data'!$A:$A,0)),"Not Found")</f>
        <v>83.179043149999998</v>
      </c>
      <c r="T387" s="28">
        <f>IFERROR(INDEX('Clean Gamification Data'!$C:$C,MATCH($B387,'Clean Gamification Data'!$A:$A,0)),"Not Found")</f>
        <v>62.91422858</v>
      </c>
      <c r="U387" s="28">
        <f>IFERROR(INDEX('Clean Gamification Data'!$D:$D,MATCH($B387,'Clean Gamification Data'!$A:$A,0)),"Not Found")</f>
        <v>76.389216360000006</v>
      </c>
      <c r="V387" s="28">
        <f>IFERROR(INDEX('Clean Gamification Data'!$E:$E,MATCH($B387,'Clean Gamification Data'!$A:$A,0)),"Not Found")</f>
        <v>66.251033509999999</v>
      </c>
      <c r="W387" s="28">
        <f>IFERROR(INDEX('Clean Gamification Data'!$F:$F,MATCH($B387,'Clean Gamification Data'!$A:$A,0)),"Not Found")</f>
        <v>93.970297869999996</v>
      </c>
      <c r="X387" s="28">
        <f>IFERROR(INDEX('Clean Gamification Data'!$G:$G,MATCH($B387,'Clean Gamification Data'!$A:$A,0)),"Not Found")</f>
        <v>74.61313389</v>
      </c>
      <c r="Y387" s="28">
        <f>IFERROR(INDEX('Clean Gamification Data'!$H:$H,MATCH($B387,'Clean Gamification Data'!$A:$A,0)),"Not Found")</f>
        <v>67.190307989999994</v>
      </c>
      <c r="Z387" s="28">
        <f>IFERROR(INDEX('Clean Gamification Data'!$I:$I,MATCH($B387,'Clean Gamification Data'!$A:$A,0)),"Not Found")</f>
        <v>55.126145450000003</v>
      </c>
      <c r="AA387" s="28">
        <f>Table1[[#This Row],[Engagement (Gamification %)]]-Table1[[#This Row],[Engagement (Non-Gamification %)]]</f>
        <v>20.264814569999999</v>
      </c>
      <c r="AB387" s="28">
        <f>Table1[[#This Row],[Motivation (Gamification %)]]-Table1[[#This Row],[Motivation (Non-Gamification %)]]</f>
        <v>10.138182850000007</v>
      </c>
      <c r="AC387" s="28">
        <f>Table1[[#This Row],[Participation (Gamification %)]]-Table1[[#This Row],[Participation (Non-Gamification %)]]</f>
        <v>19.357163979999996</v>
      </c>
      <c r="AD387" s="28">
        <f>Table1[[#This Row],[Learning Outcomes (Gamification %)]]-Table1[[#This Row],[Learning Outcomes (Non-Gamification %)]]</f>
        <v>12.064162539999991</v>
      </c>
      <c r="AE387" s="44" t="str">
        <f>IF(Table1[[#This Row],[Overall Effectiveness]]&lt;3.9,"Low",IF(Table1[[#This Row],[Overall Effectiveness]]&lt;4.2,"Medium","High"))</f>
        <v>Low</v>
      </c>
      <c r="AF387" s="30" t="str">
        <f t="shared" si="40"/>
        <v>Lectures</v>
      </c>
      <c r="AG387" s="30" t="str">
        <f t="shared" si="41"/>
        <v>Case Studies</v>
      </c>
      <c r="AH387" s="27">
        <f>COUNTIF(Teacher_Master!$D$2:$D$16,AF387)</f>
        <v>3</v>
      </c>
      <c r="AI387" s="30" t="str">
        <f>INDEX(Teacher_Master!$B$2:$B$16,MATCH(AF387,Teacher_Master!$D$2:$D$16,0))</f>
        <v>Prof. Vikram Gupta</v>
      </c>
    </row>
    <row r="388" spans="1:35" ht="14.25" customHeight="1" x14ac:dyDescent="0.3">
      <c r="A388" s="31" t="s">
        <v>798</v>
      </c>
      <c r="B388" s="31" t="s">
        <v>2356</v>
      </c>
      <c r="C388" s="31" t="s">
        <v>2882</v>
      </c>
      <c r="D388" s="12">
        <f t="shared" ca="1" si="36"/>
        <v>27</v>
      </c>
      <c r="E388" s="12" t="str">
        <f ca="1">IF(Table1[[#This Row],[Age]]&lt;=22,"20-22",IF(Table1[[#This Row],[Age]]&lt;=25,"23-25",IF(Table1[[#This Row],[Age]]&lt;=28,"26-28","29-30")))</f>
        <v>26-28</v>
      </c>
      <c r="F388" s="12">
        <v>3.84</v>
      </c>
      <c r="G388" s="12">
        <v>3.87</v>
      </c>
      <c r="H388" s="12">
        <v>3.95</v>
      </c>
      <c r="I388" s="12">
        <v>3.93</v>
      </c>
      <c r="J388" s="12">
        <v>3.93</v>
      </c>
      <c r="K388" s="12">
        <v>4.03</v>
      </c>
      <c r="L388" s="12">
        <v>4.1399999999999997</v>
      </c>
      <c r="M388" s="12">
        <v>3.9</v>
      </c>
      <c r="N388" s="12">
        <v>4.2</v>
      </c>
      <c r="O388" s="12">
        <v>3.9</v>
      </c>
      <c r="P388" s="12">
        <f t="shared" si="37"/>
        <v>3.9039999999999999</v>
      </c>
      <c r="Q388" s="12">
        <f t="shared" si="38"/>
        <v>3.9</v>
      </c>
      <c r="R388" s="12">
        <f t="shared" si="39"/>
        <v>4.0339999999999998</v>
      </c>
      <c r="S388" s="28">
        <f>IFERROR(INDEX('Clean Gamification Data'!$B:$B,MATCH($B388,'Clean Gamification Data'!$A:$A,0)),"Not Found")</f>
        <v>81.821515570000003</v>
      </c>
      <c r="T388" s="28">
        <f>IFERROR(INDEX('Clean Gamification Data'!$C:$C,MATCH($B388,'Clean Gamification Data'!$A:$A,0)),"Not Found")</f>
        <v>64.859682570000004</v>
      </c>
      <c r="U388" s="28">
        <f>IFERROR(INDEX('Clean Gamification Data'!$D:$D,MATCH($B388,'Clean Gamification Data'!$A:$A,0)),"Not Found")</f>
        <v>85.825199609999999</v>
      </c>
      <c r="V388" s="28">
        <f>IFERROR(INDEX('Clean Gamification Data'!$E:$E,MATCH($B388,'Clean Gamification Data'!$A:$A,0)),"Not Found")</f>
        <v>55</v>
      </c>
      <c r="W388" s="28">
        <f>IFERROR(INDEX('Clean Gamification Data'!$F:$F,MATCH($B388,'Clean Gamification Data'!$A:$A,0)),"Not Found")</f>
        <v>96.446899200000004</v>
      </c>
      <c r="X388" s="28">
        <f>IFERROR(INDEX('Clean Gamification Data'!$G:$G,MATCH($B388,'Clean Gamification Data'!$A:$A,0)),"Not Found")</f>
        <v>80.540699599999996</v>
      </c>
      <c r="Y388" s="28">
        <f>IFERROR(INDEX('Clean Gamification Data'!$H:$H,MATCH($B388,'Clean Gamification Data'!$A:$A,0)),"Not Found")</f>
        <v>75.375907850000004</v>
      </c>
      <c r="Z388" s="28">
        <f>IFERROR(INDEX('Clean Gamification Data'!$I:$I,MATCH($B388,'Clean Gamification Data'!$A:$A,0)),"Not Found")</f>
        <v>60.605818640000003</v>
      </c>
      <c r="AA388" s="28">
        <f>Table1[[#This Row],[Engagement (Gamification %)]]-Table1[[#This Row],[Engagement (Non-Gamification %)]]</f>
        <v>16.961832999999999</v>
      </c>
      <c r="AB388" s="28">
        <f>Table1[[#This Row],[Motivation (Gamification %)]]-Table1[[#This Row],[Motivation (Non-Gamification %)]]</f>
        <v>30.825199609999999</v>
      </c>
      <c r="AC388" s="28">
        <f>Table1[[#This Row],[Participation (Gamification %)]]-Table1[[#This Row],[Participation (Non-Gamification %)]]</f>
        <v>15.906199600000008</v>
      </c>
      <c r="AD388" s="28">
        <f>Table1[[#This Row],[Learning Outcomes (Gamification %)]]-Table1[[#This Row],[Learning Outcomes (Non-Gamification %)]]</f>
        <v>14.770089210000002</v>
      </c>
      <c r="AE388" s="44" t="str">
        <f>IF(Table1[[#This Row],[Overall Effectiveness]]&lt;3.9,"Low",IF(Table1[[#This Row],[Overall Effectiveness]]&lt;4.2,"Medium","High"))</f>
        <v>Medium</v>
      </c>
      <c r="AF388" s="30" t="str">
        <f t="shared" si="40"/>
        <v>Group Projects</v>
      </c>
      <c r="AG388" s="30" t="str">
        <f t="shared" si="41"/>
        <v>Experiments</v>
      </c>
      <c r="AH388" s="27">
        <f>COUNTIF(Teacher_Master!$D$2:$D$16,AF388)</f>
        <v>3</v>
      </c>
      <c r="AI388" s="30" t="str">
        <f>INDEX(Teacher_Master!$B$2:$B$16,MATCH(AF388,Teacher_Master!$D$2:$D$16,0))</f>
        <v>Dr. Rohan Dutta</v>
      </c>
    </row>
    <row r="389" spans="1:35" ht="14.25" customHeight="1" x14ac:dyDescent="0.3">
      <c r="A389" s="31" t="s">
        <v>800</v>
      </c>
      <c r="B389" s="31" t="s">
        <v>801</v>
      </c>
      <c r="C389" s="31" t="s">
        <v>2882</v>
      </c>
      <c r="D389" s="12">
        <f t="shared" ca="1" si="36"/>
        <v>22</v>
      </c>
      <c r="E389" s="12" t="str">
        <f ca="1">IF(Table1[[#This Row],[Age]]&lt;=22,"20-22",IF(Table1[[#This Row],[Age]]&lt;=25,"23-25",IF(Table1[[#This Row],[Age]]&lt;=28,"26-28","29-30")))</f>
        <v>20-22</v>
      </c>
      <c r="F389" s="12">
        <v>4.3899999999999997</v>
      </c>
      <c r="G389" s="12">
        <v>4.29</v>
      </c>
      <c r="H389" s="12">
        <v>4.29</v>
      </c>
      <c r="I389" s="12">
        <v>3.65</v>
      </c>
      <c r="J389" s="12">
        <v>3.56</v>
      </c>
      <c r="K389" s="12">
        <v>3.97</v>
      </c>
      <c r="L389" s="12">
        <v>4.04</v>
      </c>
      <c r="M389" s="12">
        <v>4.3600000000000003</v>
      </c>
      <c r="N389" s="12">
        <v>3.95</v>
      </c>
      <c r="O389" s="12">
        <v>3.97</v>
      </c>
      <c r="P389" s="12">
        <f t="shared" si="37"/>
        <v>4.0359999999999996</v>
      </c>
      <c r="Q389" s="12">
        <f t="shared" si="38"/>
        <v>4.04</v>
      </c>
      <c r="R389" s="12">
        <f t="shared" si="39"/>
        <v>4.0579999999999998</v>
      </c>
      <c r="S389" s="28">
        <f>IFERROR(INDEX('Clean Gamification Data'!$B:$B,MATCH($B389,'Clean Gamification Data'!$A:$A,0)),"Not Found")</f>
        <v>75.852398339999993</v>
      </c>
      <c r="T389" s="28">
        <f>IFERROR(INDEX('Clean Gamification Data'!$C:$C,MATCH($B389,'Clean Gamification Data'!$A:$A,0)),"Not Found")</f>
        <v>74.899351159999995</v>
      </c>
      <c r="U389" s="28">
        <f>IFERROR(INDEX('Clean Gamification Data'!$D:$D,MATCH($B389,'Clean Gamification Data'!$A:$A,0)),"Not Found")</f>
        <v>71.380606220000004</v>
      </c>
      <c r="V389" s="28">
        <f>IFERROR(INDEX('Clean Gamification Data'!$E:$E,MATCH($B389,'Clean Gamification Data'!$A:$A,0)),"Not Found")</f>
        <v>68.860194719999996</v>
      </c>
      <c r="W389" s="28">
        <f>IFERROR(INDEX('Clean Gamification Data'!$F:$F,MATCH($B389,'Clean Gamification Data'!$A:$A,0)),"Not Found")</f>
        <v>84.451420929999998</v>
      </c>
      <c r="X389" s="28">
        <f>IFERROR(INDEX('Clean Gamification Data'!$G:$G,MATCH($B389,'Clean Gamification Data'!$A:$A,0)),"Not Found")</f>
        <v>75.808609309999994</v>
      </c>
      <c r="Y389" s="28">
        <f>IFERROR(INDEX('Clean Gamification Data'!$H:$H,MATCH($B389,'Clean Gamification Data'!$A:$A,0)),"Not Found")</f>
        <v>70.431136199999997</v>
      </c>
      <c r="Z389" s="28">
        <f>IFERROR(INDEX('Clean Gamification Data'!$I:$I,MATCH($B389,'Clean Gamification Data'!$A:$A,0)),"Not Found")</f>
        <v>68.996100170000005</v>
      </c>
      <c r="AA389" s="28">
        <f>Table1[[#This Row],[Engagement (Gamification %)]]-Table1[[#This Row],[Engagement (Non-Gamification %)]]</f>
        <v>0.95304717999999866</v>
      </c>
      <c r="AB389" s="28">
        <f>Table1[[#This Row],[Motivation (Gamification %)]]-Table1[[#This Row],[Motivation (Non-Gamification %)]]</f>
        <v>2.5204115000000087</v>
      </c>
      <c r="AC389" s="28">
        <f>Table1[[#This Row],[Participation (Gamification %)]]-Table1[[#This Row],[Participation (Non-Gamification %)]]</f>
        <v>8.6428116200000034</v>
      </c>
      <c r="AD389" s="28">
        <f>Table1[[#This Row],[Learning Outcomes (Gamification %)]]-Table1[[#This Row],[Learning Outcomes (Non-Gamification %)]]</f>
        <v>1.435036029999992</v>
      </c>
      <c r="AE389" s="44" t="str">
        <f>IF(Table1[[#This Row],[Overall Effectiveness]]&lt;3.9,"Low",IF(Table1[[#This Row],[Overall Effectiveness]]&lt;4.2,"Medium","High"))</f>
        <v>Medium</v>
      </c>
      <c r="AF389" s="30" t="str">
        <f t="shared" si="40"/>
        <v>Lectures</v>
      </c>
      <c r="AG389" s="30" t="str">
        <f t="shared" si="41"/>
        <v>Group Projects</v>
      </c>
      <c r="AH389" s="27">
        <f>COUNTIF(Teacher_Master!$D$2:$D$16,AF389)</f>
        <v>3</v>
      </c>
      <c r="AI389" s="30" t="str">
        <f>INDEX(Teacher_Master!$B$2:$B$16,MATCH(AF389,Teacher_Master!$D$2:$D$16,0))</f>
        <v>Prof. Vikram Gupta</v>
      </c>
    </row>
    <row r="390" spans="1:35" ht="14.25" customHeight="1" x14ac:dyDescent="0.3">
      <c r="A390" s="31" t="s">
        <v>802</v>
      </c>
      <c r="B390" s="31" t="s">
        <v>2357</v>
      </c>
      <c r="C390" s="31" t="s">
        <v>2882</v>
      </c>
      <c r="D390" s="12">
        <f t="shared" ca="1" si="36"/>
        <v>20</v>
      </c>
      <c r="E390" s="12" t="str">
        <f ca="1">IF(Table1[[#This Row],[Age]]&lt;=22,"20-22",IF(Table1[[#This Row],[Age]]&lt;=25,"23-25",IF(Table1[[#This Row],[Age]]&lt;=28,"26-28","29-30")))</f>
        <v>20-22</v>
      </c>
      <c r="F390" s="12">
        <v>4.59</v>
      </c>
      <c r="G390" s="12">
        <v>3.79</v>
      </c>
      <c r="H390" s="12">
        <v>3.6</v>
      </c>
      <c r="I390" s="12" t="s">
        <v>211</v>
      </c>
      <c r="J390" s="12">
        <v>3.71</v>
      </c>
      <c r="K390" s="12">
        <v>4.45</v>
      </c>
      <c r="L390" s="12">
        <v>4.51</v>
      </c>
      <c r="M390" s="12">
        <v>3.67</v>
      </c>
      <c r="N390" s="12">
        <v>4.08</v>
      </c>
      <c r="O390" s="12">
        <v>3.94</v>
      </c>
      <c r="P390" s="12">
        <f t="shared" si="37"/>
        <v>3.9224999999999994</v>
      </c>
      <c r="Q390" s="12">
        <f t="shared" si="38"/>
        <v>3.92</v>
      </c>
      <c r="R390" s="12">
        <f t="shared" si="39"/>
        <v>4.1300000000000008</v>
      </c>
      <c r="S390" s="28">
        <f>IFERROR(INDEX('Clean Gamification Data'!$B:$B,MATCH($B390,'Clean Gamification Data'!$A:$A,0)),"Not Found")</f>
        <v>96.009844430000001</v>
      </c>
      <c r="T390" s="28">
        <f>IFERROR(INDEX('Clean Gamification Data'!$C:$C,MATCH($B390,'Clean Gamification Data'!$A:$A,0)),"Not Found")</f>
        <v>68.500841750000006</v>
      </c>
      <c r="U390" s="28">
        <f>IFERROR(INDEX('Clean Gamification Data'!$D:$D,MATCH($B390,'Clean Gamification Data'!$A:$A,0)),"Not Found")</f>
        <v>70</v>
      </c>
      <c r="V390" s="28">
        <f>IFERROR(INDEX('Clean Gamification Data'!$E:$E,MATCH($B390,'Clean Gamification Data'!$A:$A,0)),"Not Found")</f>
        <v>71.139255059999996</v>
      </c>
      <c r="W390" s="28">
        <f>IFERROR(INDEX('Clean Gamification Data'!$F:$F,MATCH($B390,'Clean Gamification Data'!$A:$A,0)),"Not Found")</f>
        <v>85.158875170000002</v>
      </c>
      <c r="X390" s="28">
        <f>IFERROR(INDEX('Clean Gamification Data'!$G:$G,MATCH($B390,'Clean Gamification Data'!$A:$A,0)),"Not Found")</f>
        <v>77.937388249999998</v>
      </c>
      <c r="Y390" s="28">
        <f>IFERROR(INDEX('Clean Gamification Data'!$H:$H,MATCH($B390,'Clean Gamification Data'!$A:$A,0)),"Not Found")</f>
        <v>67.545106270000005</v>
      </c>
      <c r="Z390" s="28">
        <f>IFERROR(INDEX('Clean Gamification Data'!$I:$I,MATCH($B390,'Clean Gamification Data'!$A:$A,0)),"Not Found")</f>
        <v>50</v>
      </c>
      <c r="AA390" s="28">
        <f>Table1[[#This Row],[Engagement (Gamification %)]]-Table1[[#This Row],[Engagement (Non-Gamification %)]]</f>
        <v>27.509002679999995</v>
      </c>
      <c r="AB390" s="28">
        <f>Table1[[#This Row],[Motivation (Gamification %)]]-Table1[[#This Row],[Motivation (Non-Gamification %)]]</f>
        <v>-1.1392550599999964</v>
      </c>
      <c r="AC390" s="28">
        <f>Table1[[#This Row],[Participation (Gamification %)]]-Table1[[#This Row],[Participation (Non-Gamification %)]]</f>
        <v>7.2214869200000038</v>
      </c>
      <c r="AD390" s="28">
        <f>Table1[[#This Row],[Learning Outcomes (Gamification %)]]-Table1[[#This Row],[Learning Outcomes (Non-Gamification %)]]</f>
        <v>17.545106270000005</v>
      </c>
      <c r="AE390" s="44" t="str">
        <f>IF(Table1[[#This Row],[Overall Effectiveness]]&lt;3.9,"Low",IF(Table1[[#This Row],[Overall Effectiveness]]&lt;4.2,"Medium","High"))</f>
        <v>Medium</v>
      </c>
      <c r="AF390" s="30" t="str">
        <f t="shared" si="40"/>
        <v>Lectures</v>
      </c>
      <c r="AG390" s="30" t="str">
        <f t="shared" si="41"/>
        <v>Case Studies</v>
      </c>
      <c r="AH390" s="27">
        <f>COUNTIF(Teacher_Master!$D$2:$D$16,AF390)</f>
        <v>3</v>
      </c>
      <c r="AI390" s="30" t="str">
        <f>INDEX(Teacher_Master!$B$2:$B$16,MATCH(AF390,Teacher_Master!$D$2:$D$16,0))</f>
        <v>Prof. Vikram Gupta</v>
      </c>
    </row>
    <row r="391" spans="1:35" ht="14.25" customHeight="1" x14ac:dyDescent="0.3">
      <c r="A391" s="31" t="s">
        <v>804</v>
      </c>
      <c r="B391" s="31" t="s">
        <v>2358</v>
      </c>
      <c r="C391" s="31" t="s">
        <v>2881</v>
      </c>
      <c r="D391" s="12">
        <f t="shared" ca="1" si="36"/>
        <v>21</v>
      </c>
      <c r="E391" s="12" t="str">
        <f ca="1">IF(Table1[[#This Row],[Age]]&lt;=22,"20-22",IF(Table1[[#This Row],[Age]]&lt;=25,"23-25",IF(Table1[[#This Row],[Age]]&lt;=28,"26-28","29-30")))</f>
        <v>20-22</v>
      </c>
      <c r="F391" s="12">
        <v>3.54</v>
      </c>
      <c r="G391" s="12">
        <v>3.96</v>
      </c>
      <c r="H391" s="12">
        <v>4.12</v>
      </c>
      <c r="I391" s="12">
        <v>3.94</v>
      </c>
      <c r="J391" s="12">
        <v>4.13</v>
      </c>
      <c r="K391" s="12">
        <v>4.43</v>
      </c>
      <c r="L391" s="12">
        <v>4.24</v>
      </c>
      <c r="M391" s="12">
        <v>4.1900000000000004</v>
      </c>
      <c r="N391" s="12">
        <v>3.89</v>
      </c>
      <c r="O391" s="12">
        <v>4.1900000000000004</v>
      </c>
      <c r="P391" s="12">
        <f t="shared" si="37"/>
        <v>3.9380000000000002</v>
      </c>
      <c r="Q391" s="12">
        <f t="shared" si="38"/>
        <v>3.94</v>
      </c>
      <c r="R391" s="12">
        <f t="shared" si="39"/>
        <v>4.1880000000000006</v>
      </c>
      <c r="S391" s="28">
        <f>IFERROR(INDEX('Clean Gamification Data'!$B:$B,MATCH($B391,'Clean Gamification Data'!$A:$A,0)),"Not Found")</f>
        <v>90.366868679999996</v>
      </c>
      <c r="T391" s="28">
        <f>IFERROR(INDEX('Clean Gamification Data'!$C:$C,MATCH($B391,'Clean Gamification Data'!$A:$A,0)),"Not Found")</f>
        <v>72.15187426</v>
      </c>
      <c r="U391" s="28">
        <f>IFERROR(INDEX('Clean Gamification Data'!$D:$D,MATCH($B391,'Clean Gamification Data'!$A:$A,0)),"Not Found")</f>
        <v>70.352880720000002</v>
      </c>
      <c r="V391" s="28">
        <f>IFERROR(INDEX('Clean Gamification Data'!$E:$E,MATCH($B391,'Clean Gamification Data'!$A:$A,0)),"Not Found")</f>
        <v>66.166052870000001</v>
      </c>
      <c r="W391" s="28">
        <f>IFERROR(INDEX('Clean Gamification Data'!$F:$F,MATCH($B391,'Clean Gamification Data'!$A:$A,0)),"Not Found")</f>
        <v>92.889187039999996</v>
      </c>
      <c r="X391" s="28">
        <f>IFERROR(INDEX('Clean Gamification Data'!$G:$G,MATCH($B391,'Clean Gamification Data'!$A:$A,0)),"Not Found")</f>
        <v>74.304690370000003</v>
      </c>
      <c r="Y391" s="28">
        <f>IFERROR(INDEX('Clean Gamification Data'!$H:$H,MATCH($B391,'Clean Gamification Data'!$A:$A,0)),"Not Found")</f>
        <v>65.451230249999995</v>
      </c>
      <c r="Z391" s="28">
        <f>IFERROR(INDEX('Clean Gamification Data'!$I:$I,MATCH($B391,'Clean Gamification Data'!$A:$A,0)),"Not Found")</f>
        <v>61.642961219999997</v>
      </c>
      <c r="AA391" s="28">
        <f>Table1[[#This Row],[Engagement (Gamification %)]]-Table1[[#This Row],[Engagement (Non-Gamification %)]]</f>
        <v>18.214994419999996</v>
      </c>
      <c r="AB391" s="28">
        <f>Table1[[#This Row],[Motivation (Gamification %)]]-Table1[[#This Row],[Motivation (Non-Gamification %)]]</f>
        <v>4.1868278500000002</v>
      </c>
      <c r="AC391" s="28">
        <f>Table1[[#This Row],[Participation (Gamification %)]]-Table1[[#This Row],[Participation (Non-Gamification %)]]</f>
        <v>18.584496669999993</v>
      </c>
      <c r="AD391" s="28">
        <f>Table1[[#This Row],[Learning Outcomes (Gamification %)]]-Table1[[#This Row],[Learning Outcomes (Non-Gamification %)]]</f>
        <v>3.8082690299999982</v>
      </c>
      <c r="AE391" s="44" t="str">
        <f>IF(Table1[[#This Row],[Overall Effectiveness]]&lt;3.9,"Low",IF(Table1[[#This Row],[Overall Effectiveness]]&lt;4.2,"Medium","High"))</f>
        <v>Medium</v>
      </c>
      <c r="AF391" s="30" t="str">
        <f t="shared" si="40"/>
        <v>Online Tutorials</v>
      </c>
      <c r="AG391" s="30" t="str">
        <f t="shared" si="41"/>
        <v>Lectures</v>
      </c>
      <c r="AH391" s="27">
        <f>COUNTIF(Teacher_Master!$D$2:$D$16,AF391)</f>
        <v>3</v>
      </c>
      <c r="AI391" s="30" t="str">
        <f>INDEX(Teacher_Master!$B$2:$B$16,MATCH(AF391,Teacher_Master!$D$2:$D$16,0))</f>
        <v>Prof. Kavita Rao</v>
      </c>
    </row>
    <row r="392" spans="1:35" ht="14.25" customHeight="1" x14ac:dyDescent="0.3">
      <c r="A392" s="31" t="s">
        <v>806</v>
      </c>
      <c r="B392" s="31" t="s">
        <v>2359</v>
      </c>
      <c r="C392" s="31" t="s">
        <v>2882</v>
      </c>
      <c r="D392" s="12">
        <f t="shared" ca="1" si="36"/>
        <v>23</v>
      </c>
      <c r="E392" s="12" t="str">
        <f ca="1">IF(Table1[[#This Row],[Age]]&lt;=22,"20-22",IF(Table1[[#This Row],[Age]]&lt;=25,"23-25",IF(Table1[[#This Row],[Age]]&lt;=28,"26-28","29-30")))</f>
        <v>23-25</v>
      </c>
      <c r="F392" s="12">
        <v>3.67</v>
      </c>
      <c r="G392" s="12">
        <v>3.9</v>
      </c>
      <c r="H392" s="12">
        <v>4.04</v>
      </c>
      <c r="I392" s="12">
        <v>3.5</v>
      </c>
      <c r="J392" s="12">
        <v>3.62</v>
      </c>
      <c r="K392" s="12">
        <v>3.83</v>
      </c>
      <c r="L392" s="12">
        <v>3.95</v>
      </c>
      <c r="M392" s="12">
        <v>3.73</v>
      </c>
      <c r="N392" s="12">
        <v>4.5</v>
      </c>
      <c r="O392" s="12">
        <v>4.4000000000000004</v>
      </c>
      <c r="P392" s="12">
        <f t="shared" si="37"/>
        <v>3.746</v>
      </c>
      <c r="Q392" s="12">
        <f t="shared" si="38"/>
        <v>3.75</v>
      </c>
      <c r="R392" s="12">
        <f t="shared" si="39"/>
        <v>4.081999999999999</v>
      </c>
      <c r="S392" s="28">
        <f>IFERROR(INDEX('Clean Gamification Data'!$B:$B,MATCH($B392,'Clean Gamification Data'!$A:$A,0)),"Not Found")</f>
        <v>89.444041510000005</v>
      </c>
      <c r="T392" s="28">
        <f>IFERROR(INDEX('Clean Gamification Data'!$C:$C,MATCH($B392,'Clean Gamification Data'!$A:$A,0)),"Not Found")</f>
        <v>73.005586579999999</v>
      </c>
      <c r="U392" s="28">
        <f>IFERROR(INDEX('Clean Gamification Data'!$D:$D,MATCH($B392,'Clean Gamification Data'!$A:$A,0)),"Not Found")</f>
        <v>78.345789800000006</v>
      </c>
      <c r="V392" s="28">
        <f>IFERROR(INDEX('Clean Gamification Data'!$E:$E,MATCH($B392,'Clean Gamification Data'!$A:$A,0)),"Not Found")</f>
        <v>55.269655540000002</v>
      </c>
      <c r="W392" s="28">
        <f>IFERROR(INDEX('Clean Gamification Data'!$F:$F,MATCH($B392,'Clean Gamification Data'!$A:$A,0)),"Not Found")</f>
        <v>97.016515459999994</v>
      </c>
      <c r="X392" s="28">
        <f>IFERROR(INDEX('Clean Gamification Data'!$G:$G,MATCH($B392,'Clean Gamification Data'!$A:$A,0)),"Not Found")</f>
        <v>75.632080340000002</v>
      </c>
      <c r="Y392" s="28">
        <f>IFERROR(INDEX('Clean Gamification Data'!$H:$H,MATCH($B392,'Clean Gamification Data'!$A:$A,0)),"Not Found")</f>
        <v>68.106394800000004</v>
      </c>
      <c r="Z392" s="28">
        <f>IFERROR(INDEX('Clean Gamification Data'!$I:$I,MATCH($B392,'Clean Gamification Data'!$A:$A,0)),"Not Found")</f>
        <v>68.772785909999996</v>
      </c>
      <c r="AA392" s="28">
        <f>Table1[[#This Row],[Engagement (Gamification %)]]-Table1[[#This Row],[Engagement (Non-Gamification %)]]</f>
        <v>16.438454930000006</v>
      </c>
      <c r="AB392" s="28">
        <f>Table1[[#This Row],[Motivation (Gamification %)]]-Table1[[#This Row],[Motivation (Non-Gamification %)]]</f>
        <v>23.076134260000003</v>
      </c>
      <c r="AC392" s="28">
        <f>Table1[[#This Row],[Participation (Gamification %)]]-Table1[[#This Row],[Participation (Non-Gamification %)]]</f>
        <v>21.384435119999992</v>
      </c>
      <c r="AD392" s="28">
        <f>Table1[[#This Row],[Learning Outcomes (Gamification %)]]-Table1[[#This Row],[Learning Outcomes (Non-Gamification %)]]</f>
        <v>-0.66639110999999218</v>
      </c>
      <c r="AE392" s="44" t="str">
        <f>IF(Table1[[#This Row],[Overall Effectiveness]]&lt;3.9,"Low",IF(Table1[[#This Row],[Overall Effectiveness]]&lt;4.2,"Medium","High"))</f>
        <v>Low</v>
      </c>
      <c r="AF392" s="30" t="str">
        <f t="shared" si="40"/>
        <v>Group Projects</v>
      </c>
      <c r="AG392" s="30" t="str">
        <f t="shared" si="41"/>
        <v>Experiments</v>
      </c>
      <c r="AH392" s="27">
        <f>COUNTIF(Teacher_Master!$D$2:$D$16,AF392)</f>
        <v>3</v>
      </c>
      <c r="AI392" s="30" t="str">
        <f>INDEX(Teacher_Master!$B$2:$B$16,MATCH(AF392,Teacher_Master!$D$2:$D$16,0))</f>
        <v>Dr. Rohan Dutta</v>
      </c>
    </row>
    <row r="393" spans="1:35" ht="14.25" customHeight="1" x14ac:dyDescent="0.3">
      <c r="A393" s="31" t="s">
        <v>808</v>
      </c>
      <c r="B393" s="31" t="s">
        <v>2360</v>
      </c>
      <c r="C393" s="31" t="s">
        <v>2882</v>
      </c>
      <c r="D393" s="12">
        <f t="shared" ca="1" si="36"/>
        <v>28</v>
      </c>
      <c r="E393" s="12" t="str">
        <f ca="1">IF(Table1[[#This Row],[Age]]&lt;=22,"20-22",IF(Table1[[#This Row],[Age]]&lt;=25,"23-25",IF(Table1[[#This Row],[Age]]&lt;=28,"26-28","29-30")))</f>
        <v>26-28</v>
      </c>
      <c r="F393" s="12">
        <v>3.58</v>
      </c>
      <c r="G393" s="12">
        <v>4.04</v>
      </c>
      <c r="H393" s="12">
        <v>3.63</v>
      </c>
      <c r="I393" s="12">
        <v>3.96</v>
      </c>
      <c r="J393" s="12">
        <v>4.68</v>
      </c>
      <c r="K393" s="12">
        <v>3.77</v>
      </c>
      <c r="L393" s="12">
        <v>3.02</v>
      </c>
      <c r="M393" s="12">
        <v>3.71</v>
      </c>
      <c r="N393" s="12">
        <v>4.24</v>
      </c>
      <c r="O393" s="12">
        <v>3.78</v>
      </c>
      <c r="P393" s="12">
        <f t="shared" si="37"/>
        <v>3.9780000000000002</v>
      </c>
      <c r="Q393" s="12">
        <f t="shared" si="38"/>
        <v>3.98</v>
      </c>
      <c r="R393" s="12">
        <f t="shared" si="39"/>
        <v>3.7039999999999997</v>
      </c>
      <c r="S393" s="28">
        <f>IFERROR(INDEX('Clean Gamification Data'!$B:$B,MATCH($B393,'Clean Gamification Data'!$A:$A,0)),"Not Found")</f>
        <v>86.353246859999999</v>
      </c>
      <c r="T393" s="28">
        <f>IFERROR(INDEX('Clean Gamification Data'!$C:$C,MATCH($B393,'Clean Gamification Data'!$A:$A,0)),"Not Found")</f>
        <v>67.369115379999997</v>
      </c>
      <c r="U393" s="28">
        <f>IFERROR(INDEX('Clean Gamification Data'!$D:$D,MATCH($B393,'Clean Gamification Data'!$A:$A,0)),"Not Found")</f>
        <v>80.133180600000003</v>
      </c>
      <c r="V393" s="28">
        <f>IFERROR(INDEX('Clean Gamification Data'!$E:$E,MATCH($B393,'Clean Gamification Data'!$A:$A,0)),"Not Found")</f>
        <v>55</v>
      </c>
      <c r="W393" s="28">
        <f>IFERROR(INDEX('Clean Gamification Data'!$F:$F,MATCH($B393,'Clean Gamification Data'!$A:$A,0)),"Not Found")</f>
        <v>81.114443469999998</v>
      </c>
      <c r="X393" s="28">
        <f>IFERROR(INDEX('Clean Gamification Data'!$G:$G,MATCH($B393,'Clean Gamification Data'!$A:$A,0)),"Not Found")</f>
        <v>76.658586139999997</v>
      </c>
      <c r="Y393" s="28">
        <f>IFERROR(INDEX('Clean Gamification Data'!$H:$H,MATCH($B393,'Clean Gamification Data'!$A:$A,0)),"Not Found")</f>
        <v>74.625857370000006</v>
      </c>
      <c r="Z393" s="28">
        <f>IFERROR(INDEX('Clean Gamification Data'!$I:$I,MATCH($B393,'Clean Gamification Data'!$A:$A,0)),"Not Found")</f>
        <v>66.760957529999999</v>
      </c>
      <c r="AA393" s="28">
        <f>Table1[[#This Row],[Engagement (Gamification %)]]-Table1[[#This Row],[Engagement (Non-Gamification %)]]</f>
        <v>18.984131480000002</v>
      </c>
      <c r="AB393" s="28">
        <f>Table1[[#This Row],[Motivation (Gamification %)]]-Table1[[#This Row],[Motivation (Non-Gamification %)]]</f>
        <v>25.133180600000003</v>
      </c>
      <c r="AC393" s="28">
        <f>Table1[[#This Row],[Participation (Gamification %)]]-Table1[[#This Row],[Participation (Non-Gamification %)]]</f>
        <v>4.4558573300000006</v>
      </c>
      <c r="AD393" s="28">
        <f>Table1[[#This Row],[Learning Outcomes (Gamification %)]]-Table1[[#This Row],[Learning Outcomes (Non-Gamification %)]]</f>
        <v>7.8648998400000067</v>
      </c>
      <c r="AE393" s="44" t="str">
        <f>IF(Table1[[#This Row],[Overall Effectiveness]]&lt;3.9,"Low",IF(Table1[[#This Row],[Overall Effectiveness]]&lt;4.2,"Medium","High"))</f>
        <v>Medium</v>
      </c>
      <c r="AF393" s="30" t="str">
        <f t="shared" si="40"/>
        <v>Online Tutorials</v>
      </c>
      <c r="AG393" s="30" t="str">
        <f t="shared" si="41"/>
        <v>Experiments</v>
      </c>
      <c r="AH393" s="27">
        <f>COUNTIF(Teacher_Master!$D$2:$D$16,AF393)</f>
        <v>3</v>
      </c>
      <c r="AI393" s="30" t="str">
        <f>INDEX(Teacher_Master!$B$2:$B$16,MATCH(AF393,Teacher_Master!$D$2:$D$16,0))</f>
        <v>Prof. Kavita Rao</v>
      </c>
    </row>
    <row r="394" spans="1:35" ht="14.25" customHeight="1" x14ac:dyDescent="0.3">
      <c r="A394" s="31" t="s">
        <v>810</v>
      </c>
      <c r="B394" s="31" t="s">
        <v>811</v>
      </c>
      <c r="C394" s="31" t="s">
        <v>2881</v>
      </c>
      <c r="D394" s="12">
        <f t="shared" ca="1" si="36"/>
        <v>23</v>
      </c>
      <c r="E394" s="12" t="str">
        <f ca="1">IF(Table1[[#This Row],[Age]]&lt;=22,"20-22",IF(Table1[[#This Row],[Age]]&lt;=25,"23-25",IF(Table1[[#This Row],[Age]]&lt;=28,"26-28","29-30")))</f>
        <v>23-25</v>
      </c>
      <c r="F394" s="12">
        <v>3.73</v>
      </c>
      <c r="G394" s="12">
        <v>3.79</v>
      </c>
      <c r="H394" s="12">
        <v>4.17</v>
      </c>
      <c r="I394" s="12">
        <v>4.58</v>
      </c>
      <c r="J394" s="12">
        <v>4.2699999999999996</v>
      </c>
      <c r="K394" s="12">
        <v>3.94</v>
      </c>
      <c r="L394" s="12">
        <v>4.3899999999999997</v>
      </c>
      <c r="M394" s="12">
        <v>3.97</v>
      </c>
      <c r="N394" s="12">
        <v>3.64</v>
      </c>
      <c r="O394" s="12">
        <v>4.3600000000000003</v>
      </c>
      <c r="P394" s="12">
        <f t="shared" si="37"/>
        <v>4.1079999999999997</v>
      </c>
      <c r="Q394" s="12">
        <f t="shared" si="38"/>
        <v>4.1100000000000003</v>
      </c>
      <c r="R394" s="12">
        <f t="shared" si="39"/>
        <v>4.0600000000000005</v>
      </c>
      <c r="S394" s="28">
        <f>IFERROR(INDEX('Clean Gamification Data'!$B:$B,MATCH($B394,'Clean Gamification Data'!$A:$A,0)),"Not Found")</f>
        <v>93.477440020000003</v>
      </c>
      <c r="T394" s="28">
        <f>IFERROR(INDEX('Clean Gamification Data'!$C:$C,MATCH($B394,'Clean Gamification Data'!$A:$A,0)),"Not Found")</f>
        <v>65.471060949999995</v>
      </c>
      <c r="U394" s="28">
        <f>IFERROR(INDEX('Clean Gamification Data'!$D:$D,MATCH($B394,'Clean Gamification Data'!$A:$A,0)),"Not Found")</f>
        <v>70</v>
      </c>
      <c r="V394" s="28">
        <f>IFERROR(INDEX('Clean Gamification Data'!$E:$E,MATCH($B394,'Clean Gamification Data'!$A:$A,0)),"Not Found")</f>
        <v>66.387337329999994</v>
      </c>
      <c r="W394" s="28">
        <f>IFERROR(INDEX('Clean Gamification Data'!$F:$F,MATCH($B394,'Clean Gamification Data'!$A:$A,0)),"Not Found")</f>
        <v>80.049082209999995</v>
      </c>
      <c r="X394" s="28">
        <f>IFERROR(INDEX('Clean Gamification Data'!$G:$G,MATCH($B394,'Clean Gamification Data'!$A:$A,0)),"Not Found")</f>
        <v>79.538254409999993</v>
      </c>
      <c r="Y394" s="28">
        <f>IFERROR(INDEX('Clean Gamification Data'!$H:$H,MATCH($B394,'Clean Gamification Data'!$A:$A,0)),"Not Found")</f>
        <v>70.710785680000001</v>
      </c>
      <c r="Z394" s="28">
        <f>IFERROR(INDEX('Clean Gamification Data'!$I:$I,MATCH($B394,'Clean Gamification Data'!$A:$A,0)),"Not Found")</f>
        <v>50</v>
      </c>
      <c r="AA394" s="28">
        <f>Table1[[#This Row],[Engagement (Gamification %)]]-Table1[[#This Row],[Engagement (Non-Gamification %)]]</f>
        <v>28.006379070000008</v>
      </c>
      <c r="AB394" s="28">
        <f>Table1[[#This Row],[Motivation (Gamification %)]]-Table1[[#This Row],[Motivation (Non-Gamification %)]]</f>
        <v>3.612662670000006</v>
      </c>
      <c r="AC394" s="28">
        <f>Table1[[#This Row],[Participation (Gamification %)]]-Table1[[#This Row],[Participation (Non-Gamification %)]]</f>
        <v>0.51082780000000128</v>
      </c>
      <c r="AD394" s="28">
        <f>Table1[[#This Row],[Learning Outcomes (Gamification %)]]-Table1[[#This Row],[Learning Outcomes (Non-Gamification %)]]</f>
        <v>20.710785680000001</v>
      </c>
      <c r="AE394" s="44" t="str">
        <f>IF(Table1[[#This Row],[Overall Effectiveness]]&lt;3.9,"Low",IF(Table1[[#This Row],[Overall Effectiveness]]&lt;4.2,"Medium","High"))</f>
        <v>Medium</v>
      </c>
      <c r="AF394" s="30" t="str">
        <f t="shared" si="40"/>
        <v>Experiments</v>
      </c>
      <c r="AG394" s="30" t="str">
        <f t="shared" si="41"/>
        <v>Case Studies</v>
      </c>
      <c r="AH394" s="27">
        <f>COUNTIF(Teacher_Master!$D$2:$D$16,AF394)</f>
        <v>3</v>
      </c>
      <c r="AI394" s="30" t="str">
        <f>INDEX(Teacher_Master!$B$2:$B$16,MATCH(AF394,Teacher_Master!$D$2:$D$16,0))</f>
        <v>Prof. Rahul Singh</v>
      </c>
    </row>
    <row r="395" spans="1:35" ht="14.25" customHeight="1" x14ac:dyDescent="0.3">
      <c r="A395" s="31" t="s">
        <v>812</v>
      </c>
      <c r="B395" s="31" t="s">
        <v>2361</v>
      </c>
      <c r="C395" s="31" t="s">
        <v>2881</v>
      </c>
      <c r="D395" s="12">
        <f t="shared" ca="1" si="36"/>
        <v>25</v>
      </c>
      <c r="E395" s="12" t="str">
        <f ca="1">IF(Table1[[#This Row],[Age]]&lt;=22,"20-22",IF(Table1[[#This Row],[Age]]&lt;=25,"23-25",IF(Table1[[#This Row],[Age]]&lt;=28,"26-28","29-30")))</f>
        <v>23-25</v>
      </c>
      <c r="F395" s="12">
        <v>3.04</v>
      </c>
      <c r="G395" s="12">
        <v>3.94</v>
      </c>
      <c r="H395" s="12">
        <v>3.96</v>
      </c>
      <c r="I395" s="12">
        <v>4.3099999999999996</v>
      </c>
      <c r="J395" s="12">
        <v>4.16</v>
      </c>
      <c r="K395" s="12" t="s">
        <v>211</v>
      </c>
      <c r="L395" s="12">
        <v>4.6399999999999997</v>
      </c>
      <c r="M395" s="12">
        <v>4.13</v>
      </c>
      <c r="N395" s="12">
        <v>3.95</v>
      </c>
      <c r="O395" s="12">
        <v>3.81</v>
      </c>
      <c r="P395" s="12">
        <f t="shared" si="37"/>
        <v>3.8820000000000001</v>
      </c>
      <c r="Q395" s="12">
        <f t="shared" si="38"/>
        <v>3.88</v>
      </c>
      <c r="R395" s="12">
        <f t="shared" si="39"/>
        <v>4.1324999999999994</v>
      </c>
      <c r="S395" s="28">
        <f>IFERROR(INDEX('Clean Gamification Data'!$B:$B,MATCH($B395,'Clean Gamification Data'!$A:$A,0)),"Not Found")</f>
        <v>91.370351499999998</v>
      </c>
      <c r="T395" s="28">
        <f>IFERROR(INDEX('Clean Gamification Data'!$C:$C,MATCH($B395,'Clean Gamification Data'!$A:$A,0)),"Not Found")</f>
        <v>74.757108919999993</v>
      </c>
      <c r="U395" s="28">
        <f>IFERROR(INDEX('Clean Gamification Data'!$D:$D,MATCH($B395,'Clean Gamification Data'!$A:$A,0)),"Not Found")</f>
        <v>89.692979519999994</v>
      </c>
      <c r="V395" s="28">
        <f>IFERROR(INDEX('Clean Gamification Data'!$E:$E,MATCH($B395,'Clean Gamification Data'!$A:$A,0)),"Not Found")</f>
        <v>72.030242279999996</v>
      </c>
      <c r="W395" s="28">
        <f>IFERROR(INDEX('Clean Gamification Data'!$F:$F,MATCH($B395,'Clean Gamification Data'!$A:$A,0)),"Not Found")</f>
        <v>84.621327199999996</v>
      </c>
      <c r="X395" s="28">
        <f>IFERROR(INDEX('Clean Gamification Data'!$G:$G,MATCH($B395,'Clean Gamification Data'!$A:$A,0)),"Not Found")</f>
        <v>83.190676850000003</v>
      </c>
      <c r="Y395" s="28">
        <f>IFERROR(INDEX('Clean Gamification Data'!$H:$H,MATCH($B395,'Clean Gamification Data'!$A:$A,0)),"Not Found")</f>
        <v>70.585506359999997</v>
      </c>
      <c r="Z395" s="28">
        <f>IFERROR(INDEX('Clean Gamification Data'!$I:$I,MATCH($B395,'Clean Gamification Data'!$A:$A,0)),"Not Found")</f>
        <v>65.329390169999996</v>
      </c>
      <c r="AA395" s="28">
        <f>Table1[[#This Row],[Engagement (Gamification %)]]-Table1[[#This Row],[Engagement (Non-Gamification %)]]</f>
        <v>16.613242580000005</v>
      </c>
      <c r="AB395" s="28">
        <f>Table1[[#This Row],[Motivation (Gamification %)]]-Table1[[#This Row],[Motivation (Non-Gamification %)]]</f>
        <v>17.662737239999998</v>
      </c>
      <c r="AC395" s="28">
        <f>Table1[[#This Row],[Participation (Gamification %)]]-Table1[[#This Row],[Participation (Non-Gamification %)]]</f>
        <v>1.4306503499999934</v>
      </c>
      <c r="AD395" s="28">
        <f>Table1[[#This Row],[Learning Outcomes (Gamification %)]]-Table1[[#This Row],[Learning Outcomes (Non-Gamification %)]]</f>
        <v>5.2561161900000002</v>
      </c>
      <c r="AE395" s="44" t="str">
        <f>IF(Table1[[#This Row],[Overall Effectiveness]]&lt;3.9,"Low",IF(Table1[[#This Row],[Overall Effectiveness]]&lt;4.2,"Medium","High"))</f>
        <v>Low</v>
      </c>
      <c r="AF395" s="30" t="str">
        <f t="shared" si="40"/>
        <v>Experiments</v>
      </c>
      <c r="AG395" s="30" t="str">
        <f t="shared" si="41"/>
        <v>Case Studies</v>
      </c>
      <c r="AH395" s="27">
        <f>COUNTIF(Teacher_Master!$D$2:$D$16,AF395)</f>
        <v>3</v>
      </c>
      <c r="AI395" s="30" t="str">
        <f>INDEX(Teacher_Master!$B$2:$B$16,MATCH(AF395,Teacher_Master!$D$2:$D$16,0))</f>
        <v>Prof. Rahul Singh</v>
      </c>
    </row>
    <row r="396" spans="1:35" ht="14.25" customHeight="1" x14ac:dyDescent="0.3">
      <c r="A396" s="31" t="s">
        <v>814</v>
      </c>
      <c r="B396" s="31" t="s">
        <v>2362</v>
      </c>
      <c r="C396" s="31" t="s">
        <v>2882</v>
      </c>
      <c r="D396" s="12">
        <f t="shared" ca="1" si="36"/>
        <v>22</v>
      </c>
      <c r="E396" s="12" t="str">
        <f ca="1">IF(Table1[[#This Row],[Age]]&lt;=22,"20-22",IF(Table1[[#This Row],[Age]]&lt;=25,"23-25",IF(Table1[[#This Row],[Age]]&lt;=28,"26-28","29-30")))</f>
        <v>20-22</v>
      </c>
      <c r="F396" s="12">
        <v>3.37</v>
      </c>
      <c r="G396" s="12">
        <v>3.8</v>
      </c>
      <c r="H396" s="12">
        <v>4.0999999999999996</v>
      </c>
      <c r="I396" s="12">
        <v>4.12</v>
      </c>
      <c r="J396" s="12">
        <v>3.94</v>
      </c>
      <c r="K396" s="12">
        <v>4.1900000000000004</v>
      </c>
      <c r="L396" s="12">
        <v>3.77</v>
      </c>
      <c r="M396" s="12">
        <v>4.3600000000000003</v>
      </c>
      <c r="N396" s="12">
        <v>4.1100000000000003</v>
      </c>
      <c r="O396" s="12">
        <v>4.63</v>
      </c>
      <c r="P396" s="12">
        <f t="shared" si="37"/>
        <v>3.8660000000000005</v>
      </c>
      <c r="Q396" s="12">
        <f t="shared" si="38"/>
        <v>3.87</v>
      </c>
      <c r="R396" s="12">
        <f t="shared" si="39"/>
        <v>4.2119999999999997</v>
      </c>
      <c r="S396" s="28">
        <f>IFERROR(INDEX('Clean Gamification Data'!$B:$B,MATCH($B396,'Clean Gamification Data'!$A:$A,0)),"Not Found")</f>
        <v>78.944414629999997</v>
      </c>
      <c r="T396" s="28">
        <f>IFERROR(INDEX('Clean Gamification Data'!$C:$C,MATCH($B396,'Clean Gamification Data'!$A:$A,0)),"Not Found")</f>
        <v>67.248003429999997</v>
      </c>
      <c r="U396" s="28">
        <f>IFERROR(INDEX('Clean Gamification Data'!$D:$D,MATCH($B396,'Clean Gamification Data'!$A:$A,0)),"Not Found")</f>
        <v>74.973984580000007</v>
      </c>
      <c r="V396" s="28">
        <f>IFERROR(INDEX('Clean Gamification Data'!$E:$E,MATCH($B396,'Clean Gamification Data'!$A:$A,0)),"Not Found")</f>
        <v>58.761500689999998</v>
      </c>
      <c r="W396" s="28">
        <f>IFERROR(INDEX('Clean Gamification Data'!$F:$F,MATCH($B396,'Clean Gamification Data'!$A:$A,0)),"Not Found")</f>
        <v>86.567189240000005</v>
      </c>
      <c r="X396" s="28">
        <f>IFERROR(INDEX('Clean Gamification Data'!$G:$G,MATCH($B396,'Clean Gamification Data'!$A:$A,0)),"Not Found")</f>
        <v>85</v>
      </c>
      <c r="Y396" s="28">
        <f>IFERROR(INDEX('Clean Gamification Data'!$H:$H,MATCH($B396,'Clean Gamification Data'!$A:$A,0)),"Not Found")</f>
        <v>71.760795900000005</v>
      </c>
      <c r="Z396" s="28">
        <f>IFERROR(INDEX('Clean Gamification Data'!$I:$I,MATCH($B396,'Clean Gamification Data'!$A:$A,0)),"Not Found")</f>
        <v>56.156236079999999</v>
      </c>
      <c r="AA396" s="28">
        <f>Table1[[#This Row],[Engagement (Gamification %)]]-Table1[[#This Row],[Engagement (Non-Gamification %)]]</f>
        <v>11.6964112</v>
      </c>
      <c r="AB396" s="28">
        <f>Table1[[#This Row],[Motivation (Gamification %)]]-Table1[[#This Row],[Motivation (Non-Gamification %)]]</f>
        <v>16.212483890000009</v>
      </c>
      <c r="AC396" s="28">
        <f>Table1[[#This Row],[Participation (Gamification %)]]-Table1[[#This Row],[Participation (Non-Gamification %)]]</f>
        <v>1.5671892400000047</v>
      </c>
      <c r="AD396" s="28">
        <f>Table1[[#This Row],[Learning Outcomes (Gamification %)]]-Table1[[#This Row],[Learning Outcomes (Non-Gamification %)]]</f>
        <v>15.604559820000006</v>
      </c>
      <c r="AE396" s="44" t="str">
        <f>IF(Table1[[#This Row],[Overall Effectiveness]]&lt;3.9,"Low",IF(Table1[[#This Row],[Overall Effectiveness]]&lt;4.2,"Medium","High"))</f>
        <v>Low</v>
      </c>
      <c r="AF396" s="30" t="str">
        <f t="shared" si="40"/>
        <v>Experiments</v>
      </c>
      <c r="AG396" s="30" t="str">
        <f t="shared" si="41"/>
        <v>Online Tutorials</v>
      </c>
      <c r="AH396" s="27">
        <f>COUNTIF(Teacher_Master!$D$2:$D$16,AF396)</f>
        <v>3</v>
      </c>
      <c r="AI396" s="30" t="str">
        <f>INDEX(Teacher_Master!$B$2:$B$16,MATCH(AF396,Teacher_Master!$D$2:$D$16,0))</f>
        <v>Prof. Rahul Singh</v>
      </c>
    </row>
    <row r="397" spans="1:35" ht="14.25" customHeight="1" x14ac:dyDescent="0.3">
      <c r="A397" s="31" t="s">
        <v>816</v>
      </c>
      <c r="B397" s="31" t="s">
        <v>817</v>
      </c>
      <c r="C397" s="31" t="s">
        <v>2882</v>
      </c>
      <c r="D397" s="12">
        <f t="shared" ca="1" si="36"/>
        <v>26</v>
      </c>
      <c r="E397" s="12" t="str">
        <f ca="1">IF(Table1[[#This Row],[Age]]&lt;=22,"20-22",IF(Table1[[#This Row],[Age]]&lt;=25,"23-25",IF(Table1[[#This Row],[Age]]&lt;=28,"26-28","29-30")))</f>
        <v>26-28</v>
      </c>
      <c r="F397" s="12">
        <v>3.85</v>
      </c>
      <c r="G397" s="12">
        <v>3.96</v>
      </c>
      <c r="H397" s="12">
        <v>4.3</v>
      </c>
      <c r="I397" s="12">
        <v>4.18</v>
      </c>
      <c r="J397" s="12">
        <v>3.68</v>
      </c>
      <c r="K397" s="12">
        <v>4.09</v>
      </c>
      <c r="L397" s="12">
        <v>4.45</v>
      </c>
      <c r="M397" s="12">
        <v>3.75</v>
      </c>
      <c r="N397" s="12">
        <v>4.1100000000000003</v>
      </c>
      <c r="O397" s="12">
        <v>3.92</v>
      </c>
      <c r="P397" s="12">
        <f t="shared" si="37"/>
        <v>3.9939999999999998</v>
      </c>
      <c r="Q397" s="12">
        <f t="shared" si="38"/>
        <v>3.99</v>
      </c>
      <c r="R397" s="12">
        <f t="shared" si="39"/>
        <v>4.0640000000000001</v>
      </c>
      <c r="S397" s="28">
        <f>IFERROR(INDEX('Clean Gamification Data'!$B:$B,MATCH($B397,'Clean Gamification Data'!$A:$A,0)),"Not Found")</f>
        <v>88.599391589999996</v>
      </c>
      <c r="T397" s="28">
        <f>IFERROR(INDEX('Clean Gamification Data'!$C:$C,MATCH($B397,'Clean Gamification Data'!$A:$A,0)),"Not Found")</f>
        <v>75.624302790000002</v>
      </c>
      <c r="U397" s="28">
        <f>IFERROR(INDEX('Clean Gamification Data'!$D:$D,MATCH($B397,'Clean Gamification Data'!$A:$A,0)),"Not Found")</f>
        <v>70</v>
      </c>
      <c r="V397" s="28">
        <f>IFERROR(INDEX('Clean Gamification Data'!$E:$E,MATCH($B397,'Clean Gamification Data'!$A:$A,0)),"Not Found")</f>
        <v>65.162293869999999</v>
      </c>
      <c r="W397" s="28">
        <f>IFERROR(INDEX('Clean Gamification Data'!$F:$F,MATCH($B397,'Clean Gamification Data'!$A:$A,0)),"Not Found")</f>
        <v>88.719703490000001</v>
      </c>
      <c r="X397" s="28">
        <f>IFERROR(INDEX('Clean Gamification Data'!$G:$G,MATCH($B397,'Clean Gamification Data'!$A:$A,0)),"Not Found")</f>
        <v>80.077963929999996</v>
      </c>
      <c r="Y397" s="28">
        <f>IFERROR(INDEX('Clean Gamification Data'!$H:$H,MATCH($B397,'Clean Gamification Data'!$A:$A,0)),"Not Found")</f>
        <v>65</v>
      </c>
      <c r="Z397" s="28">
        <f>IFERROR(INDEX('Clean Gamification Data'!$I:$I,MATCH($B397,'Clean Gamification Data'!$A:$A,0)),"Not Found")</f>
        <v>57.083330859999997</v>
      </c>
      <c r="AA397" s="28">
        <f>Table1[[#This Row],[Engagement (Gamification %)]]-Table1[[#This Row],[Engagement (Non-Gamification %)]]</f>
        <v>12.975088799999995</v>
      </c>
      <c r="AB397" s="28">
        <f>Table1[[#This Row],[Motivation (Gamification %)]]-Table1[[#This Row],[Motivation (Non-Gamification %)]]</f>
        <v>4.8377061300000008</v>
      </c>
      <c r="AC397" s="28">
        <f>Table1[[#This Row],[Participation (Gamification %)]]-Table1[[#This Row],[Participation (Non-Gamification %)]]</f>
        <v>8.6417395600000049</v>
      </c>
      <c r="AD397" s="28">
        <f>Table1[[#This Row],[Learning Outcomes (Gamification %)]]-Table1[[#This Row],[Learning Outcomes (Non-Gamification %)]]</f>
        <v>7.9166691400000033</v>
      </c>
      <c r="AE397" s="44" t="str">
        <f>IF(Table1[[#This Row],[Overall Effectiveness]]&lt;3.9,"Low",IF(Table1[[#This Row],[Overall Effectiveness]]&lt;4.2,"Medium","High"))</f>
        <v>Medium</v>
      </c>
      <c r="AF397" s="30" t="str">
        <f t="shared" si="40"/>
        <v>Group Projects</v>
      </c>
      <c r="AG397" s="30" t="str">
        <f t="shared" si="41"/>
        <v>Case Studies</v>
      </c>
      <c r="AH397" s="27">
        <f>COUNTIF(Teacher_Master!$D$2:$D$16,AF397)</f>
        <v>3</v>
      </c>
      <c r="AI397" s="30" t="str">
        <f>INDEX(Teacher_Master!$B$2:$B$16,MATCH(AF397,Teacher_Master!$D$2:$D$16,0))</f>
        <v>Dr. Rohan Dutta</v>
      </c>
    </row>
    <row r="398" spans="1:35" ht="14.25" customHeight="1" x14ac:dyDescent="0.3">
      <c r="A398" s="31" t="s">
        <v>818</v>
      </c>
      <c r="B398" s="31" t="s">
        <v>2363</v>
      </c>
      <c r="C398" s="31" t="s">
        <v>2881</v>
      </c>
      <c r="D398" s="12">
        <f t="shared" ca="1" si="36"/>
        <v>26</v>
      </c>
      <c r="E398" s="12" t="str">
        <f ca="1">IF(Table1[[#This Row],[Age]]&lt;=22,"20-22",IF(Table1[[#This Row],[Age]]&lt;=25,"23-25",IF(Table1[[#This Row],[Age]]&lt;=28,"26-28","29-30")))</f>
        <v>26-28</v>
      </c>
      <c r="F398" s="12">
        <v>4</v>
      </c>
      <c r="G398" s="12">
        <v>3.63</v>
      </c>
      <c r="H398" s="12">
        <v>4.1500000000000004</v>
      </c>
      <c r="I398" s="12">
        <v>4.0999999999999996</v>
      </c>
      <c r="J398" s="12">
        <v>4.09</v>
      </c>
      <c r="K398" s="12">
        <v>3.76</v>
      </c>
      <c r="L398" s="12">
        <v>4.1900000000000004</v>
      </c>
      <c r="M398" s="12">
        <v>3.75</v>
      </c>
      <c r="N398" s="12">
        <v>4.49</v>
      </c>
      <c r="O398" s="12">
        <v>3.57</v>
      </c>
      <c r="P398" s="12">
        <f t="shared" si="37"/>
        <v>3.9939999999999998</v>
      </c>
      <c r="Q398" s="12">
        <f t="shared" si="38"/>
        <v>3.99</v>
      </c>
      <c r="R398" s="12">
        <f t="shared" si="39"/>
        <v>3.9519999999999995</v>
      </c>
      <c r="S398" s="28">
        <f>IFERROR(INDEX('Clean Gamification Data'!$B:$B,MATCH($B398,'Clean Gamification Data'!$A:$A,0)),"Not Found")</f>
        <v>84.982365270000003</v>
      </c>
      <c r="T398" s="28">
        <f>IFERROR(INDEX('Clean Gamification Data'!$C:$C,MATCH($B398,'Clean Gamification Data'!$A:$A,0)),"Not Found")</f>
        <v>68.980966629999998</v>
      </c>
      <c r="U398" s="28">
        <f>IFERROR(INDEX('Clean Gamification Data'!$D:$D,MATCH($B398,'Clean Gamification Data'!$A:$A,0)),"Not Found")</f>
        <v>71.727675730000001</v>
      </c>
      <c r="V398" s="28">
        <f>IFERROR(INDEX('Clean Gamification Data'!$E:$E,MATCH($B398,'Clean Gamification Data'!$A:$A,0)),"Not Found")</f>
        <v>71.236943710000006</v>
      </c>
      <c r="W398" s="28">
        <f>IFERROR(INDEX('Clean Gamification Data'!$F:$F,MATCH($B398,'Clean Gamification Data'!$A:$A,0)),"Not Found")</f>
        <v>89.450868909999997</v>
      </c>
      <c r="X398" s="28">
        <f>IFERROR(INDEX('Clean Gamification Data'!$G:$G,MATCH($B398,'Clean Gamification Data'!$A:$A,0)),"Not Found")</f>
        <v>83.373026670000002</v>
      </c>
      <c r="Y398" s="28">
        <f>IFERROR(INDEX('Clean Gamification Data'!$H:$H,MATCH($B398,'Clean Gamification Data'!$A:$A,0)),"Not Found")</f>
        <v>81.339926829999996</v>
      </c>
      <c r="Z398" s="28">
        <f>IFERROR(INDEX('Clean Gamification Data'!$I:$I,MATCH($B398,'Clean Gamification Data'!$A:$A,0)),"Not Found")</f>
        <v>54.774700379999999</v>
      </c>
      <c r="AA398" s="28">
        <f>Table1[[#This Row],[Engagement (Gamification %)]]-Table1[[#This Row],[Engagement (Non-Gamification %)]]</f>
        <v>16.001398640000005</v>
      </c>
      <c r="AB398" s="28">
        <f>Table1[[#This Row],[Motivation (Gamification %)]]-Table1[[#This Row],[Motivation (Non-Gamification %)]]</f>
        <v>0.49073201999999583</v>
      </c>
      <c r="AC398" s="28">
        <f>Table1[[#This Row],[Participation (Gamification %)]]-Table1[[#This Row],[Participation (Non-Gamification %)]]</f>
        <v>6.0778422399999954</v>
      </c>
      <c r="AD398" s="28">
        <f>Table1[[#This Row],[Learning Outcomes (Gamification %)]]-Table1[[#This Row],[Learning Outcomes (Non-Gamification %)]]</f>
        <v>26.565226449999997</v>
      </c>
      <c r="AE398" s="44" t="str">
        <f>IF(Table1[[#This Row],[Overall Effectiveness]]&lt;3.9,"Low",IF(Table1[[#This Row],[Overall Effectiveness]]&lt;4.2,"Medium","High"))</f>
        <v>Medium</v>
      </c>
      <c r="AF398" s="30" t="str">
        <f t="shared" si="40"/>
        <v>Group Projects</v>
      </c>
      <c r="AG398" s="30" t="str">
        <f t="shared" si="41"/>
        <v>Experiments</v>
      </c>
      <c r="AH398" s="27">
        <f>COUNTIF(Teacher_Master!$D$2:$D$16,AF398)</f>
        <v>3</v>
      </c>
      <c r="AI398" s="30" t="str">
        <f>INDEX(Teacher_Master!$B$2:$B$16,MATCH(AF398,Teacher_Master!$D$2:$D$16,0))</f>
        <v>Dr. Rohan Dutta</v>
      </c>
    </row>
    <row r="399" spans="1:35" ht="14.25" customHeight="1" x14ac:dyDescent="0.3">
      <c r="A399" s="31" t="s">
        <v>820</v>
      </c>
      <c r="B399" s="31" t="s">
        <v>821</v>
      </c>
      <c r="C399" s="31" t="s">
        <v>2882</v>
      </c>
      <c r="D399" s="12">
        <f t="shared" ca="1" si="36"/>
        <v>28</v>
      </c>
      <c r="E399" s="12" t="str">
        <f ca="1">IF(Table1[[#This Row],[Age]]&lt;=22,"20-22",IF(Table1[[#This Row],[Age]]&lt;=25,"23-25",IF(Table1[[#This Row],[Age]]&lt;=28,"26-28","29-30")))</f>
        <v>26-28</v>
      </c>
      <c r="F399" s="12">
        <v>3.75</v>
      </c>
      <c r="G399" s="12">
        <v>3.71</v>
      </c>
      <c r="H399" s="12">
        <v>4.42</v>
      </c>
      <c r="I399" s="12">
        <v>4.18</v>
      </c>
      <c r="J399" s="12">
        <v>3.88</v>
      </c>
      <c r="K399" s="12">
        <v>4.42</v>
      </c>
      <c r="L399" s="12">
        <v>3.82</v>
      </c>
      <c r="M399" s="12">
        <v>4.49</v>
      </c>
      <c r="N399" s="12">
        <v>4.32</v>
      </c>
      <c r="O399" s="12">
        <v>4.4400000000000004</v>
      </c>
      <c r="P399" s="12">
        <f t="shared" si="37"/>
        <v>3.9879999999999995</v>
      </c>
      <c r="Q399" s="12">
        <f t="shared" si="38"/>
        <v>3.99</v>
      </c>
      <c r="R399" s="12">
        <f t="shared" si="39"/>
        <v>4.298</v>
      </c>
      <c r="S399" s="28">
        <f>IFERROR(INDEX('Clean Gamification Data'!$B:$B,MATCH($B399,'Clean Gamification Data'!$A:$A,0)),"Not Found")</f>
        <v>76.549250729999997</v>
      </c>
      <c r="T399" s="28">
        <f>IFERROR(INDEX('Clean Gamification Data'!$C:$C,MATCH($B399,'Clean Gamification Data'!$A:$A,0)),"Not Found")</f>
        <v>72.568020259999997</v>
      </c>
      <c r="U399" s="28">
        <f>IFERROR(INDEX('Clean Gamification Data'!$D:$D,MATCH($B399,'Clean Gamification Data'!$A:$A,0)),"Not Found")</f>
        <v>75.277659049999997</v>
      </c>
      <c r="V399" s="28">
        <f>IFERROR(INDEX('Clean Gamification Data'!$E:$E,MATCH($B399,'Clean Gamification Data'!$A:$A,0)),"Not Found")</f>
        <v>69.794694340000007</v>
      </c>
      <c r="W399" s="28">
        <f>IFERROR(INDEX('Clean Gamification Data'!$F:$F,MATCH($B399,'Clean Gamification Data'!$A:$A,0)),"Not Found")</f>
        <v>86.375828659999996</v>
      </c>
      <c r="X399" s="28">
        <f>IFERROR(INDEX('Clean Gamification Data'!$G:$G,MATCH($B399,'Clean Gamification Data'!$A:$A,0)),"Not Found")</f>
        <v>81.024776259999996</v>
      </c>
      <c r="Y399" s="28">
        <f>IFERROR(INDEX('Clean Gamification Data'!$H:$H,MATCH($B399,'Clean Gamification Data'!$A:$A,0)),"Not Found")</f>
        <v>74.661387550000001</v>
      </c>
      <c r="Z399" s="28">
        <f>IFERROR(INDEX('Clean Gamification Data'!$I:$I,MATCH($B399,'Clean Gamification Data'!$A:$A,0)),"Not Found")</f>
        <v>50</v>
      </c>
      <c r="AA399" s="28">
        <f>Table1[[#This Row],[Engagement (Gamification %)]]-Table1[[#This Row],[Engagement (Non-Gamification %)]]</f>
        <v>3.9812304699999999</v>
      </c>
      <c r="AB399" s="28">
        <f>Table1[[#This Row],[Motivation (Gamification %)]]-Table1[[#This Row],[Motivation (Non-Gamification %)]]</f>
        <v>5.4829647099999903</v>
      </c>
      <c r="AC399" s="28">
        <f>Table1[[#This Row],[Participation (Gamification %)]]-Table1[[#This Row],[Participation (Non-Gamification %)]]</f>
        <v>5.3510524000000004</v>
      </c>
      <c r="AD399" s="28">
        <f>Table1[[#This Row],[Learning Outcomes (Gamification %)]]-Table1[[#This Row],[Learning Outcomes (Non-Gamification %)]]</f>
        <v>24.661387550000001</v>
      </c>
      <c r="AE399" s="44" t="str">
        <f>IF(Table1[[#This Row],[Overall Effectiveness]]&lt;3.9,"Low",IF(Table1[[#This Row],[Overall Effectiveness]]&lt;4.2,"Medium","High"))</f>
        <v>Medium</v>
      </c>
      <c r="AF399" s="30" t="str">
        <f t="shared" si="40"/>
        <v>Group Projects</v>
      </c>
      <c r="AG399" s="30" t="str">
        <f t="shared" si="41"/>
        <v>Group Projects</v>
      </c>
      <c r="AH399" s="27">
        <f>COUNTIF(Teacher_Master!$D$2:$D$16,AF399)</f>
        <v>3</v>
      </c>
      <c r="AI399" s="30" t="str">
        <f>INDEX(Teacher_Master!$B$2:$B$16,MATCH(AF399,Teacher_Master!$D$2:$D$16,0))</f>
        <v>Dr. Rohan Dutta</v>
      </c>
    </row>
    <row r="400" spans="1:35" ht="14.25" customHeight="1" x14ac:dyDescent="0.3">
      <c r="A400" s="31" t="s">
        <v>822</v>
      </c>
      <c r="B400" s="31" t="s">
        <v>823</v>
      </c>
      <c r="C400" s="31" t="s">
        <v>2882</v>
      </c>
      <c r="D400" s="12">
        <f t="shared" ca="1" si="36"/>
        <v>20</v>
      </c>
      <c r="E400" s="12" t="str">
        <f ca="1">IF(Table1[[#This Row],[Age]]&lt;=22,"20-22",IF(Table1[[#This Row],[Age]]&lt;=25,"23-25",IF(Table1[[#This Row],[Age]]&lt;=28,"26-28","29-30")))</f>
        <v>20-22</v>
      </c>
      <c r="F400" s="12">
        <v>4.0599999999999996</v>
      </c>
      <c r="G400" s="12">
        <v>3.63</v>
      </c>
      <c r="H400" s="12">
        <v>4.34</v>
      </c>
      <c r="I400" s="12">
        <v>4.2300000000000004</v>
      </c>
      <c r="J400" s="12">
        <v>4.09</v>
      </c>
      <c r="K400" s="12">
        <v>3.87</v>
      </c>
      <c r="L400" s="12">
        <v>3.86</v>
      </c>
      <c r="M400" s="12">
        <v>4.3600000000000003</v>
      </c>
      <c r="N400" s="12">
        <v>4.04</v>
      </c>
      <c r="O400" s="12">
        <v>3.65</v>
      </c>
      <c r="P400" s="12">
        <f t="shared" si="37"/>
        <v>4.0699999999999994</v>
      </c>
      <c r="Q400" s="12">
        <f t="shared" si="38"/>
        <v>4.07</v>
      </c>
      <c r="R400" s="12">
        <f t="shared" si="39"/>
        <v>3.9559999999999995</v>
      </c>
      <c r="S400" s="28">
        <f>IFERROR(INDEX('Clean Gamification Data'!$B:$B,MATCH($B400,'Clean Gamification Data'!$A:$A,0)),"Not Found")</f>
        <v>84.525179210000005</v>
      </c>
      <c r="T400" s="28">
        <f>IFERROR(INDEX('Clean Gamification Data'!$C:$C,MATCH($B400,'Clean Gamification Data'!$A:$A,0)),"Not Found")</f>
        <v>71.144674359999996</v>
      </c>
      <c r="U400" s="28">
        <f>IFERROR(INDEX('Clean Gamification Data'!$D:$D,MATCH($B400,'Clean Gamification Data'!$A:$A,0)),"Not Found")</f>
        <v>81.448381080000004</v>
      </c>
      <c r="V400" s="28">
        <f>IFERROR(INDEX('Clean Gamification Data'!$E:$E,MATCH($B400,'Clean Gamification Data'!$A:$A,0)),"Not Found")</f>
        <v>72.431789109999997</v>
      </c>
      <c r="W400" s="28">
        <f>IFERROR(INDEX('Clean Gamification Data'!$F:$F,MATCH($B400,'Clean Gamification Data'!$A:$A,0)),"Not Found")</f>
        <v>97.234236420000002</v>
      </c>
      <c r="X400" s="28">
        <f>IFERROR(INDEX('Clean Gamification Data'!$G:$G,MATCH($B400,'Clean Gamification Data'!$A:$A,0)),"Not Found")</f>
        <v>76.466239060000007</v>
      </c>
      <c r="Y400" s="28">
        <f>IFERROR(INDEX('Clean Gamification Data'!$H:$H,MATCH($B400,'Clean Gamification Data'!$A:$A,0)),"Not Found")</f>
        <v>66.081812159999998</v>
      </c>
      <c r="Z400" s="28">
        <f>IFERROR(INDEX('Clean Gamification Data'!$I:$I,MATCH($B400,'Clean Gamification Data'!$A:$A,0)),"Not Found")</f>
        <v>55.667123199999999</v>
      </c>
      <c r="AA400" s="28">
        <f>Table1[[#This Row],[Engagement (Gamification %)]]-Table1[[#This Row],[Engagement (Non-Gamification %)]]</f>
        <v>13.380504850000008</v>
      </c>
      <c r="AB400" s="28">
        <f>Table1[[#This Row],[Motivation (Gamification %)]]-Table1[[#This Row],[Motivation (Non-Gamification %)]]</f>
        <v>9.0165919700000074</v>
      </c>
      <c r="AC400" s="28">
        <f>Table1[[#This Row],[Participation (Gamification %)]]-Table1[[#This Row],[Participation (Non-Gamification %)]]</f>
        <v>20.767997359999995</v>
      </c>
      <c r="AD400" s="28">
        <f>Table1[[#This Row],[Learning Outcomes (Gamification %)]]-Table1[[#This Row],[Learning Outcomes (Non-Gamification %)]]</f>
        <v>10.414688959999999</v>
      </c>
      <c r="AE400" s="44" t="str">
        <f>IF(Table1[[#This Row],[Overall Effectiveness]]&lt;3.9,"Low",IF(Table1[[#This Row],[Overall Effectiveness]]&lt;4.2,"Medium","High"))</f>
        <v>Medium</v>
      </c>
      <c r="AF400" s="30" t="str">
        <f t="shared" si="40"/>
        <v>Group Projects</v>
      </c>
      <c r="AG400" s="30" t="str">
        <f t="shared" si="41"/>
        <v>Group Projects</v>
      </c>
      <c r="AH400" s="27">
        <f>COUNTIF(Teacher_Master!$D$2:$D$16,AF400)</f>
        <v>3</v>
      </c>
      <c r="AI400" s="30" t="str">
        <f>INDEX(Teacher_Master!$B$2:$B$16,MATCH(AF400,Teacher_Master!$D$2:$D$16,0))</f>
        <v>Dr. Rohan Dutta</v>
      </c>
    </row>
    <row r="401" spans="1:35" ht="14.25" customHeight="1" x14ac:dyDescent="0.3">
      <c r="A401" s="31" t="s">
        <v>824</v>
      </c>
      <c r="B401" s="31" t="s">
        <v>2364</v>
      </c>
      <c r="C401" s="31" t="s">
        <v>2882</v>
      </c>
      <c r="D401" s="12">
        <f t="shared" ca="1" si="36"/>
        <v>25</v>
      </c>
      <c r="E401" s="12" t="str">
        <f ca="1">IF(Table1[[#This Row],[Age]]&lt;=22,"20-22",IF(Table1[[#This Row],[Age]]&lt;=25,"23-25",IF(Table1[[#This Row],[Age]]&lt;=28,"26-28","29-30")))</f>
        <v>23-25</v>
      </c>
      <c r="F401" s="12">
        <v>3.78</v>
      </c>
      <c r="G401" s="12">
        <v>4.25</v>
      </c>
      <c r="H401" s="12">
        <v>3.88</v>
      </c>
      <c r="I401" s="12">
        <v>3.54</v>
      </c>
      <c r="J401" s="12">
        <v>3.84</v>
      </c>
      <c r="K401" s="12">
        <v>4.08</v>
      </c>
      <c r="L401" s="12">
        <v>3.72</v>
      </c>
      <c r="M401" s="12">
        <v>4.3</v>
      </c>
      <c r="N401" s="12">
        <v>3.04</v>
      </c>
      <c r="O401" s="12">
        <v>3.64</v>
      </c>
      <c r="P401" s="12">
        <f t="shared" si="37"/>
        <v>3.8579999999999997</v>
      </c>
      <c r="Q401" s="12">
        <f t="shared" si="38"/>
        <v>3.86</v>
      </c>
      <c r="R401" s="12">
        <f t="shared" si="39"/>
        <v>3.7560000000000002</v>
      </c>
      <c r="S401" s="28">
        <f>IFERROR(INDEX('Clean Gamification Data'!$B:$B,MATCH($B401,'Clean Gamification Data'!$A:$A,0)),"Not Found")</f>
        <v>86.27492187</v>
      </c>
      <c r="T401" s="28">
        <f>IFERROR(INDEX('Clean Gamification Data'!$C:$C,MATCH($B401,'Clean Gamification Data'!$A:$A,0)),"Not Found")</f>
        <v>62.055951739999998</v>
      </c>
      <c r="U401" s="28">
        <f>IFERROR(INDEX('Clean Gamification Data'!$D:$D,MATCH($B401,'Clean Gamification Data'!$A:$A,0)),"Not Found")</f>
        <v>72.046418209999999</v>
      </c>
      <c r="V401" s="28">
        <f>IFERROR(INDEX('Clean Gamification Data'!$E:$E,MATCH($B401,'Clean Gamification Data'!$A:$A,0)),"Not Found")</f>
        <v>57.925510950000003</v>
      </c>
      <c r="W401" s="28">
        <f>IFERROR(INDEX('Clean Gamification Data'!$F:$F,MATCH($B401,'Clean Gamification Data'!$A:$A,0)),"Not Found")</f>
        <v>87.081416730000001</v>
      </c>
      <c r="X401" s="28">
        <f>IFERROR(INDEX('Clean Gamification Data'!$G:$G,MATCH($B401,'Clean Gamification Data'!$A:$A,0)),"Not Found")</f>
        <v>84.919774910000001</v>
      </c>
      <c r="Y401" s="28">
        <f>IFERROR(INDEX('Clean Gamification Data'!$H:$H,MATCH($B401,'Clean Gamification Data'!$A:$A,0)),"Not Found")</f>
        <v>74.035752029999998</v>
      </c>
      <c r="Z401" s="28">
        <f>IFERROR(INDEX('Clean Gamification Data'!$I:$I,MATCH($B401,'Clean Gamification Data'!$A:$A,0)),"Not Found")</f>
        <v>51.46214715</v>
      </c>
      <c r="AA401" s="28">
        <f>Table1[[#This Row],[Engagement (Gamification %)]]-Table1[[#This Row],[Engagement (Non-Gamification %)]]</f>
        <v>24.218970130000002</v>
      </c>
      <c r="AB401" s="28">
        <f>Table1[[#This Row],[Motivation (Gamification %)]]-Table1[[#This Row],[Motivation (Non-Gamification %)]]</f>
        <v>14.120907259999996</v>
      </c>
      <c r="AC401" s="28">
        <f>Table1[[#This Row],[Participation (Gamification %)]]-Table1[[#This Row],[Participation (Non-Gamification %)]]</f>
        <v>2.1616418199999998</v>
      </c>
      <c r="AD401" s="28">
        <f>Table1[[#This Row],[Learning Outcomes (Gamification %)]]-Table1[[#This Row],[Learning Outcomes (Non-Gamification %)]]</f>
        <v>22.573604879999998</v>
      </c>
      <c r="AE401" s="44" t="str">
        <f>IF(Table1[[#This Row],[Overall Effectiveness]]&lt;3.9,"Low",IF(Table1[[#This Row],[Overall Effectiveness]]&lt;4.2,"Medium","High"))</f>
        <v>Low</v>
      </c>
      <c r="AF401" s="30" t="str">
        <f t="shared" si="40"/>
        <v>Case Studies</v>
      </c>
      <c r="AG401" s="30" t="str">
        <f t="shared" si="41"/>
        <v>Group Projects</v>
      </c>
      <c r="AH401" s="27">
        <f>COUNTIF(Teacher_Master!$D$2:$D$16,AF401)</f>
        <v>3</v>
      </c>
      <c r="AI401" s="30" t="str">
        <f>INDEX(Teacher_Master!$B$2:$B$16,MATCH(AF401,Teacher_Master!$D$2:$D$16,0))</f>
        <v>Prof. Rajesh Mukherjee</v>
      </c>
    </row>
    <row r="402" spans="1:35" ht="14.25" customHeight="1" x14ac:dyDescent="0.3">
      <c r="A402" s="31" t="s">
        <v>826</v>
      </c>
      <c r="B402" s="31" t="s">
        <v>2365</v>
      </c>
      <c r="C402" s="31" t="s">
        <v>2882</v>
      </c>
      <c r="D402" s="12">
        <f t="shared" ca="1" si="36"/>
        <v>22</v>
      </c>
      <c r="E402" s="12" t="str">
        <f ca="1">IF(Table1[[#This Row],[Age]]&lt;=22,"20-22",IF(Table1[[#This Row],[Age]]&lt;=25,"23-25",IF(Table1[[#This Row],[Age]]&lt;=28,"26-28","29-30")))</f>
        <v>20-22</v>
      </c>
      <c r="F402" s="12">
        <v>4.0199999999999996</v>
      </c>
      <c r="G402" s="12">
        <v>4.3899999999999997</v>
      </c>
      <c r="H402" s="12">
        <v>3.88</v>
      </c>
      <c r="I402" s="12">
        <v>3.67</v>
      </c>
      <c r="J402" s="12">
        <v>4.3</v>
      </c>
      <c r="K402" s="12">
        <v>4.26</v>
      </c>
      <c r="L402" s="12">
        <v>3.91</v>
      </c>
      <c r="M402" s="12">
        <v>4.21</v>
      </c>
      <c r="N402" s="12">
        <v>3.79</v>
      </c>
      <c r="O402" s="12">
        <v>4.4400000000000004</v>
      </c>
      <c r="P402" s="12">
        <f t="shared" si="37"/>
        <v>4.0519999999999996</v>
      </c>
      <c r="Q402" s="12">
        <f t="shared" si="38"/>
        <v>4.05</v>
      </c>
      <c r="R402" s="12">
        <f t="shared" si="39"/>
        <v>4.1219999999999999</v>
      </c>
      <c r="S402" s="28">
        <f>IFERROR(INDEX('Clean Gamification Data'!$B:$B,MATCH($B402,'Clean Gamification Data'!$A:$A,0)),"Not Found")</f>
        <v>76.754310480000001</v>
      </c>
      <c r="T402" s="28">
        <f>IFERROR(INDEX('Clean Gamification Data'!$C:$C,MATCH($B402,'Clean Gamification Data'!$A:$A,0)),"Not Found")</f>
        <v>69.446620010000004</v>
      </c>
      <c r="U402" s="28">
        <f>IFERROR(INDEX('Clean Gamification Data'!$D:$D,MATCH($B402,'Clean Gamification Data'!$A:$A,0)),"Not Found")</f>
        <v>81.835656279999995</v>
      </c>
      <c r="V402" s="28">
        <f>IFERROR(INDEX('Clean Gamification Data'!$E:$E,MATCH($B402,'Clean Gamification Data'!$A:$A,0)),"Not Found")</f>
        <v>66.50668503</v>
      </c>
      <c r="W402" s="28">
        <f>IFERROR(INDEX('Clean Gamification Data'!$F:$F,MATCH($B402,'Clean Gamification Data'!$A:$A,0)),"Not Found")</f>
        <v>92.986697239999998</v>
      </c>
      <c r="X402" s="28">
        <f>IFERROR(INDEX('Clean Gamification Data'!$G:$G,MATCH($B402,'Clean Gamification Data'!$A:$A,0)),"Not Found")</f>
        <v>74.855220500000001</v>
      </c>
      <c r="Y402" s="28">
        <f>IFERROR(INDEX('Clean Gamification Data'!$H:$H,MATCH($B402,'Clean Gamification Data'!$A:$A,0)),"Not Found")</f>
        <v>68.722135289999997</v>
      </c>
      <c r="Z402" s="28">
        <f>IFERROR(INDEX('Clean Gamification Data'!$I:$I,MATCH($B402,'Clean Gamification Data'!$A:$A,0)),"Not Found")</f>
        <v>65.869738490000003</v>
      </c>
      <c r="AA402" s="28">
        <f>Table1[[#This Row],[Engagement (Gamification %)]]-Table1[[#This Row],[Engagement (Non-Gamification %)]]</f>
        <v>7.3076904699999972</v>
      </c>
      <c r="AB402" s="28">
        <f>Table1[[#This Row],[Motivation (Gamification %)]]-Table1[[#This Row],[Motivation (Non-Gamification %)]]</f>
        <v>15.328971249999995</v>
      </c>
      <c r="AC402" s="28">
        <f>Table1[[#This Row],[Participation (Gamification %)]]-Table1[[#This Row],[Participation (Non-Gamification %)]]</f>
        <v>18.131476739999997</v>
      </c>
      <c r="AD402" s="28">
        <f>Table1[[#This Row],[Learning Outcomes (Gamification %)]]-Table1[[#This Row],[Learning Outcomes (Non-Gamification %)]]</f>
        <v>2.852396799999994</v>
      </c>
      <c r="AE402" s="44" t="str">
        <f>IF(Table1[[#This Row],[Overall Effectiveness]]&lt;3.9,"Low",IF(Table1[[#This Row],[Overall Effectiveness]]&lt;4.2,"Medium","High"))</f>
        <v>Medium</v>
      </c>
      <c r="AF402" s="30" t="str">
        <f t="shared" si="40"/>
        <v>Case Studies</v>
      </c>
      <c r="AG402" s="30" t="str">
        <f t="shared" si="41"/>
        <v>Online Tutorials</v>
      </c>
      <c r="AH402" s="27">
        <f>COUNTIF(Teacher_Master!$D$2:$D$16,AF402)</f>
        <v>3</v>
      </c>
      <c r="AI402" s="30" t="str">
        <f>INDEX(Teacher_Master!$B$2:$B$16,MATCH(AF402,Teacher_Master!$D$2:$D$16,0))</f>
        <v>Prof. Rajesh Mukherjee</v>
      </c>
    </row>
    <row r="403" spans="1:35" ht="14.25" customHeight="1" x14ac:dyDescent="0.3">
      <c r="A403" s="31" t="s">
        <v>828</v>
      </c>
      <c r="B403" s="31" t="s">
        <v>2366</v>
      </c>
      <c r="C403" s="31" t="s">
        <v>2882</v>
      </c>
      <c r="D403" s="12">
        <f t="shared" ca="1" si="36"/>
        <v>29</v>
      </c>
      <c r="E403" s="12" t="str">
        <f ca="1">IF(Table1[[#This Row],[Age]]&lt;=22,"20-22",IF(Table1[[#This Row],[Age]]&lt;=25,"23-25",IF(Table1[[#This Row],[Age]]&lt;=28,"26-28","29-30")))</f>
        <v>29-30</v>
      </c>
      <c r="F403" s="12">
        <v>4.49</v>
      </c>
      <c r="G403" s="12">
        <v>4.0199999999999996</v>
      </c>
      <c r="H403" s="12">
        <v>4.4000000000000004</v>
      </c>
      <c r="I403" s="12">
        <v>4.03</v>
      </c>
      <c r="J403" s="12">
        <v>4.1100000000000003</v>
      </c>
      <c r="K403" s="12">
        <v>4.13</v>
      </c>
      <c r="L403" s="12" t="s">
        <v>211</v>
      </c>
      <c r="M403" s="12">
        <v>3.86</v>
      </c>
      <c r="N403" s="12">
        <v>3.67</v>
      </c>
      <c r="O403" s="12">
        <v>4.43</v>
      </c>
      <c r="P403" s="12">
        <f t="shared" si="37"/>
        <v>4.21</v>
      </c>
      <c r="Q403" s="12">
        <f t="shared" si="38"/>
        <v>4.21</v>
      </c>
      <c r="R403" s="12">
        <f t="shared" si="39"/>
        <v>4.0225</v>
      </c>
      <c r="S403" s="28">
        <f>IFERROR(INDEX('Clean Gamification Data'!$B:$B,MATCH($B403,'Clean Gamification Data'!$A:$A,0)),"Not Found")</f>
        <v>86.974247719999994</v>
      </c>
      <c r="T403" s="28">
        <f>IFERROR(INDEX('Clean Gamification Data'!$C:$C,MATCH($B403,'Clean Gamification Data'!$A:$A,0)),"Not Found")</f>
        <v>66.867085869999997</v>
      </c>
      <c r="U403" s="28">
        <f>IFERROR(INDEX('Clean Gamification Data'!$D:$D,MATCH($B403,'Clean Gamification Data'!$A:$A,0)),"Not Found")</f>
        <v>76.360185889999997</v>
      </c>
      <c r="V403" s="28">
        <f>IFERROR(INDEX('Clean Gamification Data'!$E:$E,MATCH($B403,'Clean Gamification Data'!$A:$A,0)),"Not Found")</f>
        <v>65.406008130000004</v>
      </c>
      <c r="W403" s="28">
        <f>IFERROR(INDEX('Clean Gamification Data'!$F:$F,MATCH($B403,'Clean Gamification Data'!$A:$A,0)),"Not Found")</f>
        <v>84.714166640000002</v>
      </c>
      <c r="X403" s="28">
        <f>IFERROR(INDEX('Clean Gamification Data'!$G:$G,MATCH($B403,'Clean Gamification Data'!$A:$A,0)),"Not Found")</f>
        <v>75.55979524</v>
      </c>
      <c r="Y403" s="28">
        <f>IFERROR(INDEX('Clean Gamification Data'!$H:$H,MATCH($B403,'Clean Gamification Data'!$A:$A,0)),"Not Found")</f>
        <v>72.483104769999997</v>
      </c>
      <c r="Z403" s="28">
        <f>IFERROR(INDEX('Clean Gamification Data'!$I:$I,MATCH($B403,'Clean Gamification Data'!$A:$A,0)),"Not Found")</f>
        <v>62.316971979999998</v>
      </c>
      <c r="AA403" s="28">
        <f>Table1[[#This Row],[Engagement (Gamification %)]]-Table1[[#This Row],[Engagement (Non-Gamification %)]]</f>
        <v>20.107161849999997</v>
      </c>
      <c r="AB403" s="28">
        <f>Table1[[#This Row],[Motivation (Gamification %)]]-Table1[[#This Row],[Motivation (Non-Gamification %)]]</f>
        <v>10.954177759999993</v>
      </c>
      <c r="AC403" s="28">
        <f>Table1[[#This Row],[Participation (Gamification %)]]-Table1[[#This Row],[Participation (Non-Gamification %)]]</f>
        <v>9.1543714000000023</v>
      </c>
      <c r="AD403" s="28">
        <f>Table1[[#This Row],[Learning Outcomes (Gamification %)]]-Table1[[#This Row],[Learning Outcomes (Non-Gamification %)]]</f>
        <v>10.166132789999999</v>
      </c>
      <c r="AE403" s="44" t="str">
        <f>IF(Table1[[#This Row],[Overall Effectiveness]]&lt;3.9,"Low",IF(Table1[[#This Row],[Overall Effectiveness]]&lt;4.2,"Medium","High"))</f>
        <v>High</v>
      </c>
      <c r="AF403" s="30" t="str">
        <f t="shared" si="40"/>
        <v>Lectures</v>
      </c>
      <c r="AG403" s="30" t="str">
        <f t="shared" si="41"/>
        <v>Online Tutorials</v>
      </c>
      <c r="AH403" s="27">
        <f>COUNTIF(Teacher_Master!$D$2:$D$16,AF403)</f>
        <v>3</v>
      </c>
      <c r="AI403" s="30" t="str">
        <f>INDEX(Teacher_Master!$B$2:$B$16,MATCH(AF403,Teacher_Master!$D$2:$D$16,0))</f>
        <v>Prof. Vikram Gupta</v>
      </c>
    </row>
    <row r="404" spans="1:35" ht="14.25" customHeight="1" x14ac:dyDescent="0.3">
      <c r="A404" s="31" t="s">
        <v>830</v>
      </c>
      <c r="B404" s="31" t="s">
        <v>2367</v>
      </c>
      <c r="C404" s="31" t="s">
        <v>2882</v>
      </c>
      <c r="D404" s="12">
        <f t="shared" ca="1" si="36"/>
        <v>20</v>
      </c>
      <c r="E404" s="12" t="str">
        <f ca="1">IF(Table1[[#This Row],[Age]]&lt;=22,"20-22",IF(Table1[[#This Row],[Age]]&lt;=25,"23-25",IF(Table1[[#This Row],[Age]]&lt;=28,"26-28","29-30")))</f>
        <v>20-22</v>
      </c>
      <c r="F404" s="12">
        <v>4.03</v>
      </c>
      <c r="G404" s="12">
        <v>3.81</v>
      </c>
      <c r="H404" s="12">
        <v>3.92</v>
      </c>
      <c r="I404" s="12">
        <v>3.93</v>
      </c>
      <c r="J404" s="12">
        <v>4.18</v>
      </c>
      <c r="K404" s="12">
        <v>3.82</v>
      </c>
      <c r="L404" s="12">
        <v>3.73</v>
      </c>
      <c r="M404" s="12">
        <v>4.53</v>
      </c>
      <c r="N404" s="12">
        <v>3.93</v>
      </c>
      <c r="O404" s="12">
        <v>4.3899999999999997</v>
      </c>
      <c r="P404" s="12">
        <f t="shared" si="37"/>
        <v>3.9739999999999993</v>
      </c>
      <c r="Q404" s="12">
        <f t="shared" si="38"/>
        <v>3.97</v>
      </c>
      <c r="R404" s="12">
        <f t="shared" si="39"/>
        <v>4.08</v>
      </c>
      <c r="S404" s="28">
        <f>IFERROR(INDEX('Clean Gamification Data'!$B:$B,MATCH($B404,'Clean Gamification Data'!$A:$A,0)),"Not Found")</f>
        <v>87.573075919999994</v>
      </c>
      <c r="T404" s="28">
        <f>IFERROR(INDEX('Clean Gamification Data'!$C:$C,MATCH($B404,'Clean Gamification Data'!$A:$A,0)),"Not Found")</f>
        <v>71.739607340000006</v>
      </c>
      <c r="U404" s="28">
        <f>IFERROR(INDEX('Clean Gamification Data'!$D:$D,MATCH($B404,'Clean Gamification Data'!$A:$A,0)),"Not Found")</f>
        <v>78.908734670000001</v>
      </c>
      <c r="V404" s="28">
        <f>IFERROR(INDEX('Clean Gamification Data'!$E:$E,MATCH($B404,'Clean Gamification Data'!$A:$A,0)),"Not Found")</f>
        <v>64.023512760000003</v>
      </c>
      <c r="W404" s="28">
        <f>IFERROR(INDEX('Clean Gamification Data'!$F:$F,MATCH($B404,'Clean Gamification Data'!$A:$A,0)),"Not Found")</f>
        <v>92.140303000000003</v>
      </c>
      <c r="X404" s="28">
        <f>IFERROR(INDEX('Clean Gamification Data'!$G:$G,MATCH($B404,'Clean Gamification Data'!$A:$A,0)),"Not Found")</f>
        <v>82.108273710000006</v>
      </c>
      <c r="Y404" s="28">
        <f>IFERROR(INDEX('Clean Gamification Data'!$H:$H,MATCH($B404,'Clean Gamification Data'!$A:$A,0)),"Not Found")</f>
        <v>71.654539729999996</v>
      </c>
      <c r="Z404" s="28">
        <f>IFERROR(INDEX('Clean Gamification Data'!$I:$I,MATCH($B404,'Clean Gamification Data'!$A:$A,0)),"Not Found")</f>
        <v>57.073595349999998</v>
      </c>
      <c r="AA404" s="28">
        <f>Table1[[#This Row],[Engagement (Gamification %)]]-Table1[[#This Row],[Engagement (Non-Gamification %)]]</f>
        <v>15.833468579999987</v>
      </c>
      <c r="AB404" s="28">
        <f>Table1[[#This Row],[Motivation (Gamification %)]]-Table1[[#This Row],[Motivation (Non-Gamification %)]]</f>
        <v>14.885221909999999</v>
      </c>
      <c r="AC404" s="28">
        <f>Table1[[#This Row],[Participation (Gamification %)]]-Table1[[#This Row],[Participation (Non-Gamification %)]]</f>
        <v>10.032029289999997</v>
      </c>
      <c r="AD404" s="28">
        <f>Table1[[#This Row],[Learning Outcomes (Gamification %)]]-Table1[[#This Row],[Learning Outcomes (Non-Gamification %)]]</f>
        <v>14.580944379999998</v>
      </c>
      <c r="AE404" s="44" t="str">
        <f>IF(Table1[[#This Row],[Overall Effectiveness]]&lt;3.9,"Low",IF(Table1[[#This Row],[Overall Effectiveness]]&lt;4.2,"Medium","High"))</f>
        <v>Medium</v>
      </c>
      <c r="AF404" s="30" t="str">
        <f t="shared" si="40"/>
        <v>Online Tutorials</v>
      </c>
      <c r="AG404" s="30" t="str">
        <f t="shared" si="41"/>
        <v>Group Projects</v>
      </c>
      <c r="AH404" s="27">
        <f>COUNTIF(Teacher_Master!$D$2:$D$16,AF404)</f>
        <v>3</v>
      </c>
      <c r="AI404" s="30" t="str">
        <f>INDEX(Teacher_Master!$B$2:$B$16,MATCH(AF404,Teacher_Master!$D$2:$D$16,0))</f>
        <v>Prof. Kavita Rao</v>
      </c>
    </row>
    <row r="405" spans="1:35" ht="14.25" customHeight="1" x14ac:dyDescent="0.3">
      <c r="A405" s="31" t="s">
        <v>832</v>
      </c>
      <c r="B405" s="31" t="s">
        <v>833</v>
      </c>
      <c r="C405" s="31" t="s">
        <v>2882</v>
      </c>
      <c r="D405" s="12">
        <f t="shared" ca="1" si="36"/>
        <v>22</v>
      </c>
      <c r="E405" s="12" t="str">
        <f ca="1">IF(Table1[[#This Row],[Age]]&lt;=22,"20-22",IF(Table1[[#This Row],[Age]]&lt;=25,"23-25",IF(Table1[[#This Row],[Age]]&lt;=28,"26-28","29-30")))</f>
        <v>20-22</v>
      </c>
      <c r="F405" s="12">
        <v>4.04</v>
      </c>
      <c r="G405" s="12">
        <v>3.83</v>
      </c>
      <c r="H405" s="12">
        <v>3.54</v>
      </c>
      <c r="I405" s="12">
        <v>3.9</v>
      </c>
      <c r="J405" s="12">
        <v>3.62</v>
      </c>
      <c r="K405" s="12">
        <v>3.92</v>
      </c>
      <c r="L405" s="12">
        <v>4.54</v>
      </c>
      <c r="M405" s="12">
        <v>4.03</v>
      </c>
      <c r="N405" s="12">
        <v>3.9</v>
      </c>
      <c r="O405" s="12">
        <v>3.78</v>
      </c>
      <c r="P405" s="12">
        <f t="shared" si="37"/>
        <v>3.786</v>
      </c>
      <c r="Q405" s="12">
        <f t="shared" si="38"/>
        <v>3.79</v>
      </c>
      <c r="R405" s="12">
        <f t="shared" si="39"/>
        <v>4.0340000000000007</v>
      </c>
      <c r="S405" s="28">
        <f>IFERROR(INDEX('Clean Gamification Data'!$B:$B,MATCH($B405,'Clean Gamification Data'!$A:$A,0)),"Not Found")</f>
        <v>87.292525749999996</v>
      </c>
      <c r="T405" s="28">
        <f>IFERROR(INDEX('Clean Gamification Data'!$C:$C,MATCH($B405,'Clean Gamification Data'!$A:$A,0)),"Not Found")</f>
        <v>72.166463390000004</v>
      </c>
      <c r="U405" s="28">
        <f>IFERROR(INDEX('Clean Gamification Data'!$D:$D,MATCH($B405,'Clean Gamification Data'!$A:$A,0)),"Not Found")</f>
        <v>76.921366820000003</v>
      </c>
      <c r="V405" s="28">
        <f>IFERROR(INDEX('Clean Gamification Data'!$E:$E,MATCH($B405,'Clean Gamification Data'!$A:$A,0)),"Not Found")</f>
        <v>67.692770679999995</v>
      </c>
      <c r="W405" s="28">
        <f>IFERROR(INDEX('Clean Gamification Data'!$F:$F,MATCH($B405,'Clean Gamification Data'!$A:$A,0)),"Not Found")</f>
        <v>89.502661779999997</v>
      </c>
      <c r="X405" s="28">
        <f>IFERROR(INDEX('Clean Gamification Data'!$G:$G,MATCH($B405,'Clean Gamification Data'!$A:$A,0)),"Not Found")</f>
        <v>80.984365819999994</v>
      </c>
      <c r="Y405" s="28">
        <f>IFERROR(INDEX('Clean Gamification Data'!$H:$H,MATCH($B405,'Clean Gamification Data'!$A:$A,0)),"Not Found")</f>
        <v>68.813806720000002</v>
      </c>
      <c r="Z405" s="28">
        <f>IFERROR(INDEX('Clean Gamification Data'!$I:$I,MATCH($B405,'Clean Gamification Data'!$A:$A,0)),"Not Found")</f>
        <v>68.761946269999996</v>
      </c>
      <c r="AA405" s="28">
        <f>Table1[[#This Row],[Engagement (Gamification %)]]-Table1[[#This Row],[Engagement (Non-Gamification %)]]</f>
        <v>15.126062359999992</v>
      </c>
      <c r="AB405" s="28">
        <f>Table1[[#This Row],[Motivation (Gamification %)]]-Table1[[#This Row],[Motivation (Non-Gamification %)]]</f>
        <v>9.2285961400000076</v>
      </c>
      <c r="AC405" s="28">
        <f>Table1[[#This Row],[Participation (Gamification %)]]-Table1[[#This Row],[Participation (Non-Gamification %)]]</f>
        <v>8.5182959600000032</v>
      </c>
      <c r="AD405" s="28">
        <f>Table1[[#This Row],[Learning Outcomes (Gamification %)]]-Table1[[#This Row],[Learning Outcomes (Non-Gamification %)]]</f>
        <v>5.1860450000006608E-2</v>
      </c>
      <c r="AE405" s="44" t="str">
        <f>IF(Table1[[#This Row],[Overall Effectiveness]]&lt;3.9,"Low",IF(Table1[[#This Row],[Overall Effectiveness]]&lt;4.2,"Medium","High"))</f>
        <v>Low</v>
      </c>
      <c r="AF405" s="30" t="str">
        <f t="shared" si="40"/>
        <v>Lectures</v>
      </c>
      <c r="AG405" s="30" t="str">
        <f t="shared" si="41"/>
        <v>Case Studies</v>
      </c>
      <c r="AH405" s="27">
        <f>COUNTIF(Teacher_Master!$D$2:$D$16,AF405)</f>
        <v>3</v>
      </c>
      <c r="AI405" s="30" t="str">
        <f>INDEX(Teacher_Master!$B$2:$B$16,MATCH(AF405,Teacher_Master!$D$2:$D$16,0))</f>
        <v>Prof. Vikram Gupta</v>
      </c>
    </row>
    <row r="406" spans="1:35" ht="14.25" customHeight="1" x14ac:dyDescent="0.3">
      <c r="A406" s="31" t="s">
        <v>834</v>
      </c>
      <c r="B406" s="31" t="s">
        <v>835</v>
      </c>
      <c r="C406" s="31" t="s">
        <v>2881</v>
      </c>
      <c r="D406" s="12">
        <f t="shared" ca="1" si="36"/>
        <v>27</v>
      </c>
      <c r="E406" s="12" t="str">
        <f ca="1">IF(Table1[[#This Row],[Age]]&lt;=22,"20-22",IF(Table1[[#This Row],[Age]]&lt;=25,"23-25",IF(Table1[[#This Row],[Age]]&lt;=28,"26-28","29-30")))</f>
        <v>26-28</v>
      </c>
      <c r="F406" s="12" t="s">
        <v>211</v>
      </c>
      <c r="G406" s="12">
        <v>4.16</v>
      </c>
      <c r="H406" s="12">
        <v>4.2</v>
      </c>
      <c r="I406" s="12">
        <v>4.5199999999999996</v>
      </c>
      <c r="J406" s="12">
        <v>4</v>
      </c>
      <c r="K406" s="12">
        <v>4.4000000000000004</v>
      </c>
      <c r="L406" s="12">
        <v>4.16</v>
      </c>
      <c r="M406" s="12">
        <v>4.01</v>
      </c>
      <c r="N406" s="12">
        <v>3.8</v>
      </c>
      <c r="O406" s="12">
        <v>3.65</v>
      </c>
      <c r="P406" s="12">
        <f t="shared" si="37"/>
        <v>4.22</v>
      </c>
      <c r="Q406" s="12">
        <f t="shared" si="38"/>
        <v>4.22</v>
      </c>
      <c r="R406" s="12">
        <f t="shared" si="39"/>
        <v>4.0039999999999996</v>
      </c>
      <c r="S406" s="28">
        <f>IFERROR(INDEX('Clean Gamification Data'!$B:$B,MATCH($B406,'Clean Gamification Data'!$A:$A,0)),"Not Found")</f>
        <v>80.768962779999995</v>
      </c>
      <c r="T406" s="28">
        <f>IFERROR(INDEX('Clean Gamification Data'!$C:$C,MATCH($B406,'Clean Gamification Data'!$A:$A,0)),"Not Found")</f>
        <v>73.218556989999996</v>
      </c>
      <c r="U406" s="28">
        <f>IFERROR(INDEX('Clean Gamification Data'!$D:$D,MATCH($B406,'Clean Gamification Data'!$A:$A,0)),"Not Found")</f>
        <v>73.545804469999993</v>
      </c>
      <c r="V406" s="28">
        <f>IFERROR(INDEX('Clean Gamification Data'!$E:$E,MATCH($B406,'Clean Gamification Data'!$A:$A,0)),"Not Found")</f>
        <v>64.234566839999999</v>
      </c>
      <c r="W406" s="28">
        <f>IFERROR(INDEX('Clean Gamification Data'!$F:$F,MATCH($B406,'Clean Gamification Data'!$A:$A,0)),"Not Found")</f>
        <v>95.084535380000005</v>
      </c>
      <c r="X406" s="28">
        <f>IFERROR(INDEX('Clean Gamification Data'!$G:$G,MATCH($B406,'Clean Gamification Data'!$A:$A,0)),"Not Found")</f>
        <v>69.505971669999994</v>
      </c>
      <c r="Y406" s="28">
        <f>IFERROR(INDEX('Clean Gamification Data'!$H:$H,MATCH($B406,'Clean Gamification Data'!$A:$A,0)),"Not Found")</f>
        <v>75.589449549999998</v>
      </c>
      <c r="Z406" s="28">
        <f>IFERROR(INDEX('Clean Gamification Data'!$I:$I,MATCH($B406,'Clean Gamification Data'!$A:$A,0)),"Not Found")</f>
        <v>50</v>
      </c>
      <c r="AA406" s="28">
        <f>Table1[[#This Row],[Engagement (Gamification %)]]-Table1[[#This Row],[Engagement (Non-Gamification %)]]</f>
        <v>7.5504057899999992</v>
      </c>
      <c r="AB406" s="28">
        <f>Table1[[#This Row],[Motivation (Gamification %)]]-Table1[[#This Row],[Motivation (Non-Gamification %)]]</f>
        <v>9.3112376299999937</v>
      </c>
      <c r="AC406" s="28">
        <f>Table1[[#This Row],[Participation (Gamification %)]]-Table1[[#This Row],[Participation (Non-Gamification %)]]</f>
        <v>25.578563710000012</v>
      </c>
      <c r="AD406" s="28">
        <f>Table1[[#This Row],[Learning Outcomes (Gamification %)]]-Table1[[#This Row],[Learning Outcomes (Non-Gamification %)]]</f>
        <v>25.589449549999998</v>
      </c>
      <c r="AE406" s="44" t="str">
        <f>IF(Table1[[#This Row],[Overall Effectiveness]]&lt;3.9,"Low",IF(Table1[[#This Row],[Overall Effectiveness]]&lt;4.2,"Medium","High"))</f>
        <v>High</v>
      </c>
      <c r="AF406" s="30" t="str">
        <f t="shared" si="40"/>
        <v>Experiments</v>
      </c>
      <c r="AG406" s="30" t="str">
        <f t="shared" si="41"/>
        <v>Lectures</v>
      </c>
      <c r="AH406" s="27">
        <f>COUNTIF(Teacher_Master!$D$2:$D$16,AF406)</f>
        <v>3</v>
      </c>
      <c r="AI406" s="30" t="str">
        <f>INDEX(Teacher_Master!$B$2:$B$16,MATCH(AF406,Teacher_Master!$D$2:$D$16,0))</f>
        <v>Prof. Rahul Singh</v>
      </c>
    </row>
    <row r="407" spans="1:35" ht="14.25" customHeight="1" x14ac:dyDescent="0.3">
      <c r="A407" s="31" t="s">
        <v>836</v>
      </c>
      <c r="B407" s="31" t="s">
        <v>2368</v>
      </c>
      <c r="C407" s="31" t="s">
        <v>2882</v>
      </c>
      <c r="D407" s="12">
        <f t="shared" ca="1" si="36"/>
        <v>28</v>
      </c>
      <c r="E407" s="12" t="str">
        <f ca="1">IF(Table1[[#This Row],[Age]]&lt;=22,"20-22",IF(Table1[[#This Row],[Age]]&lt;=25,"23-25",IF(Table1[[#This Row],[Age]]&lt;=28,"26-28","29-30")))</f>
        <v>26-28</v>
      </c>
      <c r="F407" s="12">
        <v>4.6900000000000004</v>
      </c>
      <c r="G407" s="12">
        <v>4.13</v>
      </c>
      <c r="H407" s="12">
        <v>3.91</v>
      </c>
      <c r="I407" s="12">
        <v>3.86</v>
      </c>
      <c r="J407" s="12">
        <v>3.41</v>
      </c>
      <c r="K407" s="12">
        <v>4.6500000000000004</v>
      </c>
      <c r="L407" s="12">
        <v>4.28</v>
      </c>
      <c r="M407" s="12">
        <v>4.21</v>
      </c>
      <c r="N407" s="12">
        <v>4.3099999999999996</v>
      </c>
      <c r="O407" s="12">
        <v>3.76</v>
      </c>
      <c r="P407" s="12">
        <f t="shared" si="37"/>
        <v>4</v>
      </c>
      <c r="Q407" s="12">
        <f t="shared" si="38"/>
        <v>4</v>
      </c>
      <c r="R407" s="12">
        <f t="shared" si="39"/>
        <v>4.242</v>
      </c>
      <c r="S407" s="28">
        <f>IFERROR(INDEX('Clean Gamification Data'!$B:$B,MATCH($B407,'Clean Gamification Data'!$A:$A,0)),"Not Found")</f>
        <v>93.321158260000004</v>
      </c>
      <c r="T407" s="28">
        <f>IFERROR(INDEX('Clean Gamification Data'!$C:$C,MATCH($B407,'Clean Gamification Data'!$A:$A,0)),"Not Found")</f>
        <v>68.084870129999999</v>
      </c>
      <c r="U407" s="28">
        <f>IFERROR(INDEX('Clean Gamification Data'!$D:$D,MATCH($B407,'Clean Gamification Data'!$A:$A,0)),"Not Found")</f>
        <v>75.515693470000002</v>
      </c>
      <c r="V407" s="28">
        <f>IFERROR(INDEX('Clean Gamification Data'!$E:$E,MATCH($B407,'Clean Gamification Data'!$A:$A,0)),"Not Found")</f>
        <v>59.474019830000003</v>
      </c>
      <c r="W407" s="28">
        <f>IFERROR(INDEX('Clean Gamification Data'!$F:$F,MATCH($B407,'Clean Gamification Data'!$A:$A,0)),"Not Found")</f>
        <v>83.288192219999999</v>
      </c>
      <c r="X407" s="28">
        <f>IFERROR(INDEX('Clean Gamification Data'!$G:$G,MATCH($B407,'Clean Gamification Data'!$A:$A,0)),"Not Found")</f>
        <v>77.831388050000001</v>
      </c>
      <c r="Y407" s="28">
        <f>IFERROR(INDEX('Clean Gamification Data'!$H:$H,MATCH($B407,'Clean Gamification Data'!$A:$A,0)),"Not Found")</f>
        <v>73.671374599999993</v>
      </c>
      <c r="Z407" s="28">
        <f>IFERROR(INDEX('Clean Gamification Data'!$I:$I,MATCH($B407,'Clean Gamification Data'!$A:$A,0)),"Not Found")</f>
        <v>50</v>
      </c>
      <c r="AA407" s="28">
        <f>Table1[[#This Row],[Engagement (Gamification %)]]-Table1[[#This Row],[Engagement (Non-Gamification %)]]</f>
        <v>25.236288130000005</v>
      </c>
      <c r="AB407" s="28">
        <f>Table1[[#This Row],[Motivation (Gamification %)]]-Table1[[#This Row],[Motivation (Non-Gamification %)]]</f>
        <v>16.041673639999999</v>
      </c>
      <c r="AC407" s="28">
        <f>Table1[[#This Row],[Participation (Gamification %)]]-Table1[[#This Row],[Participation (Non-Gamification %)]]</f>
        <v>5.4568041699999981</v>
      </c>
      <c r="AD407" s="28">
        <f>Table1[[#This Row],[Learning Outcomes (Gamification %)]]-Table1[[#This Row],[Learning Outcomes (Non-Gamification %)]]</f>
        <v>23.671374599999993</v>
      </c>
      <c r="AE407" s="44" t="str">
        <f>IF(Table1[[#This Row],[Overall Effectiveness]]&lt;3.9,"Low",IF(Table1[[#This Row],[Overall Effectiveness]]&lt;4.2,"Medium","High"))</f>
        <v>Medium</v>
      </c>
      <c r="AF407" s="30" t="str">
        <f t="shared" si="40"/>
        <v>Lectures</v>
      </c>
      <c r="AG407" s="30" t="str">
        <f t="shared" si="41"/>
        <v>Lectures</v>
      </c>
      <c r="AH407" s="27">
        <f>COUNTIF(Teacher_Master!$D$2:$D$16,AF407)</f>
        <v>3</v>
      </c>
      <c r="AI407" s="30" t="str">
        <f>INDEX(Teacher_Master!$B$2:$B$16,MATCH(AF407,Teacher_Master!$D$2:$D$16,0))</f>
        <v>Prof. Vikram Gupta</v>
      </c>
    </row>
    <row r="408" spans="1:35" ht="14.25" customHeight="1" x14ac:dyDescent="0.3">
      <c r="A408" s="31" t="s">
        <v>838</v>
      </c>
      <c r="B408" s="31" t="s">
        <v>2369</v>
      </c>
      <c r="C408" s="31" t="s">
        <v>2882</v>
      </c>
      <c r="D408" s="12">
        <f t="shared" ca="1" si="36"/>
        <v>20</v>
      </c>
      <c r="E408" s="12" t="str">
        <f ca="1">IF(Table1[[#This Row],[Age]]&lt;=22,"20-22",IF(Table1[[#This Row],[Age]]&lt;=25,"23-25",IF(Table1[[#This Row],[Age]]&lt;=28,"26-28","29-30")))</f>
        <v>20-22</v>
      </c>
      <c r="F408" s="12" t="s">
        <v>211</v>
      </c>
      <c r="G408" s="12">
        <v>4.05</v>
      </c>
      <c r="H408" s="12">
        <v>4.1100000000000003</v>
      </c>
      <c r="I408" s="12">
        <v>4.0199999999999996</v>
      </c>
      <c r="J408" s="12">
        <v>4.0599999999999996</v>
      </c>
      <c r="K408" s="12">
        <v>4.4400000000000004</v>
      </c>
      <c r="L408" s="12">
        <v>3.89</v>
      </c>
      <c r="M408" s="12">
        <v>4.33</v>
      </c>
      <c r="N408" s="12">
        <v>4.21</v>
      </c>
      <c r="O408" s="12">
        <v>4.3</v>
      </c>
      <c r="P408" s="12">
        <f t="shared" si="37"/>
        <v>4.0599999999999996</v>
      </c>
      <c r="Q408" s="12">
        <f t="shared" si="38"/>
        <v>4.0599999999999996</v>
      </c>
      <c r="R408" s="12">
        <f t="shared" si="39"/>
        <v>4.234</v>
      </c>
      <c r="S408" s="28">
        <f>IFERROR(INDEX('Clean Gamification Data'!$B:$B,MATCH($B408,'Clean Gamification Data'!$A:$A,0)),"Not Found")</f>
        <v>84.327861519999999</v>
      </c>
      <c r="T408" s="28">
        <f>IFERROR(INDEX('Clean Gamification Data'!$C:$C,MATCH($B408,'Clean Gamification Data'!$A:$A,0)),"Not Found")</f>
        <v>62.644346759999998</v>
      </c>
      <c r="U408" s="28">
        <f>IFERROR(INDEX('Clean Gamification Data'!$D:$D,MATCH($B408,'Clean Gamification Data'!$A:$A,0)),"Not Found")</f>
        <v>90</v>
      </c>
      <c r="V408" s="28">
        <f>IFERROR(INDEX('Clean Gamification Data'!$E:$E,MATCH($B408,'Clean Gamification Data'!$A:$A,0)),"Not Found")</f>
        <v>61.320626689999997</v>
      </c>
      <c r="W408" s="28">
        <f>IFERROR(INDEX('Clean Gamification Data'!$F:$F,MATCH($B408,'Clean Gamification Data'!$A:$A,0)),"Not Found")</f>
        <v>99.9</v>
      </c>
      <c r="X408" s="28">
        <f>IFERROR(INDEX('Clean Gamification Data'!$G:$G,MATCH($B408,'Clean Gamification Data'!$A:$A,0)),"Not Found")</f>
        <v>77.151239759999996</v>
      </c>
      <c r="Y408" s="28">
        <f>IFERROR(INDEX('Clean Gamification Data'!$H:$H,MATCH($B408,'Clean Gamification Data'!$A:$A,0)),"Not Found")</f>
        <v>69.501271310000007</v>
      </c>
      <c r="Z408" s="28">
        <f>IFERROR(INDEX('Clean Gamification Data'!$I:$I,MATCH($B408,'Clean Gamification Data'!$A:$A,0)),"Not Found")</f>
        <v>61.549676099999999</v>
      </c>
      <c r="AA408" s="28">
        <f>Table1[[#This Row],[Engagement (Gamification %)]]-Table1[[#This Row],[Engagement (Non-Gamification %)]]</f>
        <v>21.683514760000001</v>
      </c>
      <c r="AB408" s="28">
        <f>Table1[[#This Row],[Motivation (Gamification %)]]-Table1[[#This Row],[Motivation (Non-Gamification %)]]</f>
        <v>28.679373310000003</v>
      </c>
      <c r="AC408" s="28">
        <f>Table1[[#This Row],[Participation (Gamification %)]]-Table1[[#This Row],[Participation (Non-Gamification %)]]</f>
        <v>22.74876024000001</v>
      </c>
      <c r="AD408" s="28">
        <f>Table1[[#This Row],[Learning Outcomes (Gamification %)]]-Table1[[#This Row],[Learning Outcomes (Non-Gamification %)]]</f>
        <v>7.9515952100000078</v>
      </c>
      <c r="AE408" s="44" t="str">
        <f>IF(Table1[[#This Row],[Overall Effectiveness]]&lt;3.9,"Low",IF(Table1[[#This Row],[Overall Effectiveness]]&lt;4.2,"Medium","High"))</f>
        <v>Medium</v>
      </c>
      <c r="AF408" s="30" t="str">
        <f t="shared" si="40"/>
        <v>Group Projects</v>
      </c>
      <c r="AG408" s="30" t="str">
        <f t="shared" si="41"/>
        <v>Lectures</v>
      </c>
      <c r="AH408" s="27">
        <f>COUNTIF(Teacher_Master!$D$2:$D$16,AF408)</f>
        <v>3</v>
      </c>
      <c r="AI408" s="30" t="str">
        <f>INDEX(Teacher_Master!$B$2:$B$16,MATCH(AF408,Teacher_Master!$D$2:$D$16,0))</f>
        <v>Dr. Rohan Dutta</v>
      </c>
    </row>
    <row r="409" spans="1:35" ht="14.25" customHeight="1" x14ac:dyDescent="0.3">
      <c r="A409" s="31" t="s">
        <v>840</v>
      </c>
      <c r="B409" s="31" t="s">
        <v>2370</v>
      </c>
      <c r="C409" s="31" t="s">
        <v>2881</v>
      </c>
      <c r="D409" s="12">
        <f t="shared" ca="1" si="36"/>
        <v>20</v>
      </c>
      <c r="E409" s="12" t="str">
        <f ca="1">IF(Table1[[#This Row],[Age]]&lt;=22,"20-22",IF(Table1[[#This Row],[Age]]&lt;=25,"23-25",IF(Table1[[#This Row],[Age]]&lt;=28,"26-28","29-30")))</f>
        <v>20-22</v>
      </c>
      <c r="F409" s="12">
        <v>3.88</v>
      </c>
      <c r="G409" s="12">
        <v>3.88</v>
      </c>
      <c r="H409" s="12">
        <v>4.42</v>
      </c>
      <c r="I409" s="12">
        <v>4</v>
      </c>
      <c r="J409" s="12">
        <v>4.22</v>
      </c>
      <c r="K409" s="12">
        <v>3.63</v>
      </c>
      <c r="L409" s="12" t="s">
        <v>211</v>
      </c>
      <c r="M409" s="12" t="s">
        <v>211</v>
      </c>
      <c r="N409" s="12">
        <v>4.08</v>
      </c>
      <c r="O409" s="12">
        <v>3.98</v>
      </c>
      <c r="P409" s="12">
        <f t="shared" si="37"/>
        <v>4.08</v>
      </c>
      <c r="Q409" s="12">
        <f t="shared" si="38"/>
        <v>4.08</v>
      </c>
      <c r="R409" s="12">
        <f t="shared" si="39"/>
        <v>3.8966666666666665</v>
      </c>
      <c r="S409" s="28">
        <f>IFERROR(INDEX('Clean Gamification Data'!$B:$B,MATCH($B409,'Clean Gamification Data'!$A:$A,0)),"Not Found")</f>
        <v>87.397047650000005</v>
      </c>
      <c r="T409" s="28">
        <f>IFERROR(INDEX('Clean Gamification Data'!$C:$C,MATCH($B409,'Clean Gamification Data'!$A:$A,0)),"Not Found")</f>
        <v>74.065290910000002</v>
      </c>
      <c r="U409" s="28">
        <f>IFERROR(INDEX('Clean Gamification Data'!$D:$D,MATCH($B409,'Clean Gamification Data'!$A:$A,0)),"Not Found")</f>
        <v>81.114824459999994</v>
      </c>
      <c r="V409" s="28">
        <f>IFERROR(INDEX('Clean Gamification Data'!$E:$E,MATCH($B409,'Clean Gamification Data'!$A:$A,0)),"Not Found")</f>
        <v>64.257538479999994</v>
      </c>
      <c r="W409" s="28">
        <f>IFERROR(INDEX('Clean Gamification Data'!$F:$F,MATCH($B409,'Clean Gamification Data'!$A:$A,0)),"Not Found")</f>
        <v>98.358670040000007</v>
      </c>
      <c r="X409" s="28">
        <f>IFERROR(INDEX('Clean Gamification Data'!$G:$G,MATCH($B409,'Clean Gamification Data'!$A:$A,0)),"Not Found")</f>
        <v>82.553447689999999</v>
      </c>
      <c r="Y409" s="28">
        <f>IFERROR(INDEX('Clean Gamification Data'!$H:$H,MATCH($B409,'Clean Gamification Data'!$A:$A,0)),"Not Found")</f>
        <v>72.735350940000004</v>
      </c>
      <c r="Z409" s="28">
        <f>IFERROR(INDEX('Clean Gamification Data'!$I:$I,MATCH($B409,'Clean Gamification Data'!$A:$A,0)),"Not Found")</f>
        <v>64.645762450000007</v>
      </c>
      <c r="AA409" s="28">
        <f>Table1[[#This Row],[Engagement (Gamification %)]]-Table1[[#This Row],[Engagement (Non-Gamification %)]]</f>
        <v>13.331756740000003</v>
      </c>
      <c r="AB409" s="28">
        <f>Table1[[#This Row],[Motivation (Gamification %)]]-Table1[[#This Row],[Motivation (Non-Gamification %)]]</f>
        <v>16.85728598</v>
      </c>
      <c r="AC409" s="28">
        <f>Table1[[#This Row],[Participation (Gamification %)]]-Table1[[#This Row],[Participation (Non-Gamification %)]]</f>
        <v>15.805222350000008</v>
      </c>
      <c r="AD409" s="28">
        <f>Table1[[#This Row],[Learning Outcomes (Gamification %)]]-Table1[[#This Row],[Learning Outcomes (Non-Gamification %)]]</f>
        <v>8.089588489999997</v>
      </c>
      <c r="AE409" s="44" t="str">
        <f>IF(Table1[[#This Row],[Overall Effectiveness]]&lt;3.9,"Low",IF(Table1[[#This Row],[Overall Effectiveness]]&lt;4.2,"Medium","High"))</f>
        <v>Medium</v>
      </c>
      <c r="AF409" s="30" t="str">
        <f t="shared" si="40"/>
        <v>Group Projects</v>
      </c>
      <c r="AG409" s="30" t="str">
        <f t="shared" si="41"/>
        <v>Experiments</v>
      </c>
      <c r="AH409" s="27">
        <f>COUNTIF(Teacher_Master!$D$2:$D$16,AF409)</f>
        <v>3</v>
      </c>
      <c r="AI409" s="30" t="str">
        <f>INDEX(Teacher_Master!$B$2:$B$16,MATCH(AF409,Teacher_Master!$D$2:$D$16,0))</f>
        <v>Dr. Rohan Dutta</v>
      </c>
    </row>
    <row r="410" spans="1:35" ht="14.25" customHeight="1" x14ac:dyDescent="0.3">
      <c r="A410" s="31" t="s">
        <v>842</v>
      </c>
      <c r="B410" s="31" t="s">
        <v>843</v>
      </c>
      <c r="C410" s="31" t="s">
        <v>2882</v>
      </c>
      <c r="D410" s="12">
        <f t="shared" ca="1" si="36"/>
        <v>23</v>
      </c>
      <c r="E410" s="12" t="str">
        <f ca="1">IF(Table1[[#This Row],[Age]]&lt;=22,"20-22",IF(Table1[[#This Row],[Age]]&lt;=25,"23-25",IF(Table1[[#This Row],[Age]]&lt;=28,"26-28","29-30")))</f>
        <v>23-25</v>
      </c>
      <c r="F410" s="12">
        <v>4.09</v>
      </c>
      <c r="G410" s="12">
        <v>4.34</v>
      </c>
      <c r="H410" s="12">
        <v>3.91</v>
      </c>
      <c r="I410" s="12">
        <v>4.16</v>
      </c>
      <c r="J410" s="12">
        <v>4</v>
      </c>
      <c r="K410" s="12">
        <v>3.66</v>
      </c>
      <c r="L410" s="12" t="s">
        <v>211</v>
      </c>
      <c r="M410" s="12">
        <v>3.47</v>
      </c>
      <c r="N410" s="12">
        <v>3.92</v>
      </c>
      <c r="O410" s="12">
        <v>3.74</v>
      </c>
      <c r="P410" s="12">
        <f t="shared" si="37"/>
        <v>4.0999999999999996</v>
      </c>
      <c r="Q410" s="12">
        <f t="shared" si="38"/>
        <v>4.0999999999999996</v>
      </c>
      <c r="R410" s="12">
        <f t="shared" si="39"/>
        <v>3.6975000000000002</v>
      </c>
      <c r="S410" s="28">
        <f>IFERROR(INDEX('Clean Gamification Data'!$B:$B,MATCH($B410,'Clean Gamification Data'!$A:$A,0)),"Not Found")</f>
        <v>81.285950220000004</v>
      </c>
      <c r="T410" s="28">
        <f>IFERROR(INDEX('Clean Gamification Data'!$C:$C,MATCH($B410,'Clean Gamification Data'!$A:$A,0)),"Not Found")</f>
        <v>76.749404609999999</v>
      </c>
      <c r="U410" s="28">
        <f>IFERROR(INDEX('Clean Gamification Data'!$D:$D,MATCH($B410,'Clean Gamification Data'!$A:$A,0)),"Not Found")</f>
        <v>73.806699989999998</v>
      </c>
      <c r="V410" s="28">
        <f>IFERROR(INDEX('Clean Gamification Data'!$E:$E,MATCH($B410,'Clean Gamification Data'!$A:$A,0)),"Not Found")</f>
        <v>70.328744</v>
      </c>
      <c r="W410" s="28">
        <f>IFERROR(INDEX('Clean Gamification Data'!$F:$F,MATCH($B410,'Clean Gamification Data'!$A:$A,0)),"Not Found")</f>
        <v>93.728862100000001</v>
      </c>
      <c r="X410" s="28">
        <f>IFERROR(INDEX('Clean Gamification Data'!$G:$G,MATCH($B410,'Clean Gamification Data'!$A:$A,0)),"Not Found")</f>
        <v>75.159179879999996</v>
      </c>
      <c r="Y410" s="28">
        <f>IFERROR(INDEX('Clean Gamification Data'!$H:$H,MATCH($B410,'Clean Gamification Data'!$A:$A,0)),"Not Found")</f>
        <v>66.44963104</v>
      </c>
      <c r="Z410" s="28">
        <f>IFERROR(INDEX('Clean Gamification Data'!$I:$I,MATCH($B410,'Clean Gamification Data'!$A:$A,0)),"Not Found")</f>
        <v>66.898870590000001</v>
      </c>
      <c r="AA410" s="28">
        <f>Table1[[#This Row],[Engagement (Gamification %)]]-Table1[[#This Row],[Engagement (Non-Gamification %)]]</f>
        <v>4.5365456100000046</v>
      </c>
      <c r="AB410" s="28">
        <f>Table1[[#This Row],[Motivation (Gamification %)]]-Table1[[#This Row],[Motivation (Non-Gamification %)]]</f>
        <v>3.4779559899999981</v>
      </c>
      <c r="AC410" s="28">
        <f>Table1[[#This Row],[Participation (Gamification %)]]-Table1[[#This Row],[Participation (Non-Gamification %)]]</f>
        <v>18.569682220000004</v>
      </c>
      <c r="AD410" s="28">
        <f>Table1[[#This Row],[Learning Outcomes (Gamification %)]]-Table1[[#This Row],[Learning Outcomes (Non-Gamification %)]]</f>
        <v>-0.44923955000000149</v>
      </c>
      <c r="AE410" s="44" t="str">
        <f>IF(Table1[[#This Row],[Overall Effectiveness]]&lt;3.9,"Low",IF(Table1[[#This Row],[Overall Effectiveness]]&lt;4.2,"Medium","High"))</f>
        <v>Medium</v>
      </c>
      <c r="AF410" s="30" t="str">
        <f t="shared" si="40"/>
        <v>Case Studies</v>
      </c>
      <c r="AG410" s="30" t="str">
        <f t="shared" si="41"/>
        <v>Experiments</v>
      </c>
      <c r="AH410" s="27">
        <f>COUNTIF(Teacher_Master!$D$2:$D$16,AF410)</f>
        <v>3</v>
      </c>
      <c r="AI410" s="30" t="str">
        <f>INDEX(Teacher_Master!$B$2:$B$16,MATCH(AF410,Teacher_Master!$D$2:$D$16,0))</f>
        <v>Prof. Rajesh Mukherjee</v>
      </c>
    </row>
    <row r="411" spans="1:35" ht="14.25" customHeight="1" x14ac:dyDescent="0.3">
      <c r="A411" s="31" t="s">
        <v>844</v>
      </c>
      <c r="B411" s="31" t="s">
        <v>845</v>
      </c>
      <c r="C411" s="31" t="s">
        <v>2882</v>
      </c>
      <c r="D411" s="12">
        <f t="shared" ca="1" si="36"/>
        <v>30</v>
      </c>
      <c r="E411" s="12" t="str">
        <f ca="1">IF(Table1[[#This Row],[Age]]&lt;=22,"20-22",IF(Table1[[#This Row],[Age]]&lt;=25,"23-25",IF(Table1[[#This Row],[Age]]&lt;=28,"26-28","29-30")))</f>
        <v>29-30</v>
      </c>
      <c r="F411" s="12">
        <v>3.8</v>
      </c>
      <c r="G411" s="12">
        <v>4.17</v>
      </c>
      <c r="H411" s="12">
        <v>3.77</v>
      </c>
      <c r="I411" s="12">
        <v>3.84</v>
      </c>
      <c r="J411" s="12">
        <v>4.3600000000000003</v>
      </c>
      <c r="K411" s="12">
        <v>4.3899999999999997</v>
      </c>
      <c r="L411" s="12">
        <v>3.63</v>
      </c>
      <c r="M411" s="12">
        <v>3.81</v>
      </c>
      <c r="N411" s="12">
        <v>4.0999999999999996</v>
      </c>
      <c r="O411" s="12">
        <v>4.22</v>
      </c>
      <c r="P411" s="12">
        <f t="shared" si="37"/>
        <v>3.9880000000000004</v>
      </c>
      <c r="Q411" s="12">
        <f t="shared" si="38"/>
        <v>3.99</v>
      </c>
      <c r="R411" s="12">
        <f t="shared" si="39"/>
        <v>4.0299999999999994</v>
      </c>
      <c r="S411" s="28">
        <f>IFERROR(INDEX('Clean Gamification Data'!$B:$B,MATCH($B411,'Clean Gamification Data'!$A:$A,0)),"Not Found")</f>
        <v>78.611850029999999</v>
      </c>
      <c r="T411" s="28">
        <f>IFERROR(INDEX('Clean Gamification Data'!$C:$C,MATCH($B411,'Clean Gamification Data'!$A:$A,0)),"Not Found")</f>
        <v>80</v>
      </c>
      <c r="U411" s="28">
        <f>IFERROR(INDEX('Clean Gamification Data'!$D:$D,MATCH($B411,'Clean Gamification Data'!$A:$A,0)),"Not Found")</f>
        <v>77.085297949999998</v>
      </c>
      <c r="V411" s="28">
        <f>IFERROR(INDEX('Clean Gamification Data'!$E:$E,MATCH($B411,'Clean Gamification Data'!$A:$A,0)),"Not Found")</f>
        <v>62.81413938</v>
      </c>
      <c r="W411" s="28">
        <f>IFERROR(INDEX('Clean Gamification Data'!$F:$F,MATCH($B411,'Clean Gamification Data'!$A:$A,0)),"Not Found")</f>
        <v>90.305822610000007</v>
      </c>
      <c r="X411" s="28">
        <f>IFERROR(INDEX('Clean Gamification Data'!$G:$G,MATCH($B411,'Clean Gamification Data'!$A:$A,0)),"Not Found")</f>
        <v>84.999772590000006</v>
      </c>
      <c r="Y411" s="28">
        <f>IFERROR(INDEX('Clean Gamification Data'!$H:$H,MATCH($B411,'Clean Gamification Data'!$A:$A,0)),"Not Found")</f>
        <v>73.315144910000001</v>
      </c>
      <c r="Z411" s="28">
        <f>IFERROR(INDEX('Clean Gamification Data'!$I:$I,MATCH($B411,'Clean Gamification Data'!$A:$A,0)),"Not Found")</f>
        <v>63.251600920000001</v>
      </c>
      <c r="AA411" s="28">
        <f>Table1[[#This Row],[Engagement (Gamification %)]]-Table1[[#This Row],[Engagement (Non-Gamification %)]]</f>
        <v>-1.3881499700000006</v>
      </c>
      <c r="AB411" s="28">
        <f>Table1[[#This Row],[Motivation (Gamification %)]]-Table1[[#This Row],[Motivation (Non-Gamification %)]]</f>
        <v>14.271158569999997</v>
      </c>
      <c r="AC411" s="28">
        <f>Table1[[#This Row],[Participation (Gamification %)]]-Table1[[#This Row],[Participation (Non-Gamification %)]]</f>
        <v>5.3060500200000007</v>
      </c>
      <c r="AD411" s="28">
        <f>Table1[[#This Row],[Learning Outcomes (Gamification %)]]-Table1[[#This Row],[Learning Outcomes (Non-Gamification %)]]</f>
        <v>10.063543989999999</v>
      </c>
      <c r="AE411" s="44" t="str">
        <f>IF(Table1[[#This Row],[Overall Effectiveness]]&lt;3.9,"Low",IF(Table1[[#This Row],[Overall Effectiveness]]&lt;4.2,"Medium","High"))</f>
        <v>Medium</v>
      </c>
      <c r="AF411" s="30" t="str">
        <f t="shared" si="40"/>
        <v>Online Tutorials</v>
      </c>
      <c r="AG411" s="30" t="str">
        <f t="shared" si="41"/>
        <v>Lectures</v>
      </c>
      <c r="AH411" s="27">
        <f>COUNTIF(Teacher_Master!$D$2:$D$16,AF411)</f>
        <v>3</v>
      </c>
      <c r="AI411" s="30" t="str">
        <f>INDEX(Teacher_Master!$B$2:$B$16,MATCH(AF411,Teacher_Master!$D$2:$D$16,0))</f>
        <v>Prof. Kavita Rao</v>
      </c>
    </row>
    <row r="412" spans="1:35" ht="14.25" customHeight="1" x14ac:dyDescent="0.3">
      <c r="A412" s="31" t="s">
        <v>846</v>
      </c>
      <c r="B412" s="31" t="s">
        <v>2371</v>
      </c>
      <c r="C412" s="31" t="s">
        <v>2881</v>
      </c>
      <c r="D412" s="12">
        <f t="shared" ca="1" si="36"/>
        <v>29</v>
      </c>
      <c r="E412" s="12" t="str">
        <f ca="1">IF(Table1[[#This Row],[Age]]&lt;=22,"20-22",IF(Table1[[#This Row],[Age]]&lt;=25,"23-25",IF(Table1[[#This Row],[Age]]&lt;=28,"26-28","29-30")))</f>
        <v>29-30</v>
      </c>
      <c r="F412" s="12">
        <v>3.42</v>
      </c>
      <c r="G412" s="12">
        <v>4.3499999999999996</v>
      </c>
      <c r="H412" s="12">
        <v>4.1100000000000003</v>
      </c>
      <c r="I412" s="12">
        <v>3.59</v>
      </c>
      <c r="J412" s="12">
        <v>3.88</v>
      </c>
      <c r="K412" s="12">
        <v>3.98</v>
      </c>
      <c r="L412" s="12">
        <v>4.41</v>
      </c>
      <c r="M412" s="12">
        <v>4.21</v>
      </c>
      <c r="N412" s="12">
        <v>4.01</v>
      </c>
      <c r="O412" s="12">
        <v>3.85</v>
      </c>
      <c r="P412" s="12">
        <f t="shared" si="37"/>
        <v>3.8699999999999997</v>
      </c>
      <c r="Q412" s="12">
        <f t="shared" si="38"/>
        <v>3.87</v>
      </c>
      <c r="R412" s="12">
        <f t="shared" si="39"/>
        <v>4.0920000000000005</v>
      </c>
      <c r="S412" s="28">
        <f>IFERROR(INDEX('Clean Gamification Data'!$B:$B,MATCH($B412,'Clean Gamification Data'!$A:$A,0)),"Not Found")</f>
        <v>87.326583009999993</v>
      </c>
      <c r="T412" s="28">
        <f>IFERROR(INDEX('Clean Gamification Data'!$C:$C,MATCH($B412,'Clean Gamification Data'!$A:$A,0)),"Not Found")</f>
        <v>74.602193869999994</v>
      </c>
      <c r="U412" s="28">
        <f>IFERROR(INDEX('Clean Gamification Data'!$D:$D,MATCH($B412,'Clean Gamification Data'!$A:$A,0)),"Not Found")</f>
        <v>74.747618759999995</v>
      </c>
      <c r="V412" s="28">
        <f>IFERROR(INDEX('Clean Gamification Data'!$E:$E,MATCH($B412,'Clean Gamification Data'!$A:$A,0)),"Not Found")</f>
        <v>74.980963689999996</v>
      </c>
      <c r="W412" s="28">
        <f>IFERROR(INDEX('Clean Gamification Data'!$F:$F,MATCH($B412,'Clean Gamification Data'!$A:$A,0)),"Not Found")</f>
        <v>99.9</v>
      </c>
      <c r="X412" s="28">
        <f>IFERROR(INDEX('Clean Gamification Data'!$G:$G,MATCH($B412,'Clean Gamification Data'!$A:$A,0)),"Not Found")</f>
        <v>77.725370490000003</v>
      </c>
      <c r="Y412" s="28">
        <f>IFERROR(INDEX('Clean Gamification Data'!$H:$H,MATCH($B412,'Clean Gamification Data'!$A:$A,0)),"Not Found")</f>
        <v>73.437276990000001</v>
      </c>
      <c r="Z412" s="28">
        <f>IFERROR(INDEX('Clean Gamification Data'!$I:$I,MATCH($B412,'Clean Gamification Data'!$A:$A,0)),"Not Found")</f>
        <v>56.349755090000002</v>
      </c>
      <c r="AA412" s="28">
        <f>Table1[[#This Row],[Engagement (Gamification %)]]-Table1[[#This Row],[Engagement (Non-Gamification %)]]</f>
        <v>12.72438914</v>
      </c>
      <c r="AB412" s="28">
        <f>Table1[[#This Row],[Motivation (Gamification %)]]-Table1[[#This Row],[Motivation (Non-Gamification %)]]</f>
        <v>-0.23334493000000123</v>
      </c>
      <c r="AC412" s="28">
        <f>Table1[[#This Row],[Participation (Gamification %)]]-Table1[[#This Row],[Participation (Non-Gamification %)]]</f>
        <v>22.174629510000003</v>
      </c>
      <c r="AD412" s="28">
        <f>Table1[[#This Row],[Learning Outcomes (Gamification %)]]-Table1[[#This Row],[Learning Outcomes (Non-Gamification %)]]</f>
        <v>17.087521899999999</v>
      </c>
      <c r="AE412" s="44" t="str">
        <f>IF(Table1[[#This Row],[Overall Effectiveness]]&lt;3.9,"Low",IF(Table1[[#This Row],[Overall Effectiveness]]&lt;4.2,"Medium","High"))</f>
        <v>Low</v>
      </c>
      <c r="AF412" s="30" t="str">
        <f t="shared" si="40"/>
        <v>Case Studies</v>
      </c>
      <c r="AG412" s="30" t="str">
        <f t="shared" si="41"/>
        <v>Case Studies</v>
      </c>
      <c r="AH412" s="27">
        <f>COUNTIF(Teacher_Master!$D$2:$D$16,AF412)</f>
        <v>3</v>
      </c>
      <c r="AI412" s="30" t="str">
        <f>INDEX(Teacher_Master!$B$2:$B$16,MATCH(AF412,Teacher_Master!$D$2:$D$16,0))</f>
        <v>Prof. Rajesh Mukherjee</v>
      </c>
    </row>
    <row r="413" spans="1:35" ht="14.25" customHeight="1" x14ac:dyDescent="0.3">
      <c r="A413" s="31" t="s">
        <v>848</v>
      </c>
      <c r="B413" s="31" t="s">
        <v>2372</v>
      </c>
      <c r="C413" s="31" t="s">
        <v>2882</v>
      </c>
      <c r="D413" s="12">
        <f t="shared" ca="1" si="36"/>
        <v>30</v>
      </c>
      <c r="E413" s="12" t="str">
        <f ca="1">IF(Table1[[#This Row],[Age]]&lt;=22,"20-22",IF(Table1[[#This Row],[Age]]&lt;=25,"23-25",IF(Table1[[#This Row],[Age]]&lt;=28,"26-28","29-30")))</f>
        <v>29-30</v>
      </c>
      <c r="F413" s="12">
        <v>4.1100000000000003</v>
      </c>
      <c r="G413" s="12">
        <v>3.39</v>
      </c>
      <c r="H413" s="12">
        <v>3.77</v>
      </c>
      <c r="I413" s="12">
        <v>4.22</v>
      </c>
      <c r="J413" s="12">
        <v>3.35</v>
      </c>
      <c r="K413" s="12">
        <v>4.3099999999999996</v>
      </c>
      <c r="L413" s="12">
        <v>4.6399999999999997</v>
      </c>
      <c r="M413" s="12">
        <v>3.59</v>
      </c>
      <c r="N413" s="12">
        <v>3.97</v>
      </c>
      <c r="O413" s="12">
        <v>4.5999999999999996</v>
      </c>
      <c r="P413" s="12">
        <f t="shared" si="37"/>
        <v>3.7679999999999998</v>
      </c>
      <c r="Q413" s="12">
        <f t="shared" si="38"/>
        <v>3.77</v>
      </c>
      <c r="R413" s="12">
        <f t="shared" si="39"/>
        <v>4.2219999999999995</v>
      </c>
      <c r="S413" s="28">
        <f>IFERROR(INDEX('Clean Gamification Data'!$B:$B,MATCH($B413,'Clean Gamification Data'!$A:$A,0)),"Not Found")</f>
        <v>92.356006949999994</v>
      </c>
      <c r="T413" s="28">
        <f>IFERROR(INDEX('Clean Gamification Data'!$C:$C,MATCH($B413,'Clean Gamification Data'!$A:$A,0)),"Not Found")</f>
        <v>61.05852222</v>
      </c>
      <c r="U413" s="28">
        <f>IFERROR(INDEX('Clean Gamification Data'!$D:$D,MATCH($B413,'Clean Gamification Data'!$A:$A,0)),"Not Found")</f>
        <v>70.131746109999995</v>
      </c>
      <c r="V413" s="28">
        <f>IFERROR(INDEX('Clean Gamification Data'!$E:$E,MATCH($B413,'Clean Gamification Data'!$A:$A,0)),"Not Found")</f>
        <v>69.703452999999996</v>
      </c>
      <c r="W413" s="28">
        <f>IFERROR(INDEX('Clean Gamification Data'!$F:$F,MATCH($B413,'Clean Gamification Data'!$A:$A,0)),"Not Found")</f>
        <v>96.631699600000005</v>
      </c>
      <c r="X413" s="28">
        <f>IFERROR(INDEX('Clean Gamification Data'!$G:$G,MATCH($B413,'Clean Gamification Data'!$A:$A,0)),"Not Found")</f>
        <v>71.440885600000001</v>
      </c>
      <c r="Y413" s="28">
        <f>IFERROR(INDEX('Clean Gamification Data'!$H:$H,MATCH($B413,'Clean Gamification Data'!$A:$A,0)),"Not Found")</f>
        <v>74.59865112</v>
      </c>
      <c r="Z413" s="28">
        <f>IFERROR(INDEX('Clean Gamification Data'!$I:$I,MATCH($B413,'Clean Gamification Data'!$A:$A,0)),"Not Found")</f>
        <v>63.476242599999999</v>
      </c>
      <c r="AA413" s="28">
        <f>Table1[[#This Row],[Engagement (Gamification %)]]-Table1[[#This Row],[Engagement (Non-Gamification %)]]</f>
        <v>31.297484729999994</v>
      </c>
      <c r="AB413" s="28">
        <f>Table1[[#This Row],[Motivation (Gamification %)]]-Table1[[#This Row],[Motivation (Non-Gamification %)]]</f>
        <v>0.42829310999999848</v>
      </c>
      <c r="AC413" s="28">
        <f>Table1[[#This Row],[Participation (Gamification %)]]-Table1[[#This Row],[Participation (Non-Gamification %)]]</f>
        <v>25.190814000000003</v>
      </c>
      <c r="AD413" s="28">
        <f>Table1[[#This Row],[Learning Outcomes (Gamification %)]]-Table1[[#This Row],[Learning Outcomes (Non-Gamification %)]]</f>
        <v>11.12240852</v>
      </c>
      <c r="AE413" s="44" t="str">
        <f>IF(Table1[[#This Row],[Overall Effectiveness]]&lt;3.9,"Low",IF(Table1[[#This Row],[Overall Effectiveness]]&lt;4.2,"Medium","High"))</f>
        <v>Low</v>
      </c>
      <c r="AF413" s="30" t="str">
        <f t="shared" si="40"/>
        <v>Experiments</v>
      </c>
      <c r="AG413" s="30" t="str">
        <f t="shared" si="41"/>
        <v>Case Studies</v>
      </c>
      <c r="AH413" s="27">
        <f>COUNTIF(Teacher_Master!$D$2:$D$16,AF413)</f>
        <v>3</v>
      </c>
      <c r="AI413" s="30" t="str">
        <f>INDEX(Teacher_Master!$B$2:$B$16,MATCH(AF413,Teacher_Master!$D$2:$D$16,0))</f>
        <v>Prof. Rahul Singh</v>
      </c>
    </row>
    <row r="414" spans="1:35" ht="14.25" customHeight="1" x14ac:dyDescent="0.3">
      <c r="A414" s="31" t="s">
        <v>850</v>
      </c>
      <c r="B414" s="31" t="s">
        <v>2373</v>
      </c>
      <c r="C414" s="31" t="s">
        <v>2882</v>
      </c>
      <c r="D414" s="12">
        <f t="shared" ca="1" si="36"/>
        <v>24</v>
      </c>
      <c r="E414" s="12" t="str">
        <f ca="1">IF(Table1[[#This Row],[Age]]&lt;=22,"20-22",IF(Table1[[#This Row],[Age]]&lt;=25,"23-25",IF(Table1[[#This Row],[Age]]&lt;=28,"26-28","29-30")))</f>
        <v>23-25</v>
      </c>
      <c r="F414" s="12">
        <v>4.2699999999999996</v>
      </c>
      <c r="G414" s="12">
        <v>4.55</v>
      </c>
      <c r="H414" s="12">
        <v>3.86</v>
      </c>
      <c r="I414" s="12">
        <v>3.89</v>
      </c>
      <c r="J414" s="12">
        <v>3.84</v>
      </c>
      <c r="K414" s="12">
        <v>3.96</v>
      </c>
      <c r="L414" s="12">
        <v>4.0999999999999996</v>
      </c>
      <c r="M414" s="12">
        <v>4.53</v>
      </c>
      <c r="N414" s="12">
        <v>3.74</v>
      </c>
      <c r="O414" s="12">
        <v>4.43</v>
      </c>
      <c r="P414" s="12">
        <f t="shared" si="37"/>
        <v>4.0819999999999999</v>
      </c>
      <c r="Q414" s="12">
        <f t="shared" si="38"/>
        <v>4.08</v>
      </c>
      <c r="R414" s="12">
        <f t="shared" si="39"/>
        <v>4.1519999999999992</v>
      </c>
      <c r="S414" s="28">
        <f>IFERROR(INDEX('Clean Gamification Data'!$B:$B,MATCH($B414,'Clean Gamification Data'!$A:$A,0)),"Not Found")</f>
        <v>87.368923440000003</v>
      </c>
      <c r="T414" s="28">
        <f>IFERROR(INDEX('Clean Gamification Data'!$C:$C,MATCH($B414,'Clean Gamification Data'!$A:$A,0)),"Not Found")</f>
        <v>66.778660380000005</v>
      </c>
      <c r="U414" s="28">
        <f>IFERROR(INDEX('Clean Gamification Data'!$D:$D,MATCH($B414,'Clean Gamification Data'!$A:$A,0)),"Not Found")</f>
        <v>72.637570460000006</v>
      </c>
      <c r="V414" s="28">
        <f>IFERROR(INDEX('Clean Gamification Data'!$E:$E,MATCH($B414,'Clean Gamification Data'!$A:$A,0)),"Not Found")</f>
        <v>66.005057609999994</v>
      </c>
      <c r="W414" s="28">
        <f>IFERROR(INDEX('Clean Gamification Data'!$F:$F,MATCH($B414,'Clean Gamification Data'!$A:$A,0)),"Not Found")</f>
        <v>96.458358529999998</v>
      </c>
      <c r="X414" s="28">
        <f>IFERROR(INDEX('Clean Gamification Data'!$G:$G,MATCH($B414,'Clean Gamification Data'!$A:$A,0)),"Not Found")</f>
        <v>77.953047060000003</v>
      </c>
      <c r="Y414" s="28">
        <f>IFERROR(INDEX('Clean Gamification Data'!$H:$H,MATCH($B414,'Clean Gamification Data'!$A:$A,0)),"Not Found")</f>
        <v>79.084484200000006</v>
      </c>
      <c r="Z414" s="28">
        <f>IFERROR(INDEX('Clean Gamification Data'!$I:$I,MATCH($B414,'Clean Gamification Data'!$A:$A,0)),"Not Found")</f>
        <v>59.336159090000002</v>
      </c>
      <c r="AA414" s="28">
        <f>Table1[[#This Row],[Engagement (Gamification %)]]-Table1[[#This Row],[Engagement (Non-Gamification %)]]</f>
        <v>20.590263059999998</v>
      </c>
      <c r="AB414" s="28">
        <f>Table1[[#This Row],[Motivation (Gamification %)]]-Table1[[#This Row],[Motivation (Non-Gamification %)]]</f>
        <v>6.6325128500000119</v>
      </c>
      <c r="AC414" s="28">
        <f>Table1[[#This Row],[Participation (Gamification %)]]-Table1[[#This Row],[Participation (Non-Gamification %)]]</f>
        <v>18.505311469999995</v>
      </c>
      <c r="AD414" s="28">
        <f>Table1[[#This Row],[Learning Outcomes (Gamification %)]]-Table1[[#This Row],[Learning Outcomes (Non-Gamification %)]]</f>
        <v>19.748325110000003</v>
      </c>
      <c r="AE414" s="44" t="str">
        <f>IF(Table1[[#This Row],[Overall Effectiveness]]&lt;3.9,"Low",IF(Table1[[#This Row],[Overall Effectiveness]]&lt;4.2,"Medium","High"))</f>
        <v>Medium</v>
      </c>
      <c r="AF414" s="30" t="str">
        <f t="shared" si="40"/>
        <v>Case Studies</v>
      </c>
      <c r="AG414" s="30" t="str">
        <f t="shared" si="41"/>
        <v>Group Projects</v>
      </c>
      <c r="AH414" s="27">
        <f>COUNTIF(Teacher_Master!$D$2:$D$16,AF414)</f>
        <v>3</v>
      </c>
      <c r="AI414" s="30" t="str">
        <f>INDEX(Teacher_Master!$B$2:$B$16,MATCH(AF414,Teacher_Master!$D$2:$D$16,0))</f>
        <v>Prof. Rajesh Mukherjee</v>
      </c>
    </row>
    <row r="415" spans="1:35" ht="14.25" customHeight="1" x14ac:dyDescent="0.3">
      <c r="A415" s="31" t="s">
        <v>852</v>
      </c>
      <c r="B415" s="31" t="s">
        <v>2374</v>
      </c>
      <c r="C415" s="31" t="s">
        <v>2882</v>
      </c>
      <c r="D415" s="12">
        <f t="shared" ca="1" si="36"/>
        <v>29</v>
      </c>
      <c r="E415" s="12" t="str">
        <f ca="1">IF(Table1[[#This Row],[Age]]&lt;=22,"20-22",IF(Table1[[#This Row],[Age]]&lt;=25,"23-25",IF(Table1[[#This Row],[Age]]&lt;=28,"26-28","29-30")))</f>
        <v>29-30</v>
      </c>
      <c r="F415" s="12">
        <v>3.61</v>
      </c>
      <c r="G415" s="12">
        <v>4.04</v>
      </c>
      <c r="H415" s="12">
        <v>3.98</v>
      </c>
      <c r="I415" s="12">
        <v>3.75</v>
      </c>
      <c r="J415" s="12">
        <v>4.2699999999999996</v>
      </c>
      <c r="K415" s="12">
        <v>3.75</v>
      </c>
      <c r="L415" s="12">
        <v>4.1900000000000004</v>
      </c>
      <c r="M415" s="12">
        <v>4.21</v>
      </c>
      <c r="N415" s="12">
        <v>4.58</v>
      </c>
      <c r="O415" s="12">
        <v>4.16</v>
      </c>
      <c r="P415" s="12">
        <f t="shared" si="37"/>
        <v>3.9299999999999997</v>
      </c>
      <c r="Q415" s="12">
        <f t="shared" si="38"/>
        <v>3.93</v>
      </c>
      <c r="R415" s="12">
        <f t="shared" si="39"/>
        <v>4.1779999999999999</v>
      </c>
      <c r="S415" s="28">
        <f>IFERROR(INDEX('Clean Gamification Data'!$B:$B,MATCH($B415,'Clean Gamification Data'!$A:$A,0)),"Not Found")</f>
        <v>92.628325439999998</v>
      </c>
      <c r="T415" s="28">
        <f>IFERROR(INDEX('Clean Gamification Data'!$C:$C,MATCH($B415,'Clean Gamification Data'!$A:$A,0)),"Not Found")</f>
        <v>64.061164210000001</v>
      </c>
      <c r="U415" s="28">
        <f>IFERROR(INDEX('Clean Gamification Data'!$D:$D,MATCH($B415,'Clean Gamification Data'!$A:$A,0)),"Not Found")</f>
        <v>70</v>
      </c>
      <c r="V415" s="28">
        <f>IFERROR(INDEX('Clean Gamification Data'!$E:$E,MATCH($B415,'Clean Gamification Data'!$A:$A,0)),"Not Found")</f>
        <v>57.914493460000003</v>
      </c>
      <c r="W415" s="28">
        <f>IFERROR(INDEX('Clean Gamification Data'!$F:$F,MATCH($B415,'Clean Gamification Data'!$A:$A,0)),"Not Found")</f>
        <v>89.234749370000003</v>
      </c>
      <c r="X415" s="28">
        <f>IFERROR(INDEX('Clean Gamification Data'!$G:$G,MATCH($B415,'Clean Gamification Data'!$A:$A,0)),"Not Found")</f>
        <v>77.319989149999998</v>
      </c>
      <c r="Y415" s="28">
        <f>IFERROR(INDEX('Clean Gamification Data'!$H:$H,MATCH($B415,'Clean Gamification Data'!$A:$A,0)),"Not Found")</f>
        <v>74.558198230000002</v>
      </c>
      <c r="Z415" s="28">
        <f>IFERROR(INDEX('Clean Gamification Data'!$I:$I,MATCH($B415,'Clean Gamification Data'!$A:$A,0)),"Not Found")</f>
        <v>58.799082380000002</v>
      </c>
      <c r="AA415" s="28">
        <f>Table1[[#This Row],[Engagement (Gamification %)]]-Table1[[#This Row],[Engagement (Non-Gamification %)]]</f>
        <v>28.567161229999996</v>
      </c>
      <c r="AB415" s="28">
        <f>Table1[[#This Row],[Motivation (Gamification %)]]-Table1[[#This Row],[Motivation (Non-Gamification %)]]</f>
        <v>12.085506539999997</v>
      </c>
      <c r="AC415" s="28">
        <f>Table1[[#This Row],[Participation (Gamification %)]]-Table1[[#This Row],[Participation (Non-Gamification %)]]</f>
        <v>11.914760220000005</v>
      </c>
      <c r="AD415" s="28">
        <f>Table1[[#This Row],[Learning Outcomes (Gamification %)]]-Table1[[#This Row],[Learning Outcomes (Non-Gamification %)]]</f>
        <v>15.759115850000001</v>
      </c>
      <c r="AE415" s="44" t="str">
        <f>IF(Table1[[#This Row],[Overall Effectiveness]]&lt;3.9,"Low",IF(Table1[[#This Row],[Overall Effectiveness]]&lt;4.2,"Medium","High"))</f>
        <v>Medium</v>
      </c>
      <c r="AF415" s="30" t="str">
        <f t="shared" si="40"/>
        <v>Online Tutorials</v>
      </c>
      <c r="AG415" s="30" t="str">
        <f t="shared" si="41"/>
        <v>Experiments</v>
      </c>
      <c r="AH415" s="27">
        <f>COUNTIF(Teacher_Master!$D$2:$D$16,AF415)</f>
        <v>3</v>
      </c>
      <c r="AI415" s="30" t="str">
        <f>INDEX(Teacher_Master!$B$2:$B$16,MATCH(AF415,Teacher_Master!$D$2:$D$16,0))</f>
        <v>Prof. Kavita Rao</v>
      </c>
    </row>
    <row r="416" spans="1:35" ht="14.25" customHeight="1" x14ac:dyDescent="0.3">
      <c r="A416" s="31" t="s">
        <v>854</v>
      </c>
      <c r="B416" s="31" t="s">
        <v>855</v>
      </c>
      <c r="C416" s="31" t="s">
        <v>2881</v>
      </c>
      <c r="D416" s="12">
        <f t="shared" ca="1" si="36"/>
        <v>26</v>
      </c>
      <c r="E416" s="12" t="str">
        <f ca="1">IF(Table1[[#This Row],[Age]]&lt;=22,"20-22",IF(Table1[[#This Row],[Age]]&lt;=25,"23-25",IF(Table1[[#This Row],[Age]]&lt;=28,"26-28","29-30")))</f>
        <v>26-28</v>
      </c>
      <c r="F416" s="12">
        <v>4.2699999999999996</v>
      </c>
      <c r="G416" s="12">
        <v>3.98</v>
      </c>
      <c r="H416" s="12">
        <v>3.95</v>
      </c>
      <c r="I416" s="12">
        <v>3.86</v>
      </c>
      <c r="J416" s="12">
        <v>4.1100000000000003</v>
      </c>
      <c r="K416" s="12">
        <v>4.24</v>
      </c>
      <c r="L416" s="12">
        <v>4.38</v>
      </c>
      <c r="M416" s="12">
        <v>3.95</v>
      </c>
      <c r="N416" s="12">
        <v>3.69</v>
      </c>
      <c r="O416" s="12">
        <v>3.72</v>
      </c>
      <c r="P416" s="12">
        <f t="shared" si="37"/>
        <v>4.0339999999999998</v>
      </c>
      <c r="Q416" s="12">
        <f t="shared" si="38"/>
        <v>4.03</v>
      </c>
      <c r="R416" s="12">
        <f t="shared" si="39"/>
        <v>3.996</v>
      </c>
      <c r="S416" s="28">
        <f>IFERROR(INDEX('Clean Gamification Data'!$B:$B,MATCH($B416,'Clean Gamification Data'!$A:$A,0)),"Not Found")</f>
        <v>87.060357499999995</v>
      </c>
      <c r="T416" s="28">
        <f>IFERROR(INDEX('Clean Gamification Data'!$C:$C,MATCH($B416,'Clean Gamification Data'!$A:$A,0)),"Not Found")</f>
        <v>79.652277470000001</v>
      </c>
      <c r="U416" s="28">
        <f>IFERROR(INDEX('Clean Gamification Data'!$D:$D,MATCH($B416,'Clean Gamification Data'!$A:$A,0)),"Not Found")</f>
        <v>74.772765930000006</v>
      </c>
      <c r="V416" s="28">
        <f>IFERROR(INDEX('Clean Gamification Data'!$E:$E,MATCH($B416,'Clean Gamification Data'!$A:$A,0)),"Not Found")</f>
        <v>68.729382520000001</v>
      </c>
      <c r="W416" s="28">
        <f>IFERROR(INDEX('Clean Gamification Data'!$F:$F,MATCH($B416,'Clean Gamification Data'!$A:$A,0)),"Not Found")</f>
        <v>84.389506479999994</v>
      </c>
      <c r="X416" s="28">
        <f>IFERROR(INDEX('Clean Gamification Data'!$G:$G,MATCH($B416,'Clean Gamification Data'!$A:$A,0)),"Not Found")</f>
        <v>85</v>
      </c>
      <c r="Y416" s="28">
        <f>IFERROR(INDEX('Clean Gamification Data'!$H:$H,MATCH($B416,'Clean Gamification Data'!$A:$A,0)),"Not Found")</f>
        <v>69.589653209999994</v>
      </c>
      <c r="Z416" s="28">
        <f>IFERROR(INDEX('Clean Gamification Data'!$I:$I,MATCH($B416,'Clean Gamification Data'!$A:$A,0)),"Not Found")</f>
        <v>62.181901430000003</v>
      </c>
      <c r="AA416" s="28">
        <f>Table1[[#This Row],[Engagement (Gamification %)]]-Table1[[#This Row],[Engagement (Non-Gamification %)]]</f>
        <v>7.4080800299999936</v>
      </c>
      <c r="AB416" s="28">
        <f>Table1[[#This Row],[Motivation (Gamification %)]]-Table1[[#This Row],[Motivation (Non-Gamification %)]]</f>
        <v>6.0433834100000041</v>
      </c>
      <c r="AC416" s="28">
        <f>Table1[[#This Row],[Participation (Gamification %)]]-Table1[[#This Row],[Participation (Non-Gamification %)]]</f>
        <v>-0.61049352000000567</v>
      </c>
      <c r="AD416" s="28">
        <f>Table1[[#This Row],[Learning Outcomes (Gamification %)]]-Table1[[#This Row],[Learning Outcomes (Non-Gamification %)]]</f>
        <v>7.407751779999991</v>
      </c>
      <c r="AE416" s="44" t="str">
        <f>IF(Table1[[#This Row],[Overall Effectiveness]]&lt;3.9,"Low",IF(Table1[[#This Row],[Overall Effectiveness]]&lt;4.2,"Medium","High"))</f>
        <v>Medium</v>
      </c>
      <c r="AF416" s="30" t="str">
        <f t="shared" si="40"/>
        <v>Lectures</v>
      </c>
      <c r="AG416" s="30" t="str">
        <f t="shared" si="41"/>
        <v>Case Studies</v>
      </c>
      <c r="AH416" s="27">
        <f>COUNTIF(Teacher_Master!$D$2:$D$16,AF416)</f>
        <v>3</v>
      </c>
      <c r="AI416" s="30" t="str">
        <f>INDEX(Teacher_Master!$B$2:$B$16,MATCH(AF416,Teacher_Master!$D$2:$D$16,0))</f>
        <v>Prof. Vikram Gupta</v>
      </c>
    </row>
    <row r="417" spans="1:35" ht="14.25" customHeight="1" x14ac:dyDescent="0.3">
      <c r="A417" s="31" t="s">
        <v>856</v>
      </c>
      <c r="B417" s="31" t="s">
        <v>2375</v>
      </c>
      <c r="C417" s="31" t="s">
        <v>2881</v>
      </c>
      <c r="D417" s="12">
        <f t="shared" ca="1" si="36"/>
        <v>30</v>
      </c>
      <c r="E417" s="12" t="str">
        <f ca="1">IF(Table1[[#This Row],[Age]]&lt;=22,"20-22",IF(Table1[[#This Row],[Age]]&lt;=25,"23-25",IF(Table1[[#This Row],[Age]]&lt;=28,"26-28","29-30")))</f>
        <v>29-30</v>
      </c>
      <c r="F417" s="12">
        <v>3.55</v>
      </c>
      <c r="G417" s="12">
        <v>4.29</v>
      </c>
      <c r="H417" s="12" t="s">
        <v>211</v>
      </c>
      <c r="I417" s="12">
        <v>3.68</v>
      </c>
      <c r="J417" s="12">
        <v>3.99</v>
      </c>
      <c r="K417" s="12">
        <v>3.74</v>
      </c>
      <c r="L417" s="12">
        <v>4.4400000000000004</v>
      </c>
      <c r="M417" s="12">
        <v>3.89</v>
      </c>
      <c r="N417" s="12">
        <v>3.6</v>
      </c>
      <c r="O417" s="12">
        <v>3.95</v>
      </c>
      <c r="P417" s="12">
        <f t="shared" si="37"/>
        <v>3.8774999999999999</v>
      </c>
      <c r="Q417" s="12">
        <f t="shared" si="38"/>
        <v>3.88</v>
      </c>
      <c r="R417" s="12">
        <f t="shared" si="39"/>
        <v>3.9240000000000004</v>
      </c>
      <c r="S417" s="28">
        <f>IFERROR(INDEX('Clean Gamification Data'!$B:$B,MATCH($B417,'Clean Gamification Data'!$A:$A,0)),"Not Found")</f>
        <v>83.452025079999999</v>
      </c>
      <c r="T417" s="28">
        <f>IFERROR(INDEX('Clean Gamification Data'!$C:$C,MATCH($B417,'Clean Gamification Data'!$A:$A,0)),"Not Found")</f>
        <v>66.684230310000004</v>
      </c>
      <c r="U417" s="28">
        <f>IFERROR(INDEX('Clean Gamification Data'!$D:$D,MATCH($B417,'Clean Gamification Data'!$A:$A,0)),"Not Found")</f>
        <v>90</v>
      </c>
      <c r="V417" s="28">
        <f>IFERROR(INDEX('Clean Gamification Data'!$E:$E,MATCH($B417,'Clean Gamification Data'!$A:$A,0)),"Not Found")</f>
        <v>66.096101970000007</v>
      </c>
      <c r="W417" s="28">
        <f>IFERROR(INDEX('Clean Gamification Data'!$F:$F,MATCH($B417,'Clean Gamification Data'!$A:$A,0)),"Not Found")</f>
        <v>83.227278049999995</v>
      </c>
      <c r="X417" s="28">
        <f>IFERROR(INDEX('Clean Gamification Data'!$G:$G,MATCH($B417,'Clean Gamification Data'!$A:$A,0)),"Not Found")</f>
        <v>71.172642490000001</v>
      </c>
      <c r="Y417" s="28">
        <f>IFERROR(INDEX('Clean Gamification Data'!$H:$H,MATCH($B417,'Clean Gamification Data'!$A:$A,0)),"Not Found")</f>
        <v>65</v>
      </c>
      <c r="Z417" s="28">
        <f>IFERROR(INDEX('Clean Gamification Data'!$I:$I,MATCH($B417,'Clean Gamification Data'!$A:$A,0)),"Not Found")</f>
        <v>52.391013620000003</v>
      </c>
      <c r="AA417" s="28">
        <f>Table1[[#This Row],[Engagement (Gamification %)]]-Table1[[#This Row],[Engagement (Non-Gamification %)]]</f>
        <v>16.767794769999995</v>
      </c>
      <c r="AB417" s="28">
        <f>Table1[[#This Row],[Motivation (Gamification %)]]-Table1[[#This Row],[Motivation (Non-Gamification %)]]</f>
        <v>23.903898029999993</v>
      </c>
      <c r="AC417" s="28">
        <f>Table1[[#This Row],[Participation (Gamification %)]]-Table1[[#This Row],[Participation (Non-Gamification %)]]</f>
        <v>12.054635559999994</v>
      </c>
      <c r="AD417" s="28">
        <f>Table1[[#This Row],[Learning Outcomes (Gamification %)]]-Table1[[#This Row],[Learning Outcomes (Non-Gamification %)]]</f>
        <v>12.608986379999997</v>
      </c>
      <c r="AE417" s="44" t="str">
        <f>IF(Table1[[#This Row],[Overall Effectiveness]]&lt;3.9,"Low",IF(Table1[[#This Row],[Overall Effectiveness]]&lt;4.2,"Medium","High"))</f>
        <v>Low</v>
      </c>
      <c r="AF417" s="30" t="str">
        <f t="shared" si="40"/>
        <v>Case Studies</v>
      </c>
      <c r="AG417" s="30" t="str">
        <f t="shared" si="41"/>
        <v>Case Studies</v>
      </c>
      <c r="AH417" s="27">
        <f>COUNTIF(Teacher_Master!$D$2:$D$16,AF417)</f>
        <v>3</v>
      </c>
      <c r="AI417" s="30" t="str">
        <f>INDEX(Teacher_Master!$B$2:$B$16,MATCH(AF417,Teacher_Master!$D$2:$D$16,0))</f>
        <v>Prof. Rajesh Mukherjee</v>
      </c>
    </row>
    <row r="418" spans="1:35" ht="14.25" customHeight="1" x14ac:dyDescent="0.3">
      <c r="A418" s="31" t="s">
        <v>858</v>
      </c>
      <c r="B418" s="31" t="s">
        <v>2376</v>
      </c>
      <c r="C418" s="31" t="s">
        <v>2881</v>
      </c>
      <c r="D418" s="12">
        <f t="shared" ca="1" si="36"/>
        <v>25</v>
      </c>
      <c r="E418" s="12" t="str">
        <f ca="1">IF(Table1[[#This Row],[Age]]&lt;=22,"20-22",IF(Table1[[#This Row],[Age]]&lt;=25,"23-25",IF(Table1[[#This Row],[Age]]&lt;=28,"26-28","29-30")))</f>
        <v>23-25</v>
      </c>
      <c r="F418" s="12">
        <v>4.32</v>
      </c>
      <c r="G418" s="12">
        <v>4.2699999999999996</v>
      </c>
      <c r="H418" s="12">
        <v>4.5199999999999996</v>
      </c>
      <c r="I418" s="12">
        <v>3.59</v>
      </c>
      <c r="J418" s="12">
        <v>4.0599999999999996</v>
      </c>
      <c r="K418" s="12">
        <v>4.45</v>
      </c>
      <c r="L418" s="12">
        <v>4.1399999999999997</v>
      </c>
      <c r="M418" s="12">
        <v>4.04</v>
      </c>
      <c r="N418" s="12">
        <v>3.64</v>
      </c>
      <c r="O418" s="12">
        <v>4.4000000000000004</v>
      </c>
      <c r="P418" s="12">
        <f t="shared" si="37"/>
        <v>4.1519999999999992</v>
      </c>
      <c r="Q418" s="12">
        <f t="shared" si="38"/>
        <v>4.1500000000000004</v>
      </c>
      <c r="R418" s="12">
        <f t="shared" si="39"/>
        <v>4.1340000000000003</v>
      </c>
      <c r="S418" s="28">
        <f>IFERROR(INDEX('Clean Gamification Data'!$B:$B,MATCH($B418,'Clean Gamification Data'!$A:$A,0)),"Not Found")</f>
        <v>78.091840489999996</v>
      </c>
      <c r="T418" s="28">
        <f>IFERROR(INDEX('Clean Gamification Data'!$C:$C,MATCH($B418,'Clean Gamification Data'!$A:$A,0)),"Not Found")</f>
        <v>74.607825879999993</v>
      </c>
      <c r="U418" s="28">
        <f>IFERROR(INDEX('Clean Gamification Data'!$D:$D,MATCH($B418,'Clean Gamification Data'!$A:$A,0)),"Not Found")</f>
        <v>78.173771360000003</v>
      </c>
      <c r="V418" s="28">
        <f>IFERROR(INDEX('Clean Gamification Data'!$E:$E,MATCH($B418,'Clean Gamification Data'!$A:$A,0)),"Not Found")</f>
        <v>62.728437460000002</v>
      </c>
      <c r="W418" s="28">
        <f>IFERROR(INDEX('Clean Gamification Data'!$F:$F,MATCH($B418,'Clean Gamification Data'!$A:$A,0)),"Not Found")</f>
        <v>90.023653429999996</v>
      </c>
      <c r="X418" s="28">
        <f>IFERROR(INDEX('Clean Gamification Data'!$G:$G,MATCH($B418,'Clean Gamification Data'!$A:$A,0)),"Not Found")</f>
        <v>73.281624440000002</v>
      </c>
      <c r="Y418" s="28">
        <f>IFERROR(INDEX('Clean Gamification Data'!$H:$H,MATCH($B418,'Clean Gamification Data'!$A:$A,0)),"Not Found")</f>
        <v>76.769156379999998</v>
      </c>
      <c r="Z418" s="28">
        <f>IFERROR(INDEX('Clean Gamification Data'!$I:$I,MATCH($B418,'Clean Gamification Data'!$A:$A,0)),"Not Found")</f>
        <v>52.269924109999998</v>
      </c>
      <c r="AA418" s="28">
        <f>Table1[[#This Row],[Engagement (Gamification %)]]-Table1[[#This Row],[Engagement (Non-Gamification %)]]</f>
        <v>3.4840146100000027</v>
      </c>
      <c r="AB418" s="28">
        <f>Table1[[#This Row],[Motivation (Gamification %)]]-Table1[[#This Row],[Motivation (Non-Gamification %)]]</f>
        <v>15.445333900000001</v>
      </c>
      <c r="AC418" s="28">
        <f>Table1[[#This Row],[Participation (Gamification %)]]-Table1[[#This Row],[Participation (Non-Gamification %)]]</f>
        <v>16.742028989999994</v>
      </c>
      <c r="AD418" s="28">
        <f>Table1[[#This Row],[Learning Outcomes (Gamification %)]]-Table1[[#This Row],[Learning Outcomes (Non-Gamification %)]]</f>
        <v>24.49923227</v>
      </c>
      <c r="AE418" s="44" t="str">
        <f>IF(Table1[[#This Row],[Overall Effectiveness]]&lt;3.9,"Low",IF(Table1[[#This Row],[Overall Effectiveness]]&lt;4.2,"Medium","High"))</f>
        <v>Medium</v>
      </c>
      <c r="AF418" s="30" t="str">
        <f t="shared" si="40"/>
        <v>Group Projects</v>
      </c>
      <c r="AG418" s="30" t="str">
        <f t="shared" si="41"/>
        <v>Lectures</v>
      </c>
      <c r="AH418" s="27">
        <f>COUNTIF(Teacher_Master!$D$2:$D$16,AF418)</f>
        <v>3</v>
      </c>
      <c r="AI418" s="30" t="str">
        <f>INDEX(Teacher_Master!$B$2:$B$16,MATCH(AF418,Teacher_Master!$D$2:$D$16,0))</f>
        <v>Dr. Rohan Dutta</v>
      </c>
    </row>
    <row r="419" spans="1:35" ht="14.25" customHeight="1" x14ac:dyDescent="0.3">
      <c r="A419" s="31" t="s">
        <v>860</v>
      </c>
      <c r="B419" s="31" t="s">
        <v>2377</v>
      </c>
      <c r="C419" s="31" t="s">
        <v>2882</v>
      </c>
      <c r="D419" s="12">
        <f t="shared" ca="1" si="36"/>
        <v>25</v>
      </c>
      <c r="E419" s="12" t="str">
        <f ca="1">IF(Table1[[#This Row],[Age]]&lt;=22,"20-22",IF(Table1[[#This Row],[Age]]&lt;=25,"23-25",IF(Table1[[#This Row],[Age]]&lt;=28,"26-28","29-30")))</f>
        <v>23-25</v>
      </c>
      <c r="F419" s="12">
        <v>3.97</v>
      </c>
      <c r="G419" s="12">
        <v>4.3600000000000003</v>
      </c>
      <c r="H419" s="12">
        <v>3.85</v>
      </c>
      <c r="I419" s="12">
        <v>4.62</v>
      </c>
      <c r="J419" s="12">
        <v>3.72</v>
      </c>
      <c r="K419" s="12">
        <v>4.13</v>
      </c>
      <c r="L419" s="12">
        <v>3.97</v>
      </c>
      <c r="M419" s="12">
        <v>3.98</v>
      </c>
      <c r="N419" s="12">
        <v>3.87</v>
      </c>
      <c r="O419" s="12">
        <v>4.03</v>
      </c>
      <c r="P419" s="12">
        <f t="shared" si="37"/>
        <v>4.1040000000000001</v>
      </c>
      <c r="Q419" s="12">
        <f t="shared" si="38"/>
        <v>4.0999999999999996</v>
      </c>
      <c r="R419" s="12">
        <f t="shared" si="39"/>
        <v>3.996</v>
      </c>
      <c r="S419" s="28">
        <f>IFERROR(INDEX('Clean Gamification Data'!$B:$B,MATCH($B419,'Clean Gamification Data'!$A:$A,0)),"Not Found")</f>
        <v>85.279196749999997</v>
      </c>
      <c r="T419" s="28">
        <f>IFERROR(INDEX('Clean Gamification Data'!$C:$C,MATCH($B419,'Clean Gamification Data'!$A:$A,0)),"Not Found")</f>
        <v>69.708119409999995</v>
      </c>
      <c r="U419" s="28">
        <f>IFERROR(INDEX('Clean Gamification Data'!$D:$D,MATCH($B419,'Clean Gamification Data'!$A:$A,0)),"Not Found")</f>
        <v>70.84634475</v>
      </c>
      <c r="V419" s="28">
        <f>IFERROR(INDEX('Clean Gamification Data'!$E:$E,MATCH($B419,'Clean Gamification Data'!$A:$A,0)),"Not Found")</f>
        <v>65.495796479999996</v>
      </c>
      <c r="W419" s="28">
        <f>IFERROR(INDEX('Clean Gamification Data'!$F:$F,MATCH($B419,'Clean Gamification Data'!$A:$A,0)),"Not Found")</f>
        <v>94.942158079999999</v>
      </c>
      <c r="X419" s="28">
        <f>IFERROR(INDEX('Clean Gamification Data'!$G:$G,MATCH($B419,'Clean Gamification Data'!$A:$A,0)),"Not Found")</f>
        <v>74.717838180000001</v>
      </c>
      <c r="Y419" s="28">
        <f>IFERROR(INDEX('Clean Gamification Data'!$H:$H,MATCH($B419,'Clean Gamification Data'!$A:$A,0)),"Not Found")</f>
        <v>68.304822099999996</v>
      </c>
      <c r="Z419" s="28">
        <f>IFERROR(INDEX('Clean Gamification Data'!$I:$I,MATCH($B419,'Clean Gamification Data'!$A:$A,0)),"Not Found")</f>
        <v>53.77772719</v>
      </c>
      <c r="AA419" s="28">
        <f>Table1[[#This Row],[Engagement (Gamification %)]]-Table1[[#This Row],[Engagement (Non-Gamification %)]]</f>
        <v>15.571077340000002</v>
      </c>
      <c r="AB419" s="28">
        <f>Table1[[#This Row],[Motivation (Gamification %)]]-Table1[[#This Row],[Motivation (Non-Gamification %)]]</f>
        <v>5.3505482700000044</v>
      </c>
      <c r="AC419" s="28">
        <f>Table1[[#This Row],[Participation (Gamification %)]]-Table1[[#This Row],[Participation (Non-Gamification %)]]</f>
        <v>20.224319899999998</v>
      </c>
      <c r="AD419" s="28">
        <f>Table1[[#This Row],[Learning Outcomes (Gamification %)]]-Table1[[#This Row],[Learning Outcomes (Non-Gamification %)]]</f>
        <v>14.527094909999995</v>
      </c>
      <c r="AE419" s="44" t="str">
        <f>IF(Table1[[#This Row],[Overall Effectiveness]]&lt;3.9,"Low",IF(Table1[[#This Row],[Overall Effectiveness]]&lt;4.2,"Medium","High"))</f>
        <v>Medium</v>
      </c>
      <c r="AF419" s="30" t="str">
        <f t="shared" si="40"/>
        <v>Experiments</v>
      </c>
      <c r="AG419" s="30" t="str">
        <f t="shared" si="41"/>
        <v>Lectures</v>
      </c>
      <c r="AH419" s="27">
        <f>COUNTIF(Teacher_Master!$D$2:$D$16,AF419)</f>
        <v>3</v>
      </c>
      <c r="AI419" s="30" t="str">
        <f>INDEX(Teacher_Master!$B$2:$B$16,MATCH(AF419,Teacher_Master!$D$2:$D$16,0))</f>
        <v>Prof. Rahul Singh</v>
      </c>
    </row>
    <row r="420" spans="1:35" ht="14.25" customHeight="1" x14ac:dyDescent="0.3">
      <c r="A420" s="31" t="s">
        <v>862</v>
      </c>
      <c r="B420" s="31" t="s">
        <v>2378</v>
      </c>
      <c r="C420" s="31" t="s">
        <v>2881</v>
      </c>
      <c r="D420" s="12">
        <f t="shared" ca="1" si="36"/>
        <v>29</v>
      </c>
      <c r="E420" s="12" t="str">
        <f ca="1">IF(Table1[[#This Row],[Age]]&lt;=22,"20-22",IF(Table1[[#This Row],[Age]]&lt;=25,"23-25",IF(Table1[[#This Row],[Age]]&lt;=28,"26-28","29-30")))</f>
        <v>29-30</v>
      </c>
      <c r="F420" s="12">
        <v>4.0199999999999996</v>
      </c>
      <c r="G420" s="12">
        <v>3.9</v>
      </c>
      <c r="H420" s="12">
        <v>4.1900000000000004</v>
      </c>
      <c r="I420" s="12">
        <v>3.31</v>
      </c>
      <c r="J420" s="12">
        <v>3.99</v>
      </c>
      <c r="K420" s="12">
        <v>3.89</v>
      </c>
      <c r="L420" s="12">
        <v>3.75</v>
      </c>
      <c r="M420" s="12">
        <v>4.2300000000000004</v>
      </c>
      <c r="N420" s="12">
        <v>4.2300000000000004</v>
      </c>
      <c r="O420" s="12">
        <v>4.4400000000000004</v>
      </c>
      <c r="P420" s="12">
        <f t="shared" si="37"/>
        <v>3.8820000000000001</v>
      </c>
      <c r="Q420" s="12">
        <f t="shared" si="38"/>
        <v>3.88</v>
      </c>
      <c r="R420" s="12">
        <f t="shared" si="39"/>
        <v>4.1080000000000005</v>
      </c>
      <c r="S420" s="28">
        <f>IFERROR(INDEX('Clean Gamification Data'!$B:$B,MATCH($B420,'Clean Gamification Data'!$A:$A,0)),"Not Found")</f>
        <v>79.021945799999997</v>
      </c>
      <c r="T420" s="28">
        <f>IFERROR(INDEX('Clean Gamification Data'!$C:$C,MATCH($B420,'Clean Gamification Data'!$A:$A,0)),"Not Found")</f>
        <v>73.30805282</v>
      </c>
      <c r="U420" s="28">
        <f>IFERROR(INDEX('Clean Gamification Data'!$D:$D,MATCH($B420,'Clean Gamification Data'!$A:$A,0)),"Not Found")</f>
        <v>89.447784060000004</v>
      </c>
      <c r="V420" s="28">
        <f>IFERROR(INDEX('Clean Gamification Data'!$E:$E,MATCH($B420,'Clean Gamification Data'!$A:$A,0)),"Not Found")</f>
        <v>64.659972960000005</v>
      </c>
      <c r="W420" s="28">
        <f>IFERROR(INDEX('Clean Gamification Data'!$F:$F,MATCH($B420,'Clean Gamification Data'!$A:$A,0)),"Not Found")</f>
        <v>93.797546769999997</v>
      </c>
      <c r="X420" s="28">
        <f>IFERROR(INDEX('Clean Gamification Data'!$G:$G,MATCH($B420,'Clean Gamification Data'!$A:$A,0)),"Not Found")</f>
        <v>79.522301839999997</v>
      </c>
      <c r="Y420" s="28">
        <f>IFERROR(INDEX('Clean Gamification Data'!$H:$H,MATCH($B420,'Clean Gamification Data'!$A:$A,0)),"Not Found")</f>
        <v>75.639060229999998</v>
      </c>
      <c r="Z420" s="28">
        <f>IFERROR(INDEX('Clean Gamification Data'!$I:$I,MATCH($B420,'Clean Gamification Data'!$A:$A,0)),"Not Found")</f>
        <v>55.0352435</v>
      </c>
      <c r="AA420" s="28">
        <f>Table1[[#This Row],[Engagement (Gamification %)]]-Table1[[#This Row],[Engagement (Non-Gamification %)]]</f>
        <v>5.7138929799999971</v>
      </c>
      <c r="AB420" s="28">
        <f>Table1[[#This Row],[Motivation (Gamification %)]]-Table1[[#This Row],[Motivation (Non-Gamification %)]]</f>
        <v>24.787811099999999</v>
      </c>
      <c r="AC420" s="28">
        <f>Table1[[#This Row],[Participation (Gamification %)]]-Table1[[#This Row],[Participation (Non-Gamification %)]]</f>
        <v>14.275244929999999</v>
      </c>
      <c r="AD420" s="28">
        <f>Table1[[#This Row],[Learning Outcomes (Gamification %)]]-Table1[[#This Row],[Learning Outcomes (Non-Gamification %)]]</f>
        <v>20.603816729999998</v>
      </c>
      <c r="AE420" s="44" t="str">
        <f>IF(Table1[[#This Row],[Overall Effectiveness]]&lt;3.9,"Low",IF(Table1[[#This Row],[Overall Effectiveness]]&lt;4.2,"Medium","High"))</f>
        <v>Low</v>
      </c>
      <c r="AF420" s="30" t="str">
        <f t="shared" si="40"/>
        <v>Group Projects</v>
      </c>
      <c r="AG420" s="30" t="str">
        <f t="shared" si="41"/>
        <v>Online Tutorials</v>
      </c>
      <c r="AH420" s="27">
        <f>COUNTIF(Teacher_Master!$D$2:$D$16,AF420)</f>
        <v>3</v>
      </c>
      <c r="AI420" s="30" t="str">
        <f>INDEX(Teacher_Master!$B$2:$B$16,MATCH(AF420,Teacher_Master!$D$2:$D$16,0))</f>
        <v>Dr. Rohan Dutta</v>
      </c>
    </row>
    <row r="421" spans="1:35" ht="14.25" customHeight="1" x14ac:dyDescent="0.3">
      <c r="A421" s="31" t="s">
        <v>864</v>
      </c>
      <c r="B421" s="31" t="s">
        <v>865</v>
      </c>
      <c r="C421" s="31" t="s">
        <v>2881</v>
      </c>
      <c r="D421" s="12">
        <f t="shared" ca="1" si="36"/>
        <v>23</v>
      </c>
      <c r="E421" s="12" t="str">
        <f ca="1">IF(Table1[[#This Row],[Age]]&lt;=22,"20-22",IF(Table1[[#This Row],[Age]]&lt;=25,"23-25",IF(Table1[[#This Row],[Age]]&lt;=28,"26-28","29-30")))</f>
        <v>23-25</v>
      </c>
      <c r="F421" s="12">
        <v>4.29</v>
      </c>
      <c r="G421" s="12">
        <v>4.2</v>
      </c>
      <c r="H421" s="12">
        <v>3.75</v>
      </c>
      <c r="I421" s="12">
        <v>3.64</v>
      </c>
      <c r="J421" s="12">
        <v>4.32</v>
      </c>
      <c r="K421" s="12">
        <v>4.5</v>
      </c>
      <c r="L421" s="12">
        <v>4.47</v>
      </c>
      <c r="M421" s="12">
        <v>4.32</v>
      </c>
      <c r="N421" s="12">
        <v>3.96</v>
      </c>
      <c r="O421" s="12">
        <v>3.95</v>
      </c>
      <c r="P421" s="12">
        <f t="shared" si="37"/>
        <v>4.0400000000000009</v>
      </c>
      <c r="Q421" s="12">
        <f t="shared" si="38"/>
        <v>4.04</v>
      </c>
      <c r="R421" s="12">
        <f t="shared" si="39"/>
        <v>4.24</v>
      </c>
      <c r="S421" s="28">
        <f>IFERROR(INDEX('Clean Gamification Data'!$B:$B,MATCH($B421,'Clean Gamification Data'!$A:$A,0)),"Not Found")</f>
        <v>82.193493040000007</v>
      </c>
      <c r="T421" s="28">
        <f>IFERROR(INDEX('Clean Gamification Data'!$C:$C,MATCH($B421,'Clean Gamification Data'!$A:$A,0)),"Not Found")</f>
        <v>68.365529800000004</v>
      </c>
      <c r="U421" s="28">
        <f>IFERROR(INDEX('Clean Gamification Data'!$D:$D,MATCH($B421,'Clean Gamification Data'!$A:$A,0)),"Not Found")</f>
        <v>83.071594439999998</v>
      </c>
      <c r="V421" s="28">
        <f>IFERROR(INDEX('Clean Gamification Data'!$E:$E,MATCH($B421,'Clean Gamification Data'!$A:$A,0)),"Not Found")</f>
        <v>61.434243799999997</v>
      </c>
      <c r="W421" s="28">
        <f>IFERROR(INDEX('Clean Gamification Data'!$F:$F,MATCH($B421,'Clean Gamification Data'!$A:$A,0)),"Not Found")</f>
        <v>92.266472250000007</v>
      </c>
      <c r="X421" s="28">
        <f>IFERROR(INDEX('Clean Gamification Data'!$G:$G,MATCH($B421,'Clean Gamification Data'!$A:$A,0)),"Not Found")</f>
        <v>80.794740759999996</v>
      </c>
      <c r="Y421" s="28">
        <f>IFERROR(INDEX('Clean Gamification Data'!$H:$H,MATCH($B421,'Clean Gamification Data'!$A:$A,0)),"Not Found")</f>
        <v>65</v>
      </c>
      <c r="Z421" s="28">
        <f>IFERROR(INDEX('Clean Gamification Data'!$I:$I,MATCH($B421,'Clean Gamification Data'!$A:$A,0)),"Not Found")</f>
        <v>58.856244150000002</v>
      </c>
      <c r="AA421" s="28">
        <f>Table1[[#This Row],[Engagement (Gamification %)]]-Table1[[#This Row],[Engagement (Non-Gamification %)]]</f>
        <v>13.827963240000003</v>
      </c>
      <c r="AB421" s="28">
        <f>Table1[[#This Row],[Motivation (Gamification %)]]-Table1[[#This Row],[Motivation (Non-Gamification %)]]</f>
        <v>21.637350640000001</v>
      </c>
      <c r="AC421" s="28">
        <f>Table1[[#This Row],[Participation (Gamification %)]]-Table1[[#This Row],[Participation (Non-Gamification %)]]</f>
        <v>11.47173149000001</v>
      </c>
      <c r="AD421" s="28">
        <f>Table1[[#This Row],[Learning Outcomes (Gamification %)]]-Table1[[#This Row],[Learning Outcomes (Non-Gamification %)]]</f>
        <v>6.143755849999998</v>
      </c>
      <c r="AE421" s="44" t="str">
        <f>IF(Table1[[#This Row],[Overall Effectiveness]]&lt;3.9,"Low",IF(Table1[[#This Row],[Overall Effectiveness]]&lt;4.2,"Medium","High"))</f>
        <v>Medium</v>
      </c>
      <c r="AF421" s="30" t="str">
        <f t="shared" si="40"/>
        <v>Online Tutorials</v>
      </c>
      <c r="AG421" s="30" t="str">
        <f t="shared" si="41"/>
        <v>Lectures</v>
      </c>
      <c r="AH421" s="27">
        <f>COUNTIF(Teacher_Master!$D$2:$D$16,AF421)</f>
        <v>3</v>
      </c>
      <c r="AI421" s="30" t="str">
        <f>INDEX(Teacher_Master!$B$2:$B$16,MATCH(AF421,Teacher_Master!$D$2:$D$16,0))</f>
        <v>Prof. Kavita Rao</v>
      </c>
    </row>
    <row r="422" spans="1:35" ht="14.25" customHeight="1" x14ac:dyDescent="0.3">
      <c r="A422" s="31" t="s">
        <v>866</v>
      </c>
      <c r="B422" s="31" t="s">
        <v>867</v>
      </c>
      <c r="C422" s="31" t="s">
        <v>2882</v>
      </c>
      <c r="D422" s="12">
        <f t="shared" ca="1" si="36"/>
        <v>20</v>
      </c>
      <c r="E422" s="12" t="str">
        <f ca="1">IF(Table1[[#This Row],[Age]]&lt;=22,"20-22",IF(Table1[[#This Row],[Age]]&lt;=25,"23-25",IF(Table1[[#This Row],[Age]]&lt;=28,"26-28","29-30")))</f>
        <v>20-22</v>
      </c>
      <c r="F422" s="12">
        <v>3.91</v>
      </c>
      <c r="G422" s="12">
        <v>3.93</v>
      </c>
      <c r="H422" s="12">
        <v>3.96</v>
      </c>
      <c r="I422" s="12">
        <v>4.0199999999999996</v>
      </c>
      <c r="J422" s="12">
        <v>4.1900000000000004</v>
      </c>
      <c r="K422" s="12">
        <v>4.3</v>
      </c>
      <c r="L422" s="12">
        <v>4.49</v>
      </c>
      <c r="M422" s="12">
        <v>3.59</v>
      </c>
      <c r="N422" s="12">
        <v>4.1399999999999997</v>
      </c>
      <c r="O422" s="12">
        <v>4.2</v>
      </c>
      <c r="P422" s="12">
        <f t="shared" si="37"/>
        <v>4.0020000000000007</v>
      </c>
      <c r="Q422" s="12">
        <f t="shared" si="38"/>
        <v>4</v>
      </c>
      <c r="R422" s="12">
        <f t="shared" si="39"/>
        <v>4.1440000000000001</v>
      </c>
      <c r="S422" s="28">
        <f>IFERROR(INDEX('Clean Gamification Data'!$B:$B,MATCH($B422,'Clean Gamification Data'!$A:$A,0)),"Not Found")</f>
        <v>80.854682260000004</v>
      </c>
      <c r="T422" s="28">
        <f>IFERROR(INDEX('Clean Gamification Data'!$C:$C,MATCH($B422,'Clean Gamification Data'!$A:$A,0)),"Not Found")</f>
        <v>69.496043420000007</v>
      </c>
      <c r="U422" s="28">
        <f>IFERROR(INDEX('Clean Gamification Data'!$D:$D,MATCH($B422,'Clean Gamification Data'!$A:$A,0)),"Not Found")</f>
        <v>77.585566259999993</v>
      </c>
      <c r="V422" s="28">
        <f>IFERROR(INDEX('Clean Gamification Data'!$E:$E,MATCH($B422,'Clean Gamification Data'!$A:$A,0)),"Not Found")</f>
        <v>72.207975959999999</v>
      </c>
      <c r="W422" s="28">
        <f>IFERROR(INDEX('Clean Gamification Data'!$F:$F,MATCH($B422,'Clean Gamification Data'!$A:$A,0)),"Not Found")</f>
        <v>81.512359430000004</v>
      </c>
      <c r="X422" s="28">
        <f>IFERROR(INDEX('Clean Gamification Data'!$G:$G,MATCH($B422,'Clean Gamification Data'!$A:$A,0)),"Not Found")</f>
        <v>85</v>
      </c>
      <c r="Y422" s="28">
        <f>IFERROR(INDEX('Clean Gamification Data'!$H:$H,MATCH($B422,'Clean Gamification Data'!$A:$A,0)),"Not Found")</f>
        <v>66.154352529999997</v>
      </c>
      <c r="Z422" s="28">
        <f>IFERROR(INDEX('Clean Gamification Data'!$I:$I,MATCH($B422,'Clean Gamification Data'!$A:$A,0)),"Not Found")</f>
        <v>54.74870267</v>
      </c>
      <c r="AA422" s="28">
        <f>Table1[[#This Row],[Engagement (Gamification %)]]-Table1[[#This Row],[Engagement (Non-Gamification %)]]</f>
        <v>11.358638839999998</v>
      </c>
      <c r="AB422" s="28">
        <f>Table1[[#This Row],[Motivation (Gamification %)]]-Table1[[#This Row],[Motivation (Non-Gamification %)]]</f>
        <v>5.3775902999999943</v>
      </c>
      <c r="AC422" s="28">
        <f>Table1[[#This Row],[Participation (Gamification %)]]-Table1[[#This Row],[Participation (Non-Gamification %)]]</f>
        <v>-3.4876405699999964</v>
      </c>
      <c r="AD422" s="28">
        <f>Table1[[#This Row],[Learning Outcomes (Gamification %)]]-Table1[[#This Row],[Learning Outcomes (Non-Gamification %)]]</f>
        <v>11.405649859999997</v>
      </c>
      <c r="AE422" s="44" t="str">
        <f>IF(Table1[[#This Row],[Overall Effectiveness]]&lt;3.9,"Low",IF(Table1[[#This Row],[Overall Effectiveness]]&lt;4.2,"Medium","High"))</f>
        <v>Medium</v>
      </c>
      <c r="AF422" s="30" t="str">
        <f t="shared" si="40"/>
        <v>Online Tutorials</v>
      </c>
      <c r="AG422" s="30" t="str">
        <f t="shared" si="41"/>
        <v>Case Studies</v>
      </c>
      <c r="AH422" s="27">
        <f>COUNTIF(Teacher_Master!$D$2:$D$16,AF422)</f>
        <v>3</v>
      </c>
      <c r="AI422" s="30" t="str">
        <f>INDEX(Teacher_Master!$B$2:$B$16,MATCH(AF422,Teacher_Master!$D$2:$D$16,0))</f>
        <v>Prof. Kavita Rao</v>
      </c>
    </row>
    <row r="423" spans="1:35" ht="14.25" customHeight="1" x14ac:dyDescent="0.3">
      <c r="A423" s="31" t="s">
        <v>868</v>
      </c>
      <c r="B423" s="31" t="s">
        <v>2379</v>
      </c>
      <c r="C423" s="31" t="s">
        <v>2882</v>
      </c>
      <c r="D423" s="12">
        <f t="shared" ca="1" si="36"/>
        <v>29</v>
      </c>
      <c r="E423" s="12" t="str">
        <f ca="1">IF(Table1[[#This Row],[Age]]&lt;=22,"20-22",IF(Table1[[#This Row],[Age]]&lt;=25,"23-25",IF(Table1[[#This Row],[Age]]&lt;=28,"26-28","29-30")))</f>
        <v>29-30</v>
      </c>
      <c r="F423" s="12">
        <v>3.87</v>
      </c>
      <c r="G423" s="12">
        <v>4.53</v>
      </c>
      <c r="H423" s="12">
        <v>4.3099999999999996</v>
      </c>
      <c r="I423" s="12">
        <v>3.99</v>
      </c>
      <c r="J423" s="12">
        <v>4.34</v>
      </c>
      <c r="K423" s="12">
        <v>4.67</v>
      </c>
      <c r="L423" s="12">
        <v>4.08</v>
      </c>
      <c r="M423" s="12">
        <v>4.04</v>
      </c>
      <c r="N423" s="12">
        <v>4.05</v>
      </c>
      <c r="O423" s="12">
        <v>4</v>
      </c>
      <c r="P423" s="12">
        <f t="shared" si="37"/>
        <v>4.2080000000000002</v>
      </c>
      <c r="Q423" s="12">
        <f t="shared" si="38"/>
        <v>4.21</v>
      </c>
      <c r="R423" s="12">
        <f t="shared" si="39"/>
        <v>4.1680000000000001</v>
      </c>
      <c r="S423" s="28">
        <f>IFERROR(INDEX('Clean Gamification Data'!$B:$B,MATCH($B423,'Clean Gamification Data'!$A:$A,0)),"Not Found")</f>
        <v>77.7996251</v>
      </c>
      <c r="T423" s="28">
        <f>IFERROR(INDEX('Clean Gamification Data'!$C:$C,MATCH($B423,'Clean Gamification Data'!$A:$A,0)),"Not Found")</f>
        <v>72.955133930000002</v>
      </c>
      <c r="U423" s="28">
        <f>IFERROR(INDEX('Clean Gamification Data'!$D:$D,MATCH($B423,'Clean Gamification Data'!$A:$A,0)),"Not Found")</f>
        <v>77.433137310000006</v>
      </c>
      <c r="V423" s="28">
        <f>IFERROR(INDEX('Clean Gamification Data'!$E:$E,MATCH($B423,'Clean Gamification Data'!$A:$A,0)),"Not Found")</f>
        <v>61.388482349999997</v>
      </c>
      <c r="W423" s="28">
        <f>IFERROR(INDEX('Clean Gamification Data'!$F:$F,MATCH($B423,'Clean Gamification Data'!$A:$A,0)),"Not Found")</f>
        <v>89.834618160000005</v>
      </c>
      <c r="X423" s="28">
        <f>IFERROR(INDEX('Clean Gamification Data'!$G:$G,MATCH($B423,'Clean Gamification Data'!$A:$A,0)),"Not Found")</f>
        <v>73.897018000000003</v>
      </c>
      <c r="Y423" s="28">
        <f>IFERROR(INDEX('Clean Gamification Data'!$H:$H,MATCH($B423,'Clean Gamification Data'!$A:$A,0)),"Not Found")</f>
        <v>74.615865420000006</v>
      </c>
      <c r="Z423" s="28">
        <f>IFERROR(INDEX('Clean Gamification Data'!$I:$I,MATCH($B423,'Clean Gamification Data'!$A:$A,0)),"Not Found")</f>
        <v>65.346459199999998</v>
      </c>
      <c r="AA423" s="28">
        <f>Table1[[#This Row],[Engagement (Gamification %)]]-Table1[[#This Row],[Engagement (Non-Gamification %)]]</f>
        <v>4.8444911699999977</v>
      </c>
      <c r="AB423" s="28">
        <f>Table1[[#This Row],[Motivation (Gamification %)]]-Table1[[#This Row],[Motivation (Non-Gamification %)]]</f>
        <v>16.04465496000001</v>
      </c>
      <c r="AC423" s="28">
        <f>Table1[[#This Row],[Participation (Gamification %)]]-Table1[[#This Row],[Participation (Non-Gamification %)]]</f>
        <v>15.937600160000002</v>
      </c>
      <c r="AD423" s="28">
        <f>Table1[[#This Row],[Learning Outcomes (Gamification %)]]-Table1[[#This Row],[Learning Outcomes (Non-Gamification %)]]</f>
        <v>9.2694062200000076</v>
      </c>
      <c r="AE423" s="44" t="str">
        <f>IF(Table1[[#This Row],[Overall Effectiveness]]&lt;3.9,"Low",IF(Table1[[#This Row],[Overall Effectiveness]]&lt;4.2,"Medium","High"))</f>
        <v>High</v>
      </c>
      <c r="AF423" s="30" t="str">
        <f t="shared" si="40"/>
        <v>Case Studies</v>
      </c>
      <c r="AG423" s="30" t="str">
        <f t="shared" si="41"/>
        <v>Lectures</v>
      </c>
      <c r="AH423" s="27">
        <f>COUNTIF(Teacher_Master!$D$2:$D$16,AF423)</f>
        <v>3</v>
      </c>
      <c r="AI423" s="30" t="str">
        <f>INDEX(Teacher_Master!$B$2:$B$16,MATCH(AF423,Teacher_Master!$D$2:$D$16,0))</f>
        <v>Prof. Rajesh Mukherjee</v>
      </c>
    </row>
    <row r="424" spans="1:35" ht="14.25" customHeight="1" x14ac:dyDescent="0.3">
      <c r="A424" s="31" t="s">
        <v>870</v>
      </c>
      <c r="B424" s="31" t="s">
        <v>2380</v>
      </c>
      <c r="C424" s="31" t="s">
        <v>2882</v>
      </c>
      <c r="D424" s="12">
        <f t="shared" ca="1" si="36"/>
        <v>23</v>
      </c>
      <c r="E424" s="12" t="str">
        <f ca="1">IF(Table1[[#This Row],[Age]]&lt;=22,"20-22",IF(Table1[[#This Row],[Age]]&lt;=25,"23-25",IF(Table1[[#This Row],[Age]]&lt;=28,"26-28","29-30")))</f>
        <v>23-25</v>
      </c>
      <c r="F424" s="12">
        <v>4.0199999999999996</v>
      </c>
      <c r="G424" s="12">
        <v>4.04</v>
      </c>
      <c r="H424" s="12">
        <v>4.22</v>
      </c>
      <c r="I424" s="12">
        <v>3.89</v>
      </c>
      <c r="J424" s="12">
        <v>3.74</v>
      </c>
      <c r="K424" s="12">
        <v>3.86</v>
      </c>
      <c r="L424" s="12">
        <v>3.94</v>
      </c>
      <c r="M424" s="12">
        <v>4.12</v>
      </c>
      <c r="N424" s="12">
        <v>3.86</v>
      </c>
      <c r="O424" s="12">
        <v>3.91</v>
      </c>
      <c r="P424" s="12">
        <f t="shared" si="37"/>
        <v>3.9819999999999993</v>
      </c>
      <c r="Q424" s="12">
        <f t="shared" si="38"/>
        <v>3.98</v>
      </c>
      <c r="R424" s="12">
        <f t="shared" si="39"/>
        <v>3.9379999999999997</v>
      </c>
      <c r="S424" s="28">
        <f>IFERROR(INDEX('Clean Gamification Data'!$B:$B,MATCH($B424,'Clean Gamification Data'!$A:$A,0)),"Not Found")</f>
        <v>94.89686098</v>
      </c>
      <c r="T424" s="28">
        <f>IFERROR(INDEX('Clean Gamification Data'!$C:$C,MATCH($B424,'Clean Gamification Data'!$A:$A,0)),"Not Found")</f>
        <v>66.522212890000006</v>
      </c>
      <c r="U424" s="28">
        <f>IFERROR(INDEX('Clean Gamification Data'!$D:$D,MATCH($B424,'Clean Gamification Data'!$A:$A,0)),"Not Found")</f>
        <v>78.870997119999998</v>
      </c>
      <c r="V424" s="28">
        <f>IFERROR(INDEX('Clean Gamification Data'!$E:$E,MATCH($B424,'Clean Gamification Data'!$A:$A,0)),"Not Found")</f>
        <v>64.550029949999995</v>
      </c>
      <c r="W424" s="28">
        <f>IFERROR(INDEX('Clean Gamification Data'!$F:$F,MATCH($B424,'Clean Gamification Data'!$A:$A,0)),"Not Found")</f>
        <v>90.952061490000006</v>
      </c>
      <c r="X424" s="28">
        <f>IFERROR(INDEX('Clean Gamification Data'!$G:$G,MATCH($B424,'Clean Gamification Data'!$A:$A,0)),"Not Found")</f>
        <v>84.197093870000003</v>
      </c>
      <c r="Y424" s="28">
        <f>IFERROR(INDEX('Clean Gamification Data'!$H:$H,MATCH($B424,'Clean Gamification Data'!$A:$A,0)),"Not Found")</f>
        <v>71.437948120000001</v>
      </c>
      <c r="Z424" s="28">
        <f>IFERROR(INDEX('Clean Gamification Data'!$I:$I,MATCH($B424,'Clean Gamification Data'!$A:$A,0)),"Not Found")</f>
        <v>60.864551800000001</v>
      </c>
      <c r="AA424" s="28">
        <f>Table1[[#This Row],[Engagement (Gamification %)]]-Table1[[#This Row],[Engagement (Non-Gamification %)]]</f>
        <v>28.374648089999994</v>
      </c>
      <c r="AB424" s="28">
        <f>Table1[[#This Row],[Motivation (Gamification %)]]-Table1[[#This Row],[Motivation (Non-Gamification %)]]</f>
        <v>14.320967170000003</v>
      </c>
      <c r="AC424" s="28">
        <f>Table1[[#This Row],[Participation (Gamification %)]]-Table1[[#This Row],[Participation (Non-Gamification %)]]</f>
        <v>6.7549676200000022</v>
      </c>
      <c r="AD424" s="28">
        <f>Table1[[#This Row],[Learning Outcomes (Gamification %)]]-Table1[[#This Row],[Learning Outcomes (Non-Gamification %)]]</f>
        <v>10.573396320000001</v>
      </c>
      <c r="AE424" s="44" t="str">
        <f>IF(Table1[[#This Row],[Overall Effectiveness]]&lt;3.9,"Low",IF(Table1[[#This Row],[Overall Effectiveness]]&lt;4.2,"Medium","High"))</f>
        <v>Medium</v>
      </c>
      <c r="AF424" s="30" t="str">
        <f t="shared" si="40"/>
        <v>Group Projects</v>
      </c>
      <c r="AG424" s="30" t="str">
        <f t="shared" si="41"/>
        <v>Group Projects</v>
      </c>
      <c r="AH424" s="27">
        <f>COUNTIF(Teacher_Master!$D$2:$D$16,AF424)</f>
        <v>3</v>
      </c>
      <c r="AI424" s="30" t="str">
        <f>INDEX(Teacher_Master!$B$2:$B$16,MATCH(AF424,Teacher_Master!$D$2:$D$16,0))</f>
        <v>Dr. Rohan Dutta</v>
      </c>
    </row>
    <row r="425" spans="1:35" ht="14.25" customHeight="1" x14ac:dyDescent="0.3">
      <c r="A425" s="31" t="s">
        <v>872</v>
      </c>
      <c r="B425" s="31" t="s">
        <v>2381</v>
      </c>
      <c r="C425" s="31" t="s">
        <v>2882</v>
      </c>
      <c r="D425" s="12">
        <f t="shared" ca="1" si="36"/>
        <v>26</v>
      </c>
      <c r="E425" s="12" t="str">
        <f ca="1">IF(Table1[[#This Row],[Age]]&lt;=22,"20-22",IF(Table1[[#This Row],[Age]]&lt;=25,"23-25",IF(Table1[[#This Row],[Age]]&lt;=28,"26-28","29-30")))</f>
        <v>26-28</v>
      </c>
      <c r="F425" s="12">
        <v>3.75</v>
      </c>
      <c r="G425" s="12">
        <v>3.77</v>
      </c>
      <c r="H425" s="12">
        <v>4.0999999999999996</v>
      </c>
      <c r="I425" s="12">
        <v>3.96</v>
      </c>
      <c r="J425" s="12">
        <v>4.33</v>
      </c>
      <c r="K425" s="12">
        <v>4.42</v>
      </c>
      <c r="L425" s="12">
        <v>4.66</v>
      </c>
      <c r="M425" s="12">
        <v>4.1900000000000004</v>
      </c>
      <c r="N425" s="12">
        <v>3.75</v>
      </c>
      <c r="O425" s="12">
        <v>3.52</v>
      </c>
      <c r="P425" s="12">
        <f t="shared" si="37"/>
        <v>3.9819999999999993</v>
      </c>
      <c r="Q425" s="12">
        <f t="shared" si="38"/>
        <v>3.98</v>
      </c>
      <c r="R425" s="12">
        <f t="shared" si="39"/>
        <v>4.1079999999999997</v>
      </c>
      <c r="S425" s="28">
        <f>IFERROR(INDEX('Clean Gamification Data'!$B:$B,MATCH($B425,'Clean Gamification Data'!$A:$A,0)),"Not Found")</f>
        <v>88.051143210000006</v>
      </c>
      <c r="T425" s="28">
        <f>IFERROR(INDEX('Clean Gamification Data'!$C:$C,MATCH($B425,'Clean Gamification Data'!$A:$A,0)),"Not Found")</f>
        <v>69.141099220000001</v>
      </c>
      <c r="U425" s="28">
        <f>IFERROR(INDEX('Clean Gamification Data'!$D:$D,MATCH($B425,'Clean Gamification Data'!$A:$A,0)),"Not Found")</f>
        <v>74.313823479999996</v>
      </c>
      <c r="V425" s="28">
        <f>IFERROR(INDEX('Clean Gamification Data'!$E:$E,MATCH($B425,'Clean Gamification Data'!$A:$A,0)),"Not Found")</f>
        <v>71.048885650000003</v>
      </c>
      <c r="W425" s="28">
        <f>IFERROR(INDEX('Clean Gamification Data'!$F:$F,MATCH($B425,'Clean Gamification Data'!$A:$A,0)),"Not Found")</f>
        <v>93.918038530000004</v>
      </c>
      <c r="X425" s="28">
        <f>IFERROR(INDEX('Clean Gamification Data'!$G:$G,MATCH($B425,'Clean Gamification Data'!$A:$A,0)),"Not Found")</f>
        <v>78.235575429999997</v>
      </c>
      <c r="Y425" s="28">
        <f>IFERROR(INDEX('Clean Gamification Data'!$H:$H,MATCH($B425,'Clean Gamification Data'!$A:$A,0)),"Not Found")</f>
        <v>67.293747409999995</v>
      </c>
      <c r="Z425" s="28">
        <f>IFERROR(INDEX('Clean Gamification Data'!$I:$I,MATCH($B425,'Clean Gamification Data'!$A:$A,0)),"Not Found")</f>
        <v>66.179591509999995</v>
      </c>
      <c r="AA425" s="28">
        <f>Table1[[#This Row],[Engagement (Gamification %)]]-Table1[[#This Row],[Engagement (Non-Gamification %)]]</f>
        <v>18.910043990000005</v>
      </c>
      <c r="AB425" s="28">
        <f>Table1[[#This Row],[Motivation (Gamification %)]]-Table1[[#This Row],[Motivation (Non-Gamification %)]]</f>
        <v>3.2649378299999938</v>
      </c>
      <c r="AC425" s="28">
        <f>Table1[[#This Row],[Participation (Gamification %)]]-Table1[[#This Row],[Participation (Non-Gamification %)]]</f>
        <v>15.682463100000007</v>
      </c>
      <c r="AD425" s="28">
        <f>Table1[[#This Row],[Learning Outcomes (Gamification %)]]-Table1[[#This Row],[Learning Outcomes (Non-Gamification %)]]</f>
        <v>1.1141559000000001</v>
      </c>
      <c r="AE425" s="44" t="str">
        <f>IF(Table1[[#This Row],[Overall Effectiveness]]&lt;3.9,"Low",IF(Table1[[#This Row],[Overall Effectiveness]]&lt;4.2,"Medium","High"))</f>
        <v>Medium</v>
      </c>
      <c r="AF425" s="30" t="str">
        <f t="shared" si="40"/>
        <v>Online Tutorials</v>
      </c>
      <c r="AG425" s="30" t="str">
        <f t="shared" si="41"/>
        <v>Case Studies</v>
      </c>
      <c r="AH425" s="27">
        <f>COUNTIF(Teacher_Master!$D$2:$D$16,AF425)</f>
        <v>3</v>
      </c>
      <c r="AI425" s="30" t="str">
        <f>INDEX(Teacher_Master!$B$2:$B$16,MATCH(AF425,Teacher_Master!$D$2:$D$16,0))</f>
        <v>Prof. Kavita Rao</v>
      </c>
    </row>
    <row r="426" spans="1:35" ht="14.25" customHeight="1" x14ac:dyDescent="0.3">
      <c r="A426" s="31" t="s">
        <v>874</v>
      </c>
      <c r="B426" s="31" t="s">
        <v>2382</v>
      </c>
      <c r="C426" s="31" t="s">
        <v>2881</v>
      </c>
      <c r="D426" s="12">
        <f t="shared" ca="1" si="36"/>
        <v>21</v>
      </c>
      <c r="E426" s="12" t="str">
        <f ca="1">IF(Table1[[#This Row],[Age]]&lt;=22,"20-22",IF(Table1[[#This Row],[Age]]&lt;=25,"23-25",IF(Table1[[#This Row],[Age]]&lt;=28,"26-28","29-30")))</f>
        <v>20-22</v>
      </c>
      <c r="F426" s="12">
        <v>4.1399999999999997</v>
      </c>
      <c r="G426" s="12">
        <v>4</v>
      </c>
      <c r="H426" s="12">
        <v>3.88</v>
      </c>
      <c r="I426" s="12">
        <v>4.1500000000000004</v>
      </c>
      <c r="J426" s="12">
        <v>3.84</v>
      </c>
      <c r="K426" s="12">
        <v>3.66</v>
      </c>
      <c r="L426" s="12">
        <v>3.9</v>
      </c>
      <c r="M426" s="12">
        <v>3.65</v>
      </c>
      <c r="N426" s="12">
        <v>4.0999999999999996</v>
      </c>
      <c r="O426" s="12">
        <v>3.86</v>
      </c>
      <c r="P426" s="12">
        <f t="shared" si="37"/>
        <v>4.0020000000000007</v>
      </c>
      <c r="Q426" s="12">
        <f t="shared" si="38"/>
        <v>4</v>
      </c>
      <c r="R426" s="12">
        <f t="shared" si="39"/>
        <v>3.8340000000000005</v>
      </c>
      <c r="S426" s="28">
        <f>IFERROR(INDEX('Clean Gamification Data'!$B:$B,MATCH($B426,'Clean Gamification Data'!$A:$A,0)),"Not Found")</f>
        <v>93.772724909999994</v>
      </c>
      <c r="T426" s="28">
        <f>IFERROR(INDEX('Clean Gamification Data'!$C:$C,MATCH($B426,'Clean Gamification Data'!$A:$A,0)),"Not Found")</f>
        <v>66.299709559999997</v>
      </c>
      <c r="U426" s="28">
        <f>IFERROR(INDEX('Clean Gamification Data'!$D:$D,MATCH($B426,'Clean Gamification Data'!$A:$A,0)),"Not Found")</f>
        <v>70.082872260000002</v>
      </c>
      <c r="V426" s="28">
        <f>IFERROR(INDEX('Clean Gamification Data'!$E:$E,MATCH($B426,'Clean Gamification Data'!$A:$A,0)),"Not Found")</f>
        <v>68.147970999999998</v>
      </c>
      <c r="W426" s="28">
        <f>IFERROR(INDEX('Clean Gamification Data'!$F:$F,MATCH($B426,'Clean Gamification Data'!$A:$A,0)),"Not Found")</f>
        <v>85.903300700000003</v>
      </c>
      <c r="X426" s="28">
        <f>IFERROR(INDEX('Clean Gamification Data'!$G:$G,MATCH($B426,'Clean Gamification Data'!$A:$A,0)),"Not Found")</f>
        <v>73.377554419999996</v>
      </c>
      <c r="Y426" s="28">
        <f>IFERROR(INDEX('Clean Gamification Data'!$H:$H,MATCH($B426,'Clean Gamification Data'!$A:$A,0)),"Not Found")</f>
        <v>70.033175889999995</v>
      </c>
      <c r="Z426" s="28">
        <f>IFERROR(INDEX('Clean Gamification Data'!$I:$I,MATCH($B426,'Clean Gamification Data'!$A:$A,0)),"Not Found")</f>
        <v>52.529554840000003</v>
      </c>
      <c r="AA426" s="28">
        <f>Table1[[#This Row],[Engagement (Gamification %)]]-Table1[[#This Row],[Engagement (Non-Gamification %)]]</f>
        <v>27.473015349999997</v>
      </c>
      <c r="AB426" s="28">
        <f>Table1[[#This Row],[Motivation (Gamification %)]]-Table1[[#This Row],[Motivation (Non-Gamification %)]]</f>
        <v>1.9349012600000037</v>
      </c>
      <c r="AC426" s="28">
        <f>Table1[[#This Row],[Participation (Gamification %)]]-Table1[[#This Row],[Participation (Non-Gamification %)]]</f>
        <v>12.525746280000007</v>
      </c>
      <c r="AD426" s="28">
        <f>Table1[[#This Row],[Learning Outcomes (Gamification %)]]-Table1[[#This Row],[Learning Outcomes (Non-Gamification %)]]</f>
        <v>17.503621049999992</v>
      </c>
      <c r="AE426" s="44" t="str">
        <f>IF(Table1[[#This Row],[Overall Effectiveness]]&lt;3.9,"Low",IF(Table1[[#This Row],[Overall Effectiveness]]&lt;4.2,"Medium","High"))</f>
        <v>Medium</v>
      </c>
      <c r="AF426" s="30" t="str">
        <f t="shared" si="40"/>
        <v>Experiments</v>
      </c>
      <c r="AG426" s="30" t="str">
        <f t="shared" si="41"/>
        <v>Experiments</v>
      </c>
      <c r="AH426" s="27">
        <f>COUNTIF(Teacher_Master!$D$2:$D$16,AF426)</f>
        <v>3</v>
      </c>
      <c r="AI426" s="30" t="str">
        <f>INDEX(Teacher_Master!$B$2:$B$16,MATCH(AF426,Teacher_Master!$D$2:$D$16,0))</f>
        <v>Prof. Rahul Singh</v>
      </c>
    </row>
    <row r="427" spans="1:35" ht="14.25" customHeight="1" x14ac:dyDescent="0.3">
      <c r="A427" s="31" t="s">
        <v>876</v>
      </c>
      <c r="B427" s="31" t="s">
        <v>2383</v>
      </c>
      <c r="C427" s="31" t="s">
        <v>2881</v>
      </c>
      <c r="D427" s="12">
        <f t="shared" ca="1" si="36"/>
        <v>29</v>
      </c>
      <c r="E427" s="12" t="str">
        <f ca="1">IF(Table1[[#This Row],[Age]]&lt;=22,"20-22",IF(Table1[[#This Row],[Age]]&lt;=25,"23-25",IF(Table1[[#This Row],[Age]]&lt;=28,"26-28","29-30")))</f>
        <v>29-30</v>
      </c>
      <c r="F427" s="12">
        <v>4.18</v>
      </c>
      <c r="G427" s="12">
        <v>3.99</v>
      </c>
      <c r="H427" s="12">
        <v>3.96</v>
      </c>
      <c r="I427" s="12">
        <v>4.34</v>
      </c>
      <c r="J427" s="12">
        <v>3.96</v>
      </c>
      <c r="K427" s="12">
        <v>4.13</v>
      </c>
      <c r="L427" s="12">
        <v>3.69</v>
      </c>
      <c r="M427" s="12">
        <v>4.2300000000000004</v>
      </c>
      <c r="N427" s="12">
        <v>4</v>
      </c>
      <c r="O427" s="12">
        <v>4.22</v>
      </c>
      <c r="P427" s="12">
        <f t="shared" si="37"/>
        <v>4.0860000000000003</v>
      </c>
      <c r="Q427" s="12">
        <f t="shared" si="38"/>
        <v>4.09</v>
      </c>
      <c r="R427" s="12">
        <f t="shared" si="39"/>
        <v>4.0540000000000003</v>
      </c>
      <c r="S427" s="28">
        <f>IFERROR(INDEX('Clean Gamification Data'!$B:$B,MATCH($B427,'Clean Gamification Data'!$A:$A,0)),"Not Found")</f>
        <v>89.352671880000003</v>
      </c>
      <c r="T427" s="28">
        <f>IFERROR(INDEX('Clean Gamification Data'!$C:$C,MATCH($B427,'Clean Gamification Data'!$A:$A,0)),"Not Found")</f>
        <v>60.993626720000002</v>
      </c>
      <c r="U427" s="28">
        <f>IFERROR(INDEX('Clean Gamification Data'!$D:$D,MATCH($B427,'Clean Gamification Data'!$A:$A,0)),"Not Found")</f>
        <v>74.29670745</v>
      </c>
      <c r="V427" s="28">
        <f>IFERROR(INDEX('Clean Gamification Data'!$E:$E,MATCH($B427,'Clean Gamification Data'!$A:$A,0)),"Not Found")</f>
        <v>67.639150650000005</v>
      </c>
      <c r="W427" s="28">
        <f>IFERROR(INDEX('Clean Gamification Data'!$F:$F,MATCH($B427,'Clean Gamification Data'!$A:$A,0)),"Not Found")</f>
        <v>85.855152970000006</v>
      </c>
      <c r="X427" s="28">
        <f>IFERROR(INDEX('Clean Gamification Data'!$G:$G,MATCH($B427,'Clean Gamification Data'!$A:$A,0)),"Not Found")</f>
        <v>79.418438609999995</v>
      </c>
      <c r="Y427" s="28">
        <f>IFERROR(INDEX('Clean Gamification Data'!$H:$H,MATCH($B427,'Clean Gamification Data'!$A:$A,0)),"Not Found")</f>
        <v>72.517891039999995</v>
      </c>
      <c r="Z427" s="28">
        <f>IFERROR(INDEX('Clean Gamification Data'!$I:$I,MATCH($B427,'Clean Gamification Data'!$A:$A,0)),"Not Found")</f>
        <v>65.001885939999994</v>
      </c>
      <c r="AA427" s="28">
        <f>Table1[[#This Row],[Engagement (Gamification %)]]-Table1[[#This Row],[Engagement (Non-Gamification %)]]</f>
        <v>28.359045160000001</v>
      </c>
      <c r="AB427" s="28">
        <f>Table1[[#This Row],[Motivation (Gamification %)]]-Table1[[#This Row],[Motivation (Non-Gamification %)]]</f>
        <v>6.6575567999999947</v>
      </c>
      <c r="AC427" s="28">
        <f>Table1[[#This Row],[Participation (Gamification %)]]-Table1[[#This Row],[Participation (Non-Gamification %)]]</f>
        <v>6.4367143600000105</v>
      </c>
      <c r="AD427" s="28">
        <f>Table1[[#This Row],[Learning Outcomes (Gamification %)]]-Table1[[#This Row],[Learning Outcomes (Non-Gamification %)]]</f>
        <v>7.516005100000001</v>
      </c>
      <c r="AE427" s="44" t="str">
        <f>IF(Table1[[#This Row],[Overall Effectiveness]]&lt;3.9,"Low",IF(Table1[[#This Row],[Overall Effectiveness]]&lt;4.2,"Medium","High"))</f>
        <v>Medium</v>
      </c>
      <c r="AF427" s="30" t="str">
        <f t="shared" si="40"/>
        <v>Experiments</v>
      </c>
      <c r="AG427" s="30" t="str">
        <f t="shared" si="41"/>
        <v>Group Projects</v>
      </c>
      <c r="AH427" s="27">
        <f>COUNTIF(Teacher_Master!$D$2:$D$16,AF427)</f>
        <v>3</v>
      </c>
      <c r="AI427" s="30" t="str">
        <f>INDEX(Teacher_Master!$B$2:$B$16,MATCH(AF427,Teacher_Master!$D$2:$D$16,0))</f>
        <v>Prof. Rahul Singh</v>
      </c>
    </row>
    <row r="428" spans="1:35" ht="14.25" customHeight="1" x14ac:dyDescent="0.3">
      <c r="A428" s="31" t="s">
        <v>878</v>
      </c>
      <c r="B428" s="31" t="s">
        <v>2384</v>
      </c>
      <c r="C428" s="31" t="s">
        <v>2881</v>
      </c>
      <c r="D428" s="12">
        <f t="shared" ca="1" si="36"/>
        <v>20</v>
      </c>
      <c r="E428" s="12" t="str">
        <f ca="1">IF(Table1[[#This Row],[Age]]&lt;=22,"20-22",IF(Table1[[#This Row],[Age]]&lt;=25,"23-25",IF(Table1[[#This Row],[Age]]&lt;=28,"26-28","29-30")))</f>
        <v>20-22</v>
      </c>
      <c r="F428" s="12">
        <v>3.67</v>
      </c>
      <c r="G428" s="12">
        <v>3.98</v>
      </c>
      <c r="H428" s="12">
        <v>3.9</v>
      </c>
      <c r="I428" s="12">
        <v>3.63</v>
      </c>
      <c r="J428" s="12">
        <v>4.45</v>
      </c>
      <c r="K428" s="12">
        <v>4.38</v>
      </c>
      <c r="L428" s="12">
        <v>3.4</v>
      </c>
      <c r="M428" s="12">
        <v>3.37</v>
      </c>
      <c r="N428" s="12">
        <v>3.56</v>
      </c>
      <c r="O428" s="12">
        <v>4.0999999999999996</v>
      </c>
      <c r="P428" s="12">
        <f t="shared" si="37"/>
        <v>3.9259999999999997</v>
      </c>
      <c r="Q428" s="12">
        <f t="shared" si="38"/>
        <v>3.93</v>
      </c>
      <c r="R428" s="12">
        <f t="shared" si="39"/>
        <v>3.7619999999999996</v>
      </c>
      <c r="S428" s="28">
        <f>IFERROR(INDEX('Clean Gamification Data'!$B:$B,MATCH($B428,'Clean Gamification Data'!$A:$A,0)),"Not Found")</f>
        <v>81.596624239999997</v>
      </c>
      <c r="T428" s="28">
        <f>IFERROR(INDEX('Clean Gamification Data'!$C:$C,MATCH($B428,'Clean Gamification Data'!$A:$A,0)),"Not Found")</f>
        <v>67.402090200000004</v>
      </c>
      <c r="U428" s="28">
        <f>IFERROR(INDEX('Clean Gamification Data'!$D:$D,MATCH($B428,'Clean Gamification Data'!$A:$A,0)),"Not Found")</f>
        <v>76.358822849999996</v>
      </c>
      <c r="V428" s="28">
        <f>IFERROR(INDEX('Clean Gamification Data'!$E:$E,MATCH($B428,'Clean Gamification Data'!$A:$A,0)),"Not Found")</f>
        <v>67.586482169999996</v>
      </c>
      <c r="W428" s="28">
        <f>IFERROR(INDEX('Clean Gamification Data'!$F:$F,MATCH($B428,'Clean Gamification Data'!$A:$A,0)),"Not Found")</f>
        <v>94.884270849999993</v>
      </c>
      <c r="X428" s="28">
        <f>IFERROR(INDEX('Clean Gamification Data'!$G:$G,MATCH($B428,'Clean Gamification Data'!$A:$A,0)),"Not Found")</f>
        <v>76.449640509999995</v>
      </c>
      <c r="Y428" s="28">
        <f>IFERROR(INDEX('Clean Gamification Data'!$H:$H,MATCH($B428,'Clean Gamification Data'!$A:$A,0)),"Not Found")</f>
        <v>73.306686319999997</v>
      </c>
      <c r="Z428" s="28">
        <f>IFERROR(INDEX('Clean Gamification Data'!$I:$I,MATCH($B428,'Clean Gamification Data'!$A:$A,0)),"Not Found")</f>
        <v>62.046675110000002</v>
      </c>
      <c r="AA428" s="28">
        <f>Table1[[#This Row],[Engagement (Gamification %)]]-Table1[[#This Row],[Engagement (Non-Gamification %)]]</f>
        <v>14.194534039999994</v>
      </c>
      <c r="AB428" s="28">
        <f>Table1[[#This Row],[Motivation (Gamification %)]]-Table1[[#This Row],[Motivation (Non-Gamification %)]]</f>
        <v>8.7723406799999992</v>
      </c>
      <c r="AC428" s="28">
        <f>Table1[[#This Row],[Participation (Gamification %)]]-Table1[[#This Row],[Participation (Non-Gamification %)]]</f>
        <v>18.434630339999998</v>
      </c>
      <c r="AD428" s="28">
        <f>Table1[[#This Row],[Learning Outcomes (Gamification %)]]-Table1[[#This Row],[Learning Outcomes (Non-Gamification %)]]</f>
        <v>11.260011209999995</v>
      </c>
      <c r="AE428" s="44" t="str">
        <f>IF(Table1[[#This Row],[Overall Effectiveness]]&lt;3.9,"Low",IF(Table1[[#This Row],[Overall Effectiveness]]&lt;4.2,"Medium","High"))</f>
        <v>Medium</v>
      </c>
      <c r="AF428" s="30" t="str">
        <f t="shared" si="40"/>
        <v>Online Tutorials</v>
      </c>
      <c r="AG428" s="30" t="str">
        <f t="shared" si="41"/>
        <v>Lectures</v>
      </c>
      <c r="AH428" s="27">
        <f>COUNTIF(Teacher_Master!$D$2:$D$16,AF428)</f>
        <v>3</v>
      </c>
      <c r="AI428" s="30" t="str">
        <f>INDEX(Teacher_Master!$B$2:$B$16,MATCH(AF428,Teacher_Master!$D$2:$D$16,0))</f>
        <v>Prof. Kavita Rao</v>
      </c>
    </row>
    <row r="429" spans="1:35" ht="14.25" customHeight="1" x14ac:dyDescent="0.3">
      <c r="A429" s="31" t="s">
        <v>880</v>
      </c>
      <c r="B429" s="31" t="s">
        <v>2385</v>
      </c>
      <c r="C429" s="31" t="s">
        <v>2882</v>
      </c>
      <c r="D429" s="12">
        <f t="shared" ca="1" si="36"/>
        <v>25</v>
      </c>
      <c r="E429" s="12" t="str">
        <f ca="1">IF(Table1[[#This Row],[Age]]&lt;=22,"20-22",IF(Table1[[#This Row],[Age]]&lt;=25,"23-25",IF(Table1[[#This Row],[Age]]&lt;=28,"26-28","29-30")))</f>
        <v>23-25</v>
      </c>
      <c r="F429" s="12">
        <v>3.83</v>
      </c>
      <c r="G429" s="12">
        <v>3.87</v>
      </c>
      <c r="H429" s="12">
        <v>3.02</v>
      </c>
      <c r="I429" s="12">
        <v>3.88</v>
      </c>
      <c r="J429" s="12" t="s">
        <v>211</v>
      </c>
      <c r="K429" s="12">
        <v>4.18</v>
      </c>
      <c r="L429" s="12">
        <v>3.69</v>
      </c>
      <c r="M429" s="12">
        <v>3.9</v>
      </c>
      <c r="N429" s="12">
        <v>3.8</v>
      </c>
      <c r="O429" s="12">
        <v>3.78</v>
      </c>
      <c r="P429" s="12">
        <f t="shared" si="37"/>
        <v>3.6500000000000004</v>
      </c>
      <c r="Q429" s="12">
        <f t="shared" si="38"/>
        <v>3.65</v>
      </c>
      <c r="R429" s="12">
        <f t="shared" si="39"/>
        <v>3.87</v>
      </c>
      <c r="S429" s="28">
        <f>IFERROR(INDEX('Clean Gamification Data'!$B:$B,MATCH($B429,'Clean Gamification Data'!$A:$A,0)),"Not Found")</f>
        <v>85.828808390000006</v>
      </c>
      <c r="T429" s="28">
        <f>IFERROR(INDEX('Clean Gamification Data'!$C:$C,MATCH($B429,'Clean Gamification Data'!$A:$A,0)),"Not Found")</f>
        <v>69.776385169999998</v>
      </c>
      <c r="U429" s="28">
        <f>IFERROR(INDEX('Clean Gamification Data'!$D:$D,MATCH($B429,'Clean Gamification Data'!$A:$A,0)),"Not Found")</f>
        <v>70.571642409999995</v>
      </c>
      <c r="V429" s="28">
        <f>IFERROR(INDEX('Clean Gamification Data'!$E:$E,MATCH($B429,'Clean Gamification Data'!$A:$A,0)),"Not Found")</f>
        <v>63.522853150000003</v>
      </c>
      <c r="W429" s="28">
        <f>IFERROR(INDEX('Clean Gamification Data'!$F:$F,MATCH($B429,'Clean Gamification Data'!$A:$A,0)),"Not Found")</f>
        <v>86.325936729999995</v>
      </c>
      <c r="X429" s="28">
        <f>IFERROR(INDEX('Clean Gamification Data'!$G:$G,MATCH($B429,'Clean Gamification Data'!$A:$A,0)),"Not Found")</f>
        <v>77.206413589999997</v>
      </c>
      <c r="Y429" s="28">
        <f>IFERROR(INDEX('Clean Gamification Data'!$H:$H,MATCH($B429,'Clean Gamification Data'!$A:$A,0)),"Not Found")</f>
        <v>68.125657820000001</v>
      </c>
      <c r="Z429" s="28">
        <f>IFERROR(INDEX('Clean Gamification Data'!$I:$I,MATCH($B429,'Clean Gamification Data'!$A:$A,0)),"Not Found")</f>
        <v>57.375292559999998</v>
      </c>
      <c r="AA429" s="28">
        <f>Table1[[#This Row],[Engagement (Gamification %)]]-Table1[[#This Row],[Engagement (Non-Gamification %)]]</f>
        <v>16.052423220000009</v>
      </c>
      <c r="AB429" s="28">
        <f>Table1[[#This Row],[Motivation (Gamification %)]]-Table1[[#This Row],[Motivation (Non-Gamification %)]]</f>
        <v>7.0487892599999924</v>
      </c>
      <c r="AC429" s="28">
        <f>Table1[[#This Row],[Participation (Gamification %)]]-Table1[[#This Row],[Participation (Non-Gamification %)]]</f>
        <v>9.1195231399999983</v>
      </c>
      <c r="AD429" s="28">
        <f>Table1[[#This Row],[Learning Outcomes (Gamification %)]]-Table1[[#This Row],[Learning Outcomes (Non-Gamification %)]]</f>
        <v>10.750365260000002</v>
      </c>
      <c r="AE429" s="44" t="str">
        <f>IF(Table1[[#This Row],[Overall Effectiveness]]&lt;3.9,"Low",IF(Table1[[#This Row],[Overall Effectiveness]]&lt;4.2,"Medium","High"))</f>
        <v>Low</v>
      </c>
      <c r="AF429" s="30" t="str">
        <f t="shared" si="40"/>
        <v>Experiments</v>
      </c>
      <c r="AG429" s="30" t="str">
        <f t="shared" si="41"/>
        <v>Lectures</v>
      </c>
      <c r="AH429" s="27">
        <f>COUNTIF(Teacher_Master!$D$2:$D$16,AF429)</f>
        <v>3</v>
      </c>
      <c r="AI429" s="30" t="str">
        <f>INDEX(Teacher_Master!$B$2:$B$16,MATCH(AF429,Teacher_Master!$D$2:$D$16,0))</f>
        <v>Prof. Rahul Singh</v>
      </c>
    </row>
    <row r="430" spans="1:35" ht="14.25" customHeight="1" x14ac:dyDescent="0.3">
      <c r="A430" s="31" t="s">
        <v>882</v>
      </c>
      <c r="B430" s="31" t="s">
        <v>2386</v>
      </c>
      <c r="C430" s="31" t="s">
        <v>2882</v>
      </c>
      <c r="D430" s="12">
        <f t="shared" ca="1" si="36"/>
        <v>22</v>
      </c>
      <c r="E430" s="12" t="str">
        <f ca="1">IF(Table1[[#This Row],[Age]]&lt;=22,"20-22",IF(Table1[[#This Row],[Age]]&lt;=25,"23-25",IF(Table1[[#This Row],[Age]]&lt;=28,"26-28","29-30")))</f>
        <v>20-22</v>
      </c>
      <c r="F430" s="12">
        <v>3.82</v>
      </c>
      <c r="G430" s="12" t="s">
        <v>211</v>
      </c>
      <c r="H430" s="12">
        <v>4.12</v>
      </c>
      <c r="I430" s="12">
        <v>4.05</v>
      </c>
      <c r="J430" s="12">
        <v>3.94</v>
      </c>
      <c r="K430" s="12">
        <v>3.94</v>
      </c>
      <c r="L430" s="12">
        <v>4.38</v>
      </c>
      <c r="M430" s="12">
        <v>3.58</v>
      </c>
      <c r="N430" s="12">
        <v>4.38</v>
      </c>
      <c r="O430" s="12">
        <v>4.05</v>
      </c>
      <c r="P430" s="12">
        <f t="shared" si="37"/>
        <v>3.9824999999999995</v>
      </c>
      <c r="Q430" s="12">
        <f t="shared" si="38"/>
        <v>3.98</v>
      </c>
      <c r="R430" s="12">
        <f t="shared" si="39"/>
        <v>4.0660000000000007</v>
      </c>
      <c r="S430" s="28">
        <f>IFERROR(INDEX('Clean Gamification Data'!$B:$B,MATCH($B430,'Clean Gamification Data'!$A:$A,0)),"Not Found")</f>
        <v>94.930115749999999</v>
      </c>
      <c r="T430" s="28">
        <f>IFERROR(INDEX('Clean Gamification Data'!$C:$C,MATCH($B430,'Clean Gamification Data'!$A:$A,0)),"Not Found")</f>
        <v>74.953396240000004</v>
      </c>
      <c r="U430" s="28">
        <f>IFERROR(INDEX('Clean Gamification Data'!$D:$D,MATCH($B430,'Clean Gamification Data'!$A:$A,0)),"Not Found")</f>
        <v>82.299974770000006</v>
      </c>
      <c r="V430" s="28">
        <f>IFERROR(INDEX('Clean Gamification Data'!$E:$E,MATCH($B430,'Clean Gamification Data'!$A:$A,0)),"Not Found")</f>
        <v>62.585040909999996</v>
      </c>
      <c r="W430" s="28">
        <f>IFERROR(INDEX('Clean Gamification Data'!$F:$F,MATCH($B430,'Clean Gamification Data'!$A:$A,0)),"Not Found")</f>
        <v>80.687666770000007</v>
      </c>
      <c r="X430" s="28">
        <f>IFERROR(INDEX('Clean Gamification Data'!$G:$G,MATCH($B430,'Clean Gamification Data'!$A:$A,0)),"Not Found")</f>
        <v>82.4051939</v>
      </c>
      <c r="Y430" s="28">
        <f>IFERROR(INDEX('Clean Gamification Data'!$H:$H,MATCH($B430,'Clean Gamification Data'!$A:$A,0)),"Not Found")</f>
        <v>65</v>
      </c>
      <c r="Z430" s="28">
        <f>IFERROR(INDEX('Clean Gamification Data'!$I:$I,MATCH($B430,'Clean Gamification Data'!$A:$A,0)),"Not Found")</f>
        <v>67.622977169999999</v>
      </c>
      <c r="AA430" s="28">
        <f>Table1[[#This Row],[Engagement (Gamification %)]]-Table1[[#This Row],[Engagement (Non-Gamification %)]]</f>
        <v>19.976719509999995</v>
      </c>
      <c r="AB430" s="28">
        <f>Table1[[#This Row],[Motivation (Gamification %)]]-Table1[[#This Row],[Motivation (Non-Gamification %)]]</f>
        <v>19.714933860000009</v>
      </c>
      <c r="AC430" s="28">
        <f>Table1[[#This Row],[Participation (Gamification %)]]-Table1[[#This Row],[Participation (Non-Gamification %)]]</f>
        <v>-1.7175271299999935</v>
      </c>
      <c r="AD430" s="28">
        <f>Table1[[#This Row],[Learning Outcomes (Gamification %)]]-Table1[[#This Row],[Learning Outcomes (Non-Gamification %)]]</f>
        <v>-2.6229771699999986</v>
      </c>
      <c r="AE430" s="44" t="str">
        <f>IF(Table1[[#This Row],[Overall Effectiveness]]&lt;3.9,"Low",IF(Table1[[#This Row],[Overall Effectiveness]]&lt;4.2,"Medium","High"))</f>
        <v>Medium</v>
      </c>
      <c r="AF430" s="30" t="str">
        <f t="shared" si="40"/>
        <v>Group Projects</v>
      </c>
      <c r="AG430" s="30" t="str">
        <f t="shared" si="41"/>
        <v>Case Studies</v>
      </c>
      <c r="AH430" s="27">
        <f>COUNTIF(Teacher_Master!$D$2:$D$16,AF430)</f>
        <v>3</v>
      </c>
      <c r="AI430" s="30" t="str">
        <f>INDEX(Teacher_Master!$B$2:$B$16,MATCH(AF430,Teacher_Master!$D$2:$D$16,0))</f>
        <v>Dr. Rohan Dutta</v>
      </c>
    </row>
    <row r="431" spans="1:35" ht="14.25" customHeight="1" x14ac:dyDescent="0.3">
      <c r="A431" s="31" t="s">
        <v>884</v>
      </c>
      <c r="B431" s="31" t="s">
        <v>2387</v>
      </c>
      <c r="C431" s="31" t="s">
        <v>2882</v>
      </c>
      <c r="D431" s="12">
        <f t="shared" ca="1" si="36"/>
        <v>27</v>
      </c>
      <c r="E431" s="12" t="str">
        <f ca="1">IF(Table1[[#This Row],[Age]]&lt;=22,"20-22",IF(Table1[[#This Row],[Age]]&lt;=25,"23-25",IF(Table1[[#This Row],[Age]]&lt;=28,"26-28","29-30")))</f>
        <v>26-28</v>
      </c>
      <c r="F431" s="12">
        <v>3.63</v>
      </c>
      <c r="G431" s="12">
        <v>3.88</v>
      </c>
      <c r="H431" s="12">
        <v>4.26</v>
      </c>
      <c r="I431" s="12">
        <v>4.07</v>
      </c>
      <c r="J431" s="12">
        <v>3.94</v>
      </c>
      <c r="K431" s="12">
        <v>4.5999999999999996</v>
      </c>
      <c r="L431" s="12">
        <v>3.91</v>
      </c>
      <c r="M431" s="12">
        <v>4.41</v>
      </c>
      <c r="N431" s="12">
        <v>4.03</v>
      </c>
      <c r="O431" s="12">
        <v>4.08</v>
      </c>
      <c r="P431" s="12">
        <f t="shared" si="37"/>
        <v>3.9560000000000004</v>
      </c>
      <c r="Q431" s="12">
        <f t="shared" si="38"/>
        <v>3.96</v>
      </c>
      <c r="R431" s="12">
        <f t="shared" si="39"/>
        <v>4.2060000000000004</v>
      </c>
      <c r="S431" s="28">
        <f>IFERROR(INDEX('Clean Gamification Data'!$B:$B,MATCH($B431,'Clean Gamification Data'!$A:$A,0)),"Not Found")</f>
        <v>83.649952670000005</v>
      </c>
      <c r="T431" s="28">
        <f>IFERROR(INDEX('Clean Gamification Data'!$C:$C,MATCH($B431,'Clean Gamification Data'!$A:$A,0)),"Not Found")</f>
        <v>61.517431940000002</v>
      </c>
      <c r="U431" s="28">
        <f>IFERROR(INDEX('Clean Gamification Data'!$D:$D,MATCH($B431,'Clean Gamification Data'!$A:$A,0)),"Not Found")</f>
        <v>74.11744143</v>
      </c>
      <c r="V431" s="28">
        <f>IFERROR(INDEX('Clean Gamification Data'!$E:$E,MATCH($B431,'Clean Gamification Data'!$A:$A,0)),"Not Found")</f>
        <v>57.819807480000001</v>
      </c>
      <c r="W431" s="28">
        <f>IFERROR(INDEX('Clean Gamification Data'!$F:$F,MATCH($B431,'Clean Gamification Data'!$A:$A,0)),"Not Found")</f>
        <v>92.472678360000003</v>
      </c>
      <c r="X431" s="28">
        <f>IFERROR(INDEX('Clean Gamification Data'!$G:$G,MATCH($B431,'Clean Gamification Data'!$A:$A,0)),"Not Found")</f>
        <v>85</v>
      </c>
      <c r="Y431" s="28">
        <f>IFERROR(INDEX('Clean Gamification Data'!$H:$H,MATCH($B431,'Clean Gamification Data'!$A:$A,0)),"Not Found")</f>
        <v>67.305066830000001</v>
      </c>
      <c r="Z431" s="28">
        <f>IFERROR(INDEX('Clean Gamification Data'!$I:$I,MATCH($B431,'Clean Gamification Data'!$A:$A,0)),"Not Found")</f>
        <v>66.257738309999993</v>
      </c>
      <c r="AA431" s="28">
        <f>Table1[[#This Row],[Engagement (Gamification %)]]-Table1[[#This Row],[Engagement (Non-Gamification %)]]</f>
        <v>22.132520730000003</v>
      </c>
      <c r="AB431" s="28">
        <f>Table1[[#This Row],[Motivation (Gamification %)]]-Table1[[#This Row],[Motivation (Non-Gamification %)]]</f>
        <v>16.297633949999998</v>
      </c>
      <c r="AC431" s="28">
        <f>Table1[[#This Row],[Participation (Gamification %)]]-Table1[[#This Row],[Participation (Non-Gamification %)]]</f>
        <v>7.4726783600000033</v>
      </c>
      <c r="AD431" s="28">
        <f>Table1[[#This Row],[Learning Outcomes (Gamification %)]]-Table1[[#This Row],[Learning Outcomes (Non-Gamification %)]]</f>
        <v>1.0473285200000078</v>
      </c>
      <c r="AE431" s="44" t="str">
        <f>IF(Table1[[#This Row],[Overall Effectiveness]]&lt;3.9,"Low",IF(Table1[[#This Row],[Overall Effectiveness]]&lt;4.2,"Medium","High"))</f>
        <v>Medium</v>
      </c>
      <c r="AF431" s="30" t="str">
        <f t="shared" si="40"/>
        <v>Group Projects</v>
      </c>
      <c r="AG431" s="30" t="str">
        <f t="shared" si="41"/>
        <v>Lectures</v>
      </c>
      <c r="AH431" s="27">
        <f>COUNTIF(Teacher_Master!$D$2:$D$16,AF431)</f>
        <v>3</v>
      </c>
      <c r="AI431" s="30" t="str">
        <f>INDEX(Teacher_Master!$B$2:$B$16,MATCH(AF431,Teacher_Master!$D$2:$D$16,0))</f>
        <v>Dr. Rohan Dutta</v>
      </c>
    </row>
    <row r="432" spans="1:35" ht="14.25" customHeight="1" x14ac:dyDescent="0.3">
      <c r="A432" s="31" t="s">
        <v>886</v>
      </c>
      <c r="B432" s="31" t="s">
        <v>2388</v>
      </c>
      <c r="C432" s="31" t="s">
        <v>2881</v>
      </c>
      <c r="D432" s="12">
        <f t="shared" ca="1" si="36"/>
        <v>24</v>
      </c>
      <c r="E432" s="12" t="str">
        <f ca="1">IF(Table1[[#This Row],[Age]]&lt;=22,"20-22",IF(Table1[[#This Row],[Age]]&lt;=25,"23-25",IF(Table1[[#This Row],[Age]]&lt;=28,"26-28","29-30")))</f>
        <v>23-25</v>
      </c>
      <c r="F432" s="12">
        <v>3.72</v>
      </c>
      <c r="G432" s="12">
        <v>4.3</v>
      </c>
      <c r="H432" s="12">
        <v>4.6399999999999997</v>
      </c>
      <c r="I432" s="12">
        <v>3.9</v>
      </c>
      <c r="J432" s="12">
        <v>4.26</v>
      </c>
      <c r="K432" s="12">
        <v>4.62</v>
      </c>
      <c r="L432" s="12">
        <v>4.37</v>
      </c>
      <c r="M432" s="12">
        <v>3.88</v>
      </c>
      <c r="N432" s="12" t="s">
        <v>211</v>
      </c>
      <c r="O432" s="12">
        <v>4.0599999999999996</v>
      </c>
      <c r="P432" s="12">
        <f t="shared" si="37"/>
        <v>4.1639999999999997</v>
      </c>
      <c r="Q432" s="12">
        <f t="shared" si="38"/>
        <v>4.16</v>
      </c>
      <c r="R432" s="12">
        <f t="shared" si="39"/>
        <v>4.2324999999999999</v>
      </c>
      <c r="S432" s="28">
        <f>IFERROR(INDEX('Clean Gamification Data'!$B:$B,MATCH($B432,'Clean Gamification Data'!$A:$A,0)),"Not Found")</f>
        <v>78.847393740000001</v>
      </c>
      <c r="T432" s="28">
        <f>IFERROR(INDEX('Clean Gamification Data'!$C:$C,MATCH($B432,'Clean Gamification Data'!$A:$A,0)),"Not Found")</f>
        <v>68.923876969999995</v>
      </c>
      <c r="U432" s="28">
        <f>IFERROR(INDEX('Clean Gamification Data'!$D:$D,MATCH($B432,'Clean Gamification Data'!$A:$A,0)),"Not Found")</f>
        <v>80.539975609999999</v>
      </c>
      <c r="V432" s="28">
        <f>IFERROR(INDEX('Clean Gamification Data'!$E:$E,MATCH($B432,'Clean Gamification Data'!$A:$A,0)),"Not Found")</f>
        <v>69.42011033</v>
      </c>
      <c r="W432" s="28">
        <f>IFERROR(INDEX('Clean Gamification Data'!$F:$F,MATCH($B432,'Clean Gamification Data'!$A:$A,0)),"Not Found")</f>
        <v>91.044625819999993</v>
      </c>
      <c r="X432" s="28">
        <f>IFERROR(INDEX('Clean Gamification Data'!$G:$G,MATCH($B432,'Clean Gamification Data'!$A:$A,0)),"Not Found")</f>
        <v>74.541709800000007</v>
      </c>
      <c r="Y432" s="28">
        <f>IFERROR(INDEX('Clean Gamification Data'!$H:$H,MATCH($B432,'Clean Gamification Data'!$A:$A,0)),"Not Found")</f>
        <v>70.239392670000001</v>
      </c>
      <c r="Z432" s="28">
        <f>IFERROR(INDEX('Clean Gamification Data'!$I:$I,MATCH($B432,'Clean Gamification Data'!$A:$A,0)),"Not Found")</f>
        <v>63.929494380000001</v>
      </c>
      <c r="AA432" s="28">
        <f>Table1[[#This Row],[Engagement (Gamification %)]]-Table1[[#This Row],[Engagement (Non-Gamification %)]]</f>
        <v>9.9235167700000062</v>
      </c>
      <c r="AB432" s="28">
        <f>Table1[[#This Row],[Motivation (Gamification %)]]-Table1[[#This Row],[Motivation (Non-Gamification %)]]</f>
        <v>11.119865279999999</v>
      </c>
      <c r="AC432" s="28">
        <f>Table1[[#This Row],[Participation (Gamification %)]]-Table1[[#This Row],[Participation (Non-Gamification %)]]</f>
        <v>16.502916019999986</v>
      </c>
      <c r="AD432" s="28">
        <f>Table1[[#This Row],[Learning Outcomes (Gamification %)]]-Table1[[#This Row],[Learning Outcomes (Non-Gamification %)]]</f>
        <v>6.3098982899999996</v>
      </c>
      <c r="AE432" s="44" t="str">
        <f>IF(Table1[[#This Row],[Overall Effectiveness]]&lt;3.9,"Low",IF(Table1[[#This Row],[Overall Effectiveness]]&lt;4.2,"Medium","High"))</f>
        <v>Medium</v>
      </c>
      <c r="AF432" s="30" t="str">
        <f t="shared" si="40"/>
        <v>Group Projects</v>
      </c>
      <c r="AG432" s="30" t="str">
        <f t="shared" si="41"/>
        <v>Lectures</v>
      </c>
      <c r="AH432" s="27">
        <f>COUNTIF(Teacher_Master!$D$2:$D$16,AF432)</f>
        <v>3</v>
      </c>
      <c r="AI432" s="30" t="str">
        <f>INDEX(Teacher_Master!$B$2:$B$16,MATCH(AF432,Teacher_Master!$D$2:$D$16,0))</f>
        <v>Dr. Rohan Dutta</v>
      </c>
    </row>
    <row r="433" spans="1:35" ht="14.25" customHeight="1" x14ac:dyDescent="0.3">
      <c r="A433" s="31" t="s">
        <v>888</v>
      </c>
      <c r="B433" s="31" t="s">
        <v>2389</v>
      </c>
      <c r="C433" s="31" t="s">
        <v>2882</v>
      </c>
      <c r="D433" s="12">
        <f t="shared" ca="1" si="36"/>
        <v>27</v>
      </c>
      <c r="E433" s="12" t="str">
        <f ca="1">IF(Table1[[#This Row],[Age]]&lt;=22,"20-22",IF(Table1[[#This Row],[Age]]&lt;=25,"23-25",IF(Table1[[#This Row],[Age]]&lt;=28,"26-28","29-30")))</f>
        <v>26-28</v>
      </c>
      <c r="F433" s="12" t="s">
        <v>211</v>
      </c>
      <c r="G433" s="12">
        <v>4.34</v>
      </c>
      <c r="H433" s="12">
        <v>4.5</v>
      </c>
      <c r="I433" s="12">
        <v>3.54</v>
      </c>
      <c r="J433" s="12">
        <v>3.48</v>
      </c>
      <c r="K433" s="12">
        <v>4.1900000000000004</v>
      </c>
      <c r="L433" s="12">
        <v>4.1500000000000004</v>
      </c>
      <c r="M433" s="12">
        <v>4</v>
      </c>
      <c r="N433" s="12">
        <v>3.64</v>
      </c>
      <c r="O433" s="12">
        <v>4</v>
      </c>
      <c r="P433" s="12">
        <f t="shared" si="37"/>
        <v>3.9649999999999999</v>
      </c>
      <c r="Q433" s="12">
        <f t="shared" si="38"/>
        <v>3.97</v>
      </c>
      <c r="R433" s="12">
        <f t="shared" si="39"/>
        <v>3.996</v>
      </c>
      <c r="S433" s="28">
        <f>IFERROR(INDEX('Clean Gamification Data'!$B:$B,MATCH($B433,'Clean Gamification Data'!$A:$A,0)),"Not Found")</f>
        <v>86.231911670000002</v>
      </c>
      <c r="T433" s="28">
        <f>IFERROR(INDEX('Clean Gamification Data'!$C:$C,MATCH($B433,'Clean Gamification Data'!$A:$A,0)),"Not Found")</f>
        <v>73.926228350000002</v>
      </c>
      <c r="U433" s="28">
        <f>IFERROR(INDEX('Clean Gamification Data'!$D:$D,MATCH($B433,'Clean Gamification Data'!$A:$A,0)),"Not Found")</f>
        <v>77.430136200000007</v>
      </c>
      <c r="V433" s="28">
        <f>IFERROR(INDEX('Clean Gamification Data'!$E:$E,MATCH($B433,'Clean Gamification Data'!$A:$A,0)),"Not Found")</f>
        <v>65.497202779999995</v>
      </c>
      <c r="W433" s="28">
        <f>IFERROR(INDEX('Clean Gamification Data'!$F:$F,MATCH($B433,'Clean Gamification Data'!$A:$A,0)),"Not Found")</f>
        <v>87.300726429999997</v>
      </c>
      <c r="X433" s="28">
        <f>IFERROR(INDEX('Clean Gamification Data'!$G:$G,MATCH($B433,'Clean Gamification Data'!$A:$A,0)),"Not Found")</f>
        <v>78.102044770000006</v>
      </c>
      <c r="Y433" s="28">
        <f>IFERROR(INDEX('Clean Gamification Data'!$H:$H,MATCH($B433,'Clean Gamification Data'!$A:$A,0)),"Not Found")</f>
        <v>73.438971429999995</v>
      </c>
      <c r="Z433" s="28">
        <f>IFERROR(INDEX('Clean Gamification Data'!$I:$I,MATCH($B433,'Clean Gamification Data'!$A:$A,0)),"Not Found")</f>
        <v>54.967266760000001</v>
      </c>
      <c r="AA433" s="28">
        <f>Table1[[#This Row],[Engagement (Gamification %)]]-Table1[[#This Row],[Engagement (Non-Gamification %)]]</f>
        <v>12.30568332</v>
      </c>
      <c r="AB433" s="28">
        <f>Table1[[#This Row],[Motivation (Gamification %)]]-Table1[[#This Row],[Motivation (Non-Gamification %)]]</f>
        <v>11.932933420000012</v>
      </c>
      <c r="AC433" s="28">
        <f>Table1[[#This Row],[Participation (Gamification %)]]-Table1[[#This Row],[Participation (Non-Gamification %)]]</f>
        <v>9.1986816599999912</v>
      </c>
      <c r="AD433" s="28">
        <f>Table1[[#This Row],[Learning Outcomes (Gamification %)]]-Table1[[#This Row],[Learning Outcomes (Non-Gamification %)]]</f>
        <v>18.471704669999994</v>
      </c>
      <c r="AE433" s="44" t="str">
        <f>IF(Table1[[#This Row],[Overall Effectiveness]]&lt;3.9,"Low",IF(Table1[[#This Row],[Overall Effectiveness]]&lt;4.2,"Medium","High"))</f>
        <v>Medium</v>
      </c>
      <c r="AF433" s="30" t="str">
        <f t="shared" si="40"/>
        <v>Group Projects</v>
      </c>
      <c r="AG433" s="30" t="str">
        <f t="shared" si="41"/>
        <v>Lectures</v>
      </c>
      <c r="AH433" s="27">
        <f>COUNTIF(Teacher_Master!$D$2:$D$16,AF433)</f>
        <v>3</v>
      </c>
      <c r="AI433" s="30" t="str">
        <f>INDEX(Teacher_Master!$B$2:$B$16,MATCH(AF433,Teacher_Master!$D$2:$D$16,0))</f>
        <v>Dr. Rohan Dutta</v>
      </c>
    </row>
    <row r="434" spans="1:35" ht="14.25" customHeight="1" x14ac:dyDescent="0.3">
      <c r="A434" s="31" t="s">
        <v>890</v>
      </c>
      <c r="B434" s="31" t="s">
        <v>2390</v>
      </c>
      <c r="C434" s="31" t="s">
        <v>2882</v>
      </c>
      <c r="D434" s="12">
        <f t="shared" ca="1" si="36"/>
        <v>23</v>
      </c>
      <c r="E434" s="12" t="str">
        <f ca="1">IF(Table1[[#This Row],[Age]]&lt;=22,"20-22",IF(Table1[[#This Row],[Age]]&lt;=25,"23-25",IF(Table1[[#This Row],[Age]]&lt;=28,"26-28","29-30")))</f>
        <v>23-25</v>
      </c>
      <c r="F434" s="12">
        <v>4.47</v>
      </c>
      <c r="G434" s="12">
        <v>4.0999999999999996</v>
      </c>
      <c r="H434" s="12">
        <v>3.7</v>
      </c>
      <c r="I434" s="12">
        <v>4.67</v>
      </c>
      <c r="J434" s="12">
        <v>4.08</v>
      </c>
      <c r="K434" s="12">
        <v>3.94</v>
      </c>
      <c r="L434" s="12">
        <v>4.41</v>
      </c>
      <c r="M434" s="12">
        <v>4.54</v>
      </c>
      <c r="N434" s="12">
        <v>3.89</v>
      </c>
      <c r="O434" s="12">
        <v>4.3099999999999996</v>
      </c>
      <c r="P434" s="12">
        <f t="shared" si="37"/>
        <v>4.2039999999999988</v>
      </c>
      <c r="Q434" s="12">
        <f t="shared" si="38"/>
        <v>4.2</v>
      </c>
      <c r="R434" s="12">
        <f t="shared" si="39"/>
        <v>4.218</v>
      </c>
      <c r="S434" s="28">
        <f>IFERROR(INDEX('Clean Gamification Data'!$B:$B,MATCH($B434,'Clean Gamification Data'!$A:$A,0)),"Not Found")</f>
        <v>80.159854339999995</v>
      </c>
      <c r="T434" s="28">
        <f>IFERROR(INDEX('Clean Gamification Data'!$C:$C,MATCH($B434,'Clean Gamification Data'!$A:$A,0)),"Not Found")</f>
        <v>63.963980970000001</v>
      </c>
      <c r="U434" s="28">
        <f>IFERROR(INDEX('Clean Gamification Data'!$D:$D,MATCH($B434,'Clean Gamification Data'!$A:$A,0)),"Not Found")</f>
        <v>83.597386790000002</v>
      </c>
      <c r="V434" s="28">
        <f>IFERROR(INDEX('Clean Gamification Data'!$E:$E,MATCH($B434,'Clean Gamification Data'!$A:$A,0)),"Not Found")</f>
        <v>71.023595950000001</v>
      </c>
      <c r="W434" s="28">
        <f>IFERROR(INDEX('Clean Gamification Data'!$F:$F,MATCH($B434,'Clean Gamification Data'!$A:$A,0)),"Not Found")</f>
        <v>97.890989610000005</v>
      </c>
      <c r="X434" s="28">
        <f>IFERROR(INDEX('Clean Gamification Data'!$G:$G,MATCH($B434,'Clean Gamification Data'!$A:$A,0)),"Not Found")</f>
        <v>68.677050530000002</v>
      </c>
      <c r="Y434" s="28">
        <f>IFERROR(INDEX('Clean Gamification Data'!$H:$H,MATCH($B434,'Clean Gamification Data'!$A:$A,0)),"Not Found")</f>
        <v>65.479850709999994</v>
      </c>
      <c r="Z434" s="28">
        <f>IFERROR(INDEX('Clean Gamification Data'!$I:$I,MATCH($B434,'Clean Gamification Data'!$A:$A,0)),"Not Found")</f>
        <v>50</v>
      </c>
      <c r="AA434" s="28">
        <f>Table1[[#This Row],[Engagement (Gamification %)]]-Table1[[#This Row],[Engagement (Non-Gamification %)]]</f>
        <v>16.195873369999994</v>
      </c>
      <c r="AB434" s="28">
        <f>Table1[[#This Row],[Motivation (Gamification %)]]-Table1[[#This Row],[Motivation (Non-Gamification %)]]</f>
        <v>12.573790840000001</v>
      </c>
      <c r="AC434" s="28">
        <f>Table1[[#This Row],[Participation (Gamification %)]]-Table1[[#This Row],[Participation (Non-Gamification %)]]</f>
        <v>29.213939080000003</v>
      </c>
      <c r="AD434" s="28">
        <f>Table1[[#This Row],[Learning Outcomes (Gamification %)]]-Table1[[#This Row],[Learning Outcomes (Non-Gamification %)]]</f>
        <v>15.479850709999994</v>
      </c>
      <c r="AE434" s="44" t="str">
        <f>IF(Table1[[#This Row],[Overall Effectiveness]]&lt;3.9,"Low",IF(Table1[[#This Row],[Overall Effectiveness]]&lt;4.2,"Medium","High"))</f>
        <v>High</v>
      </c>
      <c r="AF434" s="30" t="str">
        <f t="shared" si="40"/>
        <v>Experiments</v>
      </c>
      <c r="AG434" s="30" t="str">
        <f t="shared" si="41"/>
        <v>Group Projects</v>
      </c>
      <c r="AH434" s="27">
        <f>COUNTIF(Teacher_Master!$D$2:$D$16,AF434)</f>
        <v>3</v>
      </c>
      <c r="AI434" s="30" t="str">
        <f>INDEX(Teacher_Master!$B$2:$B$16,MATCH(AF434,Teacher_Master!$D$2:$D$16,0))</f>
        <v>Prof. Rahul Singh</v>
      </c>
    </row>
    <row r="435" spans="1:35" ht="14.25" customHeight="1" x14ac:dyDescent="0.3">
      <c r="A435" s="31" t="s">
        <v>892</v>
      </c>
      <c r="B435" s="31" t="s">
        <v>2391</v>
      </c>
      <c r="C435" s="31" t="s">
        <v>2881</v>
      </c>
      <c r="D435" s="12">
        <f t="shared" ca="1" si="36"/>
        <v>30</v>
      </c>
      <c r="E435" s="12" t="str">
        <f ca="1">IF(Table1[[#This Row],[Age]]&lt;=22,"20-22",IF(Table1[[#This Row],[Age]]&lt;=25,"23-25",IF(Table1[[#This Row],[Age]]&lt;=28,"26-28","29-30")))</f>
        <v>29-30</v>
      </c>
      <c r="F435" s="12">
        <v>3.76</v>
      </c>
      <c r="G435" s="12">
        <v>3.91</v>
      </c>
      <c r="H435" s="12">
        <v>3.52</v>
      </c>
      <c r="I435" s="12">
        <v>3.69</v>
      </c>
      <c r="J435" s="12">
        <v>4.05</v>
      </c>
      <c r="K435" s="12">
        <v>3.55</v>
      </c>
      <c r="L435" s="12">
        <v>4.0199999999999996</v>
      </c>
      <c r="M435" s="12">
        <v>4.12</v>
      </c>
      <c r="N435" s="12">
        <v>3.73</v>
      </c>
      <c r="O435" s="12">
        <v>4.24</v>
      </c>
      <c r="P435" s="12">
        <f t="shared" si="37"/>
        <v>3.786</v>
      </c>
      <c r="Q435" s="12">
        <f t="shared" si="38"/>
        <v>3.79</v>
      </c>
      <c r="R435" s="12">
        <f t="shared" si="39"/>
        <v>3.9319999999999999</v>
      </c>
      <c r="S435" s="28">
        <f>IFERROR(INDEX('Clean Gamification Data'!$B:$B,MATCH($B435,'Clean Gamification Data'!$A:$A,0)),"Not Found")</f>
        <v>83.122998699999997</v>
      </c>
      <c r="T435" s="28">
        <f>IFERROR(INDEX('Clean Gamification Data'!$C:$C,MATCH($B435,'Clean Gamification Data'!$A:$A,0)),"Not Found")</f>
        <v>65.918180030000002</v>
      </c>
      <c r="U435" s="28">
        <f>IFERROR(INDEX('Clean Gamification Data'!$D:$D,MATCH($B435,'Clean Gamification Data'!$A:$A,0)),"Not Found")</f>
        <v>80.876531650000004</v>
      </c>
      <c r="V435" s="28">
        <f>IFERROR(INDEX('Clean Gamification Data'!$E:$E,MATCH($B435,'Clean Gamification Data'!$A:$A,0)),"Not Found")</f>
        <v>70.290764240000001</v>
      </c>
      <c r="W435" s="28">
        <f>IFERROR(INDEX('Clean Gamification Data'!$F:$F,MATCH($B435,'Clean Gamification Data'!$A:$A,0)),"Not Found")</f>
        <v>81.755547050000004</v>
      </c>
      <c r="X435" s="28">
        <f>IFERROR(INDEX('Clean Gamification Data'!$G:$G,MATCH($B435,'Clean Gamification Data'!$A:$A,0)),"Not Found")</f>
        <v>83.654992870000001</v>
      </c>
      <c r="Y435" s="28">
        <f>IFERROR(INDEX('Clean Gamification Data'!$H:$H,MATCH($B435,'Clean Gamification Data'!$A:$A,0)),"Not Found")</f>
        <v>70.096179019999994</v>
      </c>
      <c r="Z435" s="28">
        <f>IFERROR(INDEX('Clean Gamification Data'!$I:$I,MATCH($B435,'Clean Gamification Data'!$A:$A,0)),"Not Found")</f>
        <v>61.58618147</v>
      </c>
      <c r="AA435" s="28">
        <f>Table1[[#This Row],[Engagement (Gamification %)]]-Table1[[#This Row],[Engagement (Non-Gamification %)]]</f>
        <v>17.204818669999995</v>
      </c>
      <c r="AB435" s="28">
        <f>Table1[[#This Row],[Motivation (Gamification %)]]-Table1[[#This Row],[Motivation (Non-Gamification %)]]</f>
        <v>10.585767410000003</v>
      </c>
      <c r="AC435" s="28">
        <f>Table1[[#This Row],[Participation (Gamification %)]]-Table1[[#This Row],[Participation (Non-Gamification %)]]</f>
        <v>-1.8994458199999968</v>
      </c>
      <c r="AD435" s="28">
        <f>Table1[[#This Row],[Learning Outcomes (Gamification %)]]-Table1[[#This Row],[Learning Outcomes (Non-Gamification %)]]</f>
        <v>8.5099975499999942</v>
      </c>
      <c r="AE435" s="44" t="str">
        <f>IF(Table1[[#This Row],[Overall Effectiveness]]&lt;3.9,"Low",IF(Table1[[#This Row],[Overall Effectiveness]]&lt;4.2,"Medium","High"))</f>
        <v>Low</v>
      </c>
      <c r="AF435" s="30" t="str">
        <f t="shared" si="40"/>
        <v>Online Tutorials</v>
      </c>
      <c r="AG435" s="30" t="str">
        <f t="shared" si="41"/>
        <v>Online Tutorials</v>
      </c>
      <c r="AH435" s="27">
        <f>COUNTIF(Teacher_Master!$D$2:$D$16,AF435)</f>
        <v>3</v>
      </c>
      <c r="AI435" s="30" t="str">
        <f>INDEX(Teacher_Master!$B$2:$B$16,MATCH(AF435,Teacher_Master!$D$2:$D$16,0))</f>
        <v>Prof. Kavita Rao</v>
      </c>
    </row>
    <row r="436" spans="1:35" ht="14.25" customHeight="1" x14ac:dyDescent="0.3">
      <c r="A436" s="31" t="s">
        <v>894</v>
      </c>
      <c r="B436" s="31" t="s">
        <v>2392</v>
      </c>
      <c r="C436" s="31" t="s">
        <v>2882</v>
      </c>
      <c r="D436" s="12">
        <f t="shared" ca="1" si="36"/>
        <v>27</v>
      </c>
      <c r="E436" s="12" t="str">
        <f ca="1">IF(Table1[[#This Row],[Age]]&lt;=22,"20-22",IF(Table1[[#This Row],[Age]]&lt;=25,"23-25",IF(Table1[[#This Row],[Age]]&lt;=28,"26-28","29-30")))</f>
        <v>26-28</v>
      </c>
      <c r="F436" s="12">
        <v>3.3</v>
      </c>
      <c r="G436" s="12">
        <v>4.28</v>
      </c>
      <c r="H436" s="12">
        <v>4.1100000000000003</v>
      </c>
      <c r="I436" s="12">
        <v>4.32</v>
      </c>
      <c r="J436" s="12">
        <v>4.4800000000000004</v>
      </c>
      <c r="K436" s="12">
        <v>4.41</v>
      </c>
      <c r="L436" s="12">
        <v>4.17</v>
      </c>
      <c r="M436" s="12">
        <v>3.35</v>
      </c>
      <c r="N436" s="12">
        <v>3.98</v>
      </c>
      <c r="O436" s="12">
        <v>4.07</v>
      </c>
      <c r="P436" s="12">
        <f t="shared" si="37"/>
        <v>4.0980000000000008</v>
      </c>
      <c r="Q436" s="12">
        <f t="shared" si="38"/>
        <v>4.0999999999999996</v>
      </c>
      <c r="R436" s="12">
        <f t="shared" si="39"/>
        <v>3.996</v>
      </c>
      <c r="S436" s="28">
        <f>IFERROR(INDEX('Clean Gamification Data'!$B:$B,MATCH($B436,'Clean Gamification Data'!$A:$A,0)),"Not Found")</f>
        <v>83.788707410000001</v>
      </c>
      <c r="T436" s="28">
        <f>IFERROR(INDEX('Clean Gamification Data'!$C:$C,MATCH($B436,'Clean Gamification Data'!$A:$A,0)),"Not Found")</f>
        <v>63.674677819999999</v>
      </c>
      <c r="U436" s="28">
        <f>IFERROR(INDEX('Clean Gamification Data'!$D:$D,MATCH($B436,'Clean Gamification Data'!$A:$A,0)),"Not Found")</f>
        <v>82.286306719999999</v>
      </c>
      <c r="V436" s="28">
        <f>IFERROR(INDEX('Clean Gamification Data'!$E:$E,MATCH($B436,'Clean Gamification Data'!$A:$A,0)),"Not Found")</f>
        <v>64.507431760000003</v>
      </c>
      <c r="W436" s="28">
        <f>IFERROR(INDEX('Clean Gamification Data'!$F:$F,MATCH($B436,'Clean Gamification Data'!$A:$A,0)),"Not Found")</f>
        <v>99.464912650000002</v>
      </c>
      <c r="X436" s="28">
        <f>IFERROR(INDEX('Clean Gamification Data'!$G:$G,MATCH($B436,'Clean Gamification Data'!$A:$A,0)),"Not Found")</f>
        <v>73.243521490000006</v>
      </c>
      <c r="Y436" s="28">
        <f>IFERROR(INDEX('Clean Gamification Data'!$H:$H,MATCH($B436,'Clean Gamification Data'!$A:$A,0)),"Not Found")</f>
        <v>68.424822000000006</v>
      </c>
      <c r="Z436" s="28">
        <f>IFERROR(INDEX('Clean Gamification Data'!$I:$I,MATCH($B436,'Clean Gamification Data'!$A:$A,0)),"Not Found")</f>
        <v>68.250778819999994</v>
      </c>
      <c r="AA436" s="28">
        <f>Table1[[#This Row],[Engagement (Gamification %)]]-Table1[[#This Row],[Engagement (Non-Gamification %)]]</f>
        <v>20.114029590000001</v>
      </c>
      <c r="AB436" s="28">
        <f>Table1[[#This Row],[Motivation (Gamification %)]]-Table1[[#This Row],[Motivation (Non-Gamification %)]]</f>
        <v>17.778874959999996</v>
      </c>
      <c r="AC436" s="28">
        <f>Table1[[#This Row],[Participation (Gamification %)]]-Table1[[#This Row],[Participation (Non-Gamification %)]]</f>
        <v>26.221391159999996</v>
      </c>
      <c r="AD436" s="28">
        <f>Table1[[#This Row],[Learning Outcomes (Gamification %)]]-Table1[[#This Row],[Learning Outcomes (Non-Gamification %)]]</f>
        <v>0.1740431800000124</v>
      </c>
      <c r="AE436" s="44" t="str">
        <f>IF(Table1[[#This Row],[Overall Effectiveness]]&lt;3.9,"Low",IF(Table1[[#This Row],[Overall Effectiveness]]&lt;4.2,"Medium","High"))</f>
        <v>Medium</v>
      </c>
      <c r="AF436" s="30" t="str">
        <f t="shared" si="40"/>
        <v>Online Tutorials</v>
      </c>
      <c r="AG436" s="30" t="str">
        <f t="shared" si="41"/>
        <v>Lectures</v>
      </c>
      <c r="AH436" s="27">
        <f>COUNTIF(Teacher_Master!$D$2:$D$16,AF436)</f>
        <v>3</v>
      </c>
      <c r="AI436" s="30" t="str">
        <f>INDEX(Teacher_Master!$B$2:$B$16,MATCH(AF436,Teacher_Master!$D$2:$D$16,0))</f>
        <v>Prof. Kavita Rao</v>
      </c>
    </row>
    <row r="437" spans="1:35" ht="14.25" customHeight="1" x14ac:dyDescent="0.3">
      <c r="A437" s="31" t="s">
        <v>896</v>
      </c>
      <c r="B437" s="31" t="s">
        <v>2393</v>
      </c>
      <c r="C437" s="31" t="s">
        <v>2882</v>
      </c>
      <c r="D437" s="12">
        <f t="shared" ca="1" si="36"/>
        <v>27</v>
      </c>
      <c r="E437" s="12" t="str">
        <f ca="1">IF(Table1[[#This Row],[Age]]&lt;=22,"20-22",IF(Table1[[#This Row],[Age]]&lt;=25,"23-25",IF(Table1[[#This Row],[Age]]&lt;=28,"26-28","29-30")))</f>
        <v>26-28</v>
      </c>
      <c r="F437" s="12">
        <v>4.22</v>
      </c>
      <c r="G437" s="12" t="s">
        <v>211</v>
      </c>
      <c r="H437" s="12">
        <v>3.4</v>
      </c>
      <c r="I437" s="12">
        <v>4.12</v>
      </c>
      <c r="J437" s="12">
        <v>3.94</v>
      </c>
      <c r="K437" s="12">
        <v>4.3099999999999996</v>
      </c>
      <c r="L437" s="12">
        <v>4.07</v>
      </c>
      <c r="M437" s="12">
        <v>3.91</v>
      </c>
      <c r="N437" s="12">
        <v>4.43</v>
      </c>
      <c r="O437" s="12">
        <v>4.01</v>
      </c>
      <c r="P437" s="12">
        <f t="shared" si="37"/>
        <v>3.9199999999999995</v>
      </c>
      <c r="Q437" s="12">
        <f t="shared" si="38"/>
        <v>3.92</v>
      </c>
      <c r="R437" s="12">
        <f t="shared" si="39"/>
        <v>4.145999999999999</v>
      </c>
      <c r="S437" s="28">
        <f>IFERROR(INDEX('Clean Gamification Data'!$B:$B,MATCH($B437,'Clean Gamification Data'!$A:$A,0)),"Not Found")</f>
        <v>83.345259080000005</v>
      </c>
      <c r="T437" s="28">
        <f>IFERROR(INDEX('Clean Gamification Data'!$C:$C,MATCH($B437,'Clean Gamification Data'!$A:$A,0)),"Not Found")</f>
        <v>60.174881310000004</v>
      </c>
      <c r="U437" s="28">
        <f>IFERROR(INDEX('Clean Gamification Data'!$D:$D,MATCH($B437,'Clean Gamification Data'!$A:$A,0)),"Not Found")</f>
        <v>79.446014570000003</v>
      </c>
      <c r="V437" s="28">
        <f>IFERROR(INDEX('Clean Gamification Data'!$E:$E,MATCH($B437,'Clean Gamification Data'!$A:$A,0)),"Not Found")</f>
        <v>67.448948430000002</v>
      </c>
      <c r="W437" s="28">
        <f>IFERROR(INDEX('Clean Gamification Data'!$F:$F,MATCH($B437,'Clean Gamification Data'!$A:$A,0)),"Not Found")</f>
        <v>90.244746149999997</v>
      </c>
      <c r="X437" s="28">
        <f>IFERROR(INDEX('Clean Gamification Data'!$G:$G,MATCH($B437,'Clean Gamification Data'!$A:$A,0)),"Not Found")</f>
        <v>75.686424900000006</v>
      </c>
      <c r="Y437" s="28">
        <f>IFERROR(INDEX('Clean Gamification Data'!$H:$H,MATCH($B437,'Clean Gamification Data'!$A:$A,0)),"Not Found")</f>
        <v>72.938578300000003</v>
      </c>
      <c r="Z437" s="28">
        <f>IFERROR(INDEX('Clean Gamification Data'!$I:$I,MATCH($B437,'Clean Gamification Data'!$A:$A,0)),"Not Found")</f>
        <v>62.562783000000003</v>
      </c>
      <c r="AA437" s="28">
        <f>Table1[[#This Row],[Engagement (Gamification %)]]-Table1[[#This Row],[Engagement (Non-Gamification %)]]</f>
        <v>23.170377770000002</v>
      </c>
      <c r="AB437" s="28">
        <f>Table1[[#This Row],[Motivation (Gamification %)]]-Table1[[#This Row],[Motivation (Non-Gamification %)]]</f>
        <v>11.997066140000001</v>
      </c>
      <c r="AC437" s="28">
        <f>Table1[[#This Row],[Participation (Gamification %)]]-Table1[[#This Row],[Participation (Non-Gamification %)]]</f>
        <v>14.558321249999992</v>
      </c>
      <c r="AD437" s="28">
        <f>Table1[[#This Row],[Learning Outcomes (Gamification %)]]-Table1[[#This Row],[Learning Outcomes (Non-Gamification %)]]</f>
        <v>10.3757953</v>
      </c>
      <c r="AE437" s="44" t="str">
        <f>IF(Table1[[#This Row],[Overall Effectiveness]]&lt;3.9,"Low",IF(Table1[[#This Row],[Overall Effectiveness]]&lt;4.2,"Medium","High"))</f>
        <v>Medium</v>
      </c>
      <c r="AF437" s="30" t="str">
        <f t="shared" si="40"/>
        <v>Lectures</v>
      </c>
      <c r="AG437" s="30" t="str">
        <f t="shared" si="41"/>
        <v>Experiments</v>
      </c>
      <c r="AH437" s="27">
        <f>COUNTIF(Teacher_Master!$D$2:$D$16,AF437)</f>
        <v>3</v>
      </c>
      <c r="AI437" s="30" t="str">
        <f>INDEX(Teacher_Master!$B$2:$B$16,MATCH(AF437,Teacher_Master!$D$2:$D$16,0))</f>
        <v>Prof. Vikram Gupta</v>
      </c>
    </row>
    <row r="438" spans="1:35" ht="14.25" customHeight="1" x14ac:dyDescent="0.3">
      <c r="A438" s="31" t="s">
        <v>898</v>
      </c>
      <c r="B438" s="31" t="s">
        <v>2394</v>
      </c>
      <c r="C438" s="31" t="s">
        <v>2881</v>
      </c>
      <c r="D438" s="12">
        <f t="shared" ca="1" si="36"/>
        <v>29</v>
      </c>
      <c r="E438" s="12" t="str">
        <f ca="1">IF(Table1[[#This Row],[Age]]&lt;=22,"20-22",IF(Table1[[#This Row],[Age]]&lt;=25,"23-25",IF(Table1[[#This Row],[Age]]&lt;=28,"26-28","29-30")))</f>
        <v>29-30</v>
      </c>
      <c r="F438" s="12">
        <v>3.99</v>
      </c>
      <c r="G438" s="12">
        <v>3.7</v>
      </c>
      <c r="H438" s="12">
        <v>3.96</v>
      </c>
      <c r="I438" s="12">
        <v>3.67</v>
      </c>
      <c r="J438" s="12">
        <v>4.79</v>
      </c>
      <c r="K438" s="12">
        <v>4.07</v>
      </c>
      <c r="L438" s="12">
        <v>3.88</v>
      </c>
      <c r="M438" s="12">
        <v>3.65</v>
      </c>
      <c r="N438" s="12">
        <v>4.3600000000000003</v>
      </c>
      <c r="O438" s="12">
        <v>4.24</v>
      </c>
      <c r="P438" s="12">
        <f t="shared" si="37"/>
        <v>4.0220000000000002</v>
      </c>
      <c r="Q438" s="12">
        <f t="shared" si="38"/>
        <v>4.0199999999999996</v>
      </c>
      <c r="R438" s="12">
        <f t="shared" si="39"/>
        <v>4.0400000000000009</v>
      </c>
      <c r="S438" s="28">
        <f>IFERROR(INDEX('Clean Gamification Data'!$B:$B,MATCH($B438,'Clean Gamification Data'!$A:$A,0)),"Not Found")</f>
        <v>75</v>
      </c>
      <c r="T438" s="28">
        <f>IFERROR(INDEX('Clean Gamification Data'!$C:$C,MATCH($B438,'Clean Gamification Data'!$A:$A,0)),"Not Found")</f>
        <v>72.215906000000004</v>
      </c>
      <c r="U438" s="28">
        <f>IFERROR(INDEX('Clean Gamification Data'!$D:$D,MATCH($B438,'Clean Gamification Data'!$A:$A,0)),"Not Found")</f>
        <v>83.846816439999998</v>
      </c>
      <c r="V438" s="28">
        <f>IFERROR(INDEX('Clean Gamification Data'!$E:$E,MATCH($B438,'Clean Gamification Data'!$A:$A,0)),"Not Found")</f>
        <v>63.335255670000002</v>
      </c>
      <c r="W438" s="28">
        <f>IFERROR(INDEX('Clean Gamification Data'!$F:$F,MATCH($B438,'Clean Gamification Data'!$A:$A,0)),"Not Found")</f>
        <v>86.742277979999997</v>
      </c>
      <c r="X438" s="28">
        <f>IFERROR(INDEX('Clean Gamification Data'!$G:$G,MATCH($B438,'Clean Gamification Data'!$A:$A,0)),"Not Found")</f>
        <v>77.312324630000006</v>
      </c>
      <c r="Y438" s="28">
        <f>IFERROR(INDEX('Clean Gamification Data'!$H:$H,MATCH($B438,'Clean Gamification Data'!$A:$A,0)),"Not Found")</f>
        <v>78.422721499999994</v>
      </c>
      <c r="Z438" s="28">
        <f>IFERROR(INDEX('Clean Gamification Data'!$I:$I,MATCH($B438,'Clean Gamification Data'!$A:$A,0)),"Not Found")</f>
        <v>50</v>
      </c>
      <c r="AA438" s="28">
        <f>Table1[[#This Row],[Engagement (Gamification %)]]-Table1[[#This Row],[Engagement (Non-Gamification %)]]</f>
        <v>2.7840939999999961</v>
      </c>
      <c r="AB438" s="28">
        <f>Table1[[#This Row],[Motivation (Gamification %)]]-Table1[[#This Row],[Motivation (Non-Gamification %)]]</f>
        <v>20.511560769999996</v>
      </c>
      <c r="AC438" s="28">
        <f>Table1[[#This Row],[Participation (Gamification %)]]-Table1[[#This Row],[Participation (Non-Gamification %)]]</f>
        <v>9.429953349999991</v>
      </c>
      <c r="AD438" s="28">
        <f>Table1[[#This Row],[Learning Outcomes (Gamification %)]]-Table1[[#This Row],[Learning Outcomes (Non-Gamification %)]]</f>
        <v>28.422721499999994</v>
      </c>
      <c r="AE438" s="44" t="str">
        <f>IF(Table1[[#This Row],[Overall Effectiveness]]&lt;3.9,"Low",IF(Table1[[#This Row],[Overall Effectiveness]]&lt;4.2,"Medium","High"))</f>
        <v>Medium</v>
      </c>
      <c r="AF438" s="30" t="str">
        <f t="shared" si="40"/>
        <v>Online Tutorials</v>
      </c>
      <c r="AG438" s="30" t="str">
        <f t="shared" si="41"/>
        <v>Experiments</v>
      </c>
      <c r="AH438" s="27">
        <f>COUNTIF(Teacher_Master!$D$2:$D$16,AF438)</f>
        <v>3</v>
      </c>
      <c r="AI438" s="30" t="str">
        <f>INDEX(Teacher_Master!$B$2:$B$16,MATCH(AF438,Teacher_Master!$D$2:$D$16,0))</f>
        <v>Prof. Kavita Rao</v>
      </c>
    </row>
    <row r="439" spans="1:35" ht="14.25" customHeight="1" x14ac:dyDescent="0.3">
      <c r="A439" s="31" t="s">
        <v>900</v>
      </c>
      <c r="B439" s="31" t="s">
        <v>2395</v>
      </c>
      <c r="C439" s="31" t="s">
        <v>2881</v>
      </c>
      <c r="D439" s="12">
        <f t="shared" ca="1" si="36"/>
        <v>23</v>
      </c>
      <c r="E439" s="12" t="str">
        <f ca="1">IF(Table1[[#This Row],[Age]]&lt;=22,"20-22",IF(Table1[[#This Row],[Age]]&lt;=25,"23-25",IF(Table1[[#This Row],[Age]]&lt;=28,"26-28","29-30")))</f>
        <v>23-25</v>
      </c>
      <c r="F439" s="12">
        <v>3.58</v>
      </c>
      <c r="G439" s="12">
        <v>3.99</v>
      </c>
      <c r="H439" s="12">
        <v>3.89</v>
      </c>
      <c r="I439" s="12">
        <v>4.4400000000000004</v>
      </c>
      <c r="J439" s="12">
        <v>3.79</v>
      </c>
      <c r="K439" s="12" t="s">
        <v>211</v>
      </c>
      <c r="L439" s="12">
        <v>3.96</v>
      </c>
      <c r="M439" s="12">
        <v>4.24</v>
      </c>
      <c r="N439" s="12">
        <v>4</v>
      </c>
      <c r="O439" s="12">
        <v>4.33</v>
      </c>
      <c r="P439" s="12">
        <f t="shared" si="37"/>
        <v>3.9380000000000002</v>
      </c>
      <c r="Q439" s="12">
        <f t="shared" si="38"/>
        <v>3.94</v>
      </c>
      <c r="R439" s="12">
        <f t="shared" si="39"/>
        <v>4.1325000000000003</v>
      </c>
      <c r="S439" s="28">
        <f>IFERROR(INDEX('Clean Gamification Data'!$B:$B,MATCH($B439,'Clean Gamification Data'!$A:$A,0)),"Not Found")</f>
        <v>79.153926900000002</v>
      </c>
      <c r="T439" s="28">
        <f>IFERROR(INDEX('Clean Gamification Data'!$C:$C,MATCH($B439,'Clean Gamification Data'!$A:$A,0)),"Not Found")</f>
        <v>71.591817160000005</v>
      </c>
      <c r="U439" s="28">
        <f>IFERROR(INDEX('Clean Gamification Data'!$D:$D,MATCH($B439,'Clean Gamification Data'!$A:$A,0)),"Not Found")</f>
        <v>70</v>
      </c>
      <c r="V439" s="28">
        <f>IFERROR(INDEX('Clean Gamification Data'!$E:$E,MATCH($B439,'Clean Gamification Data'!$A:$A,0)),"Not Found")</f>
        <v>63.602240219999999</v>
      </c>
      <c r="W439" s="28">
        <f>IFERROR(INDEX('Clean Gamification Data'!$F:$F,MATCH($B439,'Clean Gamification Data'!$A:$A,0)),"Not Found")</f>
        <v>88.98032327</v>
      </c>
      <c r="X439" s="28">
        <f>IFERROR(INDEX('Clean Gamification Data'!$G:$G,MATCH($B439,'Clean Gamification Data'!$A:$A,0)),"Not Found")</f>
        <v>69.636184689999993</v>
      </c>
      <c r="Y439" s="28">
        <f>IFERROR(INDEX('Clean Gamification Data'!$H:$H,MATCH($B439,'Clean Gamification Data'!$A:$A,0)),"Not Found")</f>
        <v>72.653410429999994</v>
      </c>
      <c r="Z439" s="28">
        <f>IFERROR(INDEX('Clean Gamification Data'!$I:$I,MATCH($B439,'Clean Gamification Data'!$A:$A,0)),"Not Found")</f>
        <v>60.221753100000001</v>
      </c>
      <c r="AA439" s="28">
        <f>Table1[[#This Row],[Engagement (Gamification %)]]-Table1[[#This Row],[Engagement (Non-Gamification %)]]</f>
        <v>7.5621097399999968</v>
      </c>
      <c r="AB439" s="28">
        <f>Table1[[#This Row],[Motivation (Gamification %)]]-Table1[[#This Row],[Motivation (Non-Gamification %)]]</f>
        <v>6.3977597800000012</v>
      </c>
      <c r="AC439" s="28">
        <f>Table1[[#This Row],[Participation (Gamification %)]]-Table1[[#This Row],[Participation (Non-Gamification %)]]</f>
        <v>19.344138580000006</v>
      </c>
      <c r="AD439" s="28">
        <f>Table1[[#This Row],[Learning Outcomes (Gamification %)]]-Table1[[#This Row],[Learning Outcomes (Non-Gamification %)]]</f>
        <v>12.431657329999993</v>
      </c>
      <c r="AE439" s="44" t="str">
        <f>IF(Table1[[#This Row],[Overall Effectiveness]]&lt;3.9,"Low",IF(Table1[[#This Row],[Overall Effectiveness]]&lt;4.2,"Medium","High"))</f>
        <v>Medium</v>
      </c>
      <c r="AF439" s="30" t="str">
        <f t="shared" si="40"/>
        <v>Experiments</v>
      </c>
      <c r="AG439" s="30" t="str">
        <f t="shared" si="41"/>
        <v>Online Tutorials</v>
      </c>
      <c r="AH439" s="27">
        <f>COUNTIF(Teacher_Master!$D$2:$D$16,AF439)</f>
        <v>3</v>
      </c>
      <c r="AI439" s="30" t="str">
        <f>INDEX(Teacher_Master!$B$2:$B$16,MATCH(AF439,Teacher_Master!$D$2:$D$16,0))</f>
        <v>Prof. Rahul Singh</v>
      </c>
    </row>
    <row r="440" spans="1:35" ht="14.25" customHeight="1" x14ac:dyDescent="0.3">
      <c r="A440" s="31" t="s">
        <v>902</v>
      </c>
      <c r="B440" s="31" t="s">
        <v>2396</v>
      </c>
      <c r="C440" s="31" t="s">
        <v>2881</v>
      </c>
      <c r="D440" s="12">
        <f t="shared" ca="1" si="36"/>
        <v>26</v>
      </c>
      <c r="E440" s="12" t="str">
        <f ca="1">IF(Table1[[#This Row],[Age]]&lt;=22,"20-22",IF(Table1[[#This Row],[Age]]&lt;=25,"23-25",IF(Table1[[#This Row],[Age]]&lt;=28,"26-28","29-30")))</f>
        <v>26-28</v>
      </c>
      <c r="F440" s="12">
        <v>4.0199999999999996</v>
      </c>
      <c r="G440" s="12" t="s">
        <v>211</v>
      </c>
      <c r="H440" s="12">
        <v>4.66</v>
      </c>
      <c r="I440" s="12">
        <v>4.58</v>
      </c>
      <c r="J440" s="12">
        <v>3.91</v>
      </c>
      <c r="K440" s="12">
        <v>4</v>
      </c>
      <c r="L440" s="12">
        <v>3.66</v>
      </c>
      <c r="M440" s="12">
        <v>3.94</v>
      </c>
      <c r="N440" s="12" t="s">
        <v>904</v>
      </c>
      <c r="O440" s="12">
        <v>4.8099999999999996</v>
      </c>
      <c r="P440" s="12">
        <f t="shared" si="37"/>
        <v>4.2925000000000004</v>
      </c>
      <c r="Q440" s="12">
        <f t="shared" si="38"/>
        <v>4.29</v>
      </c>
      <c r="R440" s="12">
        <f t="shared" si="39"/>
        <v>4.1025</v>
      </c>
      <c r="S440" s="28">
        <f>IFERROR(INDEX('Clean Gamification Data'!$B:$B,MATCH($B440,'Clean Gamification Data'!$A:$A,0)),"Not Found")</f>
        <v>78.746204489999997</v>
      </c>
      <c r="T440" s="28">
        <f>IFERROR(INDEX('Clean Gamification Data'!$C:$C,MATCH($B440,'Clean Gamification Data'!$A:$A,0)),"Not Found")</f>
        <v>65.506010970000005</v>
      </c>
      <c r="U440" s="28">
        <f>IFERROR(INDEX('Clean Gamification Data'!$D:$D,MATCH($B440,'Clean Gamification Data'!$A:$A,0)),"Not Found")</f>
        <v>76.604969519999997</v>
      </c>
      <c r="V440" s="28">
        <f>IFERROR(INDEX('Clean Gamification Data'!$E:$E,MATCH($B440,'Clean Gamification Data'!$A:$A,0)),"Not Found")</f>
        <v>71.668562440000002</v>
      </c>
      <c r="W440" s="28">
        <f>IFERROR(INDEX('Clean Gamification Data'!$F:$F,MATCH($B440,'Clean Gamification Data'!$A:$A,0)),"Not Found")</f>
        <v>96.738841870000002</v>
      </c>
      <c r="X440" s="28">
        <f>IFERROR(INDEX('Clean Gamification Data'!$G:$G,MATCH($B440,'Clean Gamification Data'!$A:$A,0)),"Not Found")</f>
        <v>79.098241520000002</v>
      </c>
      <c r="Y440" s="28">
        <f>IFERROR(INDEX('Clean Gamification Data'!$H:$H,MATCH($B440,'Clean Gamification Data'!$A:$A,0)),"Not Found")</f>
        <v>72.772440669999995</v>
      </c>
      <c r="Z440" s="28">
        <f>IFERROR(INDEX('Clean Gamification Data'!$I:$I,MATCH($B440,'Clean Gamification Data'!$A:$A,0)),"Not Found")</f>
        <v>59.915287669999998</v>
      </c>
      <c r="AA440" s="28">
        <f>Table1[[#This Row],[Engagement (Gamification %)]]-Table1[[#This Row],[Engagement (Non-Gamification %)]]</f>
        <v>13.240193519999991</v>
      </c>
      <c r="AB440" s="28">
        <f>Table1[[#This Row],[Motivation (Gamification %)]]-Table1[[#This Row],[Motivation (Non-Gamification %)]]</f>
        <v>4.9364070799999951</v>
      </c>
      <c r="AC440" s="28">
        <f>Table1[[#This Row],[Participation (Gamification %)]]-Table1[[#This Row],[Participation (Non-Gamification %)]]</f>
        <v>17.64060035</v>
      </c>
      <c r="AD440" s="28">
        <f>Table1[[#This Row],[Learning Outcomes (Gamification %)]]-Table1[[#This Row],[Learning Outcomes (Non-Gamification %)]]</f>
        <v>12.857152999999997</v>
      </c>
      <c r="AE440" s="44" t="str">
        <f>IF(Table1[[#This Row],[Overall Effectiveness]]&lt;3.9,"Low",IF(Table1[[#This Row],[Overall Effectiveness]]&lt;4.2,"Medium","High"))</f>
        <v>High</v>
      </c>
      <c r="AF440" s="30" t="str">
        <f t="shared" si="40"/>
        <v>Group Projects</v>
      </c>
      <c r="AG440" s="30" t="str">
        <f t="shared" si="41"/>
        <v>Online Tutorials</v>
      </c>
      <c r="AH440" s="27">
        <f>COUNTIF(Teacher_Master!$D$2:$D$16,AF440)</f>
        <v>3</v>
      </c>
      <c r="AI440" s="30" t="str">
        <f>INDEX(Teacher_Master!$B$2:$B$16,MATCH(AF440,Teacher_Master!$D$2:$D$16,0))</f>
        <v>Dr. Rohan Dutta</v>
      </c>
    </row>
    <row r="441" spans="1:35" ht="14.25" customHeight="1" x14ac:dyDescent="0.3">
      <c r="A441" s="31" t="s">
        <v>905</v>
      </c>
      <c r="B441" s="31" t="s">
        <v>2397</v>
      </c>
      <c r="C441" s="31" t="s">
        <v>2881</v>
      </c>
      <c r="D441" s="12">
        <f t="shared" ca="1" si="36"/>
        <v>25</v>
      </c>
      <c r="E441" s="12" t="str">
        <f ca="1">IF(Table1[[#This Row],[Age]]&lt;=22,"20-22",IF(Table1[[#This Row],[Age]]&lt;=25,"23-25",IF(Table1[[#This Row],[Age]]&lt;=28,"26-28","29-30")))</f>
        <v>23-25</v>
      </c>
      <c r="F441" s="12">
        <v>4.18</v>
      </c>
      <c r="G441" s="12">
        <v>4.29</v>
      </c>
      <c r="H441" s="12">
        <v>4.3600000000000003</v>
      </c>
      <c r="I441" s="12">
        <v>3.8</v>
      </c>
      <c r="J441" s="12">
        <v>4.12</v>
      </c>
      <c r="K441" s="12">
        <v>4.07</v>
      </c>
      <c r="L441" s="12">
        <v>4.13</v>
      </c>
      <c r="M441" s="12">
        <v>3.99</v>
      </c>
      <c r="N441" s="12">
        <v>3.95</v>
      </c>
      <c r="O441" s="12">
        <v>4.1399999999999997</v>
      </c>
      <c r="P441" s="12">
        <f t="shared" si="37"/>
        <v>4.1500000000000004</v>
      </c>
      <c r="Q441" s="12">
        <f t="shared" si="38"/>
        <v>4.1500000000000004</v>
      </c>
      <c r="R441" s="12">
        <f t="shared" si="39"/>
        <v>4.056</v>
      </c>
      <c r="S441" s="28">
        <f>IFERROR(INDEX('Clean Gamification Data'!$B:$B,MATCH($B441,'Clean Gamification Data'!$A:$A,0)),"Not Found")</f>
        <v>84.523432349999993</v>
      </c>
      <c r="T441" s="28">
        <f>IFERROR(INDEX('Clean Gamification Data'!$C:$C,MATCH($B441,'Clean Gamification Data'!$A:$A,0)),"Not Found")</f>
        <v>68.312801339999993</v>
      </c>
      <c r="U441" s="28">
        <f>IFERROR(INDEX('Clean Gamification Data'!$D:$D,MATCH($B441,'Clean Gamification Data'!$A:$A,0)),"Not Found")</f>
        <v>78.264635839999997</v>
      </c>
      <c r="V441" s="28">
        <f>IFERROR(INDEX('Clean Gamification Data'!$E:$E,MATCH($B441,'Clean Gamification Data'!$A:$A,0)),"Not Found")</f>
        <v>65.275266299999998</v>
      </c>
      <c r="W441" s="28">
        <f>IFERROR(INDEX('Clean Gamification Data'!$F:$F,MATCH($B441,'Clean Gamification Data'!$A:$A,0)),"Not Found")</f>
        <v>96.147236449999994</v>
      </c>
      <c r="X441" s="28">
        <f>IFERROR(INDEX('Clean Gamification Data'!$G:$G,MATCH($B441,'Clean Gamification Data'!$A:$A,0)),"Not Found")</f>
        <v>83.730749079999995</v>
      </c>
      <c r="Y441" s="28">
        <f>IFERROR(INDEX('Clean Gamification Data'!$H:$H,MATCH($B441,'Clean Gamification Data'!$A:$A,0)),"Not Found")</f>
        <v>69.580918249999996</v>
      </c>
      <c r="Z441" s="28">
        <f>IFERROR(INDEX('Clean Gamification Data'!$I:$I,MATCH($B441,'Clean Gamification Data'!$A:$A,0)),"Not Found")</f>
        <v>55.339303540000003</v>
      </c>
      <c r="AA441" s="28">
        <f>Table1[[#This Row],[Engagement (Gamification %)]]-Table1[[#This Row],[Engagement (Non-Gamification %)]]</f>
        <v>16.21063101</v>
      </c>
      <c r="AB441" s="28">
        <f>Table1[[#This Row],[Motivation (Gamification %)]]-Table1[[#This Row],[Motivation (Non-Gamification %)]]</f>
        <v>12.989369539999998</v>
      </c>
      <c r="AC441" s="28">
        <f>Table1[[#This Row],[Participation (Gamification %)]]-Table1[[#This Row],[Participation (Non-Gamification %)]]</f>
        <v>12.416487369999999</v>
      </c>
      <c r="AD441" s="28">
        <f>Table1[[#This Row],[Learning Outcomes (Gamification %)]]-Table1[[#This Row],[Learning Outcomes (Non-Gamification %)]]</f>
        <v>14.241614709999993</v>
      </c>
      <c r="AE441" s="44" t="str">
        <f>IF(Table1[[#This Row],[Overall Effectiveness]]&lt;3.9,"Low",IF(Table1[[#This Row],[Overall Effectiveness]]&lt;4.2,"Medium","High"))</f>
        <v>Medium</v>
      </c>
      <c r="AF441" s="30" t="str">
        <f t="shared" si="40"/>
        <v>Group Projects</v>
      </c>
      <c r="AG441" s="30" t="str">
        <f t="shared" si="41"/>
        <v>Online Tutorials</v>
      </c>
      <c r="AH441" s="27">
        <f>COUNTIF(Teacher_Master!$D$2:$D$16,AF441)</f>
        <v>3</v>
      </c>
      <c r="AI441" s="30" t="str">
        <f>INDEX(Teacher_Master!$B$2:$B$16,MATCH(AF441,Teacher_Master!$D$2:$D$16,0))</f>
        <v>Dr. Rohan Dutta</v>
      </c>
    </row>
    <row r="442" spans="1:35" ht="14.25" customHeight="1" x14ac:dyDescent="0.3">
      <c r="A442" s="31" t="s">
        <v>907</v>
      </c>
      <c r="B442" s="31" t="s">
        <v>2398</v>
      </c>
      <c r="C442" s="31" t="s">
        <v>2882</v>
      </c>
      <c r="D442" s="12">
        <f t="shared" ca="1" si="36"/>
        <v>22</v>
      </c>
      <c r="E442" s="12" t="str">
        <f ca="1">IF(Table1[[#This Row],[Age]]&lt;=22,"20-22",IF(Table1[[#This Row],[Age]]&lt;=25,"23-25",IF(Table1[[#This Row],[Age]]&lt;=28,"26-28","29-30")))</f>
        <v>20-22</v>
      </c>
      <c r="F442" s="12">
        <v>3.86</v>
      </c>
      <c r="G442" s="12">
        <v>3.4</v>
      </c>
      <c r="H442" s="12">
        <v>3.71</v>
      </c>
      <c r="I442" s="12">
        <v>3.69</v>
      </c>
      <c r="J442" s="12">
        <v>3.77</v>
      </c>
      <c r="K442" s="12">
        <v>4.1500000000000004</v>
      </c>
      <c r="L442" s="12">
        <v>3.94</v>
      </c>
      <c r="M442" s="12">
        <v>4.2300000000000004</v>
      </c>
      <c r="N442" s="12">
        <v>4.08</v>
      </c>
      <c r="O442" s="12">
        <v>3.47</v>
      </c>
      <c r="P442" s="12">
        <f t="shared" si="37"/>
        <v>3.6859999999999999</v>
      </c>
      <c r="Q442" s="12">
        <f t="shared" si="38"/>
        <v>3.69</v>
      </c>
      <c r="R442" s="12">
        <f t="shared" si="39"/>
        <v>3.9739999999999993</v>
      </c>
      <c r="S442" s="28">
        <f>IFERROR(INDEX('Clean Gamification Data'!$B:$B,MATCH($B442,'Clean Gamification Data'!$A:$A,0)),"Not Found")</f>
        <v>84.682142569999996</v>
      </c>
      <c r="T442" s="28">
        <f>IFERROR(INDEX('Clean Gamification Data'!$C:$C,MATCH($B442,'Clean Gamification Data'!$A:$A,0)),"Not Found")</f>
        <v>68.124321940000002</v>
      </c>
      <c r="U442" s="28">
        <f>IFERROR(INDEX('Clean Gamification Data'!$D:$D,MATCH($B442,'Clean Gamification Data'!$A:$A,0)),"Not Found")</f>
        <v>90</v>
      </c>
      <c r="V442" s="28">
        <f>IFERROR(INDEX('Clean Gamification Data'!$E:$E,MATCH($B442,'Clean Gamification Data'!$A:$A,0)),"Not Found")</f>
        <v>68.497510599999998</v>
      </c>
      <c r="W442" s="28">
        <f>IFERROR(INDEX('Clean Gamification Data'!$F:$F,MATCH($B442,'Clean Gamification Data'!$A:$A,0)),"Not Found")</f>
        <v>87.684895409999996</v>
      </c>
      <c r="X442" s="28">
        <f>IFERROR(INDEX('Clean Gamification Data'!$G:$G,MATCH($B442,'Clean Gamification Data'!$A:$A,0)),"Not Found")</f>
        <v>74.898177720000007</v>
      </c>
      <c r="Y442" s="28">
        <f>IFERROR(INDEX('Clean Gamification Data'!$H:$H,MATCH($B442,'Clean Gamification Data'!$A:$A,0)),"Not Found")</f>
        <v>68.031437260000004</v>
      </c>
      <c r="Z442" s="28">
        <f>IFERROR(INDEX('Clean Gamification Data'!$I:$I,MATCH($B442,'Clean Gamification Data'!$A:$A,0)),"Not Found")</f>
        <v>58.171979839999999</v>
      </c>
      <c r="AA442" s="28">
        <f>Table1[[#This Row],[Engagement (Gamification %)]]-Table1[[#This Row],[Engagement (Non-Gamification %)]]</f>
        <v>16.557820629999995</v>
      </c>
      <c r="AB442" s="28">
        <f>Table1[[#This Row],[Motivation (Gamification %)]]-Table1[[#This Row],[Motivation (Non-Gamification %)]]</f>
        <v>21.502489400000002</v>
      </c>
      <c r="AC442" s="28">
        <f>Table1[[#This Row],[Participation (Gamification %)]]-Table1[[#This Row],[Participation (Non-Gamification %)]]</f>
        <v>12.786717689999989</v>
      </c>
      <c r="AD442" s="28">
        <f>Table1[[#This Row],[Learning Outcomes (Gamification %)]]-Table1[[#This Row],[Learning Outcomes (Non-Gamification %)]]</f>
        <v>9.8594574200000054</v>
      </c>
      <c r="AE442" s="44" t="str">
        <f>IF(Table1[[#This Row],[Overall Effectiveness]]&lt;3.9,"Low",IF(Table1[[#This Row],[Overall Effectiveness]]&lt;4.2,"Medium","High"))</f>
        <v>Low</v>
      </c>
      <c r="AF442" s="30" t="str">
        <f t="shared" si="40"/>
        <v>Lectures</v>
      </c>
      <c r="AG442" s="30" t="str">
        <f t="shared" si="41"/>
        <v>Group Projects</v>
      </c>
      <c r="AH442" s="27">
        <f>COUNTIF(Teacher_Master!$D$2:$D$16,AF442)</f>
        <v>3</v>
      </c>
      <c r="AI442" s="30" t="str">
        <f>INDEX(Teacher_Master!$B$2:$B$16,MATCH(AF442,Teacher_Master!$D$2:$D$16,0))</f>
        <v>Prof. Vikram Gupta</v>
      </c>
    </row>
    <row r="443" spans="1:35" ht="14.25" customHeight="1" x14ac:dyDescent="0.3">
      <c r="A443" s="31" t="s">
        <v>909</v>
      </c>
      <c r="B443" s="31" t="s">
        <v>2399</v>
      </c>
      <c r="C443" s="31" t="s">
        <v>2882</v>
      </c>
      <c r="D443" s="12">
        <f t="shared" ca="1" si="36"/>
        <v>21</v>
      </c>
      <c r="E443" s="12" t="str">
        <f ca="1">IF(Table1[[#This Row],[Age]]&lt;=22,"20-22",IF(Table1[[#This Row],[Age]]&lt;=25,"23-25",IF(Table1[[#This Row],[Age]]&lt;=28,"26-28","29-30")))</f>
        <v>20-22</v>
      </c>
      <c r="F443" s="12">
        <v>3.92</v>
      </c>
      <c r="G443" s="12">
        <v>3.99</v>
      </c>
      <c r="H443" s="12">
        <v>4.21</v>
      </c>
      <c r="I443" s="12">
        <v>3.58</v>
      </c>
      <c r="J443" s="12">
        <v>4.28</v>
      </c>
      <c r="K443" s="12">
        <v>4.21</v>
      </c>
      <c r="L443" s="12">
        <v>3.71</v>
      </c>
      <c r="M443" s="12">
        <v>3.62</v>
      </c>
      <c r="N443" s="12">
        <v>3.29</v>
      </c>
      <c r="O443" s="12">
        <v>4.1900000000000004</v>
      </c>
      <c r="P443" s="12">
        <f t="shared" si="37"/>
        <v>3.996</v>
      </c>
      <c r="Q443" s="12">
        <f t="shared" si="38"/>
        <v>4</v>
      </c>
      <c r="R443" s="12">
        <f t="shared" si="39"/>
        <v>3.8039999999999998</v>
      </c>
      <c r="S443" s="28">
        <f>IFERROR(INDEX('Clean Gamification Data'!$B:$B,MATCH($B443,'Clean Gamification Data'!$A:$A,0)),"Not Found")</f>
        <v>96.401584240000005</v>
      </c>
      <c r="T443" s="28">
        <f>IFERROR(INDEX('Clean Gamification Data'!$C:$C,MATCH($B443,'Clean Gamification Data'!$A:$A,0)),"Not Found")</f>
        <v>77.444230349999998</v>
      </c>
      <c r="U443" s="28">
        <f>IFERROR(INDEX('Clean Gamification Data'!$D:$D,MATCH($B443,'Clean Gamification Data'!$A:$A,0)),"Not Found")</f>
        <v>81.504705349999995</v>
      </c>
      <c r="V443" s="28">
        <f>IFERROR(INDEX('Clean Gamification Data'!$E:$E,MATCH($B443,'Clean Gamification Data'!$A:$A,0)),"Not Found")</f>
        <v>68.686461089999995</v>
      </c>
      <c r="W443" s="28">
        <f>IFERROR(INDEX('Clean Gamification Data'!$F:$F,MATCH($B443,'Clean Gamification Data'!$A:$A,0)),"Not Found")</f>
        <v>92.519018160000002</v>
      </c>
      <c r="X443" s="28">
        <f>IFERROR(INDEX('Clean Gamification Data'!$G:$G,MATCH($B443,'Clean Gamification Data'!$A:$A,0)),"Not Found")</f>
        <v>77.148777710000005</v>
      </c>
      <c r="Y443" s="28">
        <f>IFERROR(INDEX('Clean Gamification Data'!$H:$H,MATCH($B443,'Clean Gamification Data'!$A:$A,0)),"Not Found")</f>
        <v>69.374508059999997</v>
      </c>
      <c r="Z443" s="28">
        <f>IFERROR(INDEX('Clean Gamification Data'!$I:$I,MATCH($B443,'Clean Gamification Data'!$A:$A,0)),"Not Found")</f>
        <v>68.666704260000003</v>
      </c>
      <c r="AA443" s="28">
        <f>Table1[[#This Row],[Engagement (Gamification %)]]-Table1[[#This Row],[Engagement (Non-Gamification %)]]</f>
        <v>18.957353890000007</v>
      </c>
      <c r="AB443" s="28">
        <f>Table1[[#This Row],[Motivation (Gamification %)]]-Table1[[#This Row],[Motivation (Non-Gamification %)]]</f>
        <v>12.81824426</v>
      </c>
      <c r="AC443" s="28">
        <f>Table1[[#This Row],[Participation (Gamification %)]]-Table1[[#This Row],[Participation (Non-Gamification %)]]</f>
        <v>15.370240449999997</v>
      </c>
      <c r="AD443" s="28">
        <f>Table1[[#This Row],[Learning Outcomes (Gamification %)]]-Table1[[#This Row],[Learning Outcomes (Non-Gamification %)]]</f>
        <v>0.70780379999999354</v>
      </c>
      <c r="AE443" s="44" t="str">
        <f>IF(Table1[[#This Row],[Overall Effectiveness]]&lt;3.9,"Low",IF(Table1[[#This Row],[Overall Effectiveness]]&lt;4.2,"Medium","High"))</f>
        <v>Medium</v>
      </c>
      <c r="AF443" s="30" t="str">
        <f t="shared" si="40"/>
        <v>Online Tutorials</v>
      </c>
      <c r="AG443" s="30" t="str">
        <f t="shared" si="41"/>
        <v>Lectures</v>
      </c>
      <c r="AH443" s="27">
        <f>COUNTIF(Teacher_Master!$D$2:$D$16,AF443)</f>
        <v>3</v>
      </c>
      <c r="AI443" s="30" t="str">
        <f>INDEX(Teacher_Master!$B$2:$B$16,MATCH(AF443,Teacher_Master!$D$2:$D$16,0))</f>
        <v>Prof. Kavita Rao</v>
      </c>
    </row>
    <row r="444" spans="1:35" ht="14.25" customHeight="1" x14ac:dyDescent="0.3">
      <c r="A444" s="31" t="s">
        <v>911</v>
      </c>
      <c r="B444" s="31" t="s">
        <v>2400</v>
      </c>
      <c r="C444" s="31" t="s">
        <v>2881</v>
      </c>
      <c r="D444" s="12">
        <f t="shared" ca="1" si="36"/>
        <v>23</v>
      </c>
      <c r="E444" s="12" t="str">
        <f ca="1">IF(Table1[[#This Row],[Age]]&lt;=22,"20-22",IF(Table1[[#This Row],[Age]]&lt;=25,"23-25",IF(Table1[[#This Row],[Age]]&lt;=28,"26-28","29-30")))</f>
        <v>23-25</v>
      </c>
      <c r="F444" s="12">
        <v>4.32</v>
      </c>
      <c r="G444" s="12">
        <v>3.88</v>
      </c>
      <c r="H444" s="12">
        <v>3.9</v>
      </c>
      <c r="I444" s="12">
        <v>3.6</v>
      </c>
      <c r="J444" s="12">
        <v>4.21</v>
      </c>
      <c r="K444" s="12">
        <v>3.41</v>
      </c>
      <c r="L444" s="12">
        <v>3.97</v>
      </c>
      <c r="M444" s="12">
        <v>4.07</v>
      </c>
      <c r="N444" s="12">
        <v>3.76</v>
      </c>
      <c r="O444" s="12">
        <v>4.0999999999999996</v>
      </c>
      <c r="P444" s="12">
        <f t="shared" si="37"/>
        <v>3.9820000000000002</v>
      </c>
      <c r="Q444" s="12">
        <f t="shared" si="38"/>
        <v>3.98</v>
      </c>
      <c r="R444" s="12">
        <f t="shared" si="39"/>
        <v>3.8620000000000005</v>
      </c>
      <c r="S444" s="28">
        <f>IFERROR(INDEX('Clean Gamification Data'!$B:$B,MATCH($B444,'Clean Gamification Data'!$A:$A,0)),"Not Found")</f>
        <v>86.969823649999995</v>
      </c>
      <c r="T444" s="28">
        <f>IFERROR(INDEX('Clean Gamification Data'!$C:$C,MATCH($B444,'Clean Gamification Data'!$A:$A,0)),"Not Found")</f>
        <v>76.015983449999993</v>
      </c>
      <c r="U444" s="28">
        <f>IFERROR(INDEX('Clean Gamification Data'!$D:$D,MATCH($B444,'Clean Gamification Data'!$A:$A,0)),"Not Found")</f>
        <v>75.105908040000003</v>
      </c>
      <c r="V444" s="28">
        <f>IFERROR(INDEX('Clean Gamification Data'!$E:$E,MATCH($B444,'Clean Gamification Data'!$A:$A,0)),"Not Found")</f>
        <v>74.577107839999996</v>
      </c>
      <c r="W444" s="28">
        <f>IFERROR(INDEX('Clean Gamification Data'!$F:$F,MATCH($B444,'Clean Gamification Data'!$A:$A,0)),"Not Found")</f>
        <v>89.859299969999995</v>
      </c>
      <c r="X444" s="28">
        <f>IFERROR(INDEX('Clean Gamification Data'!$G:$G,MATCH($B444,'Clean Gamification Data'!$A:$A,0)),"Not Found")</f>
        <v>85</v>
      </c>
      <c r="Y444" s="28">
        <f>IFERROR(INDEX('Clean Gamification Data'!$H:$H,MATCH($B444,'Clean Gamification Data'!$A:$A,0)),"Not Found")</f>
        <v>65</v>
      </c>
      <c r="Z444" s="28">
        <f>IFERROR(INDEX('Clean Gamification Data'!$I:$I,MATCH($B444,'Clean Gamification Data'!$A:$A,0)),"Not Found")</f>
        <v>63.186545879999997</v>
      </c>
      <c r="AA444" s="28">
        <f>Table1[[#This Row],[Engagement (Gamification %)]]-Table1[[#This Row],[Engagement (Non-Gamification %)]]</f>
        <v>10.953840200000002</v>
      </c>
      <c r="AB444" s="28">
        <f>Table1[[#This Row],[Motivation (Gamification %)]]-Table1[[#This Row],[Motivation (Non-Gamification %)]]</f>
        <v>0.52880020000000627</v>
      </c>
      <c r="AC444" s="28">
        <f>Table1[[#This Row],[Participation (Gamification %)]]-Table1[[#This Row],[Participation (Non-Gamification %)]]</f>
        <v>4.859299969999995</v>
      </c>
      <c r="AD444" s="28">
        <f>Table1[[#This Row],[Learning Outcomes (Gamification %)]]-Table1[[#This Row],[Learning Outcomes (Non-Gamification %)]]</f>
        <v>1.8134541200000029</v>
      </c>
      <c r="AE444" s="44" t="str">
        <f>IF(Table1[[#This Row],[Overall Effectiveness]]&lt;3.9,"Low",IF(Table1[[#This Row],[Overall Effectiveness]]&lt;4.2,"Medium","High"))</f>
        <v>Medium</v>
      </c>
      <c r="AF444" s="30" t="str">
        <f t="shared" si="40"/>
        <v>Lectures</v>
      </c>
      <c r="AG444" s="30" t="str">
        <f t="shared" si="41"/>
        <v>Online Tutorials</v>
      </c>
      <c r="AH444" s="27">
        <f>COUNTIF(Teacher_Master!$D$2:$D$16,AF444)</f>
        <v>3</v>
      </c>
      <c r="AI444" s="30" t="str">
        <f>INDEX(Teacher_Master!$B$2:$B$16,MATCH(AF444,Teacher_Master!$D$2:$D$16,0))</f>
        <v>Prof. Vikram Gupta</v>
      </c>
    </row>
    <row r="445" spans="1:35" ht="14.25" customHeight="1" x14ac:dyDescent="0.3">
      <c r="A445" s="31" t="s">
        <v>913</v>
      </c>
      <c r="B445" s="31" t="s">
        <v>2401</v>
      </c>
      <c r="C445" s="31" t="s">
        <v>2881</v>
      </c>
      <c r="D445" s="12">
        <f t="shared" ca="1" si="36"/>
        <v>28</v>
      </c>
      <c r="E445" s="12" t="str">
        <f ca="1">IF(Table1[[#This Row],[Age]]&lt;=22,"20-22",IF(Table1[[#This Row],[Age]]&lt;=25,"23-25",IF(Table1[[#This Row],[Age]]&lt;=28,"26-28","29-30")))</f>
        <v>26-28</v>
      </c>
      <c r="F445" s="12">
        <v>3.99</v>
      </c>
      <c r="G445" s="12">
        <v>4.34</v>
      </c>
      <c r="H445" s="12">
        <v>3.71</v>
      </c>
      <c r="I445" s="12">
        <v>3.88</v>
      </c>
      <c r="J445" s="12">
        <v>3.63</v>
      </c>
      <c r="K445" s="12">
        <v>4.33</v>
      </c>
      <c r="L445" s="12">
        <v>4.37</v>
      </c>
      <c r="M445" s="12">
        <v>4.3</v>
      </c>
      <c r="N445" s="12">
        <v>4.29</v>
      </c>
      <c r="O445" s="12">
        <v>4.17</v>
      </c>
      <c r="P445" s="12">
        <f t="shared" si="37"/>
        <v>3.9099999999999993</v>
      </c>
      <c r="Q445" s="12">
        <f t="shared" si="38"/>
        <v>3.91</v>
      </c>
      <c r="R445" s="12">
        <f t="shared" si="39"/>
        <v>4.2919999999999998</v>
      </c>
      <c r="S445" s="28">
        <f>IFERROR(INDEX('Clean Gamification Data'!$B:$B,MATCH($B445,'Clean Gamification Data'!$A:$A,0)),"Not Found")</f>
        <v>82.9016637</v>
      </c>
      <c r="T445" s="28">
        <f>IFERROR(INDEX('Clean Gamification Data'!$C:$C,MATCH($B445,'Clean Gamification Data'!$A:$A,0)),"Not Found")</f>
        <v>62.70037919</v>
      </c>
      <c r="U445" s="28">
        <f>IFERROR(INDEX('Clean Gamification Data'!$D:$D,MATCH($B445,'Clean Gamification Data'!$A:$A,0)),"Not Found")</f>
        <v>70</v>
      </c>
      <c r="V445" s="28">
        <f>IFERROR(INDEX('Clean Gamification Data'!$E:$E,MATCH($B445,'Clean Gamification Data'!$A:$A,0)),"Not Found")</f>
        <v>65.816553459999994</v>
      </c>
      <c r="W445" s="28">
        <f>IFERROR(INDEX('Clean Gamification Data'!$F:$F,MATCH($B445,'Clean Gamification Data'!$A:$A,0)),"Not Found")</f>
        <v>95.609429860000006</v>
      </c>
      <c r="X445" s="28">
        <f>IFERROR(INDEX('Clean Gamification Data'!$G:$G,MATCH($B445,'Clean Gamification Data'!$A:$A,0)),"Not Found")</f>
        <v>82.133512319999994</v>
      </c>
      <c r="Y445" s="28">
        <f>IFERROR(INDEX('Clean Gamification Data'!$H:$H,MATCH($B445,'Clean Gamification Data'!$A:$A,0)),"Not Found")</f>
        <v>73.36960388</v>
      </c>
      <c r="Z445" s="28">
        <f>IFERROR(INDEX('Clean Gamification Data'!$I:$I,MATCH($B445,'Clean Gamification Data'!$A:$A,0)),"Not Found")</f>
        <v>70</v>
      </c>
      <c r="AA445" s="28">
        <f>Table1[[#This Row],[Engagement (Gamification %)]]-Table1[[#This Row],[Engagement (Non-Gamification %)]]</f>
        <v>20.201284510000001</v>
      </c>
      <c r="AB445" s="28">
        <f>Table1[[#This Row],[Motivation (Gamification %)]]-Table1[[#This Row],[Motivation (Non-Gamification %)]]</f>
        <v>4.1834465400000056</v>
      </c>
      <c r="AC445" s="28">
        <f>Table1[[#This Row],[Participation (Gamification %)]]-Table1[[#This Row],[Participation (Non-Gamification %)]]</f>
        <v>13.475917540000012</v>
      </c>
      <c r="AD445" s="28">
        <f>Table1[[#This Row],[Learning Outcomes (Gamification %)]]-Table1[[#This Row],[Learning Outcomes (Non-Gamification %)]]</f>
        <v>3.3696038799999997</v>
      </c>
      <c r="AE445" s="44" t="str">
        <f>IF(Table1[[#This Row],[Overall Effectiveness]]&lt;3.9,"Low",IF(Table1[[#This Row],[Overall Effectiveness]]&lt;4.2,"Medium","High"))</f>
        <v>Medium</v>
      </c>
      <c r="AF445" s="30" t="str">
        <f t="shared" si="40"/>
        <v>Case Studies</v>
      </c>
      <c r="AG445" s="30" t="str">
        <f t="shared" si="41"/>
        <v>Case Studies</v>
      </c>
      <c r="AH445" s="27">
        <f>COUNTIF(Teacher_Master!$D$2:$D$16,AF445)</f>
        <v>3</v>
      </c>
      <c r="AI445" s="30" t="str">
        <f>INDEX(Teacher_Master!$B$2:$B$16,MATCH(AF445,Teacher_Master!$D$2:$D$16,0))</f>
        <v>Prof. Rajesh Mukherjee</v>
      </c>
    </row>
    <row r="446" spans="1:35" ht="14.25" customHeight="1" x14ac:dyDescent="0.3">
      <c r="A446" s="31" t="s">
        <v>915</v>
      </c>
      <c r="B446" s="31" t="s">
        <v>916</v>
      </c>
      <c r="C446" s="31" t="s">
        <v>2882</v>
      </c>
      <c r="D446" s="12">
        <f t="shared" ca="1" si="36"/>
        <v>30</v>
      </c>
      <c r="E446" s="12" t="str">
        <f ca="1">IF(Table1[[#This Row],[Age]]&lt;=22,"20-22",IF(Table1[[#This Row],[Age]]&lt;=25,"23-25",IF(Table1[[#This Row],[Age]]&lt;=28,"26-28","29-30")))</f>
        <v>29-30</v>
      </c>
      <c r="F446" s="12">
        <v>3.85</v>
      </c>
      <c r="G446" s="12">
        <v>3.92</v>
      </c>
      <c r="H446" s="12">
        <v>4.0599999999999996</v>
      </c>
      <c r="I446" s="12" t="s">
        <v>211</v>
      </c>
      <c r="J446" s="12">
        <v>3.93</v>
      </c>
      <c r="K446" s="12" t="s">
        <v>211</v>
      </c>
      <c r="L446" s="12">
        <v>4.18</v>
      </c>
      <c r="M446" s="12">
        <v>4.53</v>
      </c>
      <c r="N446" s="12">
        <v>3.24</v>
      </c>
      <c r="O446" s="12">
        <v>4.43</v>
      </c>
      <c r="P446" s="12">
        <f t="shared" si="37"/>
        <v>3.9399999999999995</v>
      </c>
      <c r="Q446" s="12">
        <f t="shared" si="38"/>
        <v>3.94</v>
      </c>
      <c r="R446" s="12">
        <f t="shared" si="39"/>
        <v>4.0950000000000006</v>
      </c>
      <c r="S446" s="28">
        <f>IFERROR(INDEX('Clean Gamification Data'!$B:$B,MATCH($B446,'Clean Gamification Data'!$A:$A,0)),"Not Found")</f>
        <v>79.814544799999993</v>
      </c>
      <c r="T446" s="28">
        <f>IFERROR(INDEX('Clean Gamification Data'!$C:$C,MATCH($B446,'Clean Gamification Data'!$A:$A,0)),"Not Found")</f>
        <v>67.228512879999997</v>
      </c>
      <c r="U446" s="28">
        <f>IFERROR(INDEX('Clean Gamification Data'!$D:$D,MATCH($B446,'Clean Gamification Data'!$A:$A,0)),"Not Found")</f>
        <v>73.279009790000003</v>
      </c>
      <c r="V446" s="28">
        <f>IFERROR(INDEX('Clean Gamification Data'!$E:$E,MATCH($B446,'Clean Gamification Data'!$A:$A,0)),"Not Found")</f>
        <v>63.468384669999999</v>
      </c>
      <c r="W446" s="28">
        <f>IFERROR(INDEX('Clean Gamification Data'!$F:$F,MATCH($B446,'Clean Gamification Data'!$A:$A,0)),"Not Found")</f>
        <v>88.824344479999993</v>
      </c>
      <c r="X446" s="28">
        <f>IFERROR(INDEX('Clean Gamification Data'!$G:$G,MATCH($B446,'Clean Gamification Data'!$A:$A,0)),"Not Found")</f>
        <v>82.349929320000001</v>
      </c>
      <c r="Y446" s="28">
        <f>IFERROR(INDEX('Clean Gamification Data'!$H:$H,MATCH($B446,'Clean Gamification Data'!$A:$A,0)),"Not Found")</f>
        <v>68.417629210000001</v>
      </c>
      <c r="Z446" s="28">
        <f>IFERROR(INDEX('Clean Gamification Data'!$I:$I,MATCH($B446,'Clean Gamification Data'!$A:$A,0)),"Not Found")</f>
        <v>56.532986030000004</v>
      </c>
      <c r="AA446" s="28">
        <f>Table1[[#This Row],[Engagement (Gamification %)]]-Table1[[#This Row],[Engagement (Non-Gamification %)]]</f>
        <v>12.586031919999996</v>
      </c>
      <c r="AB446" s="28">
        <f>Table1[[#This Row],[Motivation (Gamification %)]]-Table1[[#This Row],[Motivation (Non-Gamification %)]]</f>
        <v>9.8106251200000045</v>
      </c>
      <c r="AC446" s="28">
        <f>Table1[[#This Row],[Participation (Gamification %)]]-Table1[[#This Row],[Participation (Non-Gamification %)]]</f>
        <v>6.4744151599999924</v>
      </c>
      <c r="AD446" s="28">
        <f>Table1[[#This Row],[Learning Outcomes (Gamification %)]]-Table1[[#This Row],[Learning Outcomes (Non-Gamification %)]]</f>
        <v>11.884643179999998</v>
      </c>
      <c r="AE446" s="44" t="str">
        <f>IF(Table1[[#This Row],[Overall Effectiveness]]&lt;3.9,"Low",IF(Table1[[#This Row],[Overall Effectiveness]]&lt;4.2,"Medium","High"))</f>
        <v>Medium</v>
      </c>
      <c r="AF446" s="30" t="str">
        <f t="shared" si="40"/>
        <v>Group Projects</v>
      </c>
      <c r="AG446" s="30" t="str">
        <f t="shared" si="41"/>
        <v>Group Projects</v>
      </c>
      <c r="AH446" s="27">
        <f>COUNTIF(Teacher_Master!$D$2:$D$16,AF446)</f>
        <v>3</v>
      </c>
      <c r="AI446" s="30" t="str">
        <f>INDEX(Teacher_Master!$B$2:$B$16,MATCH(AF446,Teacher_Master!$D$2:$D$16,0))</f>
        <v>Dr. Rohan Dutta</v>
      </c>
    </row>
    <row r="447" spans="1:35" ht="14.25" customHeight="1" x14ac:dyDescent="0.3">
      <c r="A447" s="31" t="s">
        <v>917</v>
      </c>
      <c r="B447" s="31" t="s">
        <v>918</v>
      </c>
      <c r="C447" s="31" t="s">
        <v>2882</v>
      </c>
      <c r="D447" s="12">
        <f t="shared" ca="1" si="36"/>
        <v>26</v>
      </c>
      <c r="E447" s="12" t="str">
        <f ca="1">IF(Table1[[#This Row],[Age]]&lt;=22,"20-22",IF(Table1[[#This Row],[Age]]&lt;=25,"23-25",IF(Table1[[#This Row],[Age]]&lt;=28,"26-28","29-30")))</f>
        <v>26-28</v>
      </c>
      <c r="F447" s="12">
        <v>3.82</v>
      </c>
      <c r="G447" s="12">
        <v>3.99</v>
      </c>
      <c r="H447" s="12">
        <v>3.98</v>
      </c>
      <c r="I447" s="12">
        <v>3.94</v>
      </c>
      <c r="J447" s="12">
        <v>4.43</v>
      </c>
      <c r="K447" s="12">
        <v>3.87</v>
      </c>
      <c r="L447" s="12">
        <v>3.62</v>
      </c>
      <c r="M447" s="12">
        <v>4.09</v>
      </c>
      <c r="N447" s="12">
        <v>3.65</v>
      </c>
      <c r="O447" s="12">
        <v>4.1399999999999997</v>
      </c>
      <c r="P447" s="12">
        <f t="shared" si="37"/>
        <v>4.032</v>
      </c>
      <c r="Q447" s="12">
        <f t="shared" si="38"/>
        <v>4.03</v>
      </c>
      <c r="R447" s="12">
        <f t="shared" si="39"/>
        <v>3.8740000000000001</v>
      </c>
      <c r="S447" s="28">
        <f>IFERROR(INDEX('Clean Gamification Data'!$B:$B,MATCH($B447,'Clean Gamification Data'!$A:$A,0)),"Not Found")</f>
        <v>85.080606759999995</v>
      </c>
      <c r="T447" s="28">
        <f>IFERROR(INDEX('Clean Gamification Data'!$C:$C,MATCH($B447,'Clean Gamification Data'!$A:$A,0)),"Not Found")</f>
        <v>64.039595800000001</v>
      </c>
      <c r="U447" s="28">
        <f>IFERROR(INDEX('Clean Gamification Data'!$D:$D,MATCH($B447,'Clean Gamification Data'!$A:$A,0)),"Not Found")</f>
        <v>85.566376099999999</v>
      </c>
      <c r="V447" s="28">
        <f>IFERROR(INDEX('Clean Gamification Data'!$E:$E,MATCH($B447,'Clean Gamification Data'!$A:$A,0)),"Not Found")</f>
        <v>66.188898949999995</v>
      </c>
      <c r="W447" s="28">
        <f>IFERROR(INDEX('Clean Gamification Data'!$F:$F,MATCH($B447,'Clean Gamification Data'!$A:$A,0)),"Not Found")</f>
        <v>94.483309879999993</v>
      </c>
      <c r="X447" s="28">
        <f>IFERROR(INDEX('Clean Gamification Data'!$G:$G,MATCH($B447,'Clean Gamification Data'!$A:$A,0)),"Not Found")</f>
        <v>85</v>
      </c>
      <c r="Y447" s="28">
        <f>IFERROR(INDEX('Clean Gamification Data'!$H:$H,MATCH($B447,'Clean Gamification Data'!$A:$A,0)),"Not Found")</f>
        <v>72.476977140000002</v>
      </c>
      <c r="Z447" s="28">
        <f>IFERROR(INDEX('Clean Gamification Data'!$I:$I,MATCH($B447,'Clean Gamification Data'!$A:$A,0)),"Not Found")</f>
        <v>53.802897340000001</v>
      </c>
      <c r="AA447" s="28">
        <f>Table1[[#This Row],[Engagement (Gamification %)]]-Table1[[#This Row],[Engagement (Non-Gamification %)]]</f>
        <v>21.041010959999994</v>
      </c>
      <c r="AB447" s="28">
        <f>Table1[[#This Row],[Motivation (Gamification %)]]-Table1[[#This Row],[Motivation (Non-Gamification %)]]</f>
        <v>19.377477150000004</v>
      </c>
      <c r="AC447" s="28">
        <f>Table1[[#This Row],[Participation (Gamification %)]]-Table1[[#This Row],[Participation (Non-Gamification %)]]</f>
        <v>9.4833098799999931</v>
      </c>
      <c r="AD447" s="28">
        <f>Table1[[#This Row],[Learning Outcomes (Gamification %)]]-Table1[[#This Row],[Learning Outcomes (Non-Gamification %)]]</f>
        <v>18.674079800000001</v>
      </c>
      <c r="AE447" s="44" t="str">
        <f>IF(Table1[[#This Row],[Overall Effectiveness]]&lt;3.9,"Low",IF(Table1[[#This Row],[Overall Effectiveness]]&lt;4.2,"Medium","High"))</f>
        <v>Medium</v>
      </c>
      <c r="AF447" s="30" t="str">
        <f t="shared" si="40"/>
        <v>Online Tutorials</v>
      </c>
      <c r="AG447" s="30" t="str">
        <f t="shared" si="41"/>
        <v>Online Tutorials</v>
      </c>
      <c r="AH447" s="27">
        <f>COUNTIF(Teacher_Master!$D$2:$D$16,AF447)</f>
        <v>3</v>
      </c>
      <c r="AI447" s="30" t="str">
        <f>INDEX(Teacher_Master!$B$2:$B$16,MATCH(AF447,Teacher_Master!$D$2:$D$16,0))</f>
        <v>Prof. Kavita Rao</v>
      </c>
    </row>
    <row r="448" spans="1:35" ht="14.25" customHeight="1" x14ac:dyDescent="0.3">
      <c r="A448" s="31" t="s">
        <v>919</v>
      </c>
      <c r="B448" s="31" t="s">
        <v>2402</v>
      </c>
      <c r="C448" s="31" t="s">
        <v>2881</v>
      </c>
      <c r="D448" s="12">
        <f t="shared" ca="1" si="36"/>
        <v>24</v>
      </c>
      <c r="E448" s="12" t="str">
        <f ca="1">IF(Table1[[#This Row],[Age]]&lt;=22,"20-22",IF(Table1[[#This Row],[Age]]&lt;=25,"23-25",IF(Table1[[#This Row],[Age]]&lt;=28,"26-28","29-30")))</f>
        <v>23-25</v>
      </c>
      <c r="F448" s="12">
        <v>3.93</v>
      </c>
      <c r="G448" s="12">
        <v>4.3600000000000003</v>
      </c>
      <c r="H448" s="12">
        <v>3.65</v>
      </c>
      <c r="I448" s="12">
        <v>3.77</v>
      </c>
      <c r="J448" s="12">
        <v>3.56</v>
      </c>
      <c r="K448" s="12">
        <v>3.71</v>
      </c>
      <c r="L448" s="12">
        <v>3.83</v>
      </c>
      <c r="M448" s="12">
        <v>4.46</v>
      </c>
      <c r="N448" s="12" t="s">
        <v>921</v>
      </c>
      <c r="O448" s="12">
        <v>4.13</v>
      </c>
      <c r="P448" s="12">
        <f t="shared" si="37"/>
        <v>3.8540000000000001</v>
      </c>
      <c r="Q448" s="12">
        <f t="shared" si="38"/>
        <v>3.85</v>
      </c>
      <c r="R448" s="12">
        <f t="shared" si="39"/>
        <v>4.0324999999999998</v>
      </c>
      <c r="S448" s="28">
        <f>IFERROR(INDEX('Clean Gamification Data'!$B:$B,MATCH($B448,'Clean Gamification Data'!$A:$A,0)),"Not Found")</f>
        <v>81.723816749999997</v>
      </c>
      <c r="T448" s="28">
        <f>IFERROR(INDEX('Clean Gamification Data'!$C:$C,MATCH($B448,'Clean Gamification Data'!$A:$A,0)),"Not Found")</f>
        <v>60</v>
      </c>
      <c r="U448" s="28">
        <f>IFERROR(INDEX('Clean Gamification Data'!$D:$D,MATCH($B448,'Clean Gamification Data'!$A:$A,0)),"Not Found")</f>
        <v>77.985877819999999</v>
      </c>
      <c r="V448" s="28">
        <f>IFERROR(INDEX('Clean Gamification Data'!$E:$E,MATCH($B448,'Clean Gamification Data'!$A:$A,0)),"Not Found")</f>
        <v>75</v>
      </c>
      <c r="W448" s="28">
        <f>IFERROR(INDEX('Clean Gamification Data'!$F:$F,MATCH($B448,'Clean Gamification Data'!$A:$A,0)),"Not Found")</f>
        <v>96.272909010000006</v>
      </c>
      <c r="X448" s="28">
        <f>IFERROR(INDEX('Clean Gamification Data'!$G:$G,MATCH($B448,'Clean Gamification Data'!$A:$A,0)),"Not Found")</f>
        <v>85</v>
      </c>
      <c r="Y448" s="28">
        <f>IFERROR(INDEX('Clean Gamification Data'!$H:$H,MATCH($B448,'Clean Gamification Data'!$A:$A,0)),"Not Found")</f>
        <v>74.170438020000006</v>
      </c>
      <c r="Z448" s="28">
        <f>IFERROR(INDEX('Clean Gamification Data'!$I:$I,MATCH($B448,'Clean Gamification Data'!$A:$A,0)),"Not Found")</f>
        <v>62.072156100000001</v>
      </c>
      <c r="AA448" s="28">
        <f>Table1[[#This Row],[Engagement (Gamification %)]]-Table1[[#This Row],[Engagement (Non-Gamification %)]]</f>
        <v>21.723816749999997</v>
      </c>
      <c r="AB448" s="28">
        <f>Table1[[#This Row],[Motivation (Gamification %)]]-Table1[[#This Row],[Motivation (Non-Gamification %)]]</f>
        <v>2.9858778199999989</v>
      </c>
      <c r="AC448" s="28">
        <f>Table1[[#This Row],[Participation (Gamification %)]]-Table1[[#This Row],[Participation (Non-Gamification %)]]</f>
        <v>11.272909010000006</v>
      </c>
      <c r="AD448" s="28">
        <f>Table1[[#This Row],[Learning Outcomes (Gamification %)]]-Table1[[#This Row],[Learning Outcomes (Non-Gamification %)]]</f>
        <v>12.098281920000005</v>
      </c>
      <c r="AE448" s="44" t="str">
        <f>IF(Table1[[#This Row],[Overall Effectiveness]]&lt;3.9,"Low",IF(Table1[[#This Row],[Overall Effectiveness]]&lt;4.2,"Medium","High"))</f>
        <v>Low</v>
      </c>
      <c r="AF448" s="30" t="str">
        <f t="shared" si="40"/>
        <v>Case Studies</v>
      </c>
      <c r="AG448" s="30" t="str">
        <f t="shared" si="41"/>
        <v>Group Projects</v>
      </c>
      <c r="AH448" s="27">
        <f>COUNTIF(Teacher_Master!$D$2:$D$16,AF448)</f>
        <v>3</v>
      </c>
      <c r="AI448" s="30" t="str">
        <f>INDEX(Teacher_Master!$B$2:$B$16,MATCH(AF448,Teacher_Master!$D$2:$D$16,0))</f>
        <v>Prof. Rajesh Mukherjee</v>
      </c>
    </row>
    <row r="449" spans="1:35" ht="14.25" customHeight="1" x14ac:dyDescent="0.3">
      <c r="A449" s="31" t="s">
        <v>922</v>
      </c>
      <c r="B449" s="31" t="s">
        <v>2403</v>
      </c>
      <c r="C449" s="31" t="s">
        <v>2882</v>
      </c>
      <c r="D449" s="12">
        <f t="shared" ca="1" si="36"/>
        <v>23</v>
      </c>
      <c r="E449" s="12" t="str">
        <f ca="1">IF(Table1[[#This Row],[Age]]&lt;=22,"20-22",IF(Table1[[#This Row],[Age]]&lt;=25,"23-25",IF(Table1[[#This Row],[Age]]&lt;=28,"26-28","29-30")))</f>
        <v>23-25</v>
      </c>
      <c r="F449" s="12">
        <v>4.07</v>
      </c>
      <c r="G449" s="12">
        <v>3.58</v>
      </c>
      <c r="H449" s="12">
        <v>3.8</v>
      </c>
      <c r="I449" s="12">
        <v>4.13</v>
      </c>
      <c r="J449" s="12">
        <v>3.79</v>
      </c>
      <c r="K449" s="12">
        <v>3.82</v>
      </c>
      <c r="L449" s="12">
        <v>4.2300000000000004</v>
      </c>
      <c r="M449" s="12">
        <v>4.68</v>
      </c>
      <c r="N449" s="12">
        <v>3.88</v>
      </c>
      <c r="O449" s="12">
        <v>4.59</v>
      </c>
      <c r="P449" s="12">
        <f t="shared" si="37"/>
        <v>3.8739999999999997</v>
      </c>
      <c r="Q449" s="12">
        <f t="shared" si="38"/>
        <v>3.87</v>
      </c>
      <c r="R449" s="12">
        <f t="shared" si="39"/>
        <v>4.24</v>
      </c>
      <c r="S449" s="28">
        <f>IFERROR(INDEX('Clean Gamification Data'!$B:$B,MATCH($B449,'Clean Gamification Data'!$A:$A,0)),"Not Found")</f>
        <v>81.549679920000003</v>
      </c>
      <c r="T449" s="28">
        <f>IFERROR(INDEX('Clean Gamification Data'!$C:$C,MATCH($B449,'Clean Gamification Data'!$A:$A,0)),"Not Found")</f>
        <v>61.296944240000002</v>
      </c>
      <c r="U449" s="28">
        <f>IFERROR(INDEX('Clean Gamification Data'!$D:$D,MATCH($B449,'Clean Gamification Data'!$A:$A,0)),"Not Found")</f>
        <v>70</v>
      </c>
      <c r="V449" s="28">
        <f>IFERROR(INDEX('Clean Gamification Data'!$E:$E,MATCH($B449,'Clean Gamification Data'!$A:$A,0)),"Not Found")</f>
        <v>67.825118309999993</v>
      </c>
      <c r="W449" s="28">
        <f>IFERROR(INDEX('Clean Gamification Data'!$F:$F,MATCH($B449,'Clean Gamification Data'!$A:$A,0)),"Not Found")</f>
        <v>92.179687950000002</v>
      </c>
      <c r="X449" s="28">
        <f>IFERROR(INDEX('Clean Gamification Data'!$G:$G,MATCH($B449,'Clean Gamification Data'!$A:$A,0)),"Not Found")</f>
        <v>75.410328109999995</v>
      </c>
      <c r="Y449" s="28">
        <f>IFERROR(INDEX('Clean Gamification Data'!$H:$H,MATCH($B449,'Clean Gamification Data'!$A:$A,0)),"Not Found")</f>
        <v>82.742922879999995</v>
      </c>
      <c r="Z449" s="28">
        <f>IFERROR(INDEX('Clean Gamification Data'!$I:$I,MATCH($B449,'Clean Gamification Data'!$A:$A,0)),"Not Found")</f>
        <v>52.830269430000001</v>
      </c>
      <c r="AA449" s="28">
        <f>Table1[[#This Row],[Engagement (Gamification %)]]-Table1[[#This Row],[Engagement (Non-Gamification %)]]</f>
        <v>20.252735680000001</v>
      </c>
      <c r="AB449" s="28">
        <f>Table1[[#This Row],[Motivation (Gamification %)]]-Table1[[#This Row],[Motivation (Non-Gamification %)]]</f>
        <v>2.1748816900000065</v>
      </c>
      <c r="AC449" s="28">
        <f>Table1[[#This Row],[Participation (Gamification %)]]-Table1[[#This Row],[Participation (Non-Gamification %)]]</f>
        <v>16.769359840000007</v>
      </c>
      <c r="AD449" s="28">
        <f>Table1[[#This Row],[Learning Outcomes (Gamification %)]]-Table1[[#This Row],[Learning Outcomes (Non-Gamification %)]]</f>
        <v>29.912653449999993</v>
      </c>
      <c r="AE449" s="44" t="str">
        <f>IF(Table1[[#This Row],[Overall Effectiveness]]&lt;3.9,"Low",IF(Table1[[#This Row],[Overall Effectiveness]]&lt;4.2,"Medium","High"))</f>
        <v>Low</v>
      </c>
      <c r="AF449" s="30" t="str">
        <f t="shared" si="40"/>
        <v>Experiments</v>
      </c>
      <c r="AG449" s="30" t="str">
        <f t="shared" si="41"/>
        <v>Group Projects</v>
      </c>
      <c r="AH449" s="27">
        <f>COUNTIF(Teacher_Master!$D$2:$D$16,AF449)</f>
        <v>3</v>
      </c>
      <c r="AI449" s="30" t="str">
        <f>INDEX(Teacher_Master!$B$2:$B$16,MATCH(AF449,Teacher_Master!$D$2:$D$16,0))</f>
        <v>Prof. Rahul Singh</v>
      </c>
    </row>
    <row r="450" spans="1:35" ht="14.25" customHeight="1" x14ac:dyDescent="0.3">
      <c r="A450" s="31" t="s">
        <v>924</v>
      </c>
      <c r="B450" s="31" t="s">
        <v>925</v>
      </c>
      <c r="C450" s="31" t="s">
        <v>2882</v>
      </c>
      <c r="D450" s="12">
        <f t="shared" ref="D450:D513" ca="1" si="42">RANDBETWEEN(20,30)</f>
        <v>20</v>
      </c>
      <c r="E450" s="12" t="str">
        <f ca="1">IF(Table1[[#This Row],[Age]]&lt;=22,"20-22",IF(Table1[[#This Row],[Age]]&lt;=25,"23-25",IF(Table1[[#This Row],[Age]]&lt;=28,"26-28","29-30")))</f>
        <v>20-22</v>
      </c>
      <c r="F450" s="12">
        <v>3.91</v>
      </c>
      <c r="G450" s="12">
        <v>3.35</v>
      </c>
      <c r="H450" s="12">
        <v>4.47</v>
      </c>
      <c r="I450" s="12">
        <v>4.0199999999999996</v>
      </c>
      <c r="J450" s="12">
        <v>3.76</v>
      </c>
      <c r="K450" s="12">
        <v>3.8</v>
      </c>
      <c r="L450" s="12">
        <v>4.41</v>
      </c>
      <c r="M450" s="12">
        <v>3.54</v>
      </c>
      <c r="N450" s="12">
        <v>4.6900000000000004</v>
      </c>
      <c r="O450" s="12">
        <v>4.3099999999999996</v>
      </c>
      <c r="P450" s="12">
        <f t="shared" ref="P450:P513" si="43">AVERAGE(F450:J450)</f>
        <v>3.9019999999999997</v>
      </c>
      <c r="Q450" s="12">
        <f t="shared" ref="Q450:Q513" si="44">ROUND(P450,2)</f>
        <v>3.9</v>
      </c>
      <c r="R450" s="12">
        <f t="shared" ref="R450:R513" si="45">AVERAGE(K450:O450)</f>
        <v>4.1500000000000004</v>
      </c>
      <c r="S450" s="28">
        <f>IFERROR(INDEX('Clean Gamification Data'!$B:$B,MATCH($B450,'Clean Gamification Data'!$A:$A,0)),"Not Found")</f>
        <v>75</v>
      </c>
      <c r="T450" s="28">
        <f>IFERROR(INDEX('Clean Gamification Data'!$C:$C,MATCH($B450,'Clean Gamification Data'!$A:$A,0)),"Not Found")</f>
        <v>66.835195769999999</v>
      </c>
      <c r="U450" s="28">
        <f>IFERROR(INDEX('Clean Gamification Data'!$D:$D,MATCH($B450,'Clean Gamification Data'!$A:$A,0)),"Not Found")</f>
        <v>74.603034620000003</v>
      </c>
      <c r="V450" s="28">
        <f>IFERROR(INDEX('Clean Gamification Data'!$E:$E,MATCH($B450,'Clean Gamification Data'!$A:$A,0)),"Not Found")</f>
        <v>63.961255889999997</v>
      </c>
      <c r="W450" s="28">
        <f>IFERROR(INDEX('Clean Gamification Data'!$F:$F,MATCH($B450,'Clean Gamification Data'!$A:$A,0)),"Not Found")</f>
        <v>94.934097080000001</v>
      </c>
      <c r="X450" s="28">
        <f>IFERROR(INDEX('Clean Gamification Data'!$G:$G,MATCH($B450,'Clean Gamification Data'!$A:$A,0)),"Not Found")</f>
        <v>85</v>
      </c>
      <c r="Y450" s="28">
        <f>IFERROR(INDEX('Clean Gamification Data'!$H:$H,MATCH($B450,'Clean Gamification Data'!$A:$A,0)),"Not Found")</f>
        <v>71.479081039999997</v>
      </c>
      <c r="Z450" s="28">
        <f>IFERROR(INDEX('Clean Gamification Data'!$I:$I,MATCH($B450,'Clean Gamification Data'!$A:$A,0)),"Not Found")</f>
        <v>52.306408249999997</v>
      </c>
      <c r="AA450" s="28">
        <f>Table1[[#This Row],[Engagement (Gamification %)]]-Table1[[#This Row],[Engagement (Non-Gamification %)]]</f>
        <v>8.1648042300000014</v>
      </c>
      <c r="AB450" s="28">
        <f>Table1[[#This Row],[Motivation (Gamification %)]]-Table1[[#This Row],[Motivation (Non-Gamification %)]]</f>
        <v>10.641778730000006</v>
      </c>
      <c r="AC450" s="28">
        <f>Table1[[#This Row],[Participation (Gamification %)]]-Table1[[#This Row],[Participation (Non-Gamification %)]]</f>
        <v>9.9340970800000008</v>
      </c>
      <c r="AD450" s="28">
        <f>Table1[[#This Row],[Learning Outcomes (Gamification %)]]-Table1[[#This Row],[Learning Outcomes (Non-Gamification %)]]</f>
        <v>19.17267279</v>
      </c>
      <c r="AE450" s="44" t="str">
        <f>IF(Table1[[#This Row],[Overall Effectiveness]]&lt;3.9,"Low",IF(Table1[[#This Row],[Overall Effectiveness]]&lt;4.2,"Medium","High"))</f>
        <v>Medium</v>
      </c>
      <c r="AF450" s="30" t="str">
        <f t="shared" ref="AF450:AF513" si="46">CHOOSE(MATCH(MAX(F450:J450),F450:J450,0),"Lectures","Case Studies","Group Projects","Experiments","Online Tutorials")</f>
        <v>Group Projects</v>
      </c>
      <c r="AG450" s="30" t="str">
        <f t="shared" ref="AG450:AG513" si="47">CHOOSE(MATCH(MAX(K450:O450),K450:O450,0),"Lectures","Case Studies","Group Projects","Experiments","Online Tutorials")</f>
        <v>Experiments</v>
      </c>
      <c r="AH450" s="27">
        <f>COUNTIF(Teacher_Master!$D$2:$D$16,AF450)</f>
        <v>3</v>
      </c>
      <c r="AI450" s="30" t="str">
        <f>INDEX(Teacher_Master!$B$2:$B$16,MATCH(AF450,Teacher_Master!$D$2:$D$16,0))</f>
        <v>Dr. Rohan Dutta</v>
      </c>
    </row>
    <row r="451" spans="1:35" ht="14.25" customHeight="1" x14ac:dyDescent="0.3">
      <c r="A451" s="31" t="s">
        <v>926</v>
      </c>
      <c r="B451" s="31" t="s">
        <v>2404</v>
      </c>
      <c r="C451" s="31" t="s">
        <v>2882</v>
      </c>
      <c r="D451" s="12">
        <f t="shared" ca="1" si="42"/>
        <v>29</v>
      </c>
      <c r="E451" s="12" t="str">
        <f ca="1">IF(Table1[[#This Row],[Age]]&lt;=22,"20-22",IF(Table1[[#This Row],[Age]]&lt;=25,"23-25",IF(Table1[[#This Row],[Age]]&lt;=28,"26-28","29-30")))</f>
        <v>29-30</v>
      </c>
      <c r="F451" s="12">
        <v>3.88</v>
      </c>
      <c r="G451" s="12">
        <v>3.48</v>
      </c>
      <c r="H451" s="12">
        <v>3.65</v>
      </c>
      <c r="I451" s="12">
        <v>4.54</v>
      </c>
      <c r="J451" s="12">
        <v>4.21</v>
      </c>
      <c r="K451" s="12">
        <v>3.87</v>
      </c>
      <c r="L451" s="12">
        <v>3.96</v>
      </c>
      <c r="M451" s="12">
        <v>3.74</v>
      </c>
      <c r="N451" s="12">
        <v>3.92</v>
      </c>
      <c r="O451" s="12">
        <v>4.34</v>
      </c>
      <c r="P451" s="12">
        <f t="shared" si="43"/>
        <v>3.9520000000000004</v>
      </c>
      <c r="Q451" s="12">
        <f t="shared" si="44"/>
        <v>3.95</v>
      </c>
      <c r="R451" s="12">
        <f t="shared" si="45"/>
        <v>3.9659999999999997</v>
      </c>
      <c r="S451" s="28">
        <f>IFERROR(INDEX('Clean Gamification Data'!$B:$B,MATCH($B451,'Clean Gamification Data'!$A:$A,0)),"Not Found")</f>
        <v>88.209534689999998</v>
      </c>
      <c r="T451" s="28">
        <f>IFERROR(INDEX('Clean Gamification Data'!$C:$C,MATCH($B451,'Clean Gamification Data'!$A:$A,0)),"Not Found")</f>
        <v>69.509432129999993</v>
      </c>
      <c r="U451" s="28">
        <f>IFERROR(INDEX('Clean Gamification Data'!$D:$D,MATCH($B451,'Clean Gamification Data'!$A:$A,0)),"Not Found")</f>
        <v>86.611252750000006</v>
      </c>
      <c r="V451" s="28">
        <f>IFERROR(INDEX('Clean Gamification Data'!$E:$E,MATCH($B451,'Clean Gamification Data'!$A:$A,0)),"Not Found")</f>
        <v>58.531145189999997</v>
      </c>
      <c r="W451" s="28">
        <f>IFERROR(INDEX('Clean Gamification Data'!$F:$F,MATCH($B451,'Clean Gamification Data'!$A:$A,0)),"Not Found")</f>
        <v>87.491375090000005</v>
      </c>
      <c r="X451" s="28">
        <f>IFERROR(INDEX('Clean Gamification Data'!$G:$G,MATCH($B451,'Clean Gamification Data'!$A:$A,0)),"Not Found")</f>
        <v>82.414510969999995</v>
      </c>
      <c r="Y451" s="28">
        <f>IFERROR(INDEX('Clean Gamification Data'!$H:$H,MATCH($B451,'Clean Gamification Data'!$A:$A,0)),"Not Found")</f>
        <v>70.560587740000003</v>
      </c>
      <c r="Z451" s="28">
        <f>IFERROR(INDEX('Clean Gamification Data'!$I:$I,MATCH($B451,'Clean Gamification Data'!$A:$A,0)),"Not Found")</f>
        <v>62.825010949999999</v>
      </c>
      <c r="AA451" s="28">
        <f>Table1[[#This Row],[Engagement (Gamification %)]]-Table1[[#This Row],[Engagement (Non-Gamification %)]]</f>
        <v>18.700102560000005</v>
      </c>
      <c r="AB451" s="28">
        <f>Table1[[#This Row],[Motivation (Gamification %)]]-Table1[[#This Row],[Motivation (Non-Gamification %)]]</f>
        <v>28.080107560000009</v>
      </c>
      <c r="AC451" s="28">
        <f>Table1[[#This Row],[Participation (Gamification %)]]-Table1[[#This Row],[Participation (Non-Gamification %)]]</f>
        <v>5.0768641200000104</v>
      </c>
      <c r="AD451" s="28">
        <f>Table1[[#This Row],[Learning Outcomes (Gamification %)]]-Table1[[#This Row],[Learning Outcomes (Non-Gamification %)]]</f>
        <v>7.7355767900000032</v>
      </c>
      <c r="AE451" s="44" t="str">
        <f>IF(Table1[[#This Row],[Overall Effectiveness]]&lt;3.9,"Low",IF(Table1[[#This Row],[Overall Effectiveness]]&lt;4.2,"Medium","High"))</f>
        <v>Medium</v>
      </c>
      <c r="AF451" s="30" t="str">
        <f t="shared" si="46"/>
        <v>Experiments</v>
      </c>
      <c r="AG451" s="30" t="str">
        <f t="shared" si="47"/>
        <v>Online Tutorials</v>
      </c>
      <c r="AH451" s="27">
        <f>COUNTIF(Teacher_Master!$D$2:$D$16,AF451)</f>
        <v>3</v>
      </c>
      <c r="AI451" s="30" t="str">
        <f>INDEX(Teacher_Master!$B$2:$B$16,MATCH(AF451,Teacher_Master!$D$2:$D$16,0))</f>
        <v>Prof. Rahul Singh</v>
      </c>
    </row>
    <row r="452" spans="1:35" ht="14.25" customHeight="1" x14ac:dyDescent="0.3">
      <c r="A452" s="31" t="s">
        <v>928</v>
      </c>
      <c r="B452" s="31" t="s">
        <v>2405</v>
      </c>
      <c r="C452" s="31" t="s">
        <v>2881</v>
      </c>
      <c r="D452" s="12">
        <f t="shared" ca="1" si="42"/>
        <v>20</v>
      </c>
      <c r="E452" s="12" t="str">
        <f ca="1">IF(Table1[[#This Row],[Age]]&lt;=22,"20-22",IF(Table1[[#This Row],[Age]]&lt;=25,"23-25",IF(Table1[[#This Row],[Age]]&lt;=28,"26-28","29-30")))</f>
        <v>20-22</v>
      </c>
      <c r="F452" s="12">
        <v>3.6</v>
      </c>
      <c r="G452" s="12">
        <v>3.92</v>
      </c>
      <c r="H452" s="12">
        <v>3.85</v>
      </c>
      <c r="I452" s="12">
        <v>4.08</v>
      </c>
      <c r="J452" s="12">
        <v>3.51</v>
      </c>
      <c r="K452" s="12">
        <v>4.53</v>
      </c>
      <c r="L452" s="12">
        <v>4.1500000000000004</v>
      </c>
      <c r="M452" s="12">
        <v>3.89</v>
      </c>
      <c r="N452" s="12">
        <v>4.53</v>
      </c>
      <c r="O452" s="12">
        <v>4.04</v>
      </c>
      <c r="P452" s="12">
        <f t="shared" si="43"/>
        <v>3.7920000000000003</v>
      </c>
      <c r="Q452" s="12">
        <f t="shared" si="44"/>
        <v>3.79</v>
      </c>
      <c r="R452" s="12">
        <f t="shared" si="45"/>
        <v>4.2279999999999998</v>
      </c>
      <c r="S452" s="28">
        <f>IFERROR(INDEX('Clean Gamification Data'!$B:$B,MATCH($B452,'Clean Gamification Data'!$A:$A,0)),"Not Found")</f>
        <v>83.401652999999996</v>
      </c>
      <c r="T452" s="28">
        <f>IFERROR(INDEX('Clean Gamification Data'!$C:$C,MATCH($B452,'Clean Gamification Data'!$A:$A,0)),"Not Found")</f>
        <v>60.229820510000003</v>
      </c>
      <c r="U452" s="28">
        <f>IFERROR(INDEX('Clean Gamification Data'!$D:$D,MATCH($B452,'Clean Gamification Data'!$A:$A,0)),"Not Found")</f>
        <v>73.546347019999999</v>
      </c>
      <c r="V452" s="28">
        <f>IFERROR(INDEX('Clean Gamification Data'!$E:$E,MATCH($B452,'Clean Gamification Data'!$A:$A,0)),"Not Found")</f>
        <v>72.604036820000005</v>
      </c>
      <c r="W452" s="28">
        <f>IFERROR(INDEX('Clean Gamification Data'!$F:$F,MATCH($B452,'Clean Gamification Data'!$A:$A,0)),"Not Found")</f>
        <v>92.803499130000006</v>
      </c>
      <c r="X452" s="28">
        <f>IFERROR(INDEX('Clean Gamification Data'!$G:$G,MATCH($B452,'Clean Gamification Data'!$A:$A,0)),"Not Found")</f>
        <v>69.609774459999997</v>
      </c>
      <c r="Y452" s="28">
        <f>IFERROR(INDEX('Clean Gamification Data'!$H:$H,MATCH($B452,'Clean Gamification Data'!$A:$A,0)),"Not Found")</f>
        <v>65.436399429999994</v>
      </c>
      <c r="Z452" s="28">
        <f>IFERROR(INDEX('Clean Gamification Data'!$I:$I,MATCH($B452,'Clean Gamification Data'!$A:$A,0)),"Not Found")</f>
        <v>58.27879068</v>
      </c>
      <c r="AA452" s="28">
        <f>Table1[[#This Row],[Engagement (Gamification %)]]-Table1[[#This Row],[Engagement (Non-Gamification %)]]</f>
        <v>23.171832489999993</v>
      </c>
      <c r="AB452" s="28">
        <f>Table1[[#This Row],[Motivation (Gamification %)]]-Table1[[#This Row],[Motivation (Non-Gamification %)]]</f>
        <v>0.94231019999999432</v>
      </c>
      <c r="AC452" s="28">
        <f>Table1[[#This Row],[Participation (Gamification %)]]-Table1[[#This Row],[Participation (Non-Gamification %)]]</f>
        <v>23.193724670000009</v>
      </c>
      <c r="AD452" s="28">
        <f>Table1[[#This Row],[Learning Outcomes (Gamification %)]]-Table1[[#This Row],[Learning Outcomes (Non-Gamification %)]]</f>
        <v>7.1576087499999943</v>
      </c>
      <c r="AE452" s="44" t="str">
        <f>IF(Table1[[#This Row],[Overall Effectiveness]]&lt;3.9,"Low",IF(Table1[[#This Row],[Overall Effectiveness]]&lt;4.2,"Medium","High"))</f>
        <v>Low</v>
      </c>
      <c r="AF452" s="30" t="str">
        <f t="shared" si="46"/>
        <v>Experiments</v>
      </c>
      <c r="AG452" s="30" t="str">
        <f t="shared" si="47"/>
        <v>Lectures</v>
      </c>
      <c r="AH452" s="27">
        <f>COUNTIF(Teacher_Master!$D$2:$D$16,AF452)</f>
        <v>3</v>
      </c>
      <c r="AI452" s="30" t="str">
        <f>INDEX(Teacher_Master!$B$2:$B$16,MATCH(AF452,Teacher_Master!$D$2:$D$16,0))</f>
        <v>Prof. Rahul Singh</v>
      </c>
    </row>
    <row r="453" spans="1:35" ht="14.25" customHeight="1" x14ac:dyDescent="0.3">
      <c r="A453" s="31" t="s">
        <v>930</v>
      </c>
      <c r="B453" s="31" t="s">
        <v>931</v>
      </c>
      <c r="C453" s="31" t="s">
        <v>2882</v>
      </c>
      <c r="D453" s="12">
        <f t="shared" ca="1" si="42"/>
        <v>21</v>
      </c>
      <c r="E453" s="12" t="str">
        <f ca="1">IF(Table1[[#This Row],[Age]]&lt;=22,"20-22",IF(Table1[[#This Row],[Age]]&lt;=25,"23-25",IF(Table1[[#This Row],[Age]]&lt;=28,"26-28","29-30")))</f>
        <v>20-22</v>
      </c>
      <c r="F453" s="12" t="s">
        <v>211</v>
      </c>
      <c r="G453" s="12">
        <v>4.07</v>
      </c>
      <c r="H453" s="12" t="s">
        <v>211</v>
      </c>
      <c r="I453" s="12">
        <v>3.69</v>
      </c>
      <c r="J453" s="12">
        <v>3.15</v>
      </c>
      <c r="K453" s="12">
        <v>4.43</v>
      </c>
      <c r="L453" s="12">
        <v>4.45</v>
      </c>
      <c r="M453" s="12">
        <v>4.28</v>
      </c>
      <c r="N453" s="12">
        <v>3.75</v>
      </c>
      <c r="O453" s="12">
        <v>4.2300000000000004</v>
      </c>
      <c r="P453" s="12">
        <f t="shared" si="43"/>
        <v>3.6366666666666667</v>
      </c>
      <c r="Q453" s="12">
        <f t="shared" si="44"/>
        <v>3.64</v>
      </c>
      <c r="R453" s="12">
        <f t="shared" si="45"/>
        <v>4.2279999999999998</v>
      </c>
      <c r="S453" s="28">
        <f>IFERROR(INDEX('Clean Gamification Data'!$B:$B,MATCH($B453,'Clean Gamification Data'!$A:$A,0)),"Not Found")</f>
        <v>91.645546769999996</v>
      </c>
      <c r="T453" s="28">
        <f>IFERROR(INDEX('Clean Gamification Data'!$C:$C,MATCH($B453,'Clean Gamification Data'!$A:$A,0)),"Not Found")</f>
        <v>65.536229570000003</v>
      </c>
      <c r="U453" s="28">
        <f>IFERROR(INDEX('Clean Gamification Data'!$D:$D,MATCH($B453,'Clean Gamification Data'!$A:$A,0)),"Not Found")</f>
        <v>80.034744779999997</v>
      </c>
      <c r="V453" s="28">
        <f>IFERROR(INDEX('Clean Gamification Data'!$E:$E,MATCH($B453,'Clean Gamification Data'!$A:$A,0)),"Not Found")</f>
        <v>60.309726359999999</v>
      </c>
      <c r="W453" s="28">
        <f>IFERROR(INDEX('Clean Gamification Data'!$F:$F,MATCH($B453,'Clean Gamification Data'!$A:$A,0)),"Not Found")</f>
        <v>89.338377249999994</v>
      </c>
      <c r="X453" s="28">
        <f>IFERROR(INDEX('Clean Gamification Data'!$G:$G,MATCH($B453,'Clean Gamification Data'!$A:$A,0)),"Not Found")</f>
        <v>78.778295450000002</v>
      </c>
      <c r="Y453" s="28">
        <f>IFERROR(INDEX('Clean Gamification Data'!$H:$H,MATCH($B453,'Clean Gamification Data'!$A:$A,0)),"Not Found")</f>
        <v>73.177572389999995</v>
      </c>
      <c r="Z453" s="28">
        <f>IFERROR(INDEX('Clean Gamification Data'!$I:$I,MATCH($B453,'Clean Gamification Data'!$A:$A,0)),"Not Found")</f>
        <v>63.60628251</v>
      </c>
      <c r="AA453" s="28">
        <f>Table1[[#This Row],[Engagement (Gamification %)]]-Table1[[#This Row],[Engagement (Non-Gamification %)]]</f>
        <v>26.109317199999992</v>
      </c>
      <c r="AB453" s="28">
        <f>Table1[[#This Row],[Motivation (Gamification %)]]-Table1[[#This Row],[Motivation (Non-Gamification %)]]</f>
        <v>19.725018419999998</v>
      </c>
      <c r="AC453" s="28">
        <f>Table1[[#This Row],[Participation (Gamification %)]]-Table1[[#This Row],[Participation (Non-Gamification %)]]</f>
        <v>10.560081799999992</v>
      </c>
      <c r="AD453" s="28">
        <f>Table1[[#This Row],[Learning Outcomes (Gamification %)]]-Table1[[#This Row],[Learning Outcomes (Non-Gamification %)]]</f>
        <v>9.5712898799999948</v>
      </c>
      <c r="AE453" s="44" t="str">
        <f>IF(Table1[[#This Row],[Overall Effectiveness]]&lt;3.9,"Low",IF(Table1[[#This Row],[Overall Effectiveness]]&lt;4.2,"Medium","High"))</f>
        <v>Low</v>
      </c>
      <c r="AF453" s="30" t="str">
        <f t="shared" si="46"/>
        <v>Case Studies</v>
      </c>
      <c r="AG453" s="30" t="str">
        <f t="shared" si="47"/>
        <v>Case Studies</v>
      </c>
      <c r="AH453" s="27">
        <f>COUNTIF(Teacher_Master!$D$2:$D$16,AF453)</f>
        <v>3</v>
      </c>
      <c r="AI453" s="30" t="str">
        <f>INDEX(Teacher_Master!$B$2:$B$16,MATCH(AF453,Teacher_Master!$D$2:$D$16,0))</f>
        <v>Prof. Rajesh Mukherjee</v>
      </c>
    </row>
    <row r="454" spans="1:35" ht="14.25" customHeight="1" x14ac:dyDescent="0.3">
      <c r="A454" s="31" t="s">
        <v>932</v>
      </c>
      <c r="B454" s="31" t="s">
        <v>2406</v>
      </c>
      <c r="C454" s="31" t="s">
        <v>2881</v>
      </c>
      <c r="D454" s="12">
        <f t="shared" ca="1" si="42"/>
        <v>29</v>
      </c>
      <c r="E454" s="12" t="str">
        <f ca="1">IF(Table1[[#This Row],[Age]]&lt;=22,"20-22",IF(Table1[[#This Row],[Age]]&lt;=25,"23-25",IF(Table1[[#This Row],[Age]]&lt;=28,"26-28","29-30")))</f>
        <v>29-30</v>
      </c>
      <c r="F454" s="12">
        <v>3.8</v>
      </c>
      <c r="G454" s="12">
        <v>3.8</v>
      </c>
      <c r="H454" s="12">
        <v>3.52</v>
      </c>
      <c r="I454" s="12">
        <v>4.32</v>
      </c>
      <c r="J454" s="12">
        <v>3.88</v>
      </c>
      <c r="K454" s="12" t="s">
        <v>211</v>
      </c>
      <c r="L454" s="12">
        <v>4.0199999999999996</v>
      </c>
      <c r="M454" s="12">
        <v>4.07</v>
      </c>
      <c r="N454" s="12">
        <v>3.53</v>
      </c>
      <c r="O454" s="12">
        <v>4.0599999999999996</v>
      </c>
      <c r="P454" s="12">
        <f t="shared" si="43"/>
        <v>3.8639999999999999</v>
      </c>
      <c r="Q454" s="12">
        <f t="shared" si="44"/>
        <v>3.86</v>
      </c>
      <c r="R454" s="12">
        <f t="shared" si="45"/>
        <v>3.92</v>
      </c>
      <c r="S454" s="28">
        <f>IFERROR(INDEX('Clean Gamification Data'!$B:$B,MATCH($B454,'Clean Gamification Data'!$A:$A,0)),"Not Found")</f>
        <v>87.978216549999999</v>
      </c>
      <c r="T454" s="28">
        <f>IFERROR(INDEX('Clean Gamification Data'!$C:$C,MATCH($B454,'Clean Gamification Data'!$A:$A,0)),"Not Found")</f>
        <v>65.831849030000001</v>
      </c>
      <c r="U454" s="28">
        <f>IFERROR(INDEX('Clean Gamification Data'!$D:$D,MATCH($B454,'Clean Gamification Data'!$A:$A,0)),"Not Found")</f>
        <v>79.691201230000004</v>
      </c>
      <c r="V454" s="28">
        <f>IFERROR(INDEX('Clean Gamification Data'!$E:$E,MATCH($B454,'Clean Gamification Data'!$A:$A,0)),"Not Found")</f>
        <v>63.21884558</v>
      </c>
      <c r="W454" s="28">
        <f>IFERROR(INDEX('Clean Gamification Data'!$F:$F,MATCH($B454,'Clean Gamification Data'!$A:$A,0)),"Not Found")</f>
        <v>82.668429309999993</v>
      </c>
      <c r="X454" s="28">
        <f>IFERROR(INDEX('Clean Gamification Data'!$G:$G,MATCH($B454,'Clean Gamification Data'!$A:$A,0)),"Not Found")</f>
        <v>75.99561602</v>
      </c>
      <c r="Y454" s="28">
        <f>IFERROR(INDEX('Clean Gamification Data'!$H:$H,MATCH($B454,'Clean Gamification Data'!$A:$A,0)),"Not Found")</f>
        <v>69.888875330000005</v>
      </c>
      <c r="Z454" s="28">
        <f>IFERROR(INDEX('Clean Gamification Data'!$I:$I,MATCH($B454,'Clean Gamification Data'!$A:$A,0)),"Not Found")</f>
        <v>56.75330177</v>
      </c>
      <c r="AA454" s="28">
        <f>Table1[[#This Row],[Engagement (Gamification %)]]-Table1[[#This Row],[Engagement (Non-Gamification %)]]</f>
        <v>22.146367519999998</v>
      </c>
      <c r="AB454" s="28">
        <f>Table1[[#This Row],[Motivation (Gamification %)]]-Table1[[#This Row],[Motivation (Non-Gamification %)]]</f>
        <v>16.472355650000004</v>
      </c>
      <c r="AC454" s="28">
        <f>Table1[[#This Row],[Participation (Gamification %)]]-Table1[[#This Row],[Participation (Non-Gamification %)]]</f>
        <v>6.6728132899999935</v>
      </c>
      <c r="AD454" s="28">
        <f>Table1[[#This Row],[Learning Outcomes (Gamification %)]]-Table1[[#This Row],[Learning Outcomes (Non-Gamification %)]]</f>
        <v>13.135573560000005</v>
      </c>
      <c r="AE454" s="44" t="str">
        <f>IF(Table1[[#This Row],[Overall Effectiveness]]&lt;3.9,"Low",IF(Table1[[#This Row],[Overall Effectiveness]]&lt;4.2,"Medium","High"))</f>
        <v>Low</v>
      </c>
      <c r="AF454" s="30" t="str">
        <f t="shared" si="46"/>
        <v>Experiments</v>
      </c>
      <c r="AG454" s="30" t="str">
        <f t="shared" si="47"/>
        <v>Group Projects</v>
      </c>
      <c r="AH454" s="27">
        <f>COUNTIF(Teacher_Master!$D$2:$D$16,AF454)</f>
        <v>3</v>
      </c>
      <c r="AI454" s="30" t="str">
        <f>INDEX(Teacher_Master!$B$2:$B$16,MATCH(AF454,Teacher_Master!$D$2:$D$16,0))</f>
        <v>Prof. Rahul Singh</v>
      </c>
    </row>
    <row r="455" spans="1:35" ht="14.25" customHeight="1" x14ac:dyDescent="0.3">
      <c r="A455" s="31" t="s">
        <v>934</v>
      </c>
      <c r="B455" s="31" t="s">
        <v>2407</v>
      </c>
      <c r="C455" s="31" t="s">
        <v>2882</v>
      </c>
      <c r="D455" s="12">
        <f t="shared" ca="1" si="42"/>
        <v>23</v>
      </c>
      <c r="E455" s="12" t="str">
        <f ca="1">IF(Table1[[#This Row],[Age]]&lt;=22,"20-22",IF(Table1[[#This Row],[Age]]&lt;=25,"23-25",IF(Table1[[#This Row],[Age]]&lt;=28,"26-28","29-30")))</f>
        <v>23-25</v>
      </c>
      <c r="F455" s="12">
        <v>3.71</v>
      </c>
      <c r="G455" s="12">
        <v>4.26</v>
      </c>
      <c r="H455" s="12">
        <v>3.46</v>
      </c>
      <c r="I455" s="12">
        <v>4.71</v>
      </c>
      <c r="J455" s="12">
        <v>3.6</v>
      </c>
      <c r="K455" s="12" t="s">
        <v>211</v>
      </c>
      <c r="L455" s="12">
        <v>4.33</v>
      </c>
      <c r="M455" s="12">
        <v>4.29</v>
      </c>
      <c r="N455" s="12">
        <v>3.99</v>
      </c>
      <c r="O455" s="12">
        <v>3.89</v>
      </c>
      <c r="P455" s="12">
        <f t="shared" si="43"/>
        <v>3.9480000000000004</v>
      </c>
      <c r="Q455" s="12">
        <f t="shared" si="44"/>
        <v>3.95</v>
      </c>
      <c r="R455" s="12">
        <f t="shared" si="45"/>
        <v>4.125</v>
      </c>
      <c r="S455" s="28">
        <f>IFERROR(INDEX('Clean Gamification Data'!$B:$B,MATCH($B455,'Clean Gamification Data'!$A:$A,0)),"Not Found")</f>
        <v>82.76884364</v>
      </c>
      <c r="T455" s="28">
        <f>IFERROR(INDEX('Clean Gamification Data'!$C:$C,MATCH($B455,'Clean Gamification Data'!$A:$A,0)),"Not Found")</f>
        <v>68.182761290000002</v>
      </c>
      <c r="U455" s="28">
        <f>IFERROR(INDEX('Clean Gamification Data'!$D:$D,MATCH($B455,'Clean Gamification Data'!$A:$A,0)),"Not Found")</f>
        <v>70</v>
      </c>
      <c r="V455" s="28">
        <f>IFERROR(INDEX('Clean Gamification Data'!$E:$E,MATCH($B455,'Clean Gamification Data'!$A:$A,0)),"Not Found")</f>
        <v>66.124849170000005</v>
      </c>
      <c r="W455" s="28">
        <f>IFERROR(INDEX('Clean Gamification Data'!$F:$F,MATCH($B455,'Clean Gamification Data'!$A:$A,0)),"Not Found")</f>
        <v>85.661420809999996</v>
      </c>
      <c r="X455" s="28">
        <f>IFERROR(INDEX('Clean Gamification Data'!$G:$G,MATCH($B455,'Clean Gamification Data'!$A:$A,0)),"Not Found")</f>
        <v>75.850691119999993</v>
      </c>
      <c r="Y455" s="28">
        <f>IFERROR(INDEX('Clean Gamification Data'!$H:$H,MATCH($B455,'Clean Gamification Data'!$A:$A,0)),"Not Found")</f>
        <v>77.903072789999996</v>
      </c>
      <c r="Z455" s="28">
        <f>IFERROR(INDEX('Clean Gamification Data'!$I:$I,MATCH($B455,'Clean Gamification Data'!$A:$A,0)),"Not Found")</f>
        <v>68.471722729999996</v>
      </c>
      <c r="AA455" s="28">
        <f>Table1[[#This Row],[Engagement (Gamification %)]]-Table1[[#This Row],[Engagement (Non-Gamification %)]]</f>
        <v>14.586082349999998</v>
      </c>
      <c r="AB455" s="28">
        <f>Table1[[#This Row],[Motivation (Gamification %)]]-Table1[[#This Row],[Motivation (Non-Gamification %)]]</f>
        <v>3.8751508299999955</v>
      </c>
      <c r="AC455" s="28">
        <f>Table1[[#This Row],[Participation (Gamification %)]]-Table1[[#This Row],[Participation (Non-Gamification %)]]</f>
        <v>9.8107296900000023</v>
      </c>
      <c r="AD455" s="28">
        <f>Table1[[#This Row],[Learning Outcomes (Gamification %)]]-Table1[[#This Row],[Learning Outcomes (Non-Gamification %)]]</f>
        <v>9.4313500599999998</v>
      </c>
      <c r="AE455" s="44" t="str">
        <f>IF(Table1[[#This Row],[Overall Effectiveness]]&lt;3.9,"Low",IF(Table1[[#This Row],[Overall Effectiveness]]&lt;4.2,"Medium","High"))</f>
        <v>Medium</v>
      </c>
      <c r="AF455" s="30" t="str">
        <f t="shared" si="46"/>
        <v>Experiments</v>
      </c>
      <c r="AG455" s="30" t="str">
        <f t="shared" si="47"/>
        <v>Case Studies</v>
      </c>
      <c r="AH455" s="27">
        <f>COUNTIF(Teacher_Master!$D$2:$D$16,AF455)</f>
        <v>3</v>
      </c>
      <c r="AI455" s="30" t="str">
        <f>INDEX(Teacher_Master!$B$2:$B$16,MATCH(AF455,Teacher_Master!$D$2:$D$16,0))</f>
        <v>Prof. Rahul Singh</v>
      </c>
    </row>
    <row r="456" spans="1:35" ht="14.25" customHeight="1" x14ac:dyDescent="0.3">
      <c r="A456" s="31" t="s">
        <v>936</v>
      </c>
      <c r="B456" s="31" t="s">
        <v>937</v>
      </c>
      <c r="C456" s="31" t="s">
        <v>2881</v>
      </c>
      <c r="D456" s="12">
        <f t="shared" ca="1" si="42"/>
        <v>23</v>
      </c>
      <c r="E456" s="12" t="str">
        <f ca="1">IF(Table1[[#This Row],[Age]]&lt;=22,"20-22",IF(Table1[[#This Row],[Age]]&lt;=25,"23-25",IF(Table1[[#This Row],[Age]]&lt;=28,"26-28","29-30")))</f>
        <v>23-25</v>
      </c>
      <c r="F456" s="12">
        <v>3.92</v>
      </c>
      <c r="G456" s="12">
        <v>4.08</v>
      </c>
      <c r="H456" s="12">
        <v>4.16</v>
      </c>
      <c r="I456" s="12">
        <v>3.96</v>
      </c>
      <c r="J456" s="12">
        <v>3.53</v>
      </c>
      <c r="K456" s="12">
        <v>4.1399999999999997</v>
      </c>
      <c r="L456" s="12">
        <v>4.18</v>
      </c>
      <c r="M456" s="12">
        <v>4.0199999999999996</v>
      </c>
      <c r="N456" s="12">
        <v>3.67</v>
      </c>
      <c r="O456" s="12">
        <v>3.62</v>
      </c>
      <c r="P456" s="12">
        <f t="shared" si="43"/>
        <v>3.9300000000000006</v>
      </c>
      <c r="Q456" s="12">
        <f t="shared" si="44"/>
        <v>3.93</v>
      </c>
      <c r="R456" s="12">
        <f t="shared" si="45"/>
        <v>3.9259999999999997</v>
      </c>
      <c r="S456" s="28">
        <f>IFERROR(INDEX('Clean Gamification Data'!$B:$B,MATCH($B456,'Clean Gamification Data'!$A:$A,0)),"Not Found")</f>
        <v>83.183455159999994</v>
      </c>
      <c r="T456" s="28">
        <f>IFERROR(INDEX('Clean Gamification Data'!$C:$C,MATCH($B456,'Clean Gamification Data'!$A:$A,0)),"Not Found")</f>
        <v>75.070083629999999</v>
      </c>
      <c r="U456" s="28">
        <f>IFERROR(INDEX('Clean Gamification Data'!$D:$D,MATCH($B456,'Clean Gamification Data'!$A:$A,0)),"Not Found")</f>
        <v>80.714314639999998</v>
      </c>
      <c r="V456" s="28">
        <f>IFERROR(INDEX('Clean Gamification Data'!$E:$E,MATCH($B456,'Clean Gamification Data'!$A:$A,0)),"Not Found")</f>
        <v>67.610528900000006</v>
      </c>
      <c r="W456" s="28">
        <f>IFERROR(INDEX('Clean Gamification Data'!$F:$F,MATCH($B456,'Clean Gamification Data'!$A:$A,0)),"Not Found")</f>
        <v>88.186044019999997</v>
      </c>
      <c r="X456" s="28">
        <f>IFERROR(INDEX('Clean Gamification Data'!$G:$G,MATCH($B456,'Clean Gamification Data'!$A:$A,0)),"Not Found")</f>
        <v>80.942371960000003</v>
      </c>
      <c r="Y456" s="28">
        <f>IFERROR(INDEX('Clean Gamification Data'!$H:$H,MATCH($B456,'Clean Gamification Data'!$A:$A,0)),"Not Found")</f>
        <v>71.263414569999995</v>
      </c>
      <c r="Z456" s="28">
        <f>IFERROR(INDEX('Clean Gamification Data'!$I:$I,MATCH($B456,'Clean Gamification Data'!$A:$A,0)),"Not Found")</f>
        <v>64.402593019999998</v>
      </c>
      <c r="AA456" s="28">
        <f>Table1[[#This Row],[Engagement (Gamification %)]]-Table1[[#This Row],[Engagement (Non-Gamification %)]]</f>
        <v>8.1133715299999949</v>
      </c>
      <c r="AB456" s="28">
        <f>Table1[[#This Row],[Motivation (Gamification %)]]-Table1[[#This Row],[Motivation (Non-Gamification %)]]</f>
        <v>13.103785739999992</v>
      </c>
      <c r="AC456" s="28">
        <f>Table1[[#This Row],[Participation (Gamification %)]]-Table1[[#This Row],[Participation (Non-Gamification %)]]</f>
        <v>7.2436720599999944</v>
      </c>
      <c r="AD456" s="28">
        <f>Table1[[#This Row],[Learning Outcomes (Gamification %)]]-Table1[[#This Row],[Learning Outcomes (Non-Gamification %)]]</f>
        <v>6.8608215499999972</v>
      </c>
      <c r="AE456" s="44" t="str">
        <f>IF(Table1[[#This Row],[Overall Effectiveness]]&lt;3.9,"Low",IF(Table1[[#This Row],[Overall Effectiveness]]&lt;4.2,"Medium","High"))</f>
        <v>Medium</v>
      </c>
      <c r="AF456" s="30" t="str">
        <f t="shared" si="46"/>
        <v>Group Projects</v>
      </c>
      <c r="AG456" s="30" t="str">
        <f t="shared" si="47"/>
        <v>Case Studies</v>
      </c>
      <c r="AH456" s="27">
        <f>COUNTIF(Teacher_Master!$D$2:$D$16,AF456)</f>
        <v>3</v>
      </c>
      <c r="AI456" s="30" t="str">
        <f>INDEX(Teacher_Master!$B$2:$B$16,MATCH(AF456,Teacher_Master!$D$2:$D$16,0))</f>
        <v>Dr. Rohan Dutta</v>
      </c>
    </row>
    <row r="457" spans="1:35" ht="14.25" customHeight="1" x14ac:dyDescent="0.3">
      <c r="A457" s="31" t="s">
        <v>938</v>
      </c>
      <c r="B457" s="31" t="s">
        <v>939</v>
      </c>
      <c r="C457" s="31" t="s">
        <v>2882</v>
      </c>
      <c r="D457" s="12">
        <f t="shared" ca="1" si="42"/>
        <v>26</v>
      </c>
      <c r="E457" s="12" t="str">
        <f ca="1">IF(Table1[[#This Row],[Age]]&lt;=22,"20-22",IF(Table1[[#This Row],[Age]]&lt;=25,"23-25",IF(Table1[[#This Row],[Age]]&lt;=28,"26-28","29-30")))</f>
        <v>26-28</v>
      </c>
      <c r="F457" s="12">
        <v>4.38</v>
      </c>
      <c r="G457" s="12">
        <v>3.82</v>
      </c>
      <c r="H457" s="12">
        <v>4.4000000000000004</v>
      </c>
      <c r="I457" s="12">
        <v>4.07</v>
      </c>
      <c r="J457" s="12">
        <v>4.4000000000000004</v>
      </c>
      <c r="K457" s="12">
        <v>3.82</v>
      </c>
      <c r="L457" s="12">
        <v>3.9</v>
      </c>
      <c r="M457" s="12">
        <v>4.3099999999999996</v>
      </c>
      <c r="N457" s="12">
        <v>4.3099999999999996</v>
      </c>
      <c r="O457" s="12">
        <v>4.01</v>
      </c>
      <c r="P457" s="12">
        <f t="shared" si="43"/>
        <v>4.2140000000000004</v>
      </c>
      <c r="Q457" s="12">
        <f t="shared" si="44"/>
        <v>4.21</v>
      </c>
      <c r="R457" s="12">
        <f t="shared" si="45"/>
        <v>4.07</v>
      </c>
      <c r="S457" s="28">
        <f>IFERROR(INDEX('Clean Gamification Data'!$B:$B,MATCH($B457,'Clean Gamification Data'!$A:$A,0)),"Not Found")</f>
        <v>84.682699569999997</v>
      </c>
      <c r="T457" s="28">
        <f>IFERROR(INDEX('Clean Gamification Data'!$C:$C,MATCH($B457,'Clean Gamification Data'!$A:$A,0)),"Not Found")</f>
        <v>78.192623609999998</v>
      </c>
      <c r="U457" s="28">
        <f>IFERROR(INDEX('Clean Gamification Data'!$D:$D,MATCH($B457,'Clean Gamification Data'!$A:$A,0)),"Not Found")</f>
        <v>72.390604170000003</v>
      </c>
      <c r="V457" s="28">
        <f>IFERROR(INDEX('Clean Gamification Data'!$E:$E,MATCH($B457,'Clean Gamification Data'!$A:$A,0)),"Not Found")</f>
        <v>57.575397649999999</v>
      </c>
      <c r="W457" s="28">
        <f>IFERROR(INDEX('Clean Gamification Data'!$F:$F,MATCH($B457,'Clean Gamification Data'!$A:$A,0)),"Not Found")</f>
        <v>80</v>
      </c>
      <c r="X457" s="28">
        <f>IFERROR(INDEX('Clean Gamification Data'!$G:$G,MATCH($B457,'Clean Gamification Data'!$A:$A,0)),"Not Found")</f>
        <v>74.739158919999994</v>
      </c>
      <c r="Y457" s="28">
        <f>IFERROR(INDEX('Clean Gamification Data'!$H:$H,MATCH($B457,'Clean Gamification Data'!$A:$A,0)),"Not Found")</f>
        <v>71.842633259999999</v>
      </c>
      <c r="Z457" s="28">
        <f>IFERROR(INDEX('Clean Gamification Data'!$I:$I,MATCH($B457,'Clean Gamification Data'!$A:$A,0)),"Not Found")</f>
        <v>68.039399299999999</v>
      </c>
      <c r="AA457" s="28">
        <f>Table1[[#This Row],[Engagement (Gamification %)]]-Table1[[#This Row],[Engagement (Non-Gamification %)]]</f>
        <v>6.4900759599999986</v>
      </c>
      <c r="AB457" s="28">
        <f>Table1[[#This Row],[Motivation (Gamification %)]]-Table1[[#This Row],[Motivation (Non-Gamification %)]]</f>
        <v>14.815206520000004</v>
      </c>
      <c r="AC457" s="28">
        <f>Table1[[#This Row],[Participation (Gamification %)]]-Table1[[#This Row],[Participation (Non-Gamification %)]]</f>
        <v>5.2608410800000058</v>
      </c>
      <c r="AD457" s="28">
        <f>Table1[[#This Row],[Learning Outcomes (Gamification %)]]-Table1[[#This Row],[Learning Outcomes (Non-Gamification %)]]</f>
        <v>3.80323396</v>
      </c>
      <c r="AE457" s="44" t="str">
        <f>IF(Table1[[#This Row],[Overall Effectiveness]]&lt;3.9,"Low",IF(Table1[[#This Row],[Overall Effectiveness]]&lt;4.2,"Medium","High"))</f>
        <v>High</v>
      </c>
      <c r="AF457" s="30" t="str">
        <f t="shared" si="46"/>
        <v>Group Projects</v>
      </c>
      <c r="AG457" s="30" t="str">
        <f t="shared" si="47"/>
        <v>Group Projects</v>
      </c>
      <c r="AH457" s="27">
        <f>COUNTIF(Teacher_Master!$D$2:$D$16,AF457)</f>
        <v>3</v>
      </c>
      <c r="AI457" s="30" t="str">
        <f>INDEX(Teacher_Master!$B$2:$B$16,MATCH(AF457,Teacher_Master!$D$2:$D$16,0))</f>
        <v>Dr. Rohan Dutta</v>
      </c>
    </row>
    <row r="458" spans="1:35" ht="14.25" customHeight="1" x14ac:dyDescent="0.3">
      <c r="A458" s="31" t="s">
        <v>940</v>
      </c>
      <c r="B458" s="31" t="s">
        <v>2408</v>
      </c>
      <c r="C458" s="31" t="s">
        <v>2881</v>
      </c>
      <c r="D458" s="12">
        <f t="shared" ca="1" si="42"/>
        <v>23</v>
      </c>
      <c r="E458" s="12" t="str">
        <f ca="1">IF(Table1[[#This Row],[Age]]&lt;=22,"20-22",IF(Table1[[#This Row],[Age]]&lt;=25,"23-25",IF(Table1[[#This Row],[Age]]&lt;=28,"26-28","29-30")))</f>
        <v>23-25</v>
      </c>
      <c r="F458" s="12">
        <v>3.9</v>
      </c>
      <c r="G458" s="12">
        <v>3.64</v>
      </c>
      <c r="H458" s="12">
        <v>3.86</v>
      </c>
      <c r="I458" s="12">
        <v>4.58</v>
      </c>
      <c r="J458" s="12">
        <v>4.0199999999999996</v>
      </c>
      <c r="K458" s="12">
        <v>4.5</v>
      </c>
      <c r="L458" s="12">
        <v>3.68</v>
      </c>
      <c r="M458" s="12">
        <v>3.85</v>
      </c>
      <c r="N458" s="12">
        <v>3.9</v>
      </c>
      <c r="O458" s="12">
        <v>3.83</v>
      </c>
      <c r="P458" s="12">
        <f t="shared" si="43"/>
        <v>4</v>
      </c>
      <c r="Q458" s="12">
        <f t="shared" si="44"/>
        <v>4</v>
      </c>
      <c r="R458" s="12">
        <f t="shared" si="45"/>
        <v>3.9519999999999995</v>
      </c>
      <c r="S458" s="28">
        <f>IFERROR(INDEX('Clean Gamification Data'!$B:$B,MATCH($B458,'Clean Gamification Data'!$A:$A,0)),"Not Found")</f>
        <v>87.248635039999996</v>
      </c>
      <c r="T458" s="28">
        <f>IFERROR(INDEX('Clean Gamification Data'!$C:$C,MATCH($B458,'Clean Gamification Data'!$A:$A,0)),"Not Found")</f>
        <v>70.606031220000006</v>
      </c>
      <c r="U458" s="28">
        <f>IFERROR(INDEX('Clean Gamification Data'!$D:$D,MATCH($B458,'Clean Gamification Data'!$A:$A,0)),"Not Found")</f>
        <v>80.38102447</v>
      </c>
      <c r="V458" s="28">
        <f>IFERROR(INDEX('Clean Gamification Data'!$E:$E,MATCH($B458,'Clean Gamification Data'!$A:$A,0)),"Not Found")</f>
        <v>61.926359849999997</v>
      </c>
      <c r="W458" s="28">
        <f>IFERROR(INDEX('Clean Gamification Data'!$F:$F,MATCH($B458,'Clean Gamification Data'!$A:$A,0)),"Not Found")</f>
        <v>86.206269489999997</v>
      </c>
      <c r="X458" s="28">
        <f>IFERROR(INDEX('Clean Gamification Data'!$G:$G,MATCH($B458,'Clean Gamification Data'!$A:$A,0)),"Not Found")</f>
        <v>81.968042780000005</v>
      </c>
      <c r="Y458" s="28">
        <f>IFERROR(INDEX('Clean Gamification Data'!$H:$H,MATCH($B458,'Clean Gamification Data'!$A:$A,0)),"Not Found")</f>
        <v>65</v>
      </c>
      <c r="Z458" s="28">
        <f>IFERROR(INDEX('Clean Gamification Data'!$I:$I,MATCH($B458,'Clean Gamification Data'!$A:$A,0)),"Not Found")</f>
        <v>55.574065140000002</v>
      </c>
      <c r="AA458" s="28">
        <f>Table1[[#This Row],[Engagement (Gamification %)]]-Table1[[#This Row],[Engagement (Non-Gamification %)]]</f>
        <v>16.642603819999991</v>
      </c>
      <c r="AB458" s="28">
        <f>Table1[[#This Row],[Motivation (Gamification %)]]-Table1[[#This Row],[Motivation (Non-Gamification %)]]</f>
        <v>18.454664620000003</v>
      </c>
      <c r="AC458" s="28">
        <f>Table1[[#This Row],[Participation (Gamification %)]]-Table1[[#This Row],[Participation (Non-Gamification %)]]</f>
        <v>4.2382267099999922</v>
      </c>
      <c r="AD458" s="28">
        <f>Table1[[#This Row],[Learning Outcomes (Gamification %)]]-Table1[[#This Row],[Learning Outcomes (Non-Gamification %)]]</f>
        <v>9.4259348599999981</v>
      </c>
      <c r="AE458" s="44" t="str">
        <f>IF(Table1[[#This Row],[Overall Effectiveness]]&lt;3.9,"Low",IF(Table1[[#This Row],[Overall Effectiveness]]&lt;4.2,"Medium","High"))</f>
        <v>Medium</v>
      </c>
      <c r="AF458" s="30" t="str">
        <f t="shared" si="46"/>
        <v>Experiments</v>
      </c>
      <c r="AG458" s="30" t="str">
        <f t="shared" si="47"/>
        <v>Lectures</v>
      </c>
      <c r="AH458" s="27">
        <f>COUNTIF(Teacher_Master!$D$2:$D$16,AF458)</f>
        <v>3</v>
      </c>
      <c r="AI458" s="30" t="str">
        <f>INDEX(Teacher_Master!$B$2:$B$16,MATCH(AF458,Teacher_Master!$D$2:$D$16,0))</f>
        <v>Prof. Rahul Singh</v>
      </c>
    </row>
    <row r="459" spans="1:35" ht="14.25" customHeight="1" x14ac:dyDescent="0.3">
      <c r="A459" s="31" t="s">
        <v>942</v>
      </c>
      <c r="B459" s="31" t="s">
        <v>943</v>
      </c>
      <c r="C459" s="31" t="s">
        <v>2881</v>
      </c>
      <c r="D459" s="12">
        <f t="shared" ca="1" si="42"/>
        <v>26</v>
      </c>
      <c r="E459" s="12" t="str">
        <f ca="1">IF(Table1[[#This Row],[Age]]&lt;=22,"20-22",IF(Table1[[#This Row],[Age]]&lt;=25,"23-25",IF(Table1[[#This Row],[Age]]&lt;=28,"26-28","29-30")))</f>
        <v>26-28</v>
      </c>
      <c r="F459" s="12">
        <v>4.0199999999999996</v>
      </c>
      <c r="G459" s="12">
        <v>4.18</v>
      </c>
      <c r="H459" s="12">
        <v>3.43</v>
      </c>
      <c r="I459" s="12">
        <v>4.03</v>
      </c>
      <c r="J459" s="12">
        <v>4.0199999999999996</v>
      </c>
      <c r="K459" s="12" t="s">
        <v>211</v>
      </c>
      <c r="L459" s="12">
        <v>3.93</v>
      </c>
      <c r="M459" s="12">
        <v>4.67</v>
      </c>
      <c r="N459" s="12">
        <v>4.21</v>
      </c>
      <c r="O459" s="12">
        <v>4.0599999999999996</v>
      </c>
      <c r="P459" s="12">
        <f t="shared" si="43"/>
        <v>3.9359999999999999</v>
      </c>
      <c r="Q459" s="12">
        <f t="shared" si="44"/>
        <v>3.94</v>
      </c>
      <c r="R459" s="12">
        <f t="shared" si="45"/>
        <v>4.2174999999999994</v>
      </c>
      <c r="S459" s="28">
        <f>IFERROR(INDEX('Clean Gamification Data'!$B:$B,MATCH($B459,'Clean Gamification Data'!$A:$A,0)),"Not Found")</f>
        <v>83.582952120000002</v>
      </c>
      <c r="T459" s="28">
        <f>IFERROR(INDEX('Clean Gamification Data'!$C:$C,MATCH($B459,'Clean Gamification Data'!$A:$A,0)),"Not Found")</f>
        <v>70.737708139999995</v>
      </c>
      <c r="U459" s="28">
        <f>IFERROR(INDEX('Clean Gamification Data'!$D:$D,MATCH($B459,'Clean Gamification Data'!$A:$A,0)),"Not Found")</f>
        <v>75.446837020000004</v>
      </c>
      <c r="V459" s="28">
        <f>IFERROR(INDEX('Clean Gamification Data'!$E:$E,MATCH($B459,'Clean Gamification Data'!$A:$A,0)),"Not Found")</f>
        <v>68.563575470000004</v>
      </c>
      <c r="W459" s="28">
        <f>IFERROR(INDEX('Clean Gamification Data'!$F:$F,MATCH($B459,'Clean Gamification Data'!$A:$A,0)),"Not Found")</f>
        <v>85.738837020000005</v>
      </c>
      <c r="X459" s="28">
        <f>IFERROR(INDEX('Clean Gamification Data'!$G:$G,MATCH($B459,'Clean Gamification Data'!$A:$A,0)),"Not Found")</f>
        <v>75.078239710000005</v>
      </c>
      <c r="Y459" s="28">
        <f>IFERROR(INDEX('Clean Gamification Data'!$H:$H,MATCH($B459,'Clean Gamification Data'!$A:$A,0)),"Not Found")</f>
        <v>71.354042109999995</v>
      </c>
      <c r="Z459" s="28">
        <f>IFERROR(INDEX('Clean Gamification Data'!$I:$I,MATCH($B459,'Clean Gamification Data'!$A:$A,0)),"Not Found")</f>
        <v>70</v>
      </c>
      <c r="AA459" s="28">
        <f>Table1[[#This Row],[Engagement (Gamification %)]]-Table1[[#This Row],[Engagement (Non-Gamification %)]]</f>
        <v>12.845243980000006</v>
      </c>
      <c r="AB459" s="28">
        <f>Table1[[#This Row],[Motivation (Gamification %)]]-Table1[[#This Row],[Motivation (Non-Gamification %)]]</f>
        <v>6.8832615500000003</v>
      </c>
      <c r="AC459" s="28">
        <f>Table1[[#This Row],[Participation (Gamification %)]]-Table1[[#This Row],[Participation (Non-Gamification %)]]</f>
        <v>10.66059731</v>
      </c>
      <c r="AD459" s="28">
        <f>Table1[[#This Row],[Learning Outcomes (Gamification %)]]-Table1[[#This Row],[Learning Outcomes (Non-Gamification %)]]</f>
        <v>1.3540421099999946</v>
      </c>
      <c r="AE459" s="44" t="str">
        <f>IF(Table1[[#This Row],[Overall Effectiveness]]&lt;3.9,"Low",IF(Table1[[#This Row],[Overall Effectiveness]]&lt;4.2,"Medium","High"))</f>
        <v>Medium</v>
      </c>
      <c r="AF459" s="30" t="str">
        <f t="shared" si="46"/>
        <v>Case Studies</v>
      </c>
      <c r="AG459" s="30" t="str">
        <f t="shared" si="47"/>
        <v>Group Projects</v>
      </c>
      <c r="AH459" s="27">
        <f>COUNTIF(Teacher_Master!$D$2:$D$16,AF459)</f>
        <v>3</v>
      </c>
      <c r="AI459" s="30" t="str">
        <f>INDEX(Teacher_Master!$B$2:$B$16,MATCH(AF459,Teacher_Master!$D$2:$D$16,0))</f>
        <v>Prof. Rajesh Mukherjee</v>
      </c>
    </row>
    <row r="460" spans="1:35" ht="14.25" customHeight="1" x14ac:dyDescent="0.3">
      <c r="A460" s="31" t="s">
        <v>944</v>
      </c>
      <c r="B460" s="31" t="s">
        <v>945</v>
      </c>
      <c r="C460" s="31" t="s">
        <v>2881</v>
      </c>
      <c r="D460" s="12">
        <f t="shared" ca="1" si="42"/>
        <v>26</v>
      </c>
      <c r="E460" s="12" t="str">
        <f ca="1">IF(Table1[[#This Row],[Age]]&lt;=22,"20-22",IF(Table1[[#This Row],[Age]]&lt;=25,"23-25",IF(Table1[[#This Row],[Age]]&lt;=28,"26-28","29-30")))</f>
        <v>26-28</v>
      </c>
      <c r="F460" s="12">
        <v>3.88</v>
      </c>
      <c r="G460" s="12">
        <v>3.79</v>
      </c>
      <c r="H460" s="12">
        <v>4.3</v>
      </c>
      <c r="I460" s="12">
        <v>4.55</v>
      </c>
      <c r="J460" s="12">
        <v>4.07</v>
      </c>
      <c r="K460" s="12">
        <v>4.25</v>
      </c>
      <c r="L460" s="12">
        <v>3.97</v>
      </c>
      <c r="M460" s="12">
        <v>4.04</v>
      </c>
      <c r="N460" s="12">
        <v>4.88</v>
      </c>
      <c r="O460" s="12">
        <v>3.97</v>
      </c>
      <c r="P460" s="12">
        <f t="shared" si="43"/>
        <v>4.1180000000000003</v>
      </c>
      <c r="Q460" s="12">
        <f t="shared" si="44"/>
        <v>4.12</v>
      </c>
      <c r="R460" s="12">
        <f t="shared" si="45"/>
        <v>4.2219999999999995</v>
      </c>
      <c r="S460" s="28">
        <f>IFERROR(INDEX('Clean Gamification Data'!$B:$B,MATCH($B460,'Clean Gamification Data'!$A:$A,0)),"Not Found")</f>
        <v>88.849508589999999</v>
      </c>
      <c r="T460" s="28">
        <f>IFERROR(INDEX('Clean Gamification Data'!$C:$C,MATCH($B460,'Clean Gamification Data'!$A:$A,0)),"Not Found")</f>
        <v>60.230072159999999</v>
      </c>
      <c r="U460" s="28">
        <f>IFERROR(INDEX('Clean Gamification Data'!$D:$D,MATCH($B460,'Clean Gamification Data'!$A:$A,0)),"Not Found")</f>
        <v>81.812981219999998</v>
      </c>
      <c r="V460" s="28">
        <f>IFERROR(INDEX('Clean Gamification Data'!$E:$E,MATCH($B460,'Clean Gamification Data'!$A:$A,0)),"Not Found")</f>
        <v>68.006150239999997</v>
      </c>
      <c r="W460" s="28">
        <f>IFERROR(INDEX('Clean Gamification Data'!$F:$F,MATCH($B460,'Clean Gamification Data'!$A:$A,0)),"Not Found")</f>
        <v>85.842084529999994</v>
      </c>
      <c r="X460" s="28">
        <f>IFERROR(INDEX('Clean Gamification Data'!$G:$G,MATCH($B460,'Clean Gamification Data'!$A:$A,0)),"Not Found")</f>
        <v>76.488676810000001</v>
      </c>
      <c r="Y460" s="28">
        <f>IFERROR(INDEX('Clean Gamification Data'!$H:$H,MATCH($B460,'Clean Gamification Data'!$A:$A,0)),"Not Found")</f>
        <v>73.319465019999996</v>
      </c>
      <c r="Z460" s="28">
        <f>IFERROR(INDEX('Clean Gamification Data'!$I:$I,MATCH($B460,'Clean Gamification Data'!$A:$A,0)),"Not Found")</f>
        <v>53.2378255</v>
      </c>
      <c r="AA460" s="28">
        <f>Table1[[#This Row],[Engagement (Gamification %)]]-Table1[[#This Row],[Engagement (Non-Gamification %)]]</f>
        <v>28.61943643</v>
      </c>
      <c r="AB460" s="28">
        <f>Table1[[#This Row],[Motivation (Gamification %)]]-Table1[[#This Row],[Motivation (Non-Gamification %)]]</f>
        <v>13.806830980000001</v>
      </c>
      <c r="AC460" s="28">
        <f>Table1[[#This Row],[Participation (Gamification %)]]-Table1[[#This Row],[Participation (Non-Gamification %)]]</f>
        <v>9.3534077199999928</v>
      </c>
      <c r="AD460" s="28">
        <f>Table1[[#This Row],[Learning Outcomes (Gamification %)]]-Table1[[#This Row],[Learning Outcomes (Non-Gamification %)]]</f>
        <v>20.081639519999996</v>
      </c>
      <c r="AE460" s="44" t="str">
        <f>IF(Table1[[#This Row],[Overall Effectiveness]]&lt;3.9,"Low",IF(Table1[[#This Row],[Overall Effectiveness]]&lt;4.2,"Medium","High"))</f>
        <v>Medium</v>
      </c>
      <c r="AF460" s="30" t="str">
        <f t="shared" si="46"/>
        <v>Experiments</v>
      </c>
      <c r="AG460" s="30" t="str">
        <f t="shared" si="47"/>
        <v>Experiments</v>
      </c>
      <c r="AH460" s="27">
        <f>COUNTIF(Teacher_Master!$D$2:$D$16,AF460)</f>
        <v>3</v>
      </c>
      <c r="AI460" s="30" t="str">
        <f>INDEX(Teacher_Master!$B$2:$B$16,MATCH(AF460,Teacher_Master!$D$2:$D$16,0))</f>
        <v>Prof. Rahul Singh</v>
      </c>
    </row>
    <row r="461" spans="1:35" ht="14.25" customHeight="1" x14ac:dyDescent="0.3">
      <c r="A461" s="31" t="s">
        <v>946</v>
      </c>
      <c r="B461" s="31" t="s">
        <v>2409</v>
      </c>
      <c r="C461" s="31" t="s">
        <v>2881</v>
      </c>
      <c r="D461" s="12">
        <f t="shared" ca="1" si="42"/>
        <v>23</v>
      </c>
      <c r="E461" s="12" t="str">
        <f ca="1">IF(Table1[[#This Row],[Age]]&lt;=22,"20-22",IF(Table1[[#This Row],[Age]]&lt;=25,"23-25",IF(Table1[[#This Row],[Age]]&lt;=28,"26-28","29-30")))</f>
        <v>23-25</v>
      </c>
      <c r="F461" s="12">
        <v>4.33</v>
      </c>
      <c r="G461" s="12">
        <v>3.59</v>
      </c>
      <c r="H461" s="12">
        <v>3.78</v>
      </c>
      <c r="I461" s="12">
        <v>4.21</v>
      </c>
      <c r="J461" s="12">
        <v>3.78</v>
      </c>
      <c r="K461" s="12">
        <v>3.61</v>
      </c>
      <c r="L461" s="12" t="s">
        <v>211</v>
      </c>
      <c r="M461" s="12">
        <v>4.41</v>
      </c>
      <c r="N461" s="12">
        <v>4.1100000000000003</v>
      </c>
      <c r="O461" s="12">
        <v>3.96</v>
      </c>
      <c r="P461" s="12">
        <f t="shared" si="43"/>
        <v>3.9380000000000002</v>
      </c>
      <c r="Q461" s="12">
        <f t="shared" si="44"/>
        <v>3.94</v>
      </c>
      <c r="R461" s="12">
        <f t="shared" si="45"/>
        <v>4.0225</v>
      </c>
      <c r="S461" s="28">
        <f>IFERROR(INDEX('Clean Gamification Data'!$B:$B,MATCH($B461,'Clean Gamification Data'!$A:$A,0)),"Not Found")</f>
        <v>83.172929019999998</v>
      </c>
      <c r="T461" s="28">
        <f>IFERROR(INDEX('Clean Gamification Data'!$C:$C,MATCH($B461,'Clean Gamification Data'!$A:$A,0)),"Not Found")</f>
        <v>70.291932520000003</v>
      </c>
      <c r="U461" s="28">
        <f>IFERROR(INDEX('Clean Gamification Data'!$D:$D,MATCH($B461,'Clean Gamification Data'!$A:$A,0)),"Not Found")</f>
        <v>76.529901749999993</v>
      </c>
      <c r="V461" s="28">
        <f>IFERROR(INDEX('Clean Gamification Data'!$E:$E,MATCH($B461,'Clean Gamification Data'!$A:$A,0)),"Not Found")</f>
        <v>66.740555610000001</v>
      </c>
      <c r="W461" s="28">
        <f>IFERROR(INDEX('Clean Gamification Data'!$F:$F,MATCH($B461,'Clean Gamification Data'!$A:$A,0)),"Not Found")</f>
        <v>94.720897070000007</v>
      </c>
      <c r="X461" s="28">
        <f>IFERROR(INDEX('Clean Gamification Data'!$G:$G,MATCH($B461,'Clean Gamification Data'!$A:$A,0)),"Not Found")</f>
        <v>78.237231800000004</v>
      </c>
      <c r="Y461" s="28">
        <f>IFERROR(INDEX('Clean Gamification Data'!$H:$H,MATCH($B461,'Clean Gamification Data'!$A:$A,0)),"Not Found")</f>
        <v>68.637399029999997</v>
      </c>
      <c r="Z461" s="28">
        <f>IFERROR(INDEX('Clean Gamification Data'!$I:$I,MATCH($B461,'Clean Gamification Data'!$A:$A,0)),"Not Found")</f>
        <v>50</v>
      </c>
      <c r="AA461" s="28">
        <f>Table1[[#This Row],[Engagement (Gamification %)]]-Table1[[#This Row],[Engagement (Non-Gamification %)]]</f>
        <v>12.880996499999995</v>
      </c>
      <c r="AB461" s="28">
        <f>Table1[[#This Row],[Motivation (Gamification %)]]-Table1[[#This Row],[Motivation (Non-Gamification %)]]</f>
        <v>9.7893461399999921</v>
      </c>
      <c r="AC461" s="28">
        <f>Table1[[#This Row],[Participation (Gamification %)]]-Table1[[#This Row],[Participation (Non-Gamification %)]]</f>
        <v>16.483665270000003</v>
      </c>
      <c r="AD461" s="28">
        <f>Table1[[#This Row],[Learning Outcomes (Gamification %)]]-Table1[[#This Row],[Learning Outcomes (Non-Gamification %)]]</f>
        <v>18.637399029999997</v>
      </c>
      <c r="AE461" s="44" t="str">
        <f>IF(Table1[[#This Row],[Overall Effectiveness]]&lt;3.9,"Low",IF(Table1[[#This Row],[Overall Effectiveness]]&lt;4.2,"Medium","High"))</f>
        <v>Medium</v>
      </c>
      <c r="AF461" s="30" t="str">
        <f t="shared" si="46"/>
        <v>Lectures</v>
      </c>
      <c r="AG461" s="30" t="str">
        <f t="shared" si="47"/>
        <v>Group Projects</v>
      </c>
      <c r="AH461" s="27">
        <f>COUNTIF(Teacher_Master!$D$2:$D$16,AF461)</f>
        <v>3</v>
      </c>
      <c r="AI461" s="30" t="str">
        <f>INDEX(Teacher_Master!$B$2:$B$16,MATCH(AF461,Teacher_Master!$D$2:$D$16,0))</f>
        <v>Prof. Vikram Gupta</v>
      </c>
    </row>
    <row r="462" spans="1:35" ht="14.25" customHeight="1" x14ac:dyDescent="0.3">
      <c r="A462" s="31" t="s">
        <v>948</v>
      </c>
      <c r="B462" s="31" t="s">
        <v>2410</v>
      </c>
      <c r="C462" s="31" t="s">
        <v>2882</v>
      </c>
      <c r="D462" s="12">
        <f t="shared" ca="1" si="42"/>
        <v>25</v>
      </c>
      <c r="E462" s="12" t="str">
        <f ca="1">IF(Table1[[#This Row],[Age]]&lt;=22,"20-22",IF(Table1[[#This Row],[Age]]&lt;=25,"23-25",IF(Table1[[#This Row],[Age]]&lt;=28,"26-28","29-30")))</f>
        <v>23-25</v>
      </c>
      <c r="F462" s="12">
        <v>4.3899999999999997</v>
      </c>
      <c r="G462" s="12">
        <v>4.17</v>
      </c>
      <c r="H462" s="12">
        <v>3.69</v>
      </c>
      <c r="I462" s="12">
        <v>4.0999999999999996</v>
      </c>
      <c r="J462" s="12">
        <v>4.74</v>
      </c>
      <c r="K462" s="12">
        <v>3.82</v>
      </c>
      <c r="L462" s="12">
        <v>4.0999999999999996</v>
      </c>
      <c r="M462" s="12">
        <v>4.53</v>
      </c>
      <c r="N462" s="12">
        <v>3.86</v>
      </c>
      <c r="O462" s="12">
        <v>4.21</v>
      </c>
      <c r="P462" s="12">
        <f t="shared" si="43"/>
        <v>4.2179999999999991</v>
      </c>
      <c r="Q462" s="12">
        <f t="shared" si="44"/>
        <v>4.22</v>
      </c>
      <c r="R462" s="12">
        <f t="shared" si="45"/>
        <v>4.1040000000000001</v>
      </c>
      <c r="S462" s="28">
        <f>IFERROR(INDEX('Clean Gamification Data'!$B:$B,MATCH($B462,'Clean Gamification Data'!$A:$A,0)),"Not Found")</f>
        <v>80.705145770000001</v>
      </c>
      <c r="T462" s="28">
        <f>IFERROR(INDEX('Clean Gamification Data'!$C:$C,MATCH($B462,'Clean Gamification Data'!$A:$A,0)),"Not Found")</f>
        <v>64.390057380000002</v>
      </c>
      <c r="U462" s="28">
        <f>IFERROR(INDEX('Clean Gamification Data'!$D:$D,MATCH($B462,'Clean Gamification Data'!$A:$A,0)),"Not Found")</f>
        <v>88.053687710000005</v>
      </c>
      <c r="V462" s="28">
        <f>IFERROR(INDEX('Clean Gamification Data'!$E:$E,MATCH($B462,'Clean Gamification Data'!$A:$A,0)),"Not Found")</f>
        <v>55</v>
      </c>
      <c r="W462" s="28">
        <f>IFERROR(INDEX('Clean Gamification Data'!$F:$F,MATCH($B462,'Clean Gamification Data'!$A:$A,0)),"Not Found")</f>
        <v>95.48023766</v>
      </c>
      <c r="X462" s="28">
        <f>IFERROR(INDEX('Clean Gamification Data'!$G:$G,MATCH($B462,'Clean Gamification Data'!$A:$A,0)),"Not Found")</f>
        <v>80.032935539999997</v>
      </c>
      <c r="Y462" s="28">
        <f>IFERROR(INDEX('Clean Gamification Data'!$H:$H,MATCH($B462,'Clean Gamification Data'!$A:$A,0)),"Not Found")</f>
        <v>72.762538489999997</v>
      </c>
      <c r="Z462" s="28">
        <f>IFERROR(INDEX('Clean Gamification Data'!$I:$I,MATCH($B462,'Clean Gamification Data'!$A:$A,0)),"Not Found")</f>
        <v>50</v>
      </c>
      <c r="AA462" s="28">
        <f>Table1[[#This Row],[Engagement (Gamification %)]]-Table1[[#This Row],[Engagement (Non-Gamification %)]]</f>
        <v>16.31508839</v>
      </c>
      <c r="AB462" s="28">
        <f>Table1[[#This Row],[Motivation (Gamification %)]]-Table1[[#This Row],[Motivation (Non-Gamification %)]]</f>
        <v>33.053687710000005</v>
      </c>
      <c r="AC462" s="28">
        <f>Table1[[#This Row],[Participation (Gamification %)]]-Table1[[#This Row],[Participation (Non-Gamification %)]]</f>
        <v>15.447302120000003</v>
      </c>
      <c r="AD462" s="28">
        <f>Table1[[#This Row],[Learning Outcomes (Gamification %)]]-Table1[[#This Row],[Learning Outcomes (Non-Gamification %)]]</f>
        <v>22.762538489999997</v>
      </c>
      <c r="AE462" s="44" t="str">
        <f>IF(Table1[[#This Row],[Overall Effectiveness]]&lt;3.9,"Low",IF(Table1[[#This Row],[Overall Effectiveness]]&lt;4.2,"Medium","High"))</f>
        <v>High</v>
      </c>
      <c r="AF462" s="30" t="str">
        <f t="shared" si="46"/>
        <v>Online Tutorials</v>
      </c>
      <c r="AG462" s="30" t="str">
        <f t="shared" si="47"/>
        <v>Group Projects</v>
      </c>
      <c r="AH462" s="27">
        <f>COUNTIF(Teacher_Master!$D$2:$D$16,AF462)</f>
        <v>3</v>
      </c>
      <c r="AI462" s="30" t="str">
        <f>INDEX(Teacher_Master!$B$2:$B$16,MATCH(AF462,Teacher_Master!$D$2:$D$16,0))</f>
        <v>Prof. Kavita Rao</v>
      </c>
    </row>
    <row r="463" spans="1:35" ht="14.25" customHeight="1" x14ac:dyDescent="0.3">
      <c r="A463" s="31" t="s">
        <v>950</v>
      </c>
      <c r="B463" s="31" t="s">
        <v>2411</v>
      </c>
      <c r="C463" s="31" t="s">
        <v>2881</v>
      </c>
      <c r="D463" s="12">
        <f t="shared" ca="1" si="42"/>
        <v>20</v>
      </c>
      <c r="E463" s="12" t="str">
        <f ca="1">IF(Table1[[#This Row],[Age]]&lt;=22,"20-22",IF(Table1[[#This Row],[Age]]&lt;=25,"23-25",IF(Table1[[#This Row],[Age]]&lt;=28,"26-28","29-30")))</f>
        <v>20-22</v>
      </c>
      <c r="F463" s="12">
        <v>4.78</v>
      </c>
      <c r="G463" s="12">
        <v>4.0999999999999996</v>
      </c>
      <c r="H463" s="12">
        <v>3.59</v>
      </c>
      <c r="I463" s="12">
        <v>4.2</v>
      </c>
      <c r="J463" s="12">
        <v>4.5199999999999996</v>
      </c>
      <c r="K463" s="12">
        <v>3.93</v>
      </c>
      <c r="L463" s="12">
        <v>4.74</v>
      </c>
      <c r="M463" s="12">
        <v>4.2300000000000004</v>
      </c>
      <c r="N463" s="12">
        <v>3.53</v>
      </c>
      <c r="O463" s="12">
        <v>3.44</v>
      </c>
      <c r="P463" s="12">
        <f t="shared" si="43"/>
        <v>4.2379999999999995</v>
      </c>
      <c r="Q463" s="12">
        <f t="shared" si="44"/>
        <v>4.24</v>
      </c>
      <c r="R463" s="12">
        <f t="shared" si="45"/>
        <v>3.9740000000000002</v>
      </c>
      <c r="S463" s="28">
        <f>IFERROR(INDEX('Clean Gamification Data'!$B:$B,MATCH($B463,'Clean Gamification Data'!$A:$A,0)),"Not Found")</f>
        <v>86.451103759999995</v>
      </c>
      <c r="T463" s="28">
        <f>IFERROR(INDEX('Clean Gamification Data'!$C:$C,MATCH($B463,'Clean Gamification Data'!$A:$A,0)),"Not Found")</f>
        <v>67.602303239999998</v>
      </c>
      <c r="U463" s="28">
        <f>IFERROR(INDEX('Clean Gamification Data'!$D:$D,MATCH($B463,'Clean Gamification Data'!$A:$A,0)),"Not Found")</f>
        <v>74.642343890000006</v>
      </c>
      <c r="V463" s="28">
        <f>IFERROR(INDEX('Clean Gamification Data'!$E:$E,MATCH($B463,'Clean Gamification Data'!$A:$A,0)),"Not Found")</f>
        <v>63.324137569999998</v>
      </c>
      <c r="W463" s="28">
        <f>IFERROR(INDEX('Clean Gamification Data'!$F:$F,MATCH($B463,'Clean Gamification Data'!$A:$A,0)),"Not Found")</f>
        <v>93.371569440000002</v>
      </c>
      <c r="X463" s="28">
        <f>IFERROR(INDEX('Clean Gamification Data'!$G:$G,MATCH($B463,'Clean Gamification Data'!$A:$A,0)),"Not Found")</f>
        <v>85</v>
      </c>
      <c r="Y463" s="28">
        <f>IFERROR(INDEX('Clean Gamification Data'!$H:$H,MATCH($B463,'Clean Gamification Data'!$A:$A,0)),"Not Found")</f>
        <v>76.439488260000005</v>
      </c>
      <c r="Z463" s="28">
        <f>IFERROR(INDEX('Clean Gamification Data'!$I:$I,MATCH($B463,'Clean Gamification Data'!$A:$A,0)),"Not Found")</f>
        <v>58.105088189999996</v>
      </c>
      <c r="AA463" s="28">
        <f>Table1[[#This Row],[Engagement (Gamification %)]]-Table1[[#This Row],[Engagement (Non-Gamification %)]]</f>
        <v>18.848800519999998</v>
      </c>
      <c r="AB463" s="28">
        <f>Table1[[#This Row],[Motivation (Gamification %)]]-Table1[[#This Row],[Motivation (Non-Gamification %)]]</f>
        <v>11.318206320000009</v>
      </c>
      <c r="AC463" s="28">
        <f>Table1[[#This Row],[Participation (Gamification %)]]-Table1[[#This Row],[Participation (Non-Gamification %)]]</f>
        <v>8.3715694400000018</v>
      </c>
      <c r="AD463" s="28">
        <f>Table1[[#This Row],[Learning Outcomes (Gamification %)]]-Table1[[#This Row],[Learning Outcomes (Non-Gamification %)]]</f>
        <v>18.334400070000008</v>
      </c>
      <c r="AE463" s="44" t="str">
        <f>IF(Table1[[#This Row],[Overall Effectiveness]]&lt;3.9,"Low",IF(Table1[[#This Row],[Overall Effectiveness]]&lt;4.2,"Medium","High"))</f>
        <v>High</v>
      </c>
      <c r="AF463" s="30" t="str">
        <f t="shared" si="46"/>
        <v>Lectures</v>
      </c>
      <c r="AG463" s="30" t="str">
        <f t="shared" si="47"/>
        <v>Case Studies</v>
      </c>
      <c r="AH463" s="27">
        <f>COUNTIF(Teacher_Master!$D$2:$D$16,AF463)</f>
        <v>3</v>
      </c>
      <c r="AI463" s="30" t="str">
        <f>INDEX(Teacher_Master!$B$2:$B$16,MATCH(AF463,Teacher_Master!$D$2:$D$16,0))</f>
        <v>Prof. Vikram Gupta</v>
      </c>
    </row>
    <row r="464" spans="1:35" ht="14.25" customHeight="1" x14ac:dyDescent="0.3">
      <c r="A464" s="31" t="s">
        <v>952</v>
      </c>
      <c r="B464" s="31" t="s">
        <v>2412</v>
      </c>
      <c r="C464" s="31" t="s">
        <v>2881</v>
      </c>
      <c r="D464" s="12">
        <f t="shared" ca="1" si="42"/>
        <v>28</v>
      </c>
      <c r="E464" s="12" t="str">
        <f ca="1">IF(Table1[[#This Row],[Age]]&lt;=22,"20-22",IF(Table1[[#This Row],[Age]]&lt;=25,"23-25",IF(Table1[[#This Row],[Age]]&lt;=28,"26-28","29-30")))</f>
        <v>26-28</v>
      </c>
      <c r="F464" s="12">
        <v>3.92</v>
      </c>
      <c r="G464" s="12">
        <v>4.2699999999999996</v>
      </c>
      <c r="H464" s="12">
        <v>4.43</v>
      </c>
      <c r="I464" s="12">
        <v>4.32</v>
      </c>
      <c r="J464" s="12">
        <v>3.62</v>
      </c>
      <c r="K464" s="12">
        <v>4.4000000000000004</v>
      </c>
      <c r="L464" s="12">
        <v>4.05</v>
      </c>
      <c r="M464" s="12">
        <v>3.53</v>
      </c>
      <c r="N464" s="12">
        <v>3.87</v>
      </c>
      <c r="O464" s="12">
        <v>3.94</v>
      </c>
      <c r="P464" s="12">
        <f t="shared" si="43"/>
        <v>4.1120000000000001</v>
      </c>
      <c r="Q464" s="12">
        <f t="shared" si="44"/>
        <v>4.1100000000000003</v>
      </c>
      <c r="R464" s="12">
        <f t="shared" si="45"/>
        <v>3.9579999999999997</v>
      </c>
      <c r="S464" s="28">
        <f>IFERROR(INDEX('Clean Gamification Data'!$B:$B,MATCH($B464,'Clean Gamification Data'!$A:$A,0)),"Not Found")</f>
        <v>85.440633860000005</v>
      </c>
      <c r="T464" s="28">
        <f>IFERROR(INDEX('Clean Gamification Data'!$C:$C,MATCH($B464,'Clean Gamification Data'!$A:$A,0)),"Not Found")</f>
        <v>61.953612550000003</v>
      </c>
      <c r="U464" s="28">
        <f>IFERROR(INDEX('Clean Gamification Data'!$D:$D,MATCH($B464,'Clean Gamification Data'!$A:$A,0)),"Not Found")</f>
        <v>75.180946000000006</v>
      </c>
      <c r="V464" s="28">
        <f>IFERROR(INDEX('Clean Gamification Data'!$E:$E,MATCH($B464,'Clean Gamification Data'!$A:$A,0)),"Not Found")</f>
        <v>58.969347200000001</v>
      </c>
      <c r="W464" s="28">
        <f>IFERROR(INDEX('Clean Gamification Data'!$F:$F,MATCH($B464,'Clean Gamification Data'!$A:$A,0)),"Not Found")</f>
        <v>85.385588339999998</v>
      </c>
      <c r="X464" s="28">
        <f>IFERROR(INDEX('Clean Gamification Data'!$G:$G,MATCH($B464,'Clean Gamification Data'!$A:$A,0)),"Not Found")</f>
        <v>77.764302900000004</v>
      </c>
      <c r="Y464" s="28">
        <f>IFERROR(INDEX('Clean Gamification Data'!$H:$H,MATCH($B464,'Clean Gamification Data'!$A:$A,0)),"Not Found")</f>
        <v>74.509673179999993</v>
      </c>
      <c r="Z464" s="28">
        <f>IFERROR(INDEX('Clean Gamification Data'!$I:$I,MATCH($B464,'Clean Gamification Data'!$A:$A,0)),"Not Found")</f>
        <v>61.686793799999997</v>
      </c>
      <c r="AA464" s="28">
        <f>Table1[[#This Row],[Engagement (Gamification %)]]-Table1[[#This Row],[Engagement (Non-Gamification %)]]</f>
        <v>23.487021310000003</v>
      </c>
      <c r="AB464" s="28">
        <f>Table1[[#This Row],[Motivation (Gamification %)]]-Table1[[#This Row],[Motivation (Non-Gamification %)]]</f>
        <v>16.211598800000004</v>
      </c>
      <c r="AC464" s="28">
        <f>Table1[[#This Row],[Participation (Gamification %)]]-Table1[[#This Row],[Participation (Non-Gamification %)]]</f>
        <v>7.6212854399999941</v>
      </c>
      <c r="AD464" s="28">
        <f>Table1[[#This Row],[Learning Outcomes (Gamification %)]]-Table1[[#This Row],[Learning Outcomes (Non-Gamification %)]]</f>
        <v>12.822879379999996</v>
      </c>
      <c r="AE464" s="44" t="str">
        <f>IF(Table1[[#This Row],[Overall Effectiveness]]&lt;3.9,"Low",IF(Table1[[#This Row],[Overall Effectiveness]]&lt;4.2,"Medium","High"))</f>
        <v>Medium</v>
      </c>
      <c r="AF464" s="30" t="str">
        <f t="shared" si="46"/>
        <v>Group Projects</v>
      </c>
      <c r="AG464" s="30" t="str">
        <f t="shared" si="47"/>
        <v>Lectures</v>
      </c>
      <c r="AH464" s="27">
        <f>COUNTIF(Teacher_Master!$D$2:$D$16,AF464)</f>
        <v>3</v>
      </c>
      <c r="AI464" s="30" t="str">
        <f>INDEX(Teacher_Master!$B$2:$B$16,MATCH(AF464,Teacher_Master!$D$2:$D$16,0))</f>
        <v>Dr. Rohan Dutta</v>
      </c>
    </row>
    <row r="465" spans="1:35" ht="14.25" customHeight="1" x14ac:dyDescent="0.3">
      <c r="A465" s="31" t="s">
        <v>954</v>
      </c>
      <c r="B465" s="31" t="s">
        <v>2413</v>
      </c>
      <c r="C465" s="31" t="s">
        <v>2881</v>
      </c>
      <c r="D465" s="12">
        <f t="shared" ca="1" si="42"/>
        <v>20</v>
      </c>
      <c r="E465" s="12" t="str">
        <f ca="1">IF(Table1[[#This Row],[Age]]&lt;=22,"20-22",IF(Table1[[#This Row],[Age]]&lt;=25,"23-25",IF(Table1[[#This Row],[Age]]&lt;=28,"26-28","29-30")))</f>
        <v>20-22</v>
      </c>
      <c r="F465" s="12">
        <v>4.03</v>
      </c>
      <c r="G465" s="12">
        <v>4.09</v>
      </c>
      <c r="H465" s="12">
        <v>4.17</v>
      </c>
      <c r="I465" s="12">
        <v>4.0599999999999996</v>
      </c>
      <c r="J465" s="12">
        <v>3.72</v>
      </c>
      <c r="K465" s="12">
        <v>4.26</v>
      </c>
      <c r="L465" s="12">
        <v>3.93</v>
      </c>
      <c r="M465" s="12">
        <v>3.78</v>
      </c>
      <c r="N465" s="12" t="s">
        <v>211</v>
      </c>
      <c r="O465" s="12">
        <v>3.81</v>
      </c>
      <c r="P465" s="12">
        <f t="shared" si="43"/>
        <v>4.0140000000000002</v>
      </c>
      <c r="Q465" s="12">
        <f t="shared" si="44"/>
        <v>4.01</v>
      </c>
      <c r="R465" s="12">
        <f t="shared" si="45"/>
        <v>3.9449999999999998</v>
      </c>
      <c r="S465" s="28">
        <f>IFERROR(INDEX('Clean Gamification Data'!$B:$B,MATCH($B465,'Clean Gamification Data'!$A:$A,0)),"Not Found")</f>
        <v>97.873381820000006</v>
      </c>
      <c r="T465" s="28">
        <f>IFERROR(INDEX('Clean Gamification Data'!$C:$C,MATCH($B465,'Clean Gamification Data'!$A:$A,0)),"Not Found")</f>
        <v>68.251842879999998</v>
      </c>
      <c r="U465" s="28">
        <f>IFERROR(INDEX('Clean Gamification Data'!$D:$D,MATCH($B465,'Clean Gamification Data'!$A:$A,0)),"Not Found")</f>
        <v>84.098082099999999</v>
      </c>
      <c r="V465" s="28">
        <f>IFERROR(INDEX('Clean Gamification Data'!$E:$E,MATCH($B465,'Clean Gamification Data'!$A:$A,0)),"Not Found")</f>
        <v>60.642458650000002</v>
      </c>
      <c r="W465" s="28">
        <f>IFERROR(INDEX('Clean Gamification Data'!$F:$F,MATCH($B465,'Clean Gamification Data'!$A:$A,0)),"Not Found")</f>
        <v>92.170490180000002</v>
      </c>
      <c r="X465" s="28">
        <f>IFERROR(INDEX('Clean Gamification Data'!$G:$G,MATCH($B465,'Clean Gamification Data'!$A:$A,0)),"Not Found")</f>
        <v>77.283086229999995</v>
      </c>
      <c r="Y465" s="28">
        <f>IFERROR(INDEX('Clean Gamification Data'!$H:$H,MATCH($B465,'Clean Gamification Data'!$A:$A,0)),"Not Found")</f>
        <v>70.890430739999999</v>
      </c>
      <c r="Z465" s="28">
        <f>IFERROR(INDEX('Clean Gamification Data'!$I:$I,MATCH($B465,'Clean Gamification Data'!$A:$A,0)),"Not Found")</f>
        <v>57.385143210000003</v>
      </c>
      <c r="AA465" s="28">
        <f>Table1[[#This Row],[Engagement (Gamification %)]]-Table1[[#This Row],[Engagement (Non-Gamification %)]]</f>
        <v>29.621538940000008</v>
      </c>
      <c r="AB465" s="28">
        <f>Table1[[#This Row],[Motivation (Gamification %)]]-Table1[[#This Row],[Motivation (Non-Gamification %)]]</f>
        <v>23.455623449999997</v>
      </c>
      <c r="AC465" s="28">
        <f>Table1[[#This Row],[Participation (Gamification %)]]-Table1[[#This Row],[Participation (Non-Gamification %)]]</f>
        <v>14.887403950000007</v>
      </c>
      <c r="AD465" s="28">
        <f>Table1[[#This Row],[Learning Outcomes (Gamification %)]]-Table1[[#This Row],[Learning Outcomes (Non-Gamification %)]]</f>
        <v>13.505287529999997</v>
      </c>
      <c r="AE465" s="44" t="str">
        <f>IF(Table1[[#This Row],[Overall Effectiveness]]&lt;3.9,"Low",IF(Table1[[#This Row],[Overall Effectiveness]]&lt;4.2,"Medium","High"))</f>
        <v>Medium</v>
      </c>
      <c r="AF465" s="30" t="str">
        <f t="shared" si="46"/>
        <v>Group Projects</v>
      </c>
      <c r="AG465" s="30" t="str">
        <f t="shared" si="47"/>
        <v>Lectures</v>
      </c>
      <c r="AH465" s="27">
        <f>COUNTIF(Teacher_Master!$D$2:$D$16,AF465)</f>
        <v>3</v>
      </c>
      <c r="AI465" s="30" t="str">
        <f>INDEX(Teacher_Master!$B$2:$B$16,MATCH(AF465,Teacher_Master!$D$2:$D$16,0))</f>
        <v>Dr. Rohan Dutta</v>
      </c>
    </row>
    <row r="466" spans="1:35" ht="14.25" customHeight="1" x14ac:dyDescent="0.3">
      <c r="A466" s="31" t="s">
        <v>956</v>
      </c>
      <c r="B466" s="31" t="s">
        <v>957</v>
      </c>
      <c r="C466" s="31" t="s">
        <v>2882</v>
      </c>
      <c r="D466" s="12">
        <f t="shared" ca="1" si="42"/>
        <v>30</v>
      </c>
      <c r="E466" s="12" t="str">
        <f ca="1">IF(Table1[[#This Row],[Age]]&lt;=22,"20-22",IF(Table1[[#This Row],[Age]]&lt;=25,"23-25",IF(Table1[[#This Row],[Age]]&lt;=28,"26-28","29-30")))</f>
        <v>29-30</v>
      </c>
      <c r="F466" s="12" t="s">
        <v>211</v>
      </c>
      <c r="G466" s="12">
        <v>3.98</v>
      </c>
      <c r="H466" s="12">
        <v>3.49</v>
      </c>
      <c r="I466" s="12">
        <v>3.67</v>
      </c>
      <c r="J466" s="12">
        <v>4.1399999999999997</v>
      </c>
      <c r="K466" s="12">
        <v>4.47</v>
      </c>
      <c r="L466" s="12">
        <v>4.63</v>
      </c>
      <c r="M466" s="12">
        <v>4.6100000000000003</v>
      </c>
      <c r="N466" s="12">
        <v>4.42</v>
      </c>
      <c r="O466" s="12">
        <v>4.28</v>
      </c>
      <c r="P466" s="12">
        <f t="shared" si="43"/>
        <v>3.8200000000000003</v>
      </c>
      <c r="Q466" s="12">
        <f t="shared" si="44"/>
        <v>3.82</v>
      </c>
      <c r="R466" s="12">
        <f t="shared" si="45"/>
        <v>4.4820000000000011</v>
      </c>
      <c r="S466" s="28">
        <f>IFERROR(INDEX('Clean Gamification Data'!$B:$B,MATCH($B466,'Clean Gamification Data'!$A:$A,0)),"Not Found")</f>
        <v>87.182956910000001</v>
      </c>
      <c r="T466" s="28">
        <f>IFERROR(INDEX('Clean Gamification Data'!$C:$C,MATCH($B466,'Clean Gamification Data'!$A:$A,0)),"Not Found")</f>
        <v>72.102137949999999</v>
      </c>
      <c r="U466" s="28">
        <f>IFERROR(INDEX('Clean Gamification Data'!$D:$D,MATCH($B466,'Clean Gamification Data'!$A:$A,0)),"Not Found")</f>
        <v>70</v>
      </c>
      <c r="V466" s="28">
        <f>IFERROR(INDEX('Clean Gamification Data'!$E:$E,MATCH($B466,'Clean Gamification Data'!$A:$A,0)),"Not Found")</f>
        <v>65.45181608</v>
      </c>
      <c r="W466" s="28">
        <f>IFERROR(INDEX('Clean Gamification Data'!$F:$F,MATCH($B466,'Clean Gamification Data'!$A:$A,0)),"Not Found")</f>
        <v>94.238299179999999</v>
      </c>
      <c r="X466" s="28">
        <f>IFERROR(INDEX('Clean Gamification Data'!$G:$G,MATCH($B466,'Clean Gamification Data'!$A:$A,0)),"Not Found")</f>
        <v>85</v>
      </c>
      <c r="Y466" s="28">
        <f>IFERROR(INDEX('Clean Gamification Data'!$H:$H,MATCH($B466,'Clean Gamification Data'!$A:$A,0)),"Not Found")</f>
        <v>77.38839222</v>
      </c>
      <c r="Z466" s="28">
        <f>IFERROR(INDEX('Clean Gamification Data'!$I:$I,MATCH($B466,'Clean Gamification Data'!$A:$A,0)),"Not Found")</f>
        <v>69.409925880000003</v>
      </c>
      <c r="AA466" s="28">
        <f>Table1[[#This Row],[Engagement (Gamification %)]]-Table1[[#This Row],[Engagement (Non-Gamification %)]]</f>
        <v>15.080818960000002</v>
      </c>
      <c r="AB466" s="28">
        <f>Table1[[#This Row],[Motivation (Gamification %)]]-Table1[[#This Row],[Motivation (Non-Gamification %)]]</f>
        <v>4.5481839199999996</v>
      </c>
      <c r="AC466" s="28">
        <f>Table1[[#This Row],[Participation (Gamification %)]]-Table1[[#This Row],[Participation (Non-Gamification %)]]</f>
        <v>9.2382991799999985</v>
      </c>
      <c r="AD466" s="28">
        <f>Table1[[#This Row],[Learning Outcomes (Gamification %)]]-Table1[[#This Row],[Learning Outcomes (Non-Gamification %)]]</f>
        <v>7.9784663399999971</v>
      </c>
      <c r="AE466" s="44" t="str">
        <f>IF(Table1[[#This Row],[Overall Effectiveness]]&lt;3.9,"Low",IF(Table1[[#This Row],[Overall Effectiveness]]&lt;4.2,"Medium","High"))</f>
        <v>Low</v>
      </c>
      <c r="AF466" s="30" t="str">
        <f t="shared" si="46"/>
        <v>Online Tutorials</v>
      </c>
      <c r="AG466" s="30" t="str">
        <f t="shared" si="47"/>
        <v>Case Studies</v>
      </c>
      <c r="AH466" s="27">
        <f>COUNTIF(Teacher_Master!$D$2:$D$16,AF466)</f>
        <v>3</v>
      </c>
      <c r="AI466" s="30" t="str">
        <f>INDEX(Teacher_Master!$B$2:$B$16,MATCH(AF466,Teacher_Master!$D$2:$D$16,0))</f>
        <v>Prof. Kavita Rao</v>
      </c>
    </row>
    <row r="467" spans="1:35" ht="14.25" customHeight="1" x14ac:dyDescent="0.3">
      <c r="A467" s="31" t="s">
        <v>958</v>
      </c>
      <c r="B467" s="31" t="s">
        <v>2414</v>
      </c>
      <c r="C467" s="31" t="s">
        <v>2882</v>
      </c>
      <c r="D467" s="12">
        <f t="shared" ca="1" si="42"/>
        <v>27</v>
      </c>
      <c r="E467" s="12" t="str">
        <f ca="1">IF(Table1[[#This Row],[Age]]&lt;=22,"20-22",IF(Table1[[#This Row],[Age]]&lt;=25,"23-25",IF(Table1[[#This Row],[Age]]&lt;=28,"26-28","29-30")))</f>
        <v>26-28</v>
      </c>
      <c r="F467" s="12">
        <v>4.4400000000000004</v>
      </c>
      <c r="G467" s="12">
        <v>3.75</v>
      </c>
      <c r="H467" s="12">
        <v>4.04</v>
      </c>
      <c r="I467" s="12">
        <v>4.41</v>
      </c>
      <c r="J467" s="12">
        <v>4.47</v>
      </c>
      <c r="K467" s="12">
        <v>3.87</v>
      </c>
      <c r="L467" s="12">
        <v>4.28</v>
      </c>
      <c r="M467" s="12">
        <v>3.93</v>
      </c>
      <c r="N467" s="12">
        <v>3.43</v>
      </c>
      <c r="O467" s="12">
        <v>4.3600000000000003</v>
      </c>
      <c r="P467" s="12">
        <f t="shared" si="43"/>
        <v>4.2219999999999995</v>
      </c>
      <c r="Q467" s="12">
        <f t="shared" si="44"/>
        <v>4.22</v>
      </c>
      <c r="R467" s="12">
        <f t="shared" si="45"/>
        <v>3.9740000000000002</v>
      </c>
      <c r="S467" s="28">
        <f>IFERROR(INDEX('Clean Gamification Data'!$B:$B,MATCH($B467,'Clean Gamification Data'!$A:$A,0)),"Not Found")</f>
        <v>89.412048929999997</v>
      </c>
      <c r="T467" s="28">
        <f>IFERROR(INDEX('Clean Gamification Data'!$C:$C,MATCH($B467,'Clean Gamification Data'!$A:$A,0)),"Not Found")</f>
        <v>73.980899489999999</v>
      </c>
      <c r="U467" s="28">
        <f>IFERROR(INDEX('Clean Gamification Data'!$D:$D,MATCH($B467,'Clean Gamification Data'!$A:$A,0)),"Not Found")</f>
        <v>70</v>
      </c>
      <c r="V467" s="28">
        <f>IFERROR(INDEX('Clean Gamification Data'!$E:$E,MATCH($B467,'Clean Gamification Data'!$A:$A,0)),"Not Found")</f>
        <v>57.857818479999999</v>
      </c>
      <c r="W467" s="28">
        <f>IFERROR(INDEX('Clean Gamification Data'!$F:$F,MATCH($B467,'Clean Gamification Data'!$A:$A,0)),"Not Found")</f>
        <v>84.280770129999993</v>
      </c>
      <c r="X467" s="28">
        <f>IFERROR(INDEX('Clean Gamification Data'!$G:$G,MATCH($B467,'Clean Gamification Data'!$A:$A,0)),"Not Found")</f>
        <v>70.469235729999994</v>
      </c>
      <c r="Y467" s="28">
        <f>IFERROR(INDEX('Clean Gamification Data'!$H:$H,MATCH($B467,'Clean Gamification Data'!$A:$A,0)),"Not Found")</f>
        <v>67.699282190000005</v>
      </c>
      <c r="Z467" s="28">
        <f>IFERROR(INDEX('Clean Gamification Data'!$I:$I,MATCH($B467,'Clean Gamification Data'!$A:$A,0)),"Not Found")</f>
        <v>67.091786810000002</v>
      </c>
      <c r="AA467" s="28">
        <f>Table1[[#This Row],[Engagement (Gamification %)]]-Table1[[#This Row],[Engagement (Non-Gamification %)]]</f>
        <v>15.431149439999999</v>
      </c>
      <c r="AB467" s="28">
        <f>Table1[[#This Row],[Motivation (Gamification %)]]-Table1[[#This Row],[Motivation (Non-Gamification %)]]</f>
        <v>12.142181520000001</v>
      </c>
      <c r="AC467" s="28">
        <f>Table1[[#This Row],[Participation (Gamification %)]]-Table1[[#This Row],[Participation (Non-Gamification %)]]</f>
        <v>13.811534399999999</v>
      </c>
      <c r="AD467" s="28">
        <f>Table1[[#This Row],[Learning Outcomes (Gamification %)]]-Table1[[#This Row],[Learning Outcomes (Non-Gamification %)]]</f>
        <v>0.60749538000000314</v>
      </c>
      <c r="AE467" s="44" t="str">
        <f>IF(Table1[[#This Row],[Overall Effectiveness]]&lt;3.9,"Low",IF(Table1[[#This Row],[Overall Effectiveness]]&lt;4.2,"Medium","High"))</f>
        <v>High</v>
      </c>
      <c r="AF467" s="30" t="str">
        <f t="shared" si="46"/>
        <v>Online Tutorials</v>
      </c>
      <c r="AG467" s="30" t="str">
        <f t="shared" si="47"/>
        <v>Online Tutorials</v>
      </c>
      <c r="AH467" s="27">
        <f>COUNTIF(Teacher_Master!$D$2:$D$16,AF467)</f>
        <v>3</v>
      </c>
      <c r="AI467" s="30" t="str">
        <f>INDEX(Teacher_Master!$B$2:$B$16,MATCH(AF467,Teacher_Master!$D$2:$D$16,0))</f>
        <v>Prof. Kavita Rao</v>
      </c>
    </row>
    <row r="468" spans="1:35" ht="14.25" customHeight="1" x14ac:dyDescent="0.3">
      <c r="A468" s="31" t="s">
        <v>960</v>
      </c>
      <c r="B468" s="31" t="s">
        <v>961</v>
      </c>
      <c r="C468" s="31" t="s">
        <v>2882</v>
      </c>
      <c r="D468" s="12">
        <f t="shared" ca="1" si="42"/>
        <v>27</v>
      </c>
      <c r="E468" s="12" t="str">
        <f ca="1">IF(Table1[[#This Row],[Age]]&lt;=22,"20-22",IF(Table1[[#This Row],[Age]]&lt;=25,"23-25",IF(Table1[[#This Row],[Age]]&lt;=28,"26-28","29-30")))</f>
        <v>26-28</v>
      </c>
      <c r="F468" s="12">
        <v>4.12</v>
      </c>
      <c r="G468" s="12">
        <v>4.16</v>
      </c>
      <c r="H468" s="12">
        <v>4.0999999999999996</v>
      </c>
      <c r="I468" s="12">
        <v>3.74</v>
      </c>
      <c r="J468" s="12">
        <v>3.99</v>
      </c>
      <c r="K468" s="12">
        <v>4.1500000000000004</v>
      </c>
      <c r="L468" s="12">
        <v>4.29</v>
      </c>
      <c r="M468" s="12">
        <v>3.98</v>
      </c>
      <c r="N468" s="12">
        <v>3.7</v>
      </c>
      <c r="O468" s="12">
        <v>4.1900000000000004</v>
      </c>
      <c r="P468" s="12">
        <f t="shared" si="43"/>
        <v>4.0220000000000002</v>
      </c>
      <c r="Q468" s="12">
        <f t="shared" si="44"/>
        <v>4.0199999999999996</v>
      </c>
      <c r="R468" s="12">
        <f t="shared" si="45"/>
        <v>4.0620000000000003</v>
      </c>
      <c r="S468" s="28">
        <f>IFERROR(INDEX('Clean Gamification Data'!$B:$B,MATCH($B468,'Clean Gamification Data'!$A:$A,0)),"Not Found")</f>
        <v>92.444619680000002</v>
      </c>
      <c r="T468" s="28">
        <f>IFERROR(INDEX('Clean Gamification Data'!$C:$C,MATCH($B468,'Clean Gamification Data'!$A:$A,0)),"Not Found")</f>
        <v>67.336014289999994</v>
      </c>
      <c r="U468" s="28">
        <f>IFERROR(INDEX('Clean Gamification Data'!$D:$D,MATCH($B468,'Clean Gamification Data'!$A:$A,0)),"Not Found")</f>
        <v>75.670404259999998</v>
      </c>
      <c r="V468" s="28">
        <f>IFERROR(INDEX('Clean Gamification Data'!$E:$E,MATCH($B468,'Clean Gamification Data'!$A:$A,0)),"Not Found")</f>
        <v>66.608761639999997</v>
      </c>
      <c r="W468" s="28">
        <f>IFERROR(INDEX('Clean Gamification Data'!$F:$F,MATCH($B468,'Clean Gamification Data'!$A:$A,0)),"Not Found")</f>
        <v>90.905035650000002</v>
      </c>
      <c r="X468" s="28">
        <f>IFERROR(INDEX('Clean Gamification Data'!$G:$G,MATCH($B468,'Clean Gamification Data'!$A:$A,0)),"Not Found")</f>
        <v>79.903370129999999</v>
      </c>
      <c r="Y468" s="28">
        <f>IFERROR(INDEX('Clean Gamification Data'!$H:$H,MATCH($B468,'Clean Gamification Data'!$A:$A,0)),"Not Found")</f>
        <v>76.50005238</v>
      </c>
      <c r="Z468" s="28">
        <f>IFERROR(INDEX('Clean Gamification Data'!$I:$I,MATCH($B468,'Clean Gamification Data'!$A:$A,0)),"Not Found")</f>
        <v>60.976128840000001</v>
      </c>
      <c r="AA468" s="28">
        <f>Table1[[#This Row],[Engagement (Gamification %)]]-Table1[[#This Row],[Engagement (Non-Gamification %)]]</f>
        <v>25.108605390000008</v>
      </c>
      <c r="AB468" s="28">
        <f>Table1[[#This Row],[Motivation (Gamification %)]]-Table1[[#This Row],[Motivation (Non-Gamification %)]]</f>
        <v>9.0616426200000006</v>
      </c>
      <c r="AC468" s="28">
        <f>Table1[[#This Row],[Participation (Gamification %)]]-Table1[[#This Row],[Participation (Non-Gamification %)]]</f>
        <v>11.001665520000003</v>
      </c>
      <c r="AD468" s="28">
        <f>Table1[[#This Row],[Learning Outcomes (Gamification %)]]-Table1[[#This Row],[Learning Outcomes (Non-Gamification %)]]</f>
        <v>15.523923539999998</v>
      </c>
      <c r="AE468" s="44" t="str">
        <f>IF(Table1[[#This Row],[Overall Effectiveness]]&lt;3.9,"Low",IF(Table1[[#This Row],[Overall Effectiveness]]&lt;4.2,"Medium","High"))</f>
        <v>Medium</v>
      </c>
      <c r="AF468" s="30" t="str">
        <f t="shared" si="46"/>
        <v>Case Studies</v>
      </c>
      <c r="AG468" s="30" t="str">
        <f t="shared" si="47"/>
        <v>Case Studies</v>
      </c>
      <c r="AH468" s="27">
        <f>COUNTIF(Teacher_Master!$D$2:$D$16,AF468)</f>
        <v>3</v>
      </c>
      <c r="AI468" s="30" t="str">
        <f>INDEX(Teacher_Master!$B$2:$B$16,MATCH(AF468,Teacher_Master!$D$2:$D$16,0))</f>
        <v>Prof. Rajesh Mukherjee</v>
      </c>
    </row>
    <row r="469" spans="1:35" ht="14.25" customHeight="1" x14ac:dyDescent="0.3">
      <c r="A469" s="31" t="s">
        <v>962</v>
      </c>
      <c r="B469" s="31" t="s">
        <v>2415</v>
      </c>
      <c r="C469" s="31" t="s">
        <v>2881</v>
      </c>
      <c r="D469" s="12">
        <f t="shared" ca="1" si="42"/>
        <v>21</v>
      </c>
      <c r="E469" s="12" t="str">
        <f ca="1">IF(Table1[[#This Row],[Age]]&lt;=22,"20-22",IF(Table1[[#This Row],[Age]]&lt;=25,"23-25",IF(Table1[[#This Row],[Age]]&lt;=28,"26-28","29-30")))</f>
        <v>20-22</v>
      </c>
      <c r="F469" s="12">
        <v>4.21</v>
      </c>
      <c r="G469" s="12">
        <v>4.3899999999999997</v>
      </c>
      <c r="H469" s="12">
        <v>4.3899999999999997</v>
      </c>
      <c r="I469" s="12">
        <v>4.4800000000000004</v>
      </c>
      <c r="J469" s="12">
        <v>4.1399999999999997</v>
      </c>
      <c r="K469" s="12">
        <v>4.5</v>
      </c>
      <c r="L469" s="12">
        <v>4.4800000000000004</v>
      </c>
      <c r="M469" s="12">
        <v>3.79</v>
      </c>
      <c r="N469" s="12" t="s">
        <v>211</v>
      </c>
      <c r="O469" s="12">
        <v>4.13</v>
      </c>
      <c r="P469" s="12">
        <f t="shared" si="43"/>
        <v>4.3220000000000001</v>
      </c>
      <c r="Q469" s="12">
        <f t="shared" si="44"/>
        <v>4.32</v>
      </c>
      <c r="R469" s="12">
        <f t="shared" si="45"/>
        <v>4.2249999999999996</v>
      </c>
      <c r="S469" s="28">
        <f>IFERROR(INDEX('Clean Gamification Data'!$B:$B,MATCH($B469,'Clean Gamification Data'!$A:$A,0)),"Not Found")</f>
        <v>91.6652019</v>
      </c>
      <c r="T469" s="28">
        <f>IFERROR(INDEX('Clean Gamification Data'!$C:$C,MATCH($B469,'Clean Gamification Data'!$A:$A,0)),"Not Found")</f>
        <v>79.204836889999996</v>
      </c>
      <c r="U469" s="28">
        <f>IFERROR(INDEX('Clean Gamification Data'!$D:$D,MATCH($B469,'Clean Gamification Data'!$A:$A,0)),"Not Found")</f>
        <v>70</v>
      </c>
      <c r="V469" s="28">
        <f>IFERROR(INDEX('Clean Gamification Data'!$E:$E,MATCH($B469,'Clean Gamification Data'!$A:$A,0)),"Not Found")</f>
        <v>67.955785210000002</v>
      </c>
      <c r="W469" s="28">
        <f>IFERROR(INDEX('Clean Gamification Data'!$F:$F,MATCH($B469,'Clean Gamification Data'!$A:$A,0)),"Not Found")</f>
        <v>84.050235020000002</v>
      </c>
      <c r="X469" s="28">
        <f>IFERROR(INDEX('Clean Gamification Data'!$G:$G,MATCH($B469,'Clean Gamification Data'!$A:$A,0)),"Not Found")</f>
        <v>76.949055880000003</v>
      </c>
      <c r="Y469" s="28">
        <f>IFERROR(INDEX('Clean Gamification Data'!$H:$H,MATCH($B469,'Clean Gamification Data'!$A:$A,0)),"Not Found")</f>
        <v>70.276354119999993</v>
      </c>
      <c r="Z469" s="28">
        <f>IFERROR(INDEX('Clean Gamification Data'!$I:$I,MATCH($B469,'Clean Gamification Data'!$A:$A,0)),"Not Found")</f>
        <v>66.746258620000006</v>
      </c>
      <c r="AA469" s="28">
        <f>Table1[[#This Row],[Engagement (Gamification %)]]-Table1[[#This Row],[Engagement (Non-Gamification %)]]</f>
        <v>12.460365010000004</v>
      </c>
      <c r="AB469" s="28">
        <f>Table1[[#This Row],[Motivation (Gamification %)]]-Table1[[#This Row],[Motivation (Non-Gamification %)]]</f>
        <v>2.0442147899999981</v>
      </c>
      <c r="AC469" s="28">
        <f>Table1[[#This Row],[Participation (Gamification %)]]-Table1[[#This Row],[Participation (Non-Gamification %)]]</f>
        <v>7.1011791399999993</v>
      </c>
      <c r="AD469" s="28">
        <f>Table1[[#This Row],[Learning Outcomes (Gamification %)]]-Table1[[#This Row],[Learning Outcomes (Non-Gamification %)]]</f>
        <v>3.5300954999999874</v>
      </c>
      <c r="AE469" s="44" t="str">
        <f>IF(Table1[[#This Row],[Overall Effectiveness]]&lt;3.9,"Low",IF(Table1[[#This Row],[Overall Effectiveness]]&lt;4.2,"Medium","High"))</f>
        <v>High</v>
      </c>
      <c r="AF469" s="30" t="str">
        <f t="shared" si="46"/>
        <v>Experiments</v>
      </c>
      <c r="AG469" s="30" t="str">
        <f t="shared" si="47"/>
        <v>Lectures</v>
      </c>
      <c r="AH469" s="27">
        <f>COUNTIF(Teacher_Master!$D$2:$D$16,AF469)</f>
        <v>3</v>
      </c>
      <c r="AI469" s="30" t="str">
        <f>INDEX(Teacher_Master!$B$2:$B$16,MATCH(AF469,Teacher_Master!$D$2:$D$16,0))</f>
        <v>Prof. Rahul Singh</v>
      </c>
    </row>
    <row r="470" spans="1:35" ht="14.25" customHeight="1" x14ac:dyDescent="0.3">
      <c r="A470" s="31" t="s">
        <v>964</v>
      </c>
      <c r="B470" s="31" t="s">
        <v>2416</v>
      </c>
      <c r="C470" s="31" t="s">
        <v>2882</v>
      </c>
      <c r="D470" s="12">
        <f t="shared" ca="1" si="42"/>
        <v>24</v>
      </c>
      <c r="E470" s="12" t="str">
        <f ca="1">IF(Table1[[#This Row],[Age]]&lt;=22,"20-22",IF(Table1[[#This Row],[Age]]&lt;=25,"23-25",IF(Table1[[#This Row],[Age]]&lt;=28,"26-28","29-30")))</f>
        <v>23-25</v>
      </c>
      <c r="F470" s="12">
        <v>4.0599999999999996</v>
      </c>
      <c r="G470" s="12">
        <v>3.99</v>
      </c>
      <c r="H470" s="12">
        <v>3.58</v>
      </c>
      <c r="I470" s="12">
        <v>4.0599999999999996</v>
      </c>
      <c r="J470" s="12">
        <v>4.1399999999999997</v>
      </c>
      <c r="K470" s="12">
        <v>4.05</v>
      </c>
      <c r="L470" s="12">
        <v>3.91</v>
      </c>
      <c r="M470" s="12">
        <v>4.17</v>
      </c>
      <c r="N470" s="12">
        <v>3.9</v>
      </c>
      <c r="O470" s="12">
        <v>4.33</v>
      </c>
      <c r="P470" s="12">
        <f t="shared" si="43"/>
        <v>3.9660000000000002</v>
      </c>
      <c r="Q470" s="12">
        <f t="shared" si="44"/>
        <v>3.97</v>
      </c>
      <c r="R470" s="12">
        <f t="shared" si="45"/>
        <v>4.0720000000000001</v>
      </c>
      <c r="S470" s="28">
        <f>IFERROR(INDEX('Clean Gamification Data'!$B:$B,MATCH($B470,'Clean Gamification Data'!$A:$A,0)),"Not Found")</f>
        <v>85.397150920000001</v>
      </c>
      <c r="T470" s="28">
        <f>IFERROR(INDEX('Clean Gamification Data'!$C:$C,MATCH($B470,'Clean Gamification Data'!$A:$A,0)),"Not Found")</f>
        <v>69.480691429999993</v>
      </c>
      <c r="U470" s="28">
        <f>IFERROR(INDEX('Clean Gamification Data'!$D:$D,MATCH($B470,'Clean Gamification Data'!$A:$A,0)),"Not Found")</f>
        <v>72.024062540000003</v>
      </c>
      <c r="V470" s="28">
        <f>IFERROR(INDEX('Clean Gamification Data'!$E:$E,MATCH($B470,'Clean Gamification Data'!$A:$A,0)),"Not Found")</f>
        <v>63.52446166</v>
      </c>
      <c r="W470" s="28">
        <f>IFERROR(INDEX('Clean Gamification Data'!$F:$F,MATCH($B470,'Clean Gamification Data'!$A:$A,0)),"Not Found")</f>
        <v>97.383883879999999</v>
      </c>
      <c r="X470" s="28">
        <f>IFERROR(INDEX('Clean Gamification Data'!$G:$G,MATCH($B470,'Clean Gamification Data'!$A:$A,0)),"Not Found")</f>
        <v>84.007242640000001</v>
      </c>
      <c r="Y470" s="28">
        <f>IFERROR(INDEX('Clean Gamification Data'!$H:$H,MATCH($B470,'Clean Gamification Data'!$A:$A,0)),"Not Found")</f>
        <v>67.678988279999999</v>
      </c>
      <c r="Z470" s="28">
        <f>IFERROR(INDEX('Clean Gamification Data'!$I:$I,MATCH($B470,'Clean Gamification Data'!$A:$A,0)),"Not Found")</f>
        <v>64.225289790000005</v>
      </c>
      <c r="AA470" s="28">
        <f>Table1[[#This Row],[Engagement (Gamification %)]]-Table1[[#This Row],[Engagement (Non-Gamification %)]]</f>
        <v>15.916459490000008</v>
      </c>
      <c r="AB470" s="28">
        <f>Table1[[#This Row],[Motivation (Gamification %)]]-Table1[[#This Row],[Motivation (Non-Gamification %)]]</f>
        <v>8.4996008800000027</v>
      </c>
      <c r="AC470" s="28">
        <f>Table1[[#This Row],[Participation (Gamification %)]]-Table1[[#This Row],[Participation (Non-Gamification %)]]</f>
        <v>13.376641239999998</v>
      </c>
      <c r="AD470" s="28">
        <f>Table1[[#This Row],[Learning Outcomes (Gamification %)]]-Table1[[#This Row],[Learning Outcomes (Non-Gamification %)]]</f>
        <v>3.4536984899999936</v>
      </c>
      <c r="AE470" s="44" t="str">
        <f>IF(Table1[[#This Row],[Overall Effectiveness]]&lt;3.9,"Low",IF(Table1[[#This Row],[Overall Effectiveness]]&lt;4.2,"Medium","High"))</f>
        <v>Medium</v>
      </c>
      <c r="AF470" s="30" t="str">
        <f t="shared" si="46"/>
        <v>Online Tutorials</v>
      </c>
      <c r="AG470" s="30" t="str">
        <f t="shared" si="47"/>
        <v>Online Tutorials</v>
      </c>
      <c r="AH470" s="27">
        <f>COUNTIF(Teacher_Master!$D$2:$D$16,AF470)</f>
        <v>3</v>
      </c>
      <c r="AI470" s="30" t="str">
        <f>INDEX(Teacher_Master!$B$2:$B$16,MATCH(AF470,Teacher_Master!$D$2:$D$16,0))</f>
        <v>Prof. Kavita Rao</v>
      </c>
    </row>
    <row r="471" spans="1:35" ht="14.25" customHeight="1" x14ac:dyDescent="0.3">
      <c r="A471" s="31" t="s">
        <v>966</v>
      </c>
      <c r="B471" s="31" t="s">
        <v>2417</v>
      </c>
      <c r="C471" s="31" t="s">
        <v>2882</v>
      </c>
      <c r="D471" s="12">
        <f t="shared" ca="1" si="42"/>
        <v>26</v>
      </c>
      <c r="E471" s="12" t="str">
        <f ca="1">IF(Table1[[#This Row],[Age]]&lt;=22,"20-22",IF(Table1[[#This Row],[Age]]&lt;=25,"23-25",IF(Table1[[#This Row],[Age]]&lt;=28,"26-28","29-30")))</f>
        <v>26-28</v>
      </c>
      <c r="F471" s="12">
        <v>3.91</v>
      </c>
      <c r="G471" s="12">
        <v>3.52</v>
      </c>
      <c r="H471" s="12">
        <v>3.73</v>
      </c>
      <c r="I471" s="12">
        <v>4.09</v>
      </c>
      <c r="J471" s="12">
        <v>3.97</v>
      </c>
      <c r="K471" s="12">
        <v>3.47</v>
      </c>
      <c r="L471" s="12">
        <v>4.26</v>
      </c>
      <c r="M471" s="12">
        <v>4.1500000000000004</v>
      </c>
      <c r="N471" s="12">
        <v>3.68</v>
      </c>
      <c r="O471" s="12">
        <v>4.37</v>
      </c>
      <c r="P471" s="12">
        <f t="shared" si="43"/>
        <v>3.8439999999999999</v>
      </c>
      <c r="Q471" s="12">
        <f t="shared" si="44"/>
        <v>3.84</v>
      </c>
      <c r="R471" s="12">
        <f t="shared" si="45"/>
        <v>3.9859999999999998</v>
      </c>
      <c r="S471" s="28">
        <f>IFERROR(INDEX('Clean Gamification Data'!$B:$B,MATCH($B471,'Clean Gamification Data'!$A:$A,0)),"Not Found")</f>
        <v>82.706685320000005</v>
      </c>
      <c r="T471" s="28">
        <f>IFERROR(INDEX('Clean Gamification Data'!$C:$C,MATCH($B471,'Clean Gamification Data'!$A:$A,0)),"Not Found")</f>
        <v>75.156635539999996</v>
      </c>
      <c r="U471" s="28">
        <f>IFERROR(INDEX('Clean Gamification Data'!$D:$D,MATCH($B471,'Clean Gamification Data'!$A:$A,0)),"Not Found")</f>
        <v>76.239919420000007</v>
      </c>
      <c r="V471" s="28">
        <f>IFERROR(INDEX('Clean Gamification Data'!$E:$E,MATCH($B471,'Clean Gamification Data'!$A:$A,0)),"Not Found")</f>
        <v>64.981203059999999</v>
      </c>
      <c r="W471" s="28">
        <f>IFERROR(INDEX('Clean Gamification Data'!$F:$F,MATCH($B471,'Clean Gamification Data'!$A:$A,0)),"Not Found")</f>
        <v>91.557382939999997</v>
      </c>
      <c r="X471" s="28">
        <f>IFERROR(INDEX('Clean Gamification Data'!$G:$G,MATCH($B471,'Clean Gamification Data'!$A:$A,0)),"Not Found")</f>
        <v>75.074142660000007</v>
      </c>
      <c r="Y471" s="28">
        <f>IFERROR(INDEX('Clean Gamification Data'!$H:$H,MATCH($B471,'Clean Gamification Data'!$A:$A,0)),"Not Found")</f>
        <v>73.315935839999995</v>
      </c>
      <c r="Z471" s="28">
        <f>IFERROR(INDEX('Clean Gamification Data'!$I:$I,MATCH($B471,'Clean Gamification Data'!$A:$A,0)),"Not Found")</f>
        <v>70</v>
      </c>
      <c r="AA471" s="28">
        <f>Table1[[#This Row],[Engagement (Gamification %)]]-Table1[[#This Row],[Engagement (Non-Gamification %)]]</f>
        <v>7.550049780000009</v>
      </c>
      <c r="AB471" s="28">
        <f>Table1[[#This Row],[Motivation (Gamification %)]]-Table1[[#This Row],[Motivation (Non-Gamification %)]]</f>
        <v>11.258716360000008</v>
      </c>
      <c r="AC471" s="28">
        <f>Table1[[#This Row],[Participation (Gamification %)]]-Table1[[#This Row],[Participation (Non-Gamification %)]]</f>
        <v>16.48324027999999</v>
      </c>
      <c r="AD471" s="28">
        <f>Table1[[#This Row],[Learning Outcomes (Gamification %)]]-Table1[[#This Row],[Learning Outcomes (Non-Gamification %)]]</f>
        <v>3.3159358399999945</v>
      </c>
      <c r="AE471" s="44" t="str">
        <f>IF(Table1[[#This Row],[Overall Effectiveness]]&lt;3.9,"Low",IF(Table1[[#This Row],[Overall Effectiveness]]&lt;4.2,"Medium","High"))</f>
        <v>Low</v>
      </c>
      <c r="AF471" s="30" t="str">
        <f t="shared" si="46"/>
        <v>Experiments</v>
      </c>
      <c r="AG471" s="30" t="str">
        <f t="shared" si="47"/>
        <v>Online Tutorials</v>
      </c>
      <c r="AH471" s="27">
        <f>COUNTIF(Teacher_Master!$D$2:$D$16,AF471)</f>
        <v>3</v>
      </c>
      <c r="AI471" s="30" t="str">
        <f>INDEX(Teacher_Master!$B$2:$B$16,MATCH(AF471,Teacher_Master!$D$2:$D$16,0))</f>
        <v>Prof. Rahul Singh</v>
      </c>
    </row>
    <row r="472" spans="1:35" ht="14.25" customHeight="1" x14ac:dyDescent="0.3">
      <c r="A472" s="31" t="s">
        <v>968</v>
      </c>
      <c r="B472" s="31" t="s">
        <v>2418</v>
      </c>
      <c r="C472" s="31" t="s">
        <v>2882</v>
      </c>
      <c r="D472" s="12">
        <f t="shared" ca="1" si="42"/>
        <v>28</v>
      </c>
      <c r="E472" s="12" t="str">
        <f ca="1">IF(Table1[[#This Row],[Age]]&lt;=22,"20-22",IF(Table1[[#This Row],[Age]]&lt;=25,"23-25",IF(Table1[[#This Row],[Age]]&lt;=28,"26-28","29-30")))</f>
        <v>26-28</v>
      </c>
      <c r="F472" s="12">
        <v>3.37</v>
      </c>
      <c r="G472" s="12">
        <v>3.74</v>
      </c>
      <c r="H472" s="12">
        <v>3.74</v>
      </c>
      <c r="I472" s="12">
        <v>4.43</v>
      </c>
      <c r="J472" s="12">
        <v>3.68</v>
      </c>
      <c r="K472" s="12">
        <v>4.3099999999999996</v>
      </c>
      <c r="L472" s="12">
        <v>4.18</v>
      </c>
      <c r="M472" s="12">
        <v>4.01</v>
      </c>
      <c r="N472" s="12">
        <v>3.25</v>
      </c>
      <c r="O472" s="12">
        <v>3.87</v>
      </c>
      <c r="P472" s="12">
        <f t="shared" si="43"/>
        <v>3.7920000000000003</v>
      </c>
      <c r="Q472" s="12">
        <f t="shared" si="44"/>
        <v>3.79</v>
      </c>
      <c r="R472" s="12">
        <f t="shared" si="45"/>
        <v>3.9239999999999995</v>
      </c>
      <c r="S472" s="28">
        <f>IFERROR(INDEX('Clean Gamification Data'!$B:$B,MATCH($B472,'Clean Gamification Data'!$A:$A,0)),"Not Found")</f>
        <v>80.686638639999998</v>
      </c>
      <c r="T472" s="28">
        <f>IFERROR(INDEX('Clean Gamification Data'!$C:$C,MATCH($B472,'Clean Gamification Data'!$A:$A,0)),"Not Found")</f>
        <v>63.580602390000003</v>
      </c>
      <c r="U472" s="28">
        <f>IFERROR(INDEX('Clean Gamification Data'!$D:$D,MATCH($B472,'Clean Gamification Data'!$A:$A,0)),"Not Found")</f>
        <v>81.371741749999998</v>
      </c>
      <c r="V472" s="28">
        <f>IFERROR(INDEX('Clean Gamification Data'!$E:$E,MATCH($B472,'Clean Gamification Data'!$A:$A,0)),"Not Found")</f>
        <v>56.997713050000002</v>
      </c>
      <c r="W472" s="28">
        <f>IFERROR(INDEX('Clean Gamification Data'!$F:$F,MATCH($B472,'Clean Gamification Data'!$A:$A,0)),"Not Found")</f>
        <v>91.096460190000002</v>
      </c>
      <c r="X472" s="28">
        <f>IFERROR(INDEX('Clean Gamification Data'!$G:$G,MATCH($B472,'Clean Gamification Data'!$A:$A,0)),"Not Found")</f>
        <v>85</v>
      </c>
      <c r="Y472" s="28">
        <f>IFERROR(INDEX('Clean Gamification Data'!$H:$H,MATCH($B472,'Clean Gamification Data'!$A:$A,0)),"Not Found")</f>
        <v>66.801618050000002</v>
      </c>
      <c r="Z472" s="28">
        <f>IFERROR(INDEX('Clean Gamification Data'!$I:$I,MATCH($B472,'Clean Gamification Data'!$A:$A,0)),"Not Found")</f>
        <v>57.72023686</v>
      </c>
      <c r="AA472" s="28">
        <f>Table1[[#This Row],[Engagement (Gamification %)]]-Table1[[#This Row],[Engagement (Non-Gamification %)]]</f>
        <v>17.106036249999995</v>
      </c>
      <c r="AB472" s="28">
        <f>Table1[[#This Row],[Motivation (Gamification %)]]-Table1[[#This Row],[Motivation (Non-Gamification %)]]</f>
        <v>24.374028699999997</v>
      </c>
      <c r="AC472" s="28">
        <f>Table1[[#This Row],[Participation (Gamification %)]]-Table1[[#This Row],[Participation (Non-Gamification %)]]</f>
        <v>6.0964601900000019</v>
      </c>
      <c r="AD472" s="28">
        <f>Table1[[#This Row],[Learning Outcomes (Gamification %)]]-Table1[[#This Row],[Learning Outcomes (Non-Gamification %)]]</f>
        <v>9.0813811900000019</v>
      </c>
      <c r="AE472" s="44" t="str">
        <f>IF(Table1[[#This Row],[Overall Effectiveness]]&lt;3.9,"Low",IF(Table1[[#This Row],[Overall Effectiveness]]&lt;4.2,"Medium","High"))</f>
        <v>Low</v>
      </c>
      <c r="AF472" s="30" t="str">
        <f t="shared" si="46"/>
        <v>Experiments</v>
      </c>
      <c r="AG472" s="30" t="str">
        <f t="shared" si="47"/>
        <v>Lectures</v>
      </c>
      <c r="AH472" s="27">
        <f>COUNTIF(Teacher_Master!$D$2:$D$16,AF472)</f>
        <v>3</v>
      </c>
      <c r="AI472" s="30" t="str">
        <f>INDEX(Teacher_Master!$B$2:$B$16,MATCH(AF472,Teacher_Master!$D$2:$D$16,0))</f>
        <v>Prof. Rahul Singh</v>
      </c>
    </row>
    <row r="473" spans="1:35" ht="14.25" customHeight="1" x14ac:dyDescent="0.3">
      <c r="A473" s="31" t="s">
        <v>970</v>
      </c>
      <c r="B473" s="31" t="s">
        <v>2419</v>
      </c>
      <c r="C473" s="31" t="s">
        <v>2882</v>
      </c>
      <c r="D473" s="12">
        <f t="shared" ca="1" si="42"/>
        <v>21</v>
      </c>
      <c r="E473" s="12" t="str">
        <f ca="1">IF(Table1[[#This Row],[Age]]&lt;=22,"20-22",IF(Table1[[#This Row],[Age]]&lt;=25,"23-25",IF(Table1[[#This Row],[Age]]&lt;=28,"26-28","29-30")))</f>
        <v>20-22</v>
      </c>
      <c r="F473" s="12">
        <v>4.07</v>
      </c>
      <c r="G473" s="12">
        <v>3.79</v>
      </c>
      <c r="H473" s="12">
        <v>4.17</v>
      </c>
      <c r="I473" s="12">
        <v>4.4400000000000004</v>
      </c>
      <c r="J473" s="12">
        <v>4.51</v>
      </c>
      <c r="K473" s="12">
        <v>3.95</v>
      </c>
      <c r="L473" s="12">
        <v>3.95</v>
      </c>
      <c r="M473" s="12">
        <v>4.3499999999999996</v>
      </c>
      <c r="N473" s="12">
        <v>4.43</v>
      </c>
      <c r="O473" s="12">
        <v>4.3499999999999996</v>
      </c>
      <c r="P473" s="12">
        <f t="shared" si="43"/>
        <v>4.1960000000000006</v>
      </c>
      <c r="Q473" s="12">
        <f t="shared" si="44"/>
        <v>4.2</v>
      </c>
      <c r="R473" s="12">
        <f t="shared" si="45"/>
        <v>4.2060000000000004</v>
      </c>
      <c r="S473" s="28">
        <f>IFERROR(INDEX('Clean Gamification Data'!$B:$B,MATCH($B473,'Clean Gamification Data'!$A:$A,0)),"Not Found")</f>
        <v>85.423733830000003</v>
      </c>
      <c r="T473" s="28">
        <f>IFERROR(INDEX('Clean Gamification Data'!$C:$C,MATCH($B473,'Clean Gamification Data'!$A:$A,0)),"Not Found")</f>
        <v>63.00218452</v>
      </c>
      <c r="U473" s="28">
        <f>IFERROR(INDEX('Clean Gamification Data'!$D:$D,MATCH($B473,'Clean Gamification Data'!$A:$A,0)),"Not Found")</f>
        <v>76.250978509999996</v>
      </c>
      <c r="V473" s="28">
        <f>IFERROR(INDEX('Clean Gamification Data'!$E:$E,MATCH($B473,'Clean Gamification Data'!$A:$A,0)),"Not Found")</f>
        <v>61.218025140000002</v>
      </c>
      <c r="W473" s="28">
        <f>IFERROR(INDEX('Clean Gamification Data'!$F:$F,MATCH($B473,'Clean Gamification Data'!$A:$A,0)),"Not Found")</f>
        <v>95.752037610000002</v>
      </c>
      <c r="X473" s="28">
        <f>IFERROR(INDEX('Clean Gamification Data'!$G:$G,MATCH($B473,'Clean Gamification Data'!$A:$A,0)),"Not Found")</f>
        <v>67.442764229999995</v>
      </c>
      <c r="Y473" s="28">
        <f>IFERROR(INDEX('Clean Gamification Data'!$H:$H,MATCH($B473,'Clean Gamification Data'!$A:$A,0)),"Not Found")</f>
        <v>71.497140999999999</v>
      </c>
      <c r="Z473" s="28">
        <f>IFERROR(INDEX('Clean Gamification Data'!$I:$I,MATCH($B473,'Clean Gamification Data'!$A:$A,0)),"Not Found")</f>
        <v>61.646173769999997</v>
      </c>
      <c r="AA473" s="28">
        <f>Table1[[#This Row],[Engagement (Gamification %)]]-Table1[[#This Row],[Engagement (Non-Gamification %)]]</f>
        <v>22.421549310000003</v>
      </c>
      <c r="AB473" s="28">
        <f>Table1[[#This Row],[Motivation (Gamification %)]]-Table1[[#This Row],[Motivation (Non-Gamification %)]]</f>
        <v>15.032953369999994</v>
      </c>
      <c r="AC473" s="28">
        <f>Table1[[#This Row],[Participation (Gamification %)]]-Table1[[#This Row],[Participation (Non-Gamification %)]]</f>
        <v>28.309273380000008</v>
      </c>
      <c r="AD473" s="28">
        <f>Table1[[#This Row],[Learning Outcomes (Gamification %)]]-Table1[[#This Row],[Learning Outcomes (Non-Gamification %)]]</f>
        <v>9.850967230000002</v>
      </c>
      <c r="AE473" s="44" t="str">
        <f>IF(Table1[[#This Row],[Overall Effectiveness]]&lt;3.9,"Low",IF(Table1[[#This Row],[Overall Effectiveness]]&lt;4.2,"Medium","High"))</f>
        <v>Medium</v>
      </c>
      <c r="AF473" s="30" t="str">
        <f t="shared" si="46"/>
        <v>Online Tutorials</v>
      </c>
      <c r="AG473" s="30" t="str">
        <f t="shared" si="47"/>
        <v>Experiments</v>
      </c>
      <c r="AH473" s="27">
        <f>COUNTIF(Teacher_Master!$D$2:$D$16,AF473)</f>
        <v>3</v>
      </c>
      <c r="AI473" s="30" t="str">
        <f>INDEX(Teacher_Master!$B$2:$B$16,MATCH(AF473,Teacher_Master!$D$2:$D$16,0))</f>
        <v>Prof. Kavita Rao</v>
      </c>
    </row>
    <row r="474" spans="1:35" ht="14.25" customHeight="1" x14ac:dyDescent="0.3">
      <c r="A474" s="31" t="s">
        <v>972</v>
      </c>
      <c r="B474" s="31" t="s">
        <v>973</v>
      </c>
      <c r="C474" s="31" t="s">
        <v>2882</v>
      </c>
      <c r="D474" s="12">
        <f t="shared" ca="1" si="42"/>
        <v>24</v>
      </c>
      <c r="E474" s="12" t="str">
        <f ca="1">IF(Table1[[#This Row],[Age]]&lt;=22,"20-22",IF(Table1[[#This Row],[Age]]&lt;=25,"23-25",IF(Table1[[#This Row],[Age]]&lt;=28,"26-28","29-30")))</f>
        <v>23-25</v>
      </c>
      <c r="F474" s="12">
        <v>4.3099999999999996</v>
      </c>
      <c r="G474" s="12">
        <v>3.82</v>
      </c>
      <c r="H474" s="12">
        <v>4.08</v>
      </c>
      <c r="I474" s="12">
        <v>4.13</v>
      </c>
      <c r="J474" s="12">
        <v>5.1100000000000003</v>
      </c>
      <c r="K474" s="12">
        <v>4.22</v>
      </c>
      <c r="L474" s="12">
        <v>4.07</v>
      </c>
      <c r="M474" s="12">
        <v>4.37</v>
      </c>
      <c r="N474" s="12">
        <v>4.17</v>
      </c>
      <c r="O474" s="12">
        <v>3.61</v>
      </c>
      <c r="P474" s="12">
        <f t="shared" si="43"/>
        <v>4.29</v>
      </c>
      <c r="Q474" s="12">
        <f t="shared" si="44"/>
        <v>4.29</v>
      </c>
      <c r="R474" s="12">
        <f t="shared" si="45"/>
        <v>4.0879999999999992</v>
      </c>
      <c r="S474" s="28">
        <f>IFERROR(INDEX('Clean Gamification Data'!$B:$B,MATCH($B474,'Clean Gamification Data'!$A:$A,0)),"Not Found")</f>
        <v>84.852166920000002</v>
      </c>
      <c r="T474" s="28">
        <f>IFERROR(INDEX('Clean Gamification Data'!$C:$C,MATCH($B474,'Clean Gamification Data'!$A:$A,0)),"Not Found")</f>
        <v>78.625064800000004</v>
      </c>
      <c r="U474" s="28">
        <f>IFERROR(INDEX('Clean Gamification Data'!$D:$D,MATCH($B474,'Clean Gamification Data'!$A:$A,0)),"Not Found")</f>
        <v>75.641451810000007</v>
      </c>
      <c r="V474" s="28">
        <f>IFERROR(INDEX('Clean Gamification Data'!$E:$E,MATCH($B474,'Clean Gamification Data'!$A:$A,0)),"Not Found")</f>
        <v>67.623765230000004</v>
      </c>
      <c r="W474" s="28">
        <f>IFERROR(INDEX('Clean Gamification Data'!$F:$F,MATCH($B474,'Clean Gamification Data'!$A:$A,0)),"Not Found")</f>
        <v>95.668548720000004</v>
      </c>
      <c r="X474" s="28">
        <f>IFERROR(INDEX('Clean Gamification Data'!$G:$G,MATCH($B474,'Clean Gamification Data'!$A:$A,0)),"Not Found")</f>
        <v>85</v>
      </c>
      <c r="Y474" s="28">
        <f>IFERROR(INDEX('Clean Gamification Data'!$H:$H,MATCH($B474,'Clean Gamification Data'!$A:$A,0)),"Not Found")</f>
        <v>65</v>
      </c>
      <c r="Z474" s="28">
        <f>IFERROR(INDEX('Clean Gamification Data'!$I:$I,MATCH($B474,'Clean Gamification Data'!$A:$A,0)),"Not Found")</f>
        <v>57.155098279999997</v>
      </c>
      <c r="AA474" s="28">
        <f>Table1[[#This Row],[Engagement (Gamification %)]]-Table1[[#This Row],[Engagement (Non-Gamification %)]]</f>
        <v>6.2271021199999979</v>
      </c>
      <c r="AB474" s="28">
        <f>Table1[[#This Row],[Motivation (Gamification %)]]-Table1[[#This Row],[Motivation (Non-Gamification %)]]</f>
        <v>8.017686580000003</v>
      </c>
      <c r="AC474" s="28">
        <f>Table1[[#This Row],[Participation (Gamification %)]]-Table1[[#This Row],[Participation (Non-Gamification %)]]</f>
        <v>10.668548720000004</v>
      </c>
      <c r="AD474" s="28">
        <f>Table1[[#This Row],[Learning Outcomes (Gamification %)]]-Table1[[#This Row],[Learning Outcomes (Non-Gamification %)]]</f>
        <v>7.8449017200000029</v>
      </c>
      <c r="AE474" s="44" t="str">
        <f>IF(Table1[[#This Row],[Overall Effectiveness]]&lt;3.9,"Low",IF(Table1[[#This Row],[Overall Effectiveness]]&lt;4.2,"Medium","High"))</f>
        <v>High</v>
      </c>
      <c r="AF474" s="30" t="str">
        <f t="shared" si="46"/>
        <v>Online Tutorials</v>
      </c>
      <c r="AG474" s="30" t="str">
        <f t="shared" si="47"/>
        <v>Group Projects</v>
      </c>
      <c r="AH474" s="27">
        <f>COUNTIF(Teacher_Master!$D$2:$D$16,AF474)</f>
        <v>3</v>
      </c>
      <c r="AI474" s="30" t="str">
        <f>INDEX(Teacher_Master!$B$2:$B$16,MATCH(AF474,Teacher_Master!$D$2:$D$16,0))</f>
        <v>Prof. Kavita Rao</v>
      </c>
    </row>
    <row r="475" spans="1:35" ht="14.25" customHeight="1" x14ac:dyDescent="0.3">
      <c r="A475" s="31" t="s">
        <v>974</v>
      </c>
      <c r="B475" s="31" t="s">
        <v>975</v>
      </c>
      <c r="C475" s="31" t="s">
        <v>2882</v>
      </c>
      <c r="D475" s="12">
        <f t="shared" ca="1" si="42"/>
        <v>23</v>
      </c>
      <c r="E475" s="12" t="str">
        <f ca="1">IF(Table1[[#This Row],[Age]]&lt;=22,"20-22",IF(Table1[[#This Row],[Age]]&lt;=25,"23-25",IF(Table1[[#This Row],[Age]]&lt;=28,"26-28","29-30")))</f>
        <v>23-25</v>
      </c>
      <c r="F475" s="12">
        <v>4.62</v>
      </c>
      <c r="G475" s="12">
        <v>3.92</v>
      </c>
      <c r="H475" s="12">
        <v>4.1100000000000003</v>
      </c>
      <c r="I475" s="12">
        <v>4.04</v>
      </c>
      <c r="J475" s="12">
        <v>3.9</v>
      </c>
      <c r="K475" s="12">
        <v>4.3</v>
      </c>
      <c r="L475" s="12">
        <v>3.99</v>
      </c>
      <c r="M475" s="12">
        <v>3.73</v>
      </c>
      <c r="N475" s="12">
        <v>4.16</v>
      </c>
      <c r="O475" s="12">
        <v>4.5</v>
      </c>
      <c r="P475" s="12">
        <f t="shared" si="43"/>
        <v>4.1179999999999994</v>
      </c>
      <c r="Q475" s="12">
        <f t="shared" si="44"/>
        <v>4.12</v>
      </c>
      <c r="R475" s="12">
        <f t="shared" si="45"/>
        <v>4.1360000000000001</v>
      </c>
      <c r="S475" s="28">
        <f>IFERROR(INDEX('Clean Gamification Data'!$B:$B,MATCH($B475,'Clean Gamification Data'!$A:$A,0)),"Not Found")</f>
        <v>78.117766919999994</v>
      </c>
      <c r="T475" s="28">
        <f>IFERROR(INDEX('Clean Gamification Data'!$C:$C,MATCH($B475,'Clean Gamification Data'!$A:$A,0)),"Not Found")</f>
        <v>74.575415890000002</v>
      </c>
      <c r="U475" s="28">
        <f>IFERROR(INDEX('Clean Gamification Data'!$D:$D,MATCH($B475,'Clean Gamification Data'!$A:$A,0)),"Not Found")</f>
        <v>82.562259220000001</v>
      </c>
      <c r="V475" s="28">
        <f>IFERROR(INDEX('Clean Gamification Data'!$E:$E,MATCH($B475,'Clean Gamification Data'!$A:$A,0)),"Not Found")</f>
        <v>56.980746099999998</v>
      </c>
      <c r="W475" s="28">
        <f>IFERROR(INDEX('Clean Gamification Data'!$F:$F,MATCH($B475,'Clean Gamification Data'!$A:$A,0)),"Not Found")</f>
        <v>82.955236110000001</v>
      </c>
      <c r="X475" s="28">
        <f>IFERROR(INDEX('Clean Gamification Data'!$G:$G,MATCH($B475,'Clean Gamification Data'!$A:$A,0)),"Not Found")</f>
        <v>85</v>
      </c>
      <c r="Y475" s="28">
        <f>IFERROR(INDEX('Clean Gamification Data'!$H:$H,MATCH($B475,'Clean Gamification Data'!$A:$A,0)),"Not Found")</f>
        <v>71.571790660000005</v>
      </c>
      <c r="Z475" s="28">
        <f>IFERROR(INDEX('Clean Gamification Data'!$I:$I,MATCH($B475,'Clean Gamification Data'!$A:$A,0)),"Not Found")</f>
        <v>61.549828310000002</v>
      </c>
      <c r="AA475" s="28">
        <f>Table1[[#This Row],[Engagement (Gamification %)]]-Table1[[#This Row],[Engagement (Non-Gamification %)]]</f>
        <v>3.5423510299999919</v>
      </c>
      <c r="AB475" s="28">
        <f>Table1[[#This Row],[Motivation (Gamification %)]]-Table1[[#This Row],[Motivation (Non-Gamification %)]]</f>
        <v>25.581513120000004</v>
      </c>
      <c r="AC475" s="28">
        <f>Table1[[#This Row],[Participation (Gamification %)]]-Table1[[#This Row],[Participation (Non-Gamification %)]]</f>
        <v>-2.0447638899999987</v>
      </c>
      <c r="AD475" s="28">
        <f>Table1[[#This Row],[Learning Outcomes (Gamification %)]]-Table1[[#This Row],[Learning Outcomes (Non-Gamification %)]]</f>
        <v>10.021962350000003</v>
      </c>
      <c r="AE475" s="44" t="str">
        <f>IF(Table1[[#This Row],[Overall Effectiveness]]&lt;3.9,"Low",IF(Table1[[#This Row],[Overall Effectiveness]]&lt;4.2,"Medium","High"))</f>
        <v>Medium</v>
      </c>
      <c r="AF475" s="30" t="str">
        <f t="shared" si="46"/>
        <v>Lectures</v>
      </c>
      <c r="AG475" s="30" t="str">
        <f t="shared" si="47"/>
        <v>Online Tutorials</v>
      </c>
      <c r="AH475" s="27">
        <f>COUNTIF(Teacher_Master!$D$2:$D$16,AF475)</f>
        <v>3</v>
      </c>
      <c r="AI475" s="30" t="str">
        <f>INDEX(Teacher_Master!$B$2:$B$16,MATCH(AF475,Teacher_Master!$D$2:$D$16,0))</f>
        <v>Prof. Vikram Gupta</v>
      </c>
    </row>
    <row r="476" spans="1:35" ht="14.25" customHeight="1" x14ac:dyDescent="0.3">
      <c r="A476" s="31" t="s">
        <v>976</v>
      </c>
      <c r="B476" s="31" t="s">
        <v>2420</v>
      </c>
      <c r="C476" s="31" t="s">
        <v>2881</v>
      </c>
      <c r="D476" s="12">
        <f t="shared" ca="1" si="42"/>
        <v>21</v>
      </c>
      <c r="E476" s="12" t="str">
        <f ca="1">IF(Table1[[#This Row],[Age]]&lt;=22,"20-22",IF(Table1[[#This Row],[Age]]&lt;=25,"23-25",IF(Table1[[#This Row],[Age]]&lt;=28,"26-28","29-30")))</f>
        <v>20-22</v>
      </c>
      <c r="F476" s="12">
        <v>4.6500000000000004</v>
      </c>
      <c r="G476" s="12">
        <v>3.81</v>
      </c>
      <c r="H476" s="12">
        <v>3.54</v>
      </c>
      <c r="I476" s="12">
        <v>3.93</v>
      </c>
      <c r="J476" s="12">
        <v>4.0599999999999996</v>
      </c>
      <c r="K476" s="12">
        <v>4.17</v>
      </c>
      <c r="L476" s="12" t="s">
        <v>211</v>
      </c>
      <c r="M476" s="12">
        <v>3.68</v>
      </c>
      <c r="N476" s="12">
        <v>4.74</v>
      </c>
      <c r="O476" s="12">
        <v>4.13</v>
      </c>
      <c r="P476" s="12">
        <f t="shared" si="43"/>
        <v>3.9979999999999998</v>
      </c>
      <c r="Q476" s="12">
        <f t="shared" si="44"/>
        <v>4</v>
      </c>
      <c r="R476" s="12">
        <f t="shared" si="45"/>
        <v>4.18</v>
      </c>
      <c r="S476" s="28">
        <f>IFERROR(INDEX('Clean Gamification Data'!$B:$B,MATCH($B476,'Clean Gamification Data'!$A:$A,0)),"Not Found")</f>
        <v>80.801566050000005</v>
      </c>
      <c r="T476" s="28">
        <f>IFERROR(INDEX('Clean Gamification Data'!$C:$C,MATCH($B476,'Clean Gamification Data'!$A:$A,0)),"Not Found")</f>
        <v>61.3221141</v>
      </c>
      <c r="U476" s="28">
        <f>IFERROR(INDEX('Clean Gamification Data'!$D:$D,MATCH($B476,'Clean Gamification Data'!$A:$A,0)),"Not Found")</f>
        <v>73.183035810000007</v>
      </c>
      <c r="V476" s="28">
        <f>IFERROR(INDEX('Clean Gamification Data'!$E:$E,MATCH($B476,'Clean Gamification Data'!$A:$A,0)),"Not Found")</f>
        <v>72.162501710000001</v>
      </c>
      <c r="W476" s="28">
        <f>IFERROR(INDEX('Clean Gamification Data'!$F:$F,MATCH($B476,'Clean Gamification Data'!$A:$A,0)),"Not Found")</f>
        <v>89.044873240000001</v>
      </c>
      <c r="X476" s="28">
        <f>IFERROR(INDEX('Clean Gamification Data'!$G:$G,MATCH($B476,'Clean Gamification Data'!$A:$A,0)),"Not Found")</f>
        <v>74.731723380000005</v>
      </c>
      <c r="Y476" s="28">
        <f>IFERROR(INDEX('Clean Gamification Data'!$H:$H,MATCH($B476,'Clean Gamification Data'!$A:$A,0)),"Not Found")</f>
        <v>67.269082460000007</v>
      </c>
      <c r="Z476" s="28">
        <f>IFERROR(INDEX('Clean Gamification Data'!$I:$I,MATCH($B476,'Clean Gamification Data'!$A:$A,0)),"Not Found")</f>
        <v>63.309009570000001</v>
      </c>
      <c r="AA476" s="28">
        <f>Table1[[#This Row],[Engagement (Gamification %)]]-Table1[[#This Row],[Engagement (Non-Gamification %)]]</f>
        <v>19.479451950000005</v>
      </c>
      <c r="AB476" s="28">
        <f>Table1[[#This Row],[Motivation (Gamification %)]]-Table1[[#This Row],[Motivation (Non-Gamification %)]]</f>
        <v>1.0205341000000061</v>
      </c>
      <c r="AC476" s="28">
        <f>Table1[[#This Row],[Participation (Gamification %)]]-Table1[[#This Row],[Participation (Non-Gamification %)]]</f>
        <v>14.313149859999996</v>
      </c>
      <c r="AD476" s="28">
        <f>Table1[[#This Row],[Learning Outcomes (Gamification %)]]-Table1[[#This Row],[Learning Outcomes (Non-Gamification %)]]</f>
        <v>3.9600728900000064</v>
      </c>
      <c r="AE476" s="44" t="str">
        <f>IF(Table1[[#This Row],[Overall Effectiveness]]&lt;3.9,"Low",IF(Table1[[#This Row],[Overall Effectiveness]]&lt;4.2,"Medium","High"))</f>
        <v>Medium</v>
      </c>
      <c r="AF476" s="30" t="str">
        <f t="shared" si="46"/>
        <v>Lectures</v>
      </c>
      <c r="AG476" s="30" t="str">
        <f t="shared" si="47"/>
        <v>Experiments</v>
      </c>
      <c r="AH476" s="27">
        <f>COUNTIF(Teacher_Master!$D$2:$D$16,AF476)</f>
        <v>3</v>
      </c>
      <c r="AI476" s="30" t="str">
        <f>INDEX(Teacher_Master!$B$2:$B$16,MATCH(AF476,Teacher_Master!$D$2:$D$16,0))</f>
        <v>Prof. Vikram Gupta</v>
      </c>
    </row>
    <row r="477" spans="1:35" ht="14.25" customHeight="1" x14ac:dyDescent="0.3">
      <c r="A477" s="31" t="s">
        <v>978</v>
      </c>
      <c r="B477" s="31" t="s">
        <v>2421</v>
      </c>
      <c r="C477" s="31" t="s">
        <v>2881</v>
      </c>
      <c r="D477" s="12">
        <f t="shared" ca="1" si="42"/>
        <v>21</v>
      </c>
      <c r="E477" s="12" t="str">
        <f ca="1">IF(Table1[[#This Row],[Age]]&lt;=22,"20-22",IF(Table1[[#This Row],[Age]]&lt;=25,"23-25",IF(Table1[[#This Row],[Age]]&lt;=28,"26-28","29-30")))</f>
        <v>20-22</v>
      </c>
      <c r="F477" s="12">
        <v>4.07</v>
      </c>
      <c r="G477" s="12">
        <v>4.51</v>
      </c>
      <c r="H477" s="12">
        <v>4.5</v>
      </c>
      <c r="I477" s="12">
        <v>4.09</v>
      </c>
      <c r="J477" s="12">
        <v>4.54</v>
      </c>
      <c r="K477" s="12">
        <v>3.72</v>
      </c>
      <c r="L477" s="12">
        <v>4.41</v>
      </c>
      <c r="M477" s="12">
        <v>4.3</v>
      </c>
      <c r="N477" s="12">
        <v>4.1100000000000003</v>
      </c>
      <c r="O477" s="12">
        <v>3.95</v>
      </c>
      <c r="P477" s="12">
        <f t="shared" si="43"/>
        <v>4.3420000000000005</v>
      </c>
      <c r="Q477" s="12">
        <f t="shared" si="44"/>
        <v>4.34</v>
      </c>
      <c r="R477" s="12">
        <f t="shared" si="45"/>
        <v>4.0979999999999999</v>
      </c>
      <c r="S477" s="28">
        <f>IFERROR(INDEX('Clean Gamification Data'!$B:$B,MATCH($B477,'Clean Gamification Data'!$A:$A,0)),"Not Found")</f>
        <v>77.973129170000007</v>
      </c>
      <c r="T477" s="28">
        <f>IFERROR(INDEX('Clean Gamification Data'!$C:$C,MATCH($B477,'Clean Gamification Data'!$A:$A,0)),"Not Found")</f>
        <v>65.070647179999995</v>
      </c>
      <c r="U477" s="28">
        <f>IFERROR(INDEX('Clean Gamification Data'!$D:$D,MATCH($B477,'Clean Gamification Data'!$A:$A,0)),"Not Found")</f>
        <v>70</v>
      </c>
      <c r="V477" s="28">
        <f>IFERROR(INDEX('Clean Gamification Data'!$E:$E,MATCH($B477,'Clean Gamification Data'!$A:$A,0)),"Not Found")</f>
        <v>57.493927829999997</v>
      </c>
      <c r="W477" s="28">
        <f>IFERROR(INDEX('Clean Gamification Data'!$F:$F,MATCH($B477,'Clean Gamification Data'!$A:$A,0)),"Not Found")</f>
        <v>99.826936320000002</v>
      </c>
      <c r="X477" s="28">
        <f>IFERROR(INDEX('Clean Gamification Data'!$G:$G,MATCH($B477,'Clean Gamification Data'!$A:$A,0)),"Not Found")</f>
        <v>71.538928920000004</v>
      </c>
      <c r="Y477" s="28">
        <f>IFERROR(INDEX('Clean Gamification Data'!$H:$H,MATCH($B477,'Clean Gamification Data'!$A:$A,0)),"Not Found")</f>
        <v>75.68287479</v>
      </c>
      <c r="Z477" s="28">
        <f>IFERROR(INDEX('Clean Gamification Data'!$I:$I,MATCH($B477,'Clean Gamification Data'!$A:$A,0)),"Not Found")</f>
        <v>68.209000070000002</v>
      </c>
      <c r="AA477" s="28">
        <f>Table1[[#This Row],[Engagement (Gamification %)]]-Table1[[#This Row],[Engagement (Non-Gamification %)]]</f>
        <v>12.902481990000013</v>
      </c>
      <c r="AB477" s="28">
        <f>Table1[[#This Row],[Motivation (Gamification %)]]-Table1[[#This Row],[Motivation (Non-Gamification %)]]</f>
        <v>12.506072170000003</v>
      </c>
      <c r="AC477" s="28">
        <f>Table1[[#This Row],[Participation (Gamification %)]]-Table1[[#This Row],[Participation (Non-Gamification %)]]</f>
        <v>28.288007399999998</v>
      </c>
      <c r="AD477" s="28">
        <f>Table1[[#This Row],[Learning Outcomes (Gamification %)]]-Table1[[#This Row],[Learning Outcomes (Non-Gamification %)]]</f>
        <v>7.4738747199999978</v>
      </c>
      <c r="AE477" s="44" t="str">
        <f>IF(Table1[[#This Row],[Overall Effectiveness]]&lt;3.9,"Low",IF(Table1[[#This Row],[Overall Effectiveness]]&lt;4.2,"Medium","High"))</f>
        <v>High</v>
      </c>
      <c r="AF477" s="30" t="str">
        <f t="shared" si="46"/>
        <v>Online Tutorials</v>
      </c>
      <c r="AG477" s="30" t="str">
        <f t="shared" si="47"/>
        <v>Case Studies</v>
      </c>
      <c r="AH477" s="27">
        <f>COUNTIF(Teacher_Master!$D$2:$D$16,AF477)</f>
        <v>3</v>
      </c>
      <c r="AI477" s="30" t="str">
        <f>INDEX(Teacher_Master!$B$2:$B$16,MATCH(AF477,Teacher_Master!$D$2:$D$16,0))</f>
        <v>Prof. Kavita Rao</v>
      </c>
    </row>
    <row r="478" spans="1:35" ht="14.25" customHeight="1" x14ac:dyDescent="0.3">
      <c r="A478" s="31" t="s">
        <v>980</v>
      </c>
      <c r="B478" s="31" t="s">
        <v>2422</v>
      </c>
      <c r="C478" s="31" t="s">
        <v>2882</v>
      </c>
      <c r="D478" s="12">
        <f t="shared" ca="1" si="42"/>
        <v>22</v>
      </c>
      <c r="E478" s="12" t="str">
        <f ca="1">IF(Table1[[#This Row],[Age]]&lt;=22,"20-22",IF(Table1[[#This Row],[Age]]&lt;=25,"23-25",IF(Table1[[#This Row],[Age]]&lt;=28,"26-28","29-30")))</f>
        <v>20-22</v>
      </c>
      <c r="F478" s="12">
        <v>3.48</v>
      </c>
      <c r="G478" s="12">
        <v>4.0599999999999996</v>
      </c>
      <c r="H478" s="12">
        <v>4.16</v>
      </c>
      <c r="I478" s="12">
        <v>4.62</v>
      </c>
      <c r="J478" s="12">
        <v>3.53</v>
      </c>
      <c r="K478" s="12">
        <v>4.3099999999999996</v>
      </c>
      <c r="L478" s="12">
        <v>4.53</v>
      </c>
      <c r="M478" s="12">
        <v>4</v>
      </c>
      <c r="N478" s="12">
        <v>3.66</v>
      </c>
      <c r="O478" s="12" t="s">
        <v>211</v>
      </c>
      <c r="P478" s="12">
        <f t="shared" si="43"/>
        <v>3.97</v>
      </c>
      <c r="Q478" s="12">
        <f t="shared" si="44"/>
        <v>3.97</v>
      </c>
      <c r="R478" s="12">
        <f t="shared" si="45"/>
        <v>4.125</v>
      </c>
      <c r="S478" s="28">
        <f>IFERROR(INDEX('Clean Gamification Data'!$B:$B,MATCH($B478,'Clean Gamification Data'!$A:$A,0)),"Not Found")</f>
        <v>80.819695490000001</v>
      </c>
      <c r="T478" s="28">
        <f>IFERROR(INDEX('Clean Gamification Data'!$C:$C,MATCH($B478,'Clean Gamification Data'!$A:$A,0)),"Not Found")</f>
        <v>67.148272950000006</v>
      </c>
      <c r="U478" s="28">
        <f>IFERROR(INDEX('Clean Gamification Data'!$D:$D,MATCH($B478,'Clean Gamification Data'!$A:$A,0)),"Not Found")</f>
        <v>70</v>
      </c>
      <c r="V478" s="28">
        <f>IFERROR(INDEX('Clean Gamification Data'!$E:$E,MATCH($B478,'Clean Gamification Data'!$A:$A,0)),"Not Found")</f>
        <v>63.489498670000003</v>
      </c>
      <c r="W478" s="28">
        <f>IFERROR(INDEX('Clean Gamification Data'!$F:$F,MATCH($B478,'Clean Gamification Data'!$A:$A,0)),"Not Found")</f>
        <v>84.297571989999994</v>
      </c>
      <c r="X478" s="28">
        <f>IFERROR(INDEX('Clean Gamification Data'!$G:$G,MATCH($B478,'Clean Gamification Data'!$A:$A,0)),"Not Found")</f>
        <v>80.602564330000007</v>
      </c>
      <c r="Y478" s="28">
        <f>IFERROR(INDEX('Clean Gamification Data'!$H:$H,MATCH($B478,'Clean Gamification Data'!$A:$A,0)),"Not Found")</f>
        <v>69.931052460000004</v>
      </c>
      <c r="Z478" s="28">
        <f>IFERROR(INDEX('Clean Gamification Data'!$I:$I,MATCH($B478,'Clean Gamification Data'!$A:$A,0)),"Not Found")</f>
        <v>69.671677720000005</v>
      </c>
      <c r="AA478" s="28">
        <f>Table1[[#This Row],[Engagement (Gamification %)]]-Table1[[#This Row],[Engagement (Non-Gamification %)]]</f>
        <v>13.671422539999995</v>
      </c>
      <c r="AB478" s="28">
        <f>Table1[[#This Row],[Motivation (Gamification %)]]-Table1[[#This Row],[Motivation (Non-Gamification %)]]</f>
        <v>6.5105013299999968</v>
      </c>
      <c r="AC478" s="28">
        <f>Table1[[#This Row],[Participation (Gamification %)]]-Table1[[#This Row],[Participation (Non-Gamification %)]]</f>
        <v>3.6950076599999875</v>
      </c>
      <c r="AD478" s="28">
        <f>Table1[[#This Row],[Learning Outcomes (Gamification %)]]-Table1[[#This Row],[Learning Outcomes (Non-Gamification %)]]</f>
        <v>0.25937473999999838</v>
      </c>
      <c r="AE478" s="44" t="str">
        <f>IF(Table1[[#This Row],[Overall Effectiveness]]&lt;3.9,"Low",IF(Table1[[#This Row],[Overall Effectiveness]]&lt;4.2,"Medium","High"))</f>
        <v>Medium</v>
      </c>
      <c r="AF478" s="30" t="str">
        <f t="shared" si="46"/>
        <v>Experiments</v>
      </c>
      <c r="AG478" s="30" t="str">
        <f t="shared" si="47"/>
        <v>Case Studies</v>
      </c>
      <c r="AH478" s="27">
        <f>COUNTIF(Teacher_Master!$D$2:$D$16,AF478)</f>
        <v>3</v>
      </c>
      <c r="AI478" s="30" t="str">
        <f>INDEX(Teacher_Master!$B$2:$B$16,MATCH(AF478,Teacher_Master!$D$2:$D$16,0))</f>
        <v>Prof. Rahul Singh</v>
      </c>
    </row>
    <row r="479" spans="1:35" ht="14.25" customHeight="1" x14ac:dyDescent="0.3">
      <c r="A479" s="31" t="s">
        <v>982</v>
      </c>
      <c r="B479" s="31" t="s">
        <v>983</v>
      </c>
      <c r="C479" s="31" t="s">
        <v>2882</v>
      </c>
      <c r="D479" s="12">
        <f t="shared" ca="1" si="42"/>
        <v>26</v>
      </c>
      <c r="E479" s="12" t="str">
        <f ca="1">IF(Table1[[#This Row],[Age]]&lt;=22,"20-22",IF(Table1[[#This Row],[Age]]&lt;=25,"23-25",IF(Table1[[#This Row],[Age]]&lt;=28,"26-28","29-30")))</f>
        <v>26-28</v>
      </c>
      <c r="F479" s="12">
        <v>4.45</v>
      </c>
      <c r="G479" s="12">
        <v>4.51</v>
      </c>
      <c r="H479" s="12">
        <v>4.2</v>
      </c>
      <c r="I479" s="12">
        <v>3.53</v>
      </c>
      <c r="J479" s="12">
        <v>3.81</v>
      </c>
      <c r="K479" s="12">
        <v>3.89</v>
      </c>
      <c r="L479" s="12">
        <v>4.18</v>
      </c>
      <c r="M479" s="12" t="s">
        <v>211</v>
      </c>
      <c r="N479" s="12">
        <v>3.62</v>
      </c>
      <c r="O479" s="12">
        <v>4.3</v>
      </c>
      <c r="P479" s="12">
        <f t="shared" si="43"/>
        <v>4.0999999999999996</v>
      </c>
      <c r="Q479" s="12">
        <f t="shared" si="44"/>
        <v>4.0999999999999996</v>
      </c>
      <c r="R479" s="12">
        <f t="shared" si="45"/>
        <v>3.9975000000000005</v>
      </c>
      <c r="S479" s="28">
        <f>IFERROR(INDEX('Clean Gamification Data'!$B:$B,MATCH($B479,'Clean Gamification Data'!$A:$A,0)),"Not Found")</f>
        <v>91.004819940000004</v>
      </c>
      <c r="T479" s="28">
        <f>IFERROR(INDEX('Clean Gamification Data'!$C:$C,MATCH($B479,'Clean Gamification Data'!$A:$A,0)),"Not Found")</f>
        <v>68.211723329999998</v>
      </c>
      <c r="U479" s="28">
        <f>IFERROR(INDEX('Clean Gamification Data'!$D:$D,MATCH($B479,'Clean Gamification Data'!$A:$A,0)),"Not Found")</f>
        <v>70</v>
      </c>
      <c r="V479" s="28">
        <f>IFERROR(INDEX('Clean Gamification Data'!$E:$E,MATCH($B479,'Clean Gamification Data'!$A:$A,0)),"Not Found")</f>
        <v>63.018302370000001</v>
      </c>
      <c r="W479" s="28">
        <f>IFERROR(INDEX('Clean Gamification Data'!$F:$F,MATCH($B479,'Clean Gamification Data'!$A:$A,0)),"Not Found")</f>
        <v>92.461462539999999</v>
      </c>
      <c r="X479" s="28">
        <f>IFERROR(INDEX('Clean Gamification Data'!$G:$G,MATCH($B479,'Clean Gamification Data'!$A:$A,0)),"Not Found")</f>
        <v>78.870399289999995</v>
      </c>
      <c r="Y479" s="28">
        <f>IFERROR(INDEX('Clean Gamification Data'!$H:$H,MATCH($B479,'Clean Gamification Data'!$A:$A,0)),"Not Found")</f>
        <v>73.94889972</v>
      </c>
      <c r="Z479" s="28">
        <f>IFERROR(INDEX('Clean Gamification Data'!$I:$I,MATCH($B479,'Clean Gamification Data'!$A:$A,0)),"Not Found")</f>
        <v>50.683602100000002</v>
      </c>
      <c r="AA479" s="28">
        <f>Table1[[#This Row],[Engagement (Gamification %)]]-Table1[[#This Row],[Engagement (Non-Gamification %)]]</f>
        <v>22.793096610000006</v>
      </c>
      <c r="AB479" s="28">
        <f>Table1[[#This Row],[Motivation (Gamification %)]]-Table1[[#This Row],[Motivation (Non-Gamification %)]]</f>
        <v>6.9816976299999993</v>
      </c>
      <c r="AC479" s="28">
        <f>Table1[[#This Row],[Participation (Gamification %)]]-Table1[[#This Row],[Participation (Non-Gamification %)]]</f>
        <v>13.591063250000005</v>
      </c>
      <c r="AD479" s="28">
        <f>Table1[[#This Row],[Learning Outcomes (Gamification %)]]-Table1[[#This Row],[Learning Outcomes (Non-Gamification %)]]</f>
        <v>23.265297619999998</v>
      </c>
      <c r="AE479" s="44" t="str">
        <f>IF(Table1[[#This Row],[Overall Effectiveness]]&lt;3.9,"Low",IF(Table1[[#This Row],[Overall Effectiveness]]&lt;4.2,"Medium","High"))</f>
        <v>Medium</v>
      </c>
      <c r="AF479" s="30" t="str">
        <f t="shared" si="46"/>
        <v>Case Studies</v>
      </c>
      <c r="AG479" s="30" t="str">
        <f t="shared" si="47"/>
        <v>Online Tutorials</v>
      </c>
      <c r="AH479" s="27">
        <f>COUNTIF(Teacher_Master!$D$2:$D$16,AF479)</f>
        <v>3</v>
      </c>
      <c r="AI479" s="30" t="str">
        <f>INDEX(Teacher_Master!$B$2:$B$16,MATCH(AF479,Teacher_Master!$D$2:$D$16,0))</f>
        <v>Prof. Rajesh Mukherjee</v>
      </c>
    </row>
    <row r="480" spans="1:35" ht="14.25" customHeight="1" x14ac:dyDescent="0.3">
      <c r="A480" s="31" t="s">
        <v>984</v>
      </c>
      <c r="B480" s="31" t="s">
        <v>2423</v>
      </c>
      <c r="C480" s="31" t="s">
        <v>2882</v>
      </c>
      <c r="D480" s="12">
        <f t="shared" ca="1" si="42"/>
        <v>24</v>
      </c>
      <c r="E480" s="12" t="str">
        <f ca="1">IF(Table1[[#This Row],[Age]]&lt;=22,"20-22",IF(Table1[[#This Row],[Age]]&lt;=25,"23-25",IF(Table1[[#This Row],[Age]]&lt;=28,"26-28","29-30")))</f>
        <v>23-25</v>
      </c>
      <c r="F480" s="12">
        <v>3.37</v>
      </c>
      <c r="G480" s="12">
        <v>4.32</v>
      </c>
      <c r="H480" s="12">
        <v>4.1900000000000004</v>
      </c>
      <c r="I480" s="12">
        <v>4.09</v>
      </c>
      <c r="J480" s="12">
        <v>4.3</v>
      </c>
      <c r="K480" s="12">
        <v>3.69</v>
      </c>
      <c r="L480" s="12">
        <v>4.0599999999999996</v>
      </c>
      <c r="M480" s="12">
        <v>3.99</v>
      </c>
      <c r="N480" s="12">
        <v>4.01</v>
      </c>
      <c r="O480" s="12">
        <v>4.05</v>
      </c>
      <c r="P480" s="12">
        <f t="shared" si="43"/>
        <v>4.0540000000000003</v>
      </c>
      <c r="Q480" s="12">
        <f t="shared" si="44"/>
        <v>4.05</v>
      </c>
      <c r="R480" s="12">
        <f t="shared" si="45"/>
        <v>3.96</v>
      </c>
      <c r="S480" s="28">
        <f>IFERROR(INDEX('Clean Gamification Data'!$B:$B,MATCH($B480,'Clean Gamification Data'!$A:$A,0)),"Not Found")</f>
        <v>85.19785297</v>
      </c>
      <c r="T480" s="28">
        <f>IFERROR(INDEX('Clean Gamification Data'!$C:$C,MATCH($B480,'Clean Gamification Data'!$A:$A,0)),"Not Found")</f>
        <v>71.942265579999997</v>
      </c>
      <c r="U480" s="28">
        <f>IFERROR(INDEX('Clean Gamification Data'!$D:$D,MATCH($B480,'Clean Gamification Data'!$A:$A,0)),"Not Found")</f>
        <v>83.727842710000004</v>
      </c>
      <c r="V480" s="28">
        <f>IFERROR(INDEX('Clean Gamification Data'!$E:$E,MATCH($B480,'Clean Gamification Data'!$A:$A,0)),"Not Found")</f>
        <v>59.38454918</v>
      </c>
      <c r="W480" s="28">
        <f>IFERROR(INDEX('Clean Gamification Data'!$F:$F,MATCH($B480,'Clean Gamification Data'!$A:$A,0)),"Not Found")</f>
        <v>92.204247870000003</v>
      </c>
      <c r="X480" s="28">
        <f>IFERROR(INDEX('Clean Gamification Data'!$G:$G,MATCH($B480,'Clean Gamification Data'!$A:$A,0)),"Not Found")</f>
        <v>75.405888770000004</v>
      </c>
      <c r="Y480" s="28">
        <f>IFERROR(INDEX('Clean Gamification Data'!$H:$H,MATCH($B480,'Clean Gamification Data'!$A:$A,0)),"Not Found")</f>
        <v>68.497949120000001</v>
      </c>
      <c r="Z480" s="28">
        <f>IFERROR(INDEX('Clean Gamification Data'!$I:$I,MATCH($B480,'Clean Gamification Data'!$A:$A,0)),"Not Found")</f>
        <v>54.337363969999998</v>
      </c>
      <c r="AA480" s="28">
        <f>Table1[[#This Row],[Engagement (Gamification %)]]-Table1[[#This Row],[Engagement (Non-Gamification %)]]</f>
        <v>13.255587390000002</v>
      </c>
      <c r="AB480" s="28">
        <f>Table1[[#This Row],[Motivation (Gamification %)]]-Table1[[#This Row],[Motivation (Non-Gamification %)]]</f>
        <v>24.343293530000004</v>
      </c>
      <c r="AC480" s="28">
        <f>Table1[[#This Row],[Participation (Gamification %)]]-Table1[[#This Row],[Participation (Non-Gamification %)]]</f>
        <v>16.798359099999999</v>
      </c>
      <c r="AD480" s="28">
        <f>Table1[[#This Row],[Learning Outcomes (Gamification %)]]-Table1[[#This Row],[Learning Outcomes (Non-Gamification %)]]</f>
        <v>14.160585150000003</v>
      </c>
      <c r="AE480" s="44" t="str">
        <f>IF(Table1[[#This Row],[Overall Effectiveness]]&lt;3.9,"Low",IF(Table1[[#This Row],[Overall Effectiveness]]&lt;4.2,"Medium","High"))</f>
        <v>Medium</v>
      </c>
      <c r="AF480" s="30" t="str">
        <f t="shared" si="46"/>
        <v>Case Studies</v>
      </c>
      <c r="AG480" s="30" t="str">
        <f t="shared" si="47"/>
        <v>Case Studies</v>
      </c>
      <c r="AH480" s="27">
        <f>COUNTIF(Teacher_Master!$D$2:$D$16,AF480)</f>
        <v>3</v>
      </c>
      <c r="AI480" s="30" t="str">
        <f>INDEX(Teacher_Master!$B$2:$B$16,MATCH(AF480,Teacher_Master!$D$2:$D$16,0))</f>
        <v>Prof. Rajesh Mukherjee</v>
      </c>
    </row>
    <row r="481" spans="1:35" ht="14.25" customHeight="1" x14ac:dyDescent="0.3">
      <c r="A481" s="31" t="s">
        <v>986</v>
      </c>
      <c r="B481" s="31" t="s">
        <v>987</v>
      </c>
      <c r="C481" s="31" t="s">
        <v>2882</v>
      </c>
      <c r="D481" s="12">
        <f t="shared" ca="1" si="42"/>
        <v>22</v>
      </c>
      <c r="E481" s="12" t="str">
        <f ca="1">IF(Table1[[#This Row],[Age]]&lt;=22,"20-22",IF(Table1[[#This Row],[Age]]&lt;=25,"23-25",IF(Table1[[#This Row],[Age]]&lt;=28,"26-28","29-30")))</f>
        <v>20-22</v>
      </c>
      <c r="F481" s="12">
        <v>3.93</v>
      </c>
      <c r="G481" s="12">
        <v>3.64</v>
      </c>
      <c r="H481" s="12">
        <v>3.95</v>
      </c>
      <c r="I481" s="12">
        <v>4.53</v>
      </c>
      <c r="J481" s="12">
        <v>4.1500000000000004</v>
      </c>
      <c r="K481" s="12">
        <v>3.7</v>
      </c>
      <c r="L481" s="12">
        <v>4.17</v>
      </c>
      <c r="M481" s="12">
        <v>4.18</v>
      </c>
      <c r="N481" s="12">
        <v>4</v>
      </c>
      <c r="O481" s="12">
        <v>4.4000000000000004</v>
      </c>
      <c r="P481" s="12">
        <f t="shared" si="43"/>
        <v>4.0400000000000009</v>
      </c>
      <c r="Q481" s="12">
        <f t="shared" si="44"/>
        <v>4.04</v>
      </c>
      <c r="R481" s="12">
        <f t="shared" si="45"/>
        <v>4.0900000000000007</v>
      </c>
      <c r="S481" s="28">
        <f>IFERROR(INDEX('Clean Gamification Data'!$B:$B,MATCH($B481,'Clean Gamification Data'!$A:$A,0)),"Not Found")</f>
        <v>95.440127570000001</v>
      </c>
      <c r="T481" s="28">
        <f>IFERROR(INDEX('Clean Gamification Data'!$C:$C,MATCH($B481,'Clean Gamification Data'!$A:$A,0)),"Not Found")</f>
        <v>75.22065259</v>
      </c>
      <c r="U481" s="28">
        <f>IFERROR(INDEX('Clean Gamification Data'!$D:$D,MATCH($B481,'Clean Gamification Data'!$A:$A,0)),"Not Found")</f>
        <v>70</v>
      </c>
      <c r="V481" s="28">
        <f>IFERROR(INDEX('Clean Gamification Data'!$E:$E,MATCH($B481,'Clean Gamification Data'!$A:$A,0)),"Not Found")</f>
        <v>68.773743809999999</v>
      </c>
      <c r="W481" s="28">
        <f>IFERROR(INDEX('Clean Gamification Data'!$F:$F,MATCH($B481,'Clean Gamification Data'!$A:$A,0)),"Not Found")</f>
        <v>89.068259060000003</v>
      </c>
      <c r="X481" s="28">
        <f>IFERROR(INDEX('Clean Gamification Data'!$G:$G,MATCH($B481,'Clean Gamification Data'!$A:$A,0)),"Not Found")</f>
        <v>75.091214140000005</v>
      </c>
      <c r="Y481" s="28">
        <f>IFERROR(INDEX('Clean Gamification Data'!$H:$H,MATCH($B481,'Clean Gamification Data'!$A:$A,0)),"Not Found")</f>
        <v>75.74057766</v>
      </c>
      <c r="Z481" s="28">
        <f>IFERROR(INDEX('Clean Gamification Data'!$I:$I,MATCH($B481,'Clean Gamification Data'!$A:$A,0)),"Not Found")</f>
        <v>58.179218689999999</v>
      </c>
      <c r="AA481" s="28">
        <f>Table1[[#This Row],[Engagement (Gamification %)]]-Table1[[#This Row],[Engagement (Non-Gamification %)]]</f>
        <v>20.219474980000001</v>
      </c>
      <c r="AB481" s="28">
        <f>Table1[[#This Row],[Motivation (Gamification %)]]-Table1[[#This Row],[Motivation (Non-Gamification %)]]</f>
        <v>1.2262561900000009</v>
      </c>
      <c r="AC481" s="28">
        <f>Table1[[#This Row],[Participation (Gamification %)]]-Table1[[#This Row],[Participation (Non-Gamification %)]]</f>
        <v>13.977044919999997</v>
      </c>
      <c r="AD481" s="28">
        <f>Table1[[#This Row],[Learning Outcomes (Gamification %)]]-Table1[[#This Row],[Learning Outcomes (Non-Gamification %)]]</f>
        <v>17.561358970000001</v>
      </c>
      <c r="AE481" s="44" t="str">
        <f>IF(Table1[[#This Row],[Overall Effectiveness]]&lt;3.9,"Low",IF(Table1[[#This Row],[Overall Effectiveness]]&lt;4.2,"Medium","High"))</f>
        <v>Medium</v>
      </c>
      <c r="AF481" s="30" t="str">
        <f t="shared" si="46"/>
        <v>Experiments</v>
      </c>
      <c r="AG481" s="30" t="str">
        <f t="shared" si="47"/>
        <v>Online Tutorials</v>
      </c>
      <c r="AH481" s="27">
        <f>COUNTIF(Teacher_Master!$D$2:$D$16,AF481)</f>
        <v>3</v>
      </c>
      <c r="AI481" s="30" t="str">
        <f>INDEX(Teacher_Master!$B$2:$B$16,MATCH(AF481,Teacher_Master!$D$2:$D$16,0))</f>
        <v>Prof. Rahul Singh</v>
      </c>
    </row>
    <row r="482" spans="1:35" ht="14.25" customHeight="1" x14ac:dyDescent="0.3">
      <c r="A482" s="31" t="s">
        <v>988</v>
      </c>
      <c r="B482" s="31" t="s">
        <v>2424</v>
      </c>
      <c r="C482" s="31" t="s">
        <v>2881</v>
      </c>
      <c r="D482" s="12">
        <f t="shared" ca="1" si="42"/>
        <v>21</v>
      </c>
      <c r="E482" s="12" t="str">
        <f ca="1">IF(Table1[[#This Row],[Age]]&lt;=22,"20-22",IF(Table1[[#This Row],[Age]]&lt;=25,"23-25",IF(Table1[[#This Row],[Age]]&lt;=28,"26-28","29-30")))</f>
        <v>20-22</v>
      </c>
      <c r="F482" s="12">
        <v>3.98</v>
      </c>
      <c r="G482" s="12">
        <v>3.99</v>
      </c>
      <c r="H482" s="12">
        <v>4.21</v>
      </c>
      <c r="I482" s="12">
        <v>4.3899999999999997</v>
      </c>
      <c r="J482" s="12">
        <v>4.4800000000000004</v>
      </c>
      <c r="K482" s="12">
        <v>3.91</v>
      </c>
      <c r="L482" s="12">
        <v>4.1100000000000003</v>
      </c>
      <c r="M482" s="12">
        <v>3.76</v>
      </c>
      <c r="N482" s="12">
        <v>4.28</v>
      </c>
      <c r="O482" s="12">
        <v>4.0599999999999996</v>
      </c>
      <c r="P482" s="12">
        <f t="shared" si="43"/>
        <v>4.21</v>
      </c>
      <c r="Q482" s="12">
        <f t="shared" si="44"/>
        <v>4.21</v>
      </c>
      <c r="R482" s="12">
        <f t="shared" si="45"/>
        <v>4.0239999999999991</v>
      </c>
      <c r="S482" s="28">
        <f>IFERROR(INDEX('Clean Gamification Data'!$B:$B,MATCH($B482,'Clean Gamification Data'!$A:$A,0)),"Not Found")</f>
        <v>81.634324179999993</v>
      </c>
      <c r="T482" s="28">
        <f>IFERROR(INDEX('Clean Gamification Data'!$C:$C,MATCH($B482,'Clean Gamification Data'!$A:$A,0)),"Not Found")</f>
        <v>69.126634949999996</v>
      </c>
      <c r="U482" s="28">
        <f>IFERROR(INDEX('Clean Gamification Data'!$D:$D,MATCH($B482,'Clean Gamification Data'!$A:$A,0)),"Not Found")</f>
        <v>81.390383709999995</v>
      </c>
      <c r="V482" s="28">
        <f>IFERROR(INDEX('Clean Gamification Data'!$E:$E,MATCH($B482,'Clean Gamification Data'!$A:$A,0)),"Not Found")</f>
        <v>64.177556989999999</v>
      </c>
      <c r="W482" s="28">
        <f>IFERROR(INDEX('Clean Gamification Data'!$F:$F,MATCH($B482,'Clean Gamification Data'!$A:$A,0)),"Not Found")</f>
        <v>95.192691809999999</v>
      </c>
      <c r="X482" s="28">
        <f>IFERROR(INDEX('Clean Gamification Data'!$G:$G,MATCH($B482,'Clean Gamification Data'!$A:$A,0)),"Not Found")</f>
        <v>80.953196030000001</v>
      </c>
      <c r="Y482" s="28">
        <f>IFERROR(INDEX('Clean Gamification Data'!$H:$H,MATCH($B482,'Clean Gamification Data'!$A:$A,0)),"Not Found")</f>
        <v>68.914731630000006</v>
      </c>
      <c r="Z482" s="28">
        <f>IFERROR(INDEX('Clean Gamification Data'!$I:$I,MATCH($B482,'Clean Gamification Data'!$A:$A,0)),"Not Found")</f>
        <v>52.335092330000002</v>
      </c>
      <c r="AA482" s="28">
        <f>Table1[[#This Row],[Engagement (Gamification %)]]-Table1[[#This Row],[Engagement (Non-Gamification %)]]</f>
        <v>12.507689229999997</v>
      </c>
      <c r="AB482" s="28">
        <f>Table1[[#This Row],[Motivation (Gamification %)]]-Table1[[#This Row],[Motivation (Non-Gamification %)]]</f>
        <v>17.212826719999995</v>
      </c>
      <c r="AC482" s="28">
        <f>Table1[[#This Row],[Participation (Gamification %)]]-Table1[[#This Row],[Participation (Non-Gamification %)]]</f>
        <v>14.239495779999999</v>
      </c>
      <c r="AD482" s="28">
        <f>Table1[[#This Row],[Learning Outcomes (Gamification %)]]-Table1[[#This Row],[Learning Outcomes (Non-Gamification %)]]</f>
        <v>16.579639300000004</v>
      </c>
      <c r="AE482" s="44" t="str">
        <f>IF(Table1[[#This Row],[Overall Effectiveness]]&lt;3.9,"Low",IF(Table1[[#This Row],[Overall Effectiveness]]&lt;4.2,"Medium","High"))</f>
        <v>High</v>
      </c>
      <c r="AF482" s="30" t="str">
        <f t="shared" si="46"/>
        <v>Online Tutorials</v>
      </c>
      <c r="AG482" s="30" t="str">
        <f t="shared" si="47"/>
        <v>Experiments</v>
      </c>
      <c r="AH482" s="27">
        <f>COUNTIF(Teacher_Master!$D$2:$D$16,AF482)</f>
        <v>3</v>
      </c>
      <c r="AI482" s="30" t="str">
        <f>INDEX(Teacher_Master!$B$2:$B$16,MATCH(AF482,Teacher_Master!$D$2:$D$16,0))</f>
        <v>Prof. Kavita Rao</v>
      </c>
    </row>
    <row r="483" spans="1:35" ht="14.25" customHeight="1" x14ac:dyDescent="0.3">
      <c r="A483" s="31" t="s">
        <v>990</v>
      </c>
      <c r="B483" s="31" t="s">
        <v>2425</v>
      </c>
      <c r="C483" s="31" t="s">
        <v>2882</v>
      </c>
      <c r="D483" s="12">
        <f t="shared" ca="1" si="42"/>
        <v>27</v>
      </c>
      <c r="E483" s="12" t="str">
        <f ca="1">IF(Table1[[#This Row],[Age]]&lt;=22,"20-22",IF(Table1[[#This Row],[Age]]&lt;=25,"23-25",IF(Table1[[#This Row],[Age]]&lt;=28,"26-28","29-30")))</f>
        <v>26-28</v>
      </c>
      <c r="F483" s="12">
        <v>4.49</v>
      </c>
      <c r="G483" s="12">
        <v>3.99</v>
      </c>
      <c r="H483" s="12">
        <v>4.66</v>
      </c>
      <c r="I483" s="12" t="s">
        <v>211</v>
      </c>
      <c r="J483" s="12">
        <v>3.69</v>
      </c>
      <c r="K483" s="12">
        <v>4.03</v>
      </c>
      <c r="L483" s="12">
        <v>3.9</v>
      </c>
      <c r="M483" s="12">
        <v>3.89</v>
      </c>
      <c r="N483" s="12">
        <v>4.2</v>
      </c>
      <c r="O483" s="12">
        <v>4.0999999999999996</v>
      </c>
      <c r="P483" s="12">
        <f t="shared" si="43"/>
        <v>4.2075000000000005</v>
      </c>
      <c r="Q483" s="12">
        <f t="shared" si="44"/>
        <v>4.21</v>
      </c>
      <c r="R483" s="12">
        <f t="shared" si="45"/>
        <v>4.0239999999999991</v>
      </c>
      <c r="S483" s="28">
        <f>IFERROR(INDEX('Clean Gamification Data'!$B:$B,MATCH($B483,'Clean Gamification Data'!$A:$A,0)),"Not Found")</f>
        <v>88.140317280000005</v>
      </c>
      <c r="T483" s="28">
        <f>IFERROR(INDEX('Clean Gamification Data'!$C:$C,MATCH($B483,'Clean Gamification Data'!$A:$A,0)),"Not Found")</f>
        <v>72.956179969999994</v>
      </c>
      <c r="U483" s="28">
        <f>IFERROR(INDEX('Clean Gamification Data'!$D:$D,MATCH($B483,'Clean Gamification Data'!$A:$A,0)),"Not Found")</f>
        <v>70</v>
      </c>
      <c r="V483" s="28">
        <f>IFERROR(INDEX('Clean Gamification Data'!$E:$E,MATCH($B483,'Clean Gamification Data'!$A:$A,0)),"Not Found")</f>
        <v>71.688603220000005</v>
      </c>
      <c r="W483" s="28">
        <f>IFERROR(INDEX('Clean Gamification Data'!$F:$F,MATCH($B483,'Clean Gamification Data'!$A:$A,0)),"Not Found")</f>
        <v>99.9</v>
      </c>
      <c r="X483" s="28">
        <f>IFERROR(INDEX('Clean Gamification Data'!$G:$G,MATCH($B483,'Clean Gamification Data'!$A:$A,0)),"Not Found")</f>
        <v>76.318103050000005</v>
      </c>
      <c r="Y483" s="28">
        <f>IFERROR(INDEX('Clean Gamification Data'!$H:$H,MATCH($B483,'Clean Gamification Data'!$A:$A,0)),"Not Found")</f>
        <v>66.908904010000001</v>
      </c>
      <c r="Z483" s="28">
        <f>IFERROR(INDEX('Clean Gamification Data'!$I:$I,MATCH($B483,'Clean Gamification Data'!$A:$A,0)),"Not Found")</f>
        <v>53.019609750000001</v>
      </c>
      <c r="AA483" s="28">
        <f>Table1[[#This Row],[Engagement (Gamification %)]]-Table1[[#This Row],[Engagement (Non-Gamification %)]]</f>
        <v>15.184137310000011</v>
      </c>
      <c r="AB483" s="28">
        <f>Table1[[#This Row],[Motivation (Gamification %)]]-Table1[[#This Row],[Motivation (Non-Gamification %)]]</f>
        <v>-1.6886032200000045</v>
      </c>
      <c r="AC483" s="28">
        <f>Table1[[#This Row],[Participation (Gamification %)]]-Table1[[#This Row],[Participation (Non-Gamification %)]]</f>
        <v>23.581896950000001</v>
      </c>
      <c r="AD483" s="28">
        <f>Table1[[#This Row],[Learning Outcomes (Gamification %)]]-Table1[[#This Row],[Learning Outcomes (Non-Gamification %)]]</f>
        <v>13.88929426</v>
      </c>
      <c r="AE483" s="44" t="str">
        <f>IF(Table1[[#This Row],[Overall Effectiveness]]&lt;3.9,"Low",IF(Table1[[#This Row],[Overall Effectiveness]]&lt;4.2,"Medium","High"))</f>
        <v>High</v>
      </c>
      <c r="AF483" s="30" t="str">
        <f t="shared" si="46"/>
        <v>Group Projects</v>
      </c>
      <c r="AG483" s="30" t="str">
        <f t="shared" si="47"/>
        <v>Experiments</v>
      </c>
      <c r="AH483" s="27">
        <f>COUNTIF(Teacher_Master!$D$2:$D$16,AF483)</f>
        <v>3</v>
      </c>
      <c r="AI483" s="30" t="str">
        <f>INDEX(Teacher_Master!$B$2:$B$16,MATCH(AF483,Teacher_Master!$D$2:$D$16,0))</f>
        <v>Dr. Rohan Dutta</v>
      </c>
    </row>
    <row r="484" spans="1:35" ht="14.25" customHeight="1" x14ac:dyDescent="0.3">
      <c r="A484" s="31" t="s">
        <v>992</v>
      </c>
      <c r="B484" s="31" t="s">
        <v>2426</v>
      </c>
      <c r="C484" s="31" t="s">
        <v>2881</v>
      </c>
      <c r="D484" s="12">
        <f t="shared" ca="1" si="42"/>
        <v>24</v>
      </c>
      <c r="E484" s="12" t="str">
        <f ca="1">IF(Table1[[#This Row],[Age]]&lt;=22,"20-22",IF(Table1[[#This Row],[Age]]&lt;=25,"23-25",IF(Table1[[#This Row],[Age]]&lt;=28,"26-28","29-30")))</f>
        <v>23-25</v>
      </c>
      <c r="F484" s="12">
        <v>3.86</v>
      </c>
      <c r="G484" s="12">
        <v>4.05</v>
      </c>
      <c r="H484" s="12">
        <v>4.1399999999999997</v>
      </c>
      <c r="I484" s="12">
        <v>4</v>
      </c>
      <c r="J484" s="12">
        <v>3.91</v>
      </c>
      <c r="K484" s="12">
        <v>4.22</v>
      </c>
      <c r="L484" s="12">
        <v>4.05</v>
      </c>
      <c r="M484" s="12">
        <v>4.49</v>
      </c>
      <c r="N484" s="12">
        <v>4.32</v>
      </c>
      <c r="O484" s="12">
        <v>3.83</v>
      </c>
      <c r="P484" s="12">
        <f t="shared" si="43"/>
        <v>3.992</v>
      </c>
      <c r="Q484" s="12">
        <f t="shared" si="44"/>
        <v>3.99</v>
      </c>
      <c r="R484" s="12">
        <f t="shared" si="45"/>
        <v>4.1819999999999995</v>
      </c>
      <c r="S484" s="28">
        <f>IFERROR(INDEX('Clean Gamification Data'!$B:$B,MATCH($B484,'Clean Gamification Data'!$A:$A,0)),"Not Found")</f>
        <v>78.364061620000001</v>
      </c>
      <c r="T484" s="28">
        <f>IFERROR(INDEX('Clean Gamification Data'!$C:$C,MATCH($B484,'Clean Gamification Data'!$A:$A,0)),"Not Found")</f>
        <v>70.53655363</v>
      </c>
      <c r="U484" s="28">
        <f>IFERROR(INDEX('Clean Gamification Data'!$D:$D,MATCH($B484,'Clean Gamification Data'!$A:$A,0)),"Not Found")</f>
        <v>70</v>
      </c>
      <c r="V484" s="28">
        <f>IFERROR(INDEX('Clean Gamification Data'!$E:$E,MATCH($B484,'Clean Gamification Data'!$A:$A,0)),"Not Found")</f>
        <v>74.643456150000006</v>
      </c>
      <c r="W484" s="28">
        <f>IFERROR(INDEX('Clean Gamification Data'!$F:$F,MATCH($B484,'Clean Gamification Data'!$A:$A,0)),"Not Found")</f>
        <v>96.096761529999995</v>
      </c>
      <c r="X484" s="28">
        <f>IFERROR(INDEX('Clean Gamification Data'!$G:$G,MATCH($B484,'Clean Gamification Data'!$A:$A,0)),"Not Found")</f>
        <v>76.95574526</v>
      </c>
      <c r="Y484" s="28">
        <f>IFERROR(INDEX('Clean Gamification Data'!$H:$H,MATCH($B484,'Clean Gamification Data'!$A:$A,0)),"Not Found")</f>
        <v>69.499774759999994</v>
      </c>
      <c r="Z484" s="28">
        <f>IFERROR(INDEX('Clean Gamification Data'!$I:$I,MATCH($B484,'Clean Gamification Data'!$A:$A,0)),"Not Found")</f>
        <v>52.082132340000001</v>
      </c>
      <c r="AA484" s="28">
        <f>Table1[[#This Row],[Engagement (Gamification %)]]-Table1[[#This Row],[Engagement (Non-Gamification %)]]</f>
        <v>7.8275079900000009</v>
      </c>
      <c r="AB484" s="28">
        <f>Table1[[#This Row],[Motivation (Gamification %)]]-Table1[[#This Row],[Motivation (Non-Gamification %)]]</f>
        <v>-4.6434561500000058</v>
      </c>
      <c r="AC484" s="28">
        <f>Table1[[#This Row],[Participation (Gamification %)]]-Table1[[#This Row],[Participation (Non-Gamification %)]]</f>
        <v>19.141016269999994</v>
      </c>
      <c r="AD484" s="28">
        <f>Table1[[#This Row],[Learning Outcomes (Gamification %)]]-Table1[[#This Row],[Learning Outcomes (Non-Gamification %)]]</f>
        <v>17.417642419999993</v>
      </c>
      <c r="AE484" s="44" t="str">
        <f>IF(Table1[[#This Row],[Overall Effectiveness]]&lt;3.9,"Low",IF(Table1[[#This Row],[Overall Effectiveness]]&lt;4.2,"Medium","High"))</f>
        <v>Medium</v>
      </c>
      <c r="AF484" s="30" t="str">
        <f t="shared" si="46"/>
        <v>Group Projects</v>
      </c>
      <c r="AG484" s="30" t="str">
        <f t="shared" si="47"/>
        <v>Group Projects</v>
      </c>
      <c r="AH484" s="27">
        <f>COUNTIF(Teacher_Master!$D$2:$D$16,AF484)</f>
        <v>3</v>
      </c>
      <c r="AI484" s="30" t="str">
        <f>INDEX(Teacher_Master!$B$2:$B$16,MATCH(AF484,Teacher_Master!$D$2:$D$16,0))</f>
        <v>Dr. Rohan Dutta</v>
      </c>
    </row>
    <row r="485" spans="1:35" ht="14.25" customHeight="1" x14ac:dyDescent="0.3">
      <c r="A485" s="31" t="s">
        <v>994</v>
      </c>
      <c r="B485" s="31" t="s">
        <v>995</v>
      </c>
      <c r="C485" s="31" t="s">
        <v>2882</v>
      </c>
      <c r="D485" s="12">
        <f t="shared" ca="1" si="42"/>
        <v>26</v>
      </c>
      <c r="E485" s="12" t="str">
        <f ca="1">IF(Table1[[#This Row],[Age]]&lt;=22,"20-22",IF(Table1[[#This Row],[Age]]&lt;=25,"23-25",IF(Table1[[#This Row],[Age]]&lt;=28,"26-28","29-30")))</f>
        <v>26-28</v>
      </c>
      <c r="F485" s="12">
        <v>4.2300000000000004</v>
      </c>
      <c r="G485" s="12">
        <v>3.96</v>
      </c>
      <c r="H485" s="12">
        <v>4.13</v>
      </c>
      <c r="I485" s="12">
        <v>3.69</v>
      </c>
      <c r="J485" s="12" t="s">
        <v>211</v>
      </c>
      <c r="K485" s="12">
        <v>4.5</v>
      </c>
      <c r="L485" s="12">
        <v>3.97</v>
      </c>
      <c r="M485" s="12">
        <v>3.63</v>
      </c>
      <c r="N485" s="12">
        <v>3.95</v>
      </c>
      <c r="O485" s="12">
        <v>4.24</v>
      </c>
      <c r="P485" s="12">
        <f t="shared" si="43"/>
        <v>4.0025000000000004</v>
      </c>
      <c r="Q485" s="12">
        <f t="shared" si="44"/>
        <v>4</v>
      </c>
      <c r="R485" s="12">
        <f t="shared" si="45"/>
        <v>4.0579999999999998</v>
      </c>
      <c r="S485" s="28">
        <f>IFERROR(INDEX('Clean Gamification Data'!$B:$B,MATCH($B485,'Clean Gamification Data'!$A:$A,0)),"Not Found")</f>
        <v>75.921651600000004</v>
      </c>
      <c r="T485" s="28">
        <f>IFERROR(INDEX('Clean Gamification Data'!$C:$C,MATCH($B485,'Clean Gamification Data'!$A:$A,0)),"Not Found")</f>
        <v>60.311531559999999</v>
      </c>
      <c r="U485" s="28">
        <f>IFERROR(INDEX('Clean Gamification Data'!$D:$D,MATCH($B485,'Clean Gamification Data'!$A:$A,0)),"Not Found")</f>
        <v>83.132368400000004</v>
      </c>
      <c r="V485" s="28">
        <f>IFERROR(INDEX('Clean Gamification Data'!$E:$E,MATCH($B485,'Clean Gamification Data'!$A:$A,0)),"Not Found")</f>
        <v>69.066295839999995</v>
      </c>
      <c r="W485" s="28">
        <f>IFERROR(INDEX('Clean Gamification Data'!$F:$F,MATCH($B485,'Clean Gamification Data'!$A:$A,0)),"Not Found")</f>
        <v>80</v>
      </c>
      <c r="X485" s="28">
        <f>IFERROR(INDEX('Clean Gamification Data'!$G:$G,MATCH($B485,'Clean Gamification Data'!$A:$A,0)),"Not Found")</f>
        <v>85</v>
      </c>
      <c r="Y485" s="28">
        <f>IFERROR(INDEX('Clean Gamification Data'!$H:$H,MATCH($B485,'Clean Gamification Data'!$A:$A,0)),"Not Found")</f>
        <v>70.197273940000002</v>
      </c>
      <c r="Z485" s="28">
        <f>IFERROR(INDEX('Clean Gamification Data'!$I:$I,MATCH($B485,'Clean Gamification Data'!$A:$A,0)),"Not Found")</f>
        <v>62.710840650000002</v>
      </c>
      <c r="AA485" s="28">
        <f>Table1[[#This Row],[Engagement (Gamification %)]]-Table1[[#This Row],[Engagement (Non-Gamification %)]]</f>
        <v>15.610120040000005</v>
      </c>
      <c r="AB485" s="28">
        <f>Table1[[#This Row],[Motivation (Gamification %)]]-Table1[[#This Row],[Motivation (Non-Gamification %)]]</f>
        <v>14.066072560000009</v>
      </c>
      <c r="AC485" s="28">
        <f>Table1[[#This Row],[Participation (Gamification %)]]-Table1[[#This Row],[Participation (Non-Gamification %)]]</f>
        <v>-5</v>
      </c>
      <c r="AD485" s="28">
        <f>Table1[[#This Row],[Learning Outcomes (Gamification %)]]-Table1[[#This Row],[Learning Outcomes (Non-Gamification %)]]</f>
        <v>7.4864332900000008</v>
      </c>
      <c r="AE485" s="44" t="str">
        <f>IF(Table1[[#This Row],[Overall Effectiveness]]&lt;3.9,"Low",IF(Table1[[#This Row],[Overall Effectiveness]]&lt;4.2,"Medium","High"))</f>
        <v>Medium</v>
      </c>
      <c r="AF485" s="30" t="str">
        <f t="shared" si="46"/>
        <v>Lectures</v>
      </c>
      <c r="AG485" s="30" t="str">
        <f t="shared" si="47"/>
        <v>Lectures</v>
      </c>
      <c r="AH485" s="27">
        <f>COUNTIF(Teacher_Master!$D$2:$D$16,AF485)</f>
        <v>3</v>
      </c>
      <c r="AI485" s="30" t="str">
        <f>INDEX(Teacher_Master!$B$2:$B$16,MATCH(AF485,Teacher_Master!$D$2:$D$16,0))</f>
        <v>Prof. Vikram Gupta</v>
      </c>
    </row>
    <row r="486" spans="1:35" ht="14.25" customHeight="1" x14ac:dyDescent="0.3">
      <c r="A486" s="31" t="s">
        <v>996</v>
      </c>
      <c r="B486" s="31" t="s">
        <v>997</v>
      </c>
      <c r="C486" s="31" t="s">
        <v>2881</v>
      </c>
      <c r="D486" s="12">
        <f t="shared" ca="1" si="42"/>
        <v>30</v>
      </c>
      <c r="E486" s="12" t="str">
        <f ca="1">IF(Table1[[#This Row],[Age]]&lt;=22,"20-22",IF(Table1[[#This Row],[Age]]&lt;=25,"23-25",IF(Table1[[#This Row],[Age]]&lt;=28,"26-28","29-30")))</f>
        <v>29-30</v>
      </c>
      <c r="F486" s="12">
        <v>4.0999999999999996</v>
      </c>
      <c r="G486" s="12">
        <v>3.77</v>
      </c>
      <c r="H486" s="12">
        <v>4.4800000000000004</v>
      </c>
      <c r="I486" s="12">
        <v>4.3499999999999996</v>
      </c>
      <c r="J486" s="12">
        <v>4.26</v>
      </c>
      <c r="K486" s="12">
        <v>3.82</v>
      </c>
      <c r="L486" s="12">
        <v>4.12</v>
      </c>
      <c r="M486" s="12">
        <v>4.41</v>
      </c>
      <c r="N486" s="12">
        <v>3.38</v>
      </c>
      <c r="O486" s="12" t="s">
        <v>211</v>
      </c>
      <c r="P486" s="12">
        <f t="shared" si="43"/>
        <v>4.1920000000000002</v>
      </c>
      <c r="Q486" s="12">
        <f t="shared" si="44"/>
        <v>4.1900000000000004</v>
      </c>
      <c r="R486" s="12">
        <f t="shared" si="45"/>
        <v>3.9325000000000001</v>
      </c>
      <c r="S486" s="28">
        <f>IFERROR(INDEX('Clean Gamification Data'!$B:$B,MATCH($B486,'Clean Gamification Data'!$A:$A,0)),"Not Found")</f>
        <v>99.164091720000002</v>
      </c>
      <c r="T486" s="28">
        <f>IFERROR(INDEX('Clean Gamification Data'!$C:$C,MATCH($B486,'Clean Gamification Data'!$A:$A,0)),"Not Found")</f>
        <v>74.054359109999993</v>
      </c>
      <c r="U486" s="28">
        <f>IFERROR(INDEX('Clean Gamification Data'!$D:$D,MATCH($B486,'Clean Gamification Data'!$A:$A,0)),"Not Found")</f>
        <v>75.285565500000004</v>
      </c>
      <c r="V486" s="28">
        <f>IFERROR(INDEX('Clean Gamification Data'!$E:$E,MATCH($B486,'Clean Gamification Data'!$A:$A,0)),"Not Found")</f>
        <v>64.58824448</v>
      </c>
      <c r="W486" s="28">
        <f>IFERROR(INDEX('Clean Gamification Data'!$F:$F,MATCH($B486,'Clean Gamification Data'!$A:$A,0)),"Not Found")</f>
        <v>95.699164179999997</v>
      </c>
      <c r="X486" s="28">
        <f>IFERROR(INDEX('Clean Gamification Data'!$G:$G,MATCH($B486,'Clean Gamification Data'!$A:$A,0)),"Not Found")</f>
        <v>82.545408600000002</v>
      </c>
      <c r="Y486" s="28">
        <f>IFERROR(INDEX('Clean Gamification Data'!$H:$H,MATCH($B486,'Clean Gamification Data'!$A:$A,0)),"Not Found")</f>
        <v>75.762523680000001</v>
      </c>
      <c r="Z486" s="28">
        <f>IFERROR(INDEX('Clean Gamification Data'!$I:$I,MATCH($B486,'Clean Gamification Data'!$A:$A,0)),"Not Found")</f>
        <v>59.80062393</v>
      </c>
      <c r="AA486" s="28">
        <f>Table1[[#This Row],[Engagement (Gamification %)]]-Table1[[#This Row],[Engagement (Non-Gamification %)]]</f>
        <v>25.109732610000009</v>
      </c>
      <c r="AB486" s="28">
        <f>Table1[[#This Row],[Motivation (Gamification %)]]-Table1[[#This Row],[Motivation (Non-Gamification %)]]</f>
        <v>10.697321020000004</v>
      </c>
      <c r="AC486" s="28">
        <f>Table1[[#This Row],[Participation (Gamification %)]]-Table1[[#This Row],[Participation (Non-Gamification %)]]</f>
        <v>13.153755579999995</v>
      </c>
      <c r="AD486" s="28">
        <f>Table1[[#This Row],[Learning Outcomes (Gamification %)]]-Table1[[#This Row],[Learning Outcomes (Non-Gamification %)]]</f>
        <v>15.961899750000001</v>
      </c>
      <c r="AE486" s="44" t="str">
        <f>IF(Table1[[#This Row],[Overall Effectiveness]]&lt;3.9,"Low",IF(Table1[[#This Row],[Overall Effectiveness]]&lt;4.2,"Medium","High"))</f>
        <v>Medium</v>
      </c>
      <c r="AF486" s="30" t="str">
        <f t="shared" si="46"/>
        <v>Group Projects</v>
      </c>
      <c r="AG486" s="30" t="str">
        <f t="shared" si="47"/>
        <v>Group Projects</v>
      </c>
      <c r="AH486" s="27">
        <f>COUNTIF(Teacher_Master!$D$2:$D$16,AF486)</f>
        <v>3</v>
      </c>
      <c r="AI486" s="30" t="str">
        <f>INDEX(Teacher_Master!$B$2:$B$16,MATCH(AF486,Teacher_Master!$D$2:$D$16,0))</f>
        <v>Dr. Rohan Dutta</v>
      </c>
    </row>
    <row r="487" spans="1:35" ht="14.25" customHeight="1" x14ac:dyDescent="0.3">
      <c r="A487" s="31" t="s">
        <v>998</v>
      </c>
      <c r="B487" s="31" t="s">
        <v>999</v>
      </c>
      <c r="C487" s="31" t="s">
        <v>2882</v>
      </c>
      <c r="D487" s="12">
        <f t="shared" ca="1" si="42"/>
        <v>23</v>
      </c>
      <c r="E487" s="12" t="str">
        <f ca="1">IF(Table1[[#This Row],[Age]]&lt;=22,"20-22",IF(Table1[[#This Row],[Age]]&lt;=25,"23-25",IF(Table1[[#This Row],[Age]]&lt;=28,"26-28","29-30")))</f>
        <v>23-25</v>
      </c>
      <c r="F487" s="12">
        <v>4.37</v>
      </c>
      <c r="G487" s="12" t="s">
        <v>211</v>
      </c>
      <c r="H487" s="12">
        <v>3.92</v>
      </c>
      <c r="I487" s="12">
        <v>4.16</v>
      </c>
      <c r="J487" s="12">
        <v>3.96</v>
      </c>
      <c r="K487" s="12" t="s">
        <v>211</v>
      </c>
      <c r="L487" s="12">
        <v>4.26</v>
      </c>
      <c r="M487" s="12">
        <v>4.0199999999999996</v>
      </c>
      <c r="N487" s="12">
        <v>4.3899999999999997</v>
      </c>
      <c r="O487" s="12">
        <v>4.4000000000000004</v>
      </c>
      <c r="P487" s="12">
        <f t="shared" si="43"/>
        <v>4.1025</v>
      </c>
      <c r="Q487" s="12">
        <f t="shared" si="44"/>
        <v>4.0999999999999996</v>
      </c>
      <c r="R487" s="12">
        <f t="shared" si="45"/>
        <v>4.2675000000000001</v>
      </c>
      <c r="S487" s="28">
        <f>IFERROR(INDEX('Clean Gamification Data'!$B:$B,MATCH($B487,'Clean Gamification Data'!$A:$A,0)),"Not Found")</f>
        <v>84.544374779999998</v>
      </c>
      <c r="T487" s="28">
        <f>IFERROR(INDEX('Clean Gamification Data'!$C:$C,MATCH($B487,'Clean Gamification Data'!$A:$A,0)),"Not Found")</f>
        <v>70.486528070000006</v>
      </c>
      <c r="U487" s="28">
        <f>IFERROR(INDEX('Clean Gamification Data'!$D:$D,MATCH($B487,'Clean Gamification Data'!$A:$A,0)),"Not Found")</f>
        <v>81.106780520000001</v>
      </c>
      <c r="V487" s="28">
        <f>IFERROR(INDEX('Clean Gamification Data'!$E:$E,MATCH($B487,'Clean Gamification Data'!$A:$A,0)),"Not Found")</f>
        <v>72.698127080000006</v>
      </c>
      <c r="W487" s="28">
        <f>IFERROR(INDEX('Clean Gamification Data'!$F:$F,MATCH($B487,'Clean Gamification Data'!$A:$A,0)),"Not Found")</f>
        <v>87.068695950000006</v>
      </c>
      <c r="X487" s="28">
        <f>IFERROR(INDEX('Clean Gamification Data'!$G:$G,MATCH($B487,'Clean Gamification Data'!$A:$A,0)),"Not Found")</f>
        <v>75.783730379999994</v>
      </c>
      <c r="Y487" s="28">
        <f>IFERROR(INDEX('Clean Gamification Data'!$H:$H,MATCH($B487,'Clean Gamification Data'!$A:$A,0)),"Not Found")</f>
        <v>69.817455080000002</v>
      </c>
      <c r="Z487" s="28">
        <f>IFERROR(INDEX('Clean Gamification Data'!$I:$I,MATCH($B487,'Clean Gamification Data'!$A:$A,0)),"Not Found")</f>
        <v>68.236866289999995</v>
      </c>
      <c r="AA487" s="28">
        <f>Table1[[#This Row],[Engagement (Gamification %)]]-Table1[[#This Row],[Engagement (Non-Gamification %)]]</f>
        <v>14.057846709999993</v>
      </c>
      <c r="AB487" s="28">
        <f>Table1[[#This Row],[Motivation (Gamification %)]]-Table1[[#This Row],[Motivation (Non-Gamification %)]]</f>
        <v>8.4086534399999948</v>
      </c>
      <c r="AC487" s="28">
        <f>Table1[[#This Row],[Participation (Gamification %)]]-Table1[[#This Row],[Participation (Non-Gamification %)]]</f>
        <v>11.284965570000011</v>
      </c>
      <c r="AD487" s="28">
        <f>Table1[[#This Row],[Learning Outcomes (Gamification %)]]-Table1[[#This Row],[Learning Outcomes (Non-Gamification %)]]</f>
        <v>1.5805887900000073</v>
      </c>
      <c r="AE487" s="44" t="str">
        <f>IF(Table1[[#This Row],[Overall Effectiveness]]&lt;3.9,"Low",IF(Table1[[#This Row],[Overall Effectiveness]]&lt;4.2,"Medium","High"))</f>
        <v>Medium</v>
      </c>
      <c r="AF487" s="30" t="str">
        <f t="shared" si="46"/>
        <v>Lectures</v>
      </c>
      <c r="AG487" s="30" t="str">
        <f t="shared" si="47"/>
        <v>Online Tutorials</v>
      </c>
      <c r="AH487" s="27">
        <f>COUNTIF(Teacher_Master!$D$2:$D$16,AF487)</f>
        <v>3</v>
      </c>
      <c r="AI487" s="30" t="str">
        <f>INDEX(Teacher_Master!$B$2:$B$16,MATCH(AF487,Teacher_Master!$D$2:$D$16,0))</f>
        <v>Prof. Vikram Gupta</v>
      </c>
    </row>
    <row r="488" spans="1:35" ht="14.25" customHeight="1" x14ac:dyDescent="0.3">
      <c r="A488" s="31" t="s">
        <v>1000</v>
      </c>
      <c r="B488" s="31" t="s">
        <v>2427</v>
      </c>
      <c r="C488" s="31" t="s">
        <v>2881</v>
      </c>
      <c r="D488" s="12">
        <f t="shared" ca="1" si="42"/>
        <v>21</v>
      </c>
      <c r="E488" s="12" t="str">
        <f ca="1">IF(Table1[[#This Row],[Age]]&lt;=22,"20-22",IF(Table1[[#This Row],[Age]]&lt;=25,"23-25",IF(Table1[[#This Row],[Age]]&lt;=28,"26-28","29-30")))</f>
        <v>20-22</v>
      </c>
      <c r="F488" s="12">
        <v>4.46</v>
      </c>
      <c r="G488" s="12">
        <v>4.5199999999999996</v>
      </c>
      <c r="H488" s="12">
        <v>3.86</v>
      </c>
      <c r="I488" s="12">
        <v>4.0999999999999996</v>
      </c>
      <c r="J488" s="12">
        <v>3.68</v>
      </c>
      <c r="K488" s="12">
        <v>4.6100000000000003</v>
      </c>
      <c r="L488" s="12">
        <v>3.6</v>
      </c>
      <c r="M488" s="12">
        <v>3.71</v>
      </c>
      <c r="N488" s="12">
        <v>3.77</v>
      </c>
      <c r="O488" s="12">
        <v>3.71</v>
      </c>
      <c r="P488" s="12">
        <f t="shared" si="43"/>
        <v>4.1239999999999997</v>
      </c>
      <c r="Q488" s="12">
        <f t="shared" si="44"/>
        <v>4.12</v>
      </c>
      <c r="R488" s="12">
        <f t="shared" si="45"/>
        <v>3.8800000000000003</v>
      </c>
      <c r="S488" s="28">
        <f>IFERROR(INDEX('Clean Gamification Data'!$B:$B,MATCH($B488,'Clean Gamification Data'!$A:$A,0)),"Not Found")</f>
        <v>87.392564730000004</v>
      </c>
      <c r="T488" s="28">
        <f>IFERROR(INDEX('Clean Gamification Data'!$C:$C,MATCH($B488,'Clean Gamification Data'!$A:$A,0)),"Not Found")</f>
        <v>62.16918459</v>
      </c>
      <c r="U488" s="28">
        <f>IFERROR(INDEX('Clean Gamification Data'!$D:$D,MATCH($B488,'Clean Gamification Data'!$A:$A,0)),"Not Found")</f>
        <v>70</v>
      </c>
      <c r="V488" s="28">
        <f>IFERROR(INDEX('Clean Gamification Data'!$E:$E,MATCH($B488,'Clean Gamification Data'!$A:$A,0)),"Not Found")</f>
        <v>72.021093680000007</v>
      </c>
      <c r="W488" s="28">
        <f>IFERROR(INDEX('Clean Gamification Data'!$F:$F,MATCH($B488,'Clean Gamification Data'!$A:$A,0)),"Not Found")</f>
        <v>91.233106890000002</v>
      </c>
      <c r="X488" s="28">
        <f>IFERROR(INDEX('Clean Gamification Data'!$G:$G,MATCH($B488,'Clean Gamification Data'!$A:$A,0)),"Not Found")</f>
        <v>81.405024659999995</v>
      </c>
      <c r="Y488" s="28">
        <f>IFERROR(INDEX('Clean Gamification Data'!$H:$H,MATCH($B488,'Clean Gamification Data'!$A:$A,0)),"Not Found")</f>
        <v>69.698572639999995</v>
      </c>
      <c r="Z488" s="28">
        <f>IFERROR(INDEX('Clean Gamification Data'!$I:$I,MATCH($B488,'Clean Gamification Data'!$A:$A,0)),"Not Found")</f>
        <v>55.322373779999999</v>
      </c>
      <c r="AA488" s="28">
        <f>Table1[[#This Row],[Engagement (Gamification %)]]-Table1[[#This Row],[Engagement (Non-Gamification %)]]</f>
        <v>25.223380140000003</v>
      </c>
      <c r="AB488" s="28">
        <f>Table1[[#This Row],[Motivation (Gamification %)]]-Table1[[#This Row],[Motivation (Non-Gamification %)]]</f>
        <v>-2.021093680000007</v>
      </c>
      <c r="AC488" s="28">
        <f>Table1[[#This Row],[Participation (Gamification %)]]-Table1[[#This Row],[Participation (Non-Gamification %)]]</f>
        <v>9.8280822300000068</v>
      </c>
      <c r="AD488" s="28">
        <f>Table1[[#This Row],[Learning Outcomes (Gamification %)]]-Table1[[#This Row],[Learning Outcomes (Non-Gamification %)]]</f>
        <v>14.376198859999995</v>
      </c>
      <c r="AE488" s="44" t="str">
        <f>IF(Table1[[#This Row],[Overall Effectiveness]]&lt;3.9,"Low",IF(Table1[[#This Row],[Overall Effectiveness]]&lt;4.2,"Medium","High"))</f>
        <v>Medium</v>
      </c>
      <c r="AF488" s="30" t="str">
        <f t="shared" si="46"/>
        <v>Case Studies</v>
      </c>
      <c r="AG488" s="30" t="str">
        <f t="shared" si="47"/>
        <v>Lectures</v>
      </c>
      <c r="AH488" s="27">
        <f>COUNTIF(Teacher_Master!$D$2:$D$16,AF488)</f>
        <v>3</v>
      </c>
      <c r="AI488" s="30" t="str">
        <f>INDEX(Teacher_Master!$B$2:$B$16,MATCH(AF488,Teacher_Master!$D$2:$D$16,0))</f>
        <v>Prof. Rajesh Mukherjee</v>
      </c>
    </row>
    <row r="489" spans="1:35" ht="14.25" customHeight="1" x14ac:dyDescent="0.3">
      <c r="A489" s="31" t="s">
        <v>1002</v>
      </c>
      <c r="B489" s="31" t="s">
        <v>1003</v>
      </c>
      <c r="C489" s="31" t="s">
        <v>2882</v>
      </c>
      <c r="D489" s="12">
        <f t="shared" ca="1" si="42"/>
        <v>22</v>
      </c>
      <c r="E489" s="12" t="str">
        <f ca="1">IF(Table1[[#This Row],[Age]]&lt;=22,"20-22",IF(Table1[[#This Row],[Age]]&lt;=25,"23-25",IF(Table1[[#This Row],[Age]]&lt;=28,"26-28","29-30")))</f>
        <v>20-22</v>
      </c>
      <c r="F489" s="12">
        <v>4.59</v>
      </c>
      <c r="G489" s="12">
        <v>4.38</v>
      </c>
      <c r="H489" s="12">
        <v>3</v>
      </c>
      <c r="I489" s="12">
        <v>4.12</v>
      </c>
      <c r="J489" s="12">
        <v>3.54</v>
      </c>
      <c r="K489" s="12">
        <v>3.72</v>
      </c>
      <c r="L489" s="12">
        <v>3.96</v>
      </c>
      <c r="M489" s="12">
        <v>4.5599999999999996</v>
      </c>
      <c r="N489" s="12">
        <v>4.03</v>
      </c>
      <c r="O489" s="12">
        <v>3.81</v>
      </c>
      <c r="P489" s="12">
        <f t="shared" si="43"/>
        <v>3.9259999999999997</v>
      </c>
      <c r="Q489" s="12">
        <f t="shared" si="44"/>
        <v>3.93</v>
      </c>
      <c r="R489" s="12">
        <f t="shared" si="45"/>
        <v>4.016</v>
      </c>
      <c r="S489" s="28">
        <f>IFERROR(INDEX('Clean Gamification Data'!$B:$B,MATCH($B489,'Clean Gamification Data'!$A:$A,0)),"Not Found")</f>
        <v>87.889109070000003</v>
      </c>
      <c r="T489" s="28">
        <f>IFERROR(INDEX('Clean Gamification Data'!$C:$C,MATCH($B489,'Clean Gamification Data'!$A:$A,0)),"Not Found")</f>
        <v>64.279077549999997</v>
      </c>
      <c r="U489" s="28">
        <f>IFERROR(INDEX('Clean Gamification Data'!$D:$D,MATCH($B489,'Clean Gamification Data'!$A:$A,0)),"Not Found")</f>
        <v>87.713347189999993</v>
      </c>
      <c r="V489" s="28">
        <f>IFERROR(INDEX('Clean Gamification Data'!$E:$E,MATCH($B489,'Clean Gamification Data'!$A:$A,0)),"Not Found")</f>
        <v>60.492125280000003</v>
      </c>
      <c r="W489" s="28">
        <f>IFERROR(INDEX('Clean Gamification Data'!$F:$F,MATCH($B489,'Clean Gamification Data'!$A:$A,0)),"Not Found")</f>
        <v>91.82506377</v>
      </c>
      <c r="X489" s="28">
        <f>IFERROR(INDEX('Clean Gamification Data'!$G:$G,MATCH($B489,'Clean Gamification Data'!$A:$A,0)),"Not Found")</f>
        <v>76.821446359999996</v>
      </c>
      <c r="Y489" s="28">
        <f>IFERROR(INDEX('Clean Gamification Data'!$H:$H,MATCH($B489,'Clean Gamification Data'!$A:$A,0)),"Not Found")</f>
        <v>67.83089004</v>
      </c>
      <c r="Z489" s="28">
        <f>IFERROR(INDEX('Clean Gamification Data'!$I:$I,MATCH($B489,'Clean Gamification Data'!$A:$A,0)),"Not Found")</f>
        <v>53.999026129999997</v>
      </c>
      <c r="AA489" s="28">
        <f>Table1[[#This Row],[Engagement (Gamification %)]]-Table1[[#This Row],[Engagement (Non-Gamification %)]]</f>
        <v>23.610031520000007</v>
      </c>
      <c r="AB489" s="28">
        <f>Table1[[#This Row],[Motivation (Gamification %)]]-Table1[[#This Row],[Motivation (Non-Gamification %)]]</f>
        <v>27.22122190999999</v>
      </c>
      <c r="AC489" s="28">
        <f>Table1[[#This Row],[Participation (Gamification %)]]-Table1[[#This Row],[Participation (Non-Gamification %)]]</f>
        <v>15.003617410000004</v>
      </c>
      <c r="AD489" s="28">
        <f>Table1[[#This Row],[Learning Outcomes (Gamification %)]]-Table1[[#This Row],[Learning Outcomes (Non-Gamification %)]]</f>
        <v>13.831863910000003</v>
      </c>
      <c r="AE489" s="44" t="str">
        <f>IF(Table1[[#This Row],[Overall Effectiveness]]&lt;3.9,"Low",IF(Table1[[#This Row],[Overall Effectiveness]]&lt;4.2,"Medium","High"))</f>
        <v>Medium</v>
      </c>
      <c r="AF489" s="30" t="str">
        <f t="shared" si="46"/>
        <v>Lectures</v>
      </c>
      <c r="AG489" s="30" t="str">
        <f t="shared" si="47"/>
        <v>Group Projects</v>
      </c>
      <c r="AH489" s="27">
        <f>COUNTIF(Teacher_Master!$D$2:$D$16,AF489)</f>
        <v>3</v>
      </c>
      <c r="AI489" s="30" t="str">
        <f>INDEX(Teacher_Master!$B$2:$B$16,MATCH(AF489,Teacher_Master!$D$2:$D$16,0))</f>
        <v>Prof. Vikram Gupta</v>
      </c>
    </row>
    <row r="490" spans="1:35" ht="14.25" customHeight="1" x14ac:dyDescent="0.3">
      <c r="A490" s="31" t="s">
        <v>1004</v>
      </c>
      <c r="B490" s="31" t="s">
        <v>2428</v>
      </c>
      <c r="C490" s="31" t="s">
        <v>2881</v>
      </c>
      <c r="D490" s="12">
        <f t="shared" ca="1" si="42"/>
        <v>20</v>
      </c>
      <c r="E490" s="12" t="str">
        <f ca="1">IF(Table1[[#This Row],[Age]]&lt;=22,"20-22",IF(Table1[[#This Row],[Age]]&lt;=25,"23-25",IF(Table1[[#This Row],[Age]]&lt;=28,"26-28","29-30")))</f>
        <v>20-22</v>
      </c>
      <c r="F490" s="12">
        <v>3.46</v>
      </c>
      <c r="G490" s="12" t="s">
        <v>1006</v>
      </c>
      <c r="H490" s="12">
        <v>3.9</v>
      </c>
      <c r="I490" s="12">
        <v>3.95</v>
      </c>
      <c r="J490" s="12">
        <v>4.0199999999999996</v>
      </c>
      <c r="K490" s="12">
        <v>4.04</v>
      </c>
      <c r="L490" s="12">
        <v>4.1399999999999997</v>
      </c>
      <c r="M490" s="12">
        <v>4.04</v>
      </c>
      <c r="N490" s="12">
        <v>3.51</v>
      </c>
      <c r="O490" s="12">
        <v>4.1500000000000004</v>
      </c>
      <c r="P490" s="12">
        <f t="shared" si="43"/>
        <v>3.8324999999999996</v>
      </c>
      <c r="Q490" s="12">
        <f t="shared" si="44"/>
        <v>3.83</v>
      </c>
      <c r="R490" s="12">
        <f t="shared" si="45"/>
        <v>3.976</v>
      </c>
      <c r="S490" s="28">
        <f>IFERROR(INDEX('Clean Gamification Data'!$B:$B,MATCH($B490,'Clean Gamification Data'!$A:$A,0)),"Not Found")</f>
        <v>88.46835111</v>
      </c>
      <c r="T490" s="28">
        <f>IFERROR(INDEX('Clean Gamification Data'!$C:$C,MATCH($B490,'Clean Gamification Data'!$A:$A,0)),"Not Found")</f>
        <v>64.058372309999996</v>
      </c>
      <c r="U490" s="28">
        <f>IFERROR(INDEX('Clean Gamification Data'!$D:$D,MATCH($B490,'Clean Gamification Data'!$A:$A,0)),"Not Found")</f>
        <v>86.354779300000004</v>
      </c>
      <c r="V490" s="28">
        <f>IFERROR(INDEX('Clean Gamification Data'!$E:$E,MATCH($B490,'Clean Gamification Data'!$A:$A,0)),"Not Found")</f>
        <v>59.954448859999999</v>
      </c>
      <c r="W490" s="28">
        <f>IFERROR(INDEX('Clean Gamification Data'!$F:$F,MATCH($B490,'Clean Gamification Data'!$A:$A,0)),"Not Found")</f>
        <v>90.272349230000003</v>
      </c>
      <c r="X490" s="28">
        <f>IFERROR(INDEX('Clean Gamification Data'!$G:$G,MATCH($B490,'Clean Gamification Data'!$A:$A,0)),"Not Found")</f>
        <v>80.215813830000002</v>
      </c>
      <c r="Y490" s="28">
        <f>IFERROR(INDEX('Clean Gamification Data'!$H:$H,MATCH($B490,'Clean Gamification Data'!$A:$A,0)),"Not Found")</f>
        <v>67.629719179999995</v>
      </c>
      <c r="Z490" s="28">
        <f>IFERROR(INDEX('Clean Gamification Data'!$I:$I,MATCH($B490,'Clean Gamification Data'!$A:$A,0)),"Not Found")</f>
        <v>52.794754310000002</v>
      </c>
      <c r="AA490" s="28">
        <f>Table1[[#This Row],[Engagement (Gamification %)]]-Table1[[#This Row],[Engagement (Non-Gamification %)]]</f>
        <v>24.409978800000005</v>
      </c>
      <c r="AB490" s="28">
        <f>Table1[[#This Row],[Motivation (Gamification %)]]-Table1[[#This Row],[Motivation (Non-Gamification %)]]</f>
        <v>26.400330440000005</v>
      </c>
      <c r="AC490" s="28">
        <f>Table1[[#This Row],[Participation (Gamification %)]]-Table1[[#This Row],[Participation (Non-Gamification %)]]</f>
        <v>10.056535400000001</v>
      </c>
      <c r="AD490" s="28">
        <f>Table1[[#This Row],[Learning Outcomes (Gamification %)]]-Table1[[#This Row],[Learning Outcomes (Non-Gamification %)]]</f>
        <v>14.834964869999993</v>
      </c>
      <c r="AE490" s="44" t="str">
        <f>IF(Table1[[#This Row],[Overall Effectiveness]]&lt;3.9,"Low",IF(Table1[[#This Row],[Overall Effectiveness]]&lt;4.2,"Medium","High"))</f>
        <v>Low</v>
      </c>
      <c r="AF490" s="30" t="str">
        <f t="shared" si="46"/>
        <v>Online Tutorials</v>
      </c>
      <c r="AG490" s="30" t="str">
        <f t="shared" si="47"/>
        <v>Online Tutorials</v>
      </c>
      <c r="AH490" s="27">
        <f>COUNTIF(Teacher_Master!$D$2:$D$16,AF490)</f>
        <v>3</v>
      </c>
      <c r="AI490" s="30" t="str">
        <f>INDEX(Teacher_Master!$B$2:$B$16,MATCH(AF490,Teacher_Master!$D$2:$D$16,0))</f>
        <v>Prof. Kavita Rao</v>
      </c>
    </row>
    <row r="491" spans="1:35" ht="14.25" customHeight="1" x14ac:dyDescent="0.3">
      <c r="A491" s="31" t="s">
        <v>1007</v>
      </c>
      <c r="B491" s="31" t="s">
        <v>2429</v>
      </c>
      <c r="C491" s="31" t="s">
        <v>2882</v>
      </c>
      <c r="D491" s="12">
        <f t="shared" ca="1" si="42"/>
        <v>27</v>
      </c>
      <c r="E491" s="12" t="str">
        <f ca="1">IF(Table1[[#This Row],[Age]]&lt;=22,"20-22",IF(Table1[[#This Row],[Age]]&lt;=25,"23-25",IF(Table1[[#This Row],[Age]]&lt;=28,"26-28","29-30")))</f>
        <v>26-28</v>
      </c>
      <c r="F491" s="12">
        <v>3.69</v>
      </c>
      <c r="G491" s="12">
        <v>3.98</v>
      </c>
      <c r="H491" s="12" t="s">
        <v>211</v>
      </c>
      <c r="I491" s="12">
        <v>3.48</v>
      </c>
      <c r="J491" s="12">
        <v>3.82</v>
      </c>
      <c r="K491" s="12">
        <v>4.12</v>
      </c>
      <c r="L491" s="12">
        <v>4</v>
      </c>
      <c r="M491" s="12">
        <v>4.03</v>
      </c>
      <c r="N491" s="12">
        <v>3.96</v>
      </c>
      <c r="O491" s="12">
        <v>3.27</v>
      </c>
      <c r="P491" s="12">
        <f t="shared" si="43"/>
        <v>3.7425000000000002</v>
      </c>
      <c r="Q491" s="12">
        <f t="shared" si="44"/>
        <v>3.74</v>
      </c>
      <c r="R491" s="12">
        <f t="shared" si="45"/>
        <v>3.8760000000000003</v>
      </c>
      <c r="S491" s="28">
        <f>IFERROR(INDEX('Clean Gamification Data'!$B:$B,MATCH($B491,'Clean Gamification Data'!$A:$A,0)),"Not Found")</f>
        <v>82.307312030000006</v>
      </c>
      <c r="T491" s="28">
        <f>IFERROR(INDEX('Clean Gamification Data'!$C:$C,MATCH($B491,'Clean Gamification Data'!$A:$A,0)),"Not Found")</f>
        <v>71.873558040000006</v>
      </c>
      <c r="U491" s="28">
        <f>IFERROR(INDEX('Clean Gamification Data'!$D:$D,MATCH($B491,'Clean Gamification Data'!$A:$A,0)),"Not Found")</f>
        <v>82.252554239999995</v>
      </c>
      <c r="V491" s="28">
        <f>IFERROR(INDEX('Clean Gamification Data'!$E:$E,MATCH($B491,'Clean Gamification Data'!$A:$A,0)),"Not Found")</f>
        <v>66.624854209999995</v>
      </c>
      <c r="W491" s="28">
        <f>IFERROR(INDEX('Clean Gamification Data'!$F:$F,MATCH($B491,'Clean Gamification Data'!$A:$A,0)),"Not Found")</f>
        <v>85.591236730000006</v>
      </c>
      <c r="X491" s="28">
        <f>IFERROR(INDEX('Clean Gamification Data'!$G:$G,MATCH($B491,'Clean Gamification Data'!$A:$A,0)),"Not Found")</f>
        <v>85</v>
      </c>
      <c r="Y491" s="28">
        <f>IFERROR(INDEX('Clean Gamification Data'!$H:$H,MATCH($B491,'Clean Gamification Data'!$A:$A,0)),"Not Found")</f>
        <v>68.865423590000006</v>
      </c>
      <c r="Z491" s="28">
        <f>IFERROR(INDEX('Clean Gamification Data'!$I:$I,MATCH($B491,'Clean Gamification Data'!$A:$A,0)),"Not Found")</f>
        <v>54.460010349999997</v>
      </c>
      <c r="AA491" s="28">
        <f>Table1[[#This Row],[Engagement (Gamification %)]]-Table1[[#This Row],[Engagement (Non-Gamification %)]]</f>
        <v>10.43375399</v>
      </c>
      <c r="AB491" s="28">
        <f>Table1[[#This Row],[Motivation (Gamification %)]]-Table1[[#This Row],[Motivation (Non-Gamification %)]]</f>
        <v>15.62770003</v>
      </c>
      <c r="AC491" s="28">
        <f>Table1[[#This Row],[Participation (Gamification %)]]-Table1[[#This Row],[Participation (Non-Gamification %)]]</f>
        <v>0.59123673000000565</v>
      </c>
      <c r="AD491" s="28">
        <f>Table1[[#This Row],[Learning Outcomes (Gamification %)]]-Table1[[#This Row],[Learning Outcomes (Non-Gamification %)]]</f>
        <v>14.405413240000009</v>
      </c>
      <c r="AE491" s="44" t="str">
        <f>IF(Table1[[#This Row],[Overall Effectiveness]]&lt;3.9,"Low",IF(Table1[[#This Row],[Overall Effectiveness]]&lt;4.2,"Medium","High"))</f>
        <v>Low</v>
      </c>
      <c r="AF491" s="30" t="str">
        <f t="shared" si="46"/>
        <v>Case Studies</v>
      </c>
      <c r="AG491" s="30" t="str">
        <f t="shared" si="47"/>
        <v>Lectures</v>
      </c>
      <c r="AH491" s="27">
        <f>COUNTIF(Teacher_Master!$D$2:$D$16,AF491)</f>
        <v>3</v>
      </c>
      <c r="AI491" s="30" t="str">
        <f>INDEX(Teacher_Master!$B$2:$B$16,MATCH(AF491,Teacher_Master!$D$2:$D$16,0))</f>
        <v>Prof. Rajesh Mukherjee</v>
      </c>
    </row>
    <row r="492" spans="1:35" ht="14.25" customHeight="1" x14ac:dyDescent="0.3">
      <c r="A492" s="31" t="s">
        <v>1009</v>
      </c>
      <c r="B492" s="31" t="s">
        <v>2430</v>
      </c>
      <c r="C492" s="31" t="s">
        <v>2881</v>
      </c>
      <c r="D492" s="12">
        <f t="shared" ca="1" si="42"/>
        <v>29</v>
      </c>
      <c r="E492" s="12" t="str">
        <f ca="1">IF(Table1[[#This Row],[Age]]&lt;=22,"20-22",IF(Table1[[#This Row],[Age]]&lt;=25,"23-25",IF(Table1[[#This Row],[Age]]&lt;=28,"26-28","29-30")))</f>
        <v>29-30</v>
      </c>
      <c r="F492" s="12">
        <v>3.92</v>
      </c>
      <c r="G492" s="12">
        <v>4.49</v>
      </c>
      <c r="H492" s="12" t="s">
        <v>211</v>
      </c>
      <c r="I492" s="12">
        <v>4.25</v>
      </c>
      <c r="J492" s="12">
        <v>3.88</v>
      </c>
      <c r="K492" s="12" t="s">
        <v>211</v>
      </c>
      <c r="L492" s="12">
        <v>4.38</v>
      </c>
      <c r="M492" s="12">
        <v>3.64</v>
      </c>
      <c r="N492" s="12">
        <v>4.4000000000000004</v>
      </c>
      <c r="O492" s="12">
        <v>4.0999999999999996</v>
      </c>
      <c r="P492" s="12">
        <f t="shared" si="43"/>
        <v>4.1349999999999998</v>
      </c>
      <c r="Q492" s="12">
        <f t="shared" si="44"/>
        <v>4.1399999999999997</v>
      </c>
      <c r="R492" s="12">
        <f t="shared" si="45"/>
        <v>4.13</v>
      </c>
      <c r="S492" s="28">
        <f>IFERROR(INDEX('Clean Gamification Data'!$B:$B,MATCH($B492,'Clean Gamification Data'!$A:$A,0)),"Not Found")</f>
        <v>86.425353259999994</v>
      </c>
      <c r="T492" s="28">
        <f>IFERROR(INDEX('Clean Gamification Data'!$C:$C,MATCH($B492,'Clean Gamification Data'!$A:$A,0)),"Not Found")</f>
        <v>72.333414050000002</v>
      </c>
      <c r="U492" s="28">
        <f>IFERROR(INDEX('Clean Gamification Data'!$D:$D,MATCH($B492,'Clean Gamification Data'!$A:$A,0)),"Not Found")</f>
        <v>74.926176299999995</v>
      </c>
      <c r="V492" s="28">
        <f>IFERROR(INDEX('Clean Gamification Data'!$E:$E,MATCH($B492,'Clean Gamification Data'!$A:$A,0)),"Not Found")</f>
        <v>64.688962200000006</v>
      </c>
      <c r="W492" s="28">
        <f>IFERROR(INDEX('Clean Gamification Data'!$F:$F,MATCH($B492,'Clean Gamification Data'!$A:$A,0)),"Not Found")</f>
        <v>91.901357790000006</v>
      </c>
      <c r="X492" s="28">
        <f>IFERROR(INDEX('Clean Gamification Data'!$G:$G,MATCH($B492,'Clean Gamification Data'!$A:$A,0)),"Not Found")</f>
        <v>71.652396460000006</v>
      </c>
      <c r="Y492" s="28">
        <f>IFERROR(INDEX('Clean Gamification Data'!$H:$H,MATCH($B492,'Clean Gamification Data'!$A:$A,0)),"Not Found")</f>
        <v>71.131217019999994</v>
      </c>
      <c r="Z492" s="28">
        <f>IFERROR(INDEX('Clean Gamification Data'!$I:$I,MATCH($B492,'Clean Gamification Data'!$A:$A,0)),"Not Found")</f>
        <v>50</v>
      </c>
      <c r="AA492" s="28">
        <f>Table1[[#This Row],[Engagement (Gamification %)]]-Table1[[#This Row],[Engagement (Non-Gamification %)]]</f>
        <v>14.091939209999992</v>
      </c>
      <c r="AB492" s="28">
        <f>Table1[[#This Row],[Motivation (Gamification %)]]-Table1[[#This Row],[Motivation (Non-Gamification %)]]</f>
        <v>10.237214099999989</v>
      </c>
      <c r="AC492" s="28">
        <f>Table1[[#This Row],[Participation (Gamification %)]]-Table1[[#This Row],[Participation (Non-Gamification %)]]</f>
        <v>20.24896133</v>
      </c>
      <c r="AD492" s="28">
        <f>Table1[[#This Row],[Learning Outcomes (Gamification %)]]-Table1[[#This Row],[Learning Outcomes (Non-Gamification %)]]</f>
        <v>21.131217019999994</v>
      </c>
      <c r="AE492" s="44" t="str">
        <f>IF(Table1[[#This Row],[Overall Effectiveness]]&lt;3.9,"Low",IF(Table1[[#This Row],[Overall Effectiveness]]&lt;4.2,"Medium","High"))</f>
        <v>Medium</v>
      </c>
      <c r="AF492" s="30" t="str">
        <f t="shared" si="46"/>
        <v>Case Studies</v>
      </c>
      <c r="AG492" s="30" t="str">
        <f t="shared" si="47"/>
        <v>Experiments</v>
      </c>
      <c r="AH492" s="27">
        <f>COUNTIF(Teacher_Master!$D$2:$D$16,AF492)</f>
        <v>3</v>
      </c>
      <c r="AI492" s="30" t="str">
        <f>INDEX(Teacher_Master!$B$2:$B$16,MATCH(AF492,Teacher_Master!$D$2:$D$16,0))</f>
        <v>Prof. Rajesh Mukherjee</v>
      </c>
    </row>
    <row r="493" spans="1:35" ht="14.25" customHeight="1" x14ac:dyDescent="0.3">
      <c r="A493" s="31" t="s">
        <v>1011</v>
      </c>
      <c r="B493" s="31" t="s">
        <v>2431</v>
      </c>
      <c r="C493" s="31" t="s">
        <v>2882</v>
      </c>
      <c r="D493" s="12">
        <f t="shared" ca="1" si="42"/>
        <v>23</v>
      </c>
      <c r="E493" s="12" t="str">
        <f ca="1">IF(Table1[[#This Row],[Age]]&lt;=22,"20-22",IF(Table1[[#This Row],[Age]]&lt;=25,"23-25",IF(Table1[[#This Row],[Age]]&lt;=28,"26-28","29-30")))</f>
        <v>23-25</v>
      </c>
      <c r="F493" s="12">
        <v>4.3099999999999996</v>
      </c>
      <c r="G493" s="12">
        <v>4.6399999999999997</v>
      </c>
      <c r="H493" s="12">
        <v>3.7</v>
      </c>
      <c r="I493" s="12">
        <v>3.69</v>
      </c>
      <c r="J493" s="12">
        <v>4.5</v>
      </c>
      <c r="K493" s="12">
        <v>4.05</v>
      </c>
      <c r="L493" s="12">
        <v>3.68</v>
      </c>
      <c r="M493" s="12">
        <v>4.37</v>
      </c>
      <c r="N493" s="12">
        <v>3.79</v>
      </c>
      <c r="O493" s="12">
        <v>4</v>
      </c>
      <c r="P493" s="12">
        <f t="shared" si="43"/>
        <v>4.1680000000000001</v>
      </c>
      <c r="Q493" s="12">
        <f t="shared" si="44"/>
        <v>4.17</v>
      </c>
      <c r="R493" s="12">
        <f t="shared" si="45"/>
        <v>3.9780000000000002</v>
      </c>
      <c r="S493" s="28">
        <f>IFERROR(INDEX('Clean Gamification Data'!$B:$B,MATCH($B493,'Clean Gamification Data'!$A:$A,0)),"Not Found")</f>
        <v>80.876550390000006</v>
      </c>
      <c r="T493" s="28">
        <f>IFERROR(INDEX('Clean Gamification Data'!$C:$C,MATCH($B493,'Clean Gamification Data'!$A:$A,0)),"Not Found")</f>
        <v>68.430226660000002</v>
      </c>
      <c r="U493" s="28">
        <f>IFERROR(INDEX('Clean Gamification Data'!$D:$D,MATCH($B493,'Clean Gamification Data'!$A:$A,0)),"Not Found")</f>
        <v>70.771788740000005</v>
      </c>
      <c r="V493" s="28">
        <f>IFERROR(INDEX('Clean Gamification Data'!$E:$E,MATCH($B493,'Clean Gamification Data'!$A:$A,0)),"Not Found")</f>
        <v>72.300802930000003</v>
      </c>
      <c r="W493" s="28">
        <f>IFERROR(INDEX('Clean Gamification Data'!$F:$F,MATCH($B493,'Clean Gamification Data'!$A:$A,0)),"Not Found")</f>
        <v>80.503773989999999</v>
      </c>
      <c r="X493" s="28">
        <f>IFERROR(INDEX('Clean Gamification Data'!$G:$G,MATCH($B493,'Clean Gamification Data'!$A:$A,0)),"Not Found")</f>
        <v>74.778221819999999</v>
      </c>
      <c r="Y493" s="28">
        <f>IFERROR(INDEX('Clean Gamification Data'!$H:$H,MATCH($B493,'Clean Gamification Data'!$A:$A,0)),"Not Found")</f>
        <v>69.253379519999996</v>
      </c>
      <c r="Z493" s="28">
        <f>IFERROR(INDEX('Clean Gamification Data'!$I:$I,MATCH($B493,'Clean Gamification Data'!$A:$A,0)),"Not Found")</f>
        <v>64.758269389999995</v>
      </c>
      <c r="AA493" s="28">
        <f>Table1[[#This Row],[Engagement (Gamification %)]]-Table1[[#This Row],[Engagement (Non-Gamification %)]]</f>
        <v>12.446323730000003</v>
      </c>
      <c r="AB493" s="28">
        <f>Table1[[#This Row],[Motivation (Gamification %)]]-Table1[[#This Row],[Motivation (Non-Gamification %)]]</f>
        <v>-1.5290141899999981</v>
      </c>
      <c r="AC493" s="28">
        <f>Table1[[#This Row],[Participation (Gamification %)]]-Table1[[#This Row],[Participation (Non-Gamification %)]]</f>
        <v>5.7255521700000003</v>
      </c>
      <c r="AD493" s="28">
        <f>Table1[[#This Row],[Learning Outcomes (Gamification %)]]-Table1[[#This Row],[Learning Outcomes (Non-Gamification %)]]</f>
        <v>4.4951101300000005</v>
      </c>
      <c r="AE493" s="44" t="str">
        <f>IF(Table1[[#This Row],[Overall Effectiveness]]&lt;3.9,"Low",IF(Table1[[#This Row],[Overall Effectiveness]]&lt;4.2,"Medium","High"))</f>
        <v>Medium</v>
      </c>
      <c r="AF493" s="30" t="str">
        <f t="shared" si="46"/>
        <v>Case Studies</v>
      </c>
      <c r="AG493" s="30" t="str">
        <f t="shared" si="47"/>
        <v>Group Projects</v>
      </c>
      <c r="AH493" s="27">
        <f>COUNTIF(Teacher_Master!$D$2:$D$16,AF493)</f>
        <v>3</v>
      </c>
      <c r="AI493" s="30" t="str">
        <f>INDEX(Teacher_Master!$B$2:$B$16,MATCH(AF493,Teacher_Master!$D$2:$D$16,0))</f>
        <v>Prof. Rajesh Mukherjee</v>
      </c>
    </row>
    <row r="494" spans="1:35" ht="14.25" customHeight="1" x14ac:dyDescent="0.3">
      <c r="A494" s="31" t="s">
        <v>1013</v>
      </c>
      <c r="B494" s="31" t="s">
        <v>2432</v>
      </c>
      <c r="C494" s="31" t="s">
        <v>2882</v>
      </c>
      <c r="D494" s="12">
        <f t="shared" ca="1" si="42"/>
        <v>25</v>
      </c>
      <c r="E494" s="12" t="str">
        <f ca="1">IF(Table1[[#This Row],[Age]]&lt;=22,"20-22",IF(Table1[[#This Row],[Age]]&lt;=25,"23-25",IF(Table1[[#This Row],[Age]]&lt;=28,"26-28","29-30")))</f>
        <v>23-25</v>
      </c>
      <c r="F494" s="12">
        <v>3.86</v>
      </c>
      <c r="G494" s="12">
        <v>3.95</v>
      </c>
      <c r="H494" s="12">
        <v>3.87</v>
      </c>
      <c r="I494" s="12">
        <v>3.64</v>
      </c>
      <c r="J494" s="12">
        <v>3.67</v>
      </c>
      <c r="K494" s="12">
        <v>4.6900000000000004</v>
      </c>
      <c r="L494" s="12">
        <v>3.35</v>
      </c>
      <c r="M494" s="12">
        <v>3.99</v>
      </c>
      <c r="N494" s="12">
        <v>3.98</v>
      </c>
      <c r="O494" s="12">
        <v>4.13</v>
      </c>
      <c r="P494" s="12">
        <f t="shared" si="43"/>
        <v>3.7980000000000005</v>
      </c>
      <c r="Q494" s="12">
        <f t="shared" si="44"/>
        <v>3.8</v>
      </c>
      <c r="R494" s="12">
        <f t="shared" si="45"/>
        <v>4.0280000000000005</v>
      </c>
      <c r="S494" s="28">
        <f>IFERROR(INDEX('Clean Gamification Data'!$B:$B,MATCH($B494,'Clean Gamification Data'!$A:$A,0)),"Not Found")</f>
        <v>79.722671939999998</v>
      </c>
      <c r="T494" s="28">
        <f>IFERROR(INDEX('Clean Gamification Data'!$C:$C,MATCH($B494,'Clean Gamification Data'!$A:$A,0)),"Not Found")</f>
        <v>63.74440671</v>
      </c>
      <c r="U494" s="28">
        <f>IFERROR(INDEX('Clean Gamification Data'!$D:$D,MATCH($B494,'Clean Gamification Data'!$A:$A,0)),"Not Found")</f>
        <v>80.265235610000005</v>
      </c>
      <c r="V494" s="28">
        <f>IFERROR(INDEX('Clean Gamification Data'!$E:$E,MATCH($B494,'Clean Gamification Data'!$A:$A,0)),"Not Found")</f>
        <v>60.322028099999997</v>
      </c>
      <c r="W494" s="28">
        <f>IFERROR(INDEX('Clean Gamification Data'!$F:$F,MATCH($B494,'Clean Gamification Data'!$A:$A,0)),"Not Found")</f>
        <v>94.528903830000004</v>
      </c>
      <c r="X494" s="28">
        <f>IFERROR(INDEX('Clean Gamification Data'!$G:$G,MATCH($B494,'Clean Gamification Data'!$A:$A,0)),"Not Found")</f>
        <v>81.609042459999998</v>
      </c>
      <c r="Y494" s="28">
        <f>IFERROR(INDEX('Clean Gamification Data'!$H:$H,MATCH($B494,'Clean Gamification Data'!$A:$A,0)),"Not Found")</f>
        <v>67.359085930000006</v>
      </c>
      <c r="Z494" s="28">
        <f>IFERROR(INDEX('Clean Gamification Data'!$I:$I,MATCH($B494,'Clean Gamification Data'!$A:$A,0)),"Not Found")</f>
        <v>50</v>
      </c>
      <c r="AA494" s="28">
        <f>Table1[[#This Row],[Engagement (Gamification %)]]-Table1[[#This Row],[Engagement (Non-Gamification %)]]</f>
        <v>15.978265229999998</v>
      </c>
      <c r="AB494" s="28">
        <f>Table1[[#This Row],[Motivation (Gamification %)]]-Table1[[#This Row],[Motivation (Non-Gamification %)]]</f>
        <v>19.943207510000008</v>
      </c>
      <c r="AC494" s="28">
        <f>Table1[[#This Row],[Participation (Gamification %)]]-Table1[[#This Row],[Participation (Non-Gamification %)]]</f>
        <v>12.919861370000007</v>
      </c>
      <c r="AD494" s="28">
        <f>Table1[[#This Row],[Learning Outcomes (Gamification %)]]-Table1[[#This Row],[Learning Outcomes (Non-Gamification %)]]</f>
        <v>17.359085930000006</v>
      </c>
      <c r="AE494" s="44" t="str">
        <f>IF(Table1[[#This Row],[Overall Effectiveness]]&lt;3.9,"Low",IF(Table1[[#This Row],[Overall Effectiveness]]&lt;4.2,"Medium","High"))</f>
        <v>Low</v>
      </c>
      <c r="AF494" s="30" t="str">
        <f t="shared" si="46"/>
        <v>Case Studies</v>
      </c>
      <c r="AG494" s="30" t="str">
        <f t="shared" si="47"/>
        <v>Lectures</v>
      </c>
      <c r="AH494" s="27">
        <f>COUNTIF(Teacher_Master!$D$2:$D$16,AF494)</f>
        <v>3</v>
      </c>
      <c r="AI494" s="30" t="str">
        <f>INDEX(Teacher_Master!$B$2:$B$16,MATCH(AF494,Teacher_Master!$D$2:$D$16,0))</f>
        <v>Prof. Rajesh Mukherjee</v>
      </c>
    </row>
    <row r="495" spans="1:35" ht="14.25" customHeight="1" x14ac:dyDescent="0.3">
      <c r="A495" s="31" t="s">
        <v>1015</v>
      </c>
      <c r="B495" s="31" t="s">
        <v>2433</v>
      </c>
      <c r="C495" s="31" t="s">
        <v>2882</v>
      </c>
      <c r="D495" s="12">
        <f t="shared" ca="1" si="42"/>
        <v>20</v>
      </c>
      <c r="E495" s="12" t="str">
        <f ca="1">IF(Table1[[#This Row],[Age]]&lt;=22,"20-22",IF(Table1[[#This Row],[Age]]&lt;=25,"23-25",IF(Table1[[#This Row],[Age]]&lt;=28,"26-28","29-30")))</f>
        <v>20-22</v>
      </c>
      <c r="F495" s="12">
        <v>3.96</v>
      </c>
      <c r="G495" s="12">
        <v>4.07</v>
      </c>
      <c r="H495" s="12">
        <v>3.74</v>
      </c>
      <c r="I495" s="12">
        <v>4.3899999999999997</v>
      </c>
      <c r="J495" s="12">
        <v>3.94</v>
      </c>
      <c r="K495" s="12">
        <v>3.66</v>
      </c>
      <c r="L495" s="12">
        <v>4.08</v>
      </c>
      <c r="M495" s="12">
        <v>3.88</v>
      </c>
      <c r="N495" s="12">
        <v>3.85</v>
      </c>
      <c r="O495" s="12">
        <v>4.3899999999999997</v>
      </c>
      <c r="P495" s="12">
        <f t="shared" si="43"/>
        <v>4.0200000000000005</v>
      </c>
      <c r="Q495" s="12">
        <f t="shared" si="44"/>
        <v>4.0199999999999996</v>
      </c>
      <c r="R495" s="12">
        <f t="shared" si="45"/>
        <v>3.972</v>
      </c>
      <c r="S495" s="28">
        <f>IFERROR(INDEX('Clean Gamification Data'!$B:$B,MATCH($B495,'Clean Gamification Data'!$A:$A,0)),"Not Found")</f>
        <v>76.825441479999995</v>
      </c>
      <c r="T495" s="28">
        <f>IFERROR(INDEX('Clean Gamification Data'!$C:$C,MATCH($B495,'Clean Gamification Data'!$A:$A,0)),"Not Found")</f>
        <v>60</v>
      </c>
      <c r="U495" s="28">
        <f>IFERROR(INDEX('Clean Gamification Data'!$D:$D,MATCH($B495,'Clean Gamification Data'!$A:$A,0)),"Not Found")</f>
        <v>75.888459729999994</v>
      </c>
      <c r="V495" s="28">
        <f>IFERROR(INDEX('Clean Gamification Data'!$E:$E,MATCH($B495,'Clean Gamification Data'!$A:$A,0)),"Not Found")</f>
        <v>58.129318470000001</v>
      </c>
      <c r="W495" s="28">
        <f>IFERROR(INDEX('Clean Gamification Data'!$F:$F,MATCH($B495,'Clean Gamification Data'!$A:$A,0)),"Not Found")</f>
        <v>80</v>
      </c>
      <c r="X495" s="28">
        <f>IFERROR(INDEX('Clean Gamification Data'!$G:$G,MATCH($B495,'Clean Gamification Data'!$A:$A,0)),"Not Found")</f>
        <v>76.169831520000002</v>
      </c>
      <c r="Y495" s="28">
        <f>IFERROR(INDEX('Clean Gamification Data'!$H:$H,MATCH($B495,'Clean Gamification Data'!$A:$A,0)),"Not Found")</f>
        <v>72.326047939999995</v>
      </c>
      <c r="Z495" s="28">
        <f>IFERROR(INDEX('Clean Gamification Data'!$I:$I,MATCH($B495,'Clean Gamification Data'!$A:$A,0)),"Not Found")</f>
        <v>62.461413229999998</v>
      </c>
      <c r="AA495" s="28">
        <f>Table1[[#This Row],[Engagement (Gamification %)]]-Table1[[#This Row],[Engagement (Non-Gamification %)]]</f>
        <v>16.825441479999995</v>
      </c>
      <c r="AB495" s="28">
        <f>Table1[[#This Row],[Motivation (Gamification %)]]-Table1[[#This Row],[Motivation (Non-Gamification %)]]</f>
        <v>17.759141259999993</v>
      </c>
      <c r="AC495" s="28">
        <f>Table1[[#This Row],[Participation (Gamification %)]]-Table1[[#This Row],[Participation (Non-Gamification %)]]</f>
        <v>3.8301684799999975</v>
      </c>
      <c r="AD495" s="28">
        <f>Table1[[#This Row],[Learning Outcomes (Gamification %)]]-Table1[[#This Row],[Learning Outcomes (Non-Gamification %)]]</f>
        <v>9.8646347099999971</v>
      </c>
      <c r="AE495" s="44" t="str">
        <f>IF(Table1[[#This Row],[Overall Effectiveness]]&lt;3.9,"Low",IF(Table1[[#This Row],[Overall Effectiveness]]&lt;4.2,"Medium","High"))</f>
        <v>Medium</v>
      </c>
      <c r="AF495" s="30" t="str">
        <f t="shared" si="46"/>
        <v>Experiments</v>
      </c>
      <c r="AG495" s="30" t="str">
        <f t="shared" si="47"/>
        <v>Online Tutorials</v>
      </c>
      <c r="AH495" s="27">
        <f>COUNTIF(Teacher_Master!$D$2:$D$16,AF495)</f>
        <v>3</v>
      </c>
      <c r="AI495" s="30" t="str">
        <f>INDEX(Teacher_Master!$B$2:$B$16,MATCH(AF495,Teacher_Master!$D$2:$D$16,0))</f>
        <v>Prof. Rahul Singh</v>
      </c>
    </row>
    <row r="496" spans="1:35" ht="14.25" customHeight="1" x14ac:dyDescent="0.3">
      <c r="A496" s="31" t="s">
        <v>1017</v>
      </c>
      <c r="B496" s="31" t="s">
        <v>2434</v>
      </c>
      <c r="C496" s="31" t="s">
        <v>2882</v>
      </c>
      <c r="D496" s="12">
        <f t="shared" ca="1" si="42"/>
        <v>23</v>
      </c>
      <c r="E496" s="12" t="str">
        <f ca="1">IF(Table1[[#This Row],[Age]]&lt;=22,"20-22",IF(Table1[[#This Row],[Age]]&lt;=25,"23-25",IF(Table1[[#This Row],[Age]]&lt;=28,"26-28","29-30")))</f>
        <v>23-25</v>
      </c>
      <c r="F496" s="12">
        <v>4.0599999999999996</v>
      </c>
      <c r="G496" s="12" t="s">
        <v>211</v>
      </c>
      <c r="H496" s="12">
        <v>3.76</v>
      </c>
      <c r="I496" s="12">
        <v>4.67</v>
      </c>
      <c r="J496" s="12">
        <v>3.71</v>
      </c>
      <c r="K496" s="12">
        <v>4.04</v>
      </c>
      <c r="L496" s="12">
        <v>4.34</v>
      </c>
      <c r="M496" s="12">
        <v>4.1500000000000004</v>
      </c>
      <c r="N496" s="12">
        <v>3.69</v>
      </c>
      <c r="O496" s="12" t="s">
        <v>211</v>
      </c>
      <c r="P496" s="12">
        <f t="shared" si="43"/>
        <v>4.05</v>
      </c>
      <c r="Q496" s="12">
        <f t="shared" si="44"/>
        <v>4.05</v>
      </c>
      <c r="R496" s="12">
        <f t="shared" si="45"/>
        <v>4.0549999999999997</v>
      </c>
      <c r="S496" s="28">
        <f>IFERROR(INDEX('Clean Gamification Data'!$B:$B,MATCH($B496,'Clean Gamification Data'!$A:$A,0)),"Not Found")</f>
        <v>84.234681539999997</v>
      </c>
      <c r="T496" s="28">
        <f>IFERROR(INDEX('Clean Gamification Data'!$C:$C,MATCH($B496,'Clean Gamification Data'!$A:$A,0)),"Not Found")</f>
        <v>67.451332070000007</v>
      </c>
      <c r="U496" s="28">
        <f>IFERROR(INDEX('Clean Gamification Data'!$D:$D,MATCH($B496,'Clean Gamification Data'!$A:$A,0)),"Not Found")</f>
        <v>70.521594019999995</v>
      </c>
      <c r="V496" s="28">
        <f>IFERROR(INDEX('Clean Gamification Data'!$E:$E,MATCH($B496,'Clean Gamification Data'!$A:$A,0)),"Not Found")</f>
        <v>62.660249659999998</v>
      </c>
      <c r="W496" s="28">
        <f>IFERROR(INDEX('Clean Gamification Data'!$F:$F,MATCH($B496,'Clean Gamification Data'!$A:$A,0)),"Not Found")</f>
        <v>90.169473550000006</v>
      </c>
      <c r="X496" s="28">
        <f>IFERROR(INDEX('Clean Gamification Data'!$G:$G,MATCH($B496,'Clean Gamification Data'!$A:$A,0)),"Not Found")</f>
        <v>74.756524799999994</v>
      </c>
      <c r="Y496" s="28">
        <f>IFERROR(INDEX('Clean Gamification Data'!$H:$H,MATCH($B496,'Clean Gamification Data'!$A:$A,0)),"Not Found")</f>
        <v>65.197467979999999</v>
      </c>
      <c r="Z496" s="28">
        <f>IFERROR(INDEX('Clean Gamification Data'!$I:$I,MATCH($B496,'Clean Gamification Data'!$A:$A,0)),"Not Found")</f>
        <v>50</v>
      </c>
      <c r="AA496" s="28">
        <f>Table1[[#This Row],[Engagement (Gamification %)]]-Table1[[#This Row],[Engagement (Non-Gamification %)]]</f>
        <v>16.78334946999999</v>
      </c>
      <c r="AB496" s="28">
        <f>Table1[[#This Row],[Motivation (Gamification %)]]-Table1[[#This Row],[Motivation (Non-Gamification %)]]</f>
        <v>7.8613443599999968</v>
      </c>
      <c r="AC496" s="28">
        <f>Table1[[#This Row],[Participation (Gamification %)]]-Table1[[#This Row],[Participation (Non-Gamification %)]]</f>
        <v>15.412948750000012</v>
      </c>
      <c r="AD496" s="28">
        <f>Table1[[#This Row],[Learning Outcomes (Gamification %)]]-Table1[[#This Row],[Learning Outcomes (Non-Gamification %)]]</f>
        <v>15.197467979999999</v>
      </c>
      <c r="AE496" s="44" t="str">
        <f>IF(Table1[[#This Row],[Overall Effectiveness]]&lt;3.9,"Low",IF(Table1[[#This Row],[Overall Effectiveness]]&lt;4.2,"Medium","High"))</f>
        <v>Medium</v>
      </c>
      <c r="AF496" s="30" t="str">
        <f t="shared" si="46"/>
        <v>Experiments</v>
      </c>
      <c r="AG496" s="30" t="str">
        <f t="shared" si="47"/>
        <v>Case Studies</v>
      </c>
      <c r="AH496" s="27">
        <f>COUNTIF(Teacher_Master!$D$2:$D$16,AF496)</f>
        <v>3</v>
      </c>
      <c r="AI496" s="30" t="str">
        <f>INDEX(Teacher_Master!$B$2:$B$16,MATCH(AF496,Teacher_Master!$D$2:$D$16,0))</f>
        <v>Prof. Rahul Singh</v>
      </c>
    </row>
    <row r="497" spans="1:35" ht="14.25" customHeight="1" x14ac:dyDescent="0.3">
      <c r="A497" s="31" t="s">
        <v>1019</v>
      </c>
      <c r="B497" s="31" t="s">
        <v>2435</v>
      </c>
      <c r="C497" s="31" t="s">
        <v>2882</v>
      </c>
      <c r="D497" s="12">
        <f t="shared" ca="1" si="42"/>
        <v>27</v>
      </c>
      <c r="E497" s="12" t="str">
        <f ca="1">IF(Table1[[#This Row],[Age]]&lt;=22,"20-22",IF(Table1[[#This Row],[Age]]&lt;=25,"23-25",IF(Table1[[#This Row],[Age]]&lt;=28,"26-28","29-30")))</f>
        <v>26-28</v>
      </c>
      <c r="F497" s="12">
        <v>3.93</v>
      </c>
      <c r="G497" s="12">
        <v>3.58</v>
      </c>
      <c r="H497" s="12">
        <v>3.79</v>
      </c>
      <c r="I497" s="12">
        <v>4</v>
      </c>
      <c r="J497" s="12" t="s">
        <v>211</v>
      </c>
      <c r="K497" s="12">
        <v>3.65</v>
      </c>
      <c r="L497" s="12">
        <v>4.5999999999999996</v>
      </c>
      <c r="M497" s="12">
        <v>3.85</v>
      </c>
      <c r="N497" s="12">
        <v>4.16</v>
      </c>
      <c r="O497" s="12">
        <v>4.01</v>
      </c>
      <c r="P497" s="12">
        <f t="shared" si="43"/>
        <v>3.8250000000000002</v>
      </c>
      <c r="Q497" s="12">
        <f t="shared" si="44"/>
        <v>3.83</v>
      </c>
      <c r="R497" s="12">
        <f t="shared" si="45"/>
        <v>4.0539999999999994</v>
      </c>
      <c r="S497" s="28">
        <f>IFERROR(INDEX('Clean Gamification Data'!$B:$B,MATCH($B497,'Clean Gamification Data'!$A:$A,0)),"Not Found")</f>
        <v>75</v>
      </c>
      <c r="T497" s="28">
        <f>IFERROR(INDEX('Clean Gamification Data'!$C:$C,MATCH($B497,'Clean Gamification Data'!$A:$A,0)),"Not Found")</f>
        <v>61.87794547</v>
      </c>
      <c r="U497" s="28">
        <f>IFERROR(INDEX('Clean Gamification Data'!$D:$D,MATCH($B497,'Clean Gamification Data'!$A:$A,0)),"Not Found")</f>
        <v>87.621030640000001</v>
      </c>
      <c r="V497" s="28">
        <f>IFERROR(INDEX('Clean Gamification Data'!$E:$E,MATCH($B497,'Clean Gamification Data'!$A:$A,0)),"Not Found")</f>
        <v>66.469867410000006</v>
      </c>
      <c r="W497" s="28">
        <f>IFERROR(INDEX('Clean Gamification Data'!$F:$F,MATCH($B497,'Clean Gamification Data'!$A:$A,0)),"Not Found")</f>
        <v>86.933744610000005</v>
      </c>
      <c r="X497" s="28">
        <f>IFERROR(INDEX('Clean Gamification Data'!$G:$G,MATCH($B497,'Clean Gamification Data'!$A:$A,0)),"Not Found")</f>
        <v>76.898918030000004</v>
      </c>
      <c r="Y497" s="28">
        <f>IFERROR(INDEX('Clean Gamification Data'!$H:$H,MATCH($B497,'Clean Gamification Data'!$A:$A,0)),"Not Found")</f>
        <v>78.916596249999998</v>
      </c>
      <c r="Z497" s="28">
        <f>IFERROR(INDEX('Clean Gamification Data'!$I:$I,MATCH($B497,'Clean Gamification Data'!$A:$A,0)),"Not Found")</f>
        <v>67.685902749999997</v>
      </c>
      <c r="AA497" s="28">
        <f>Table1[[#This Row],[Engagement (Gamification %)]]-Table1[[#This Row],[Engagement (Non-Gamification %)]]</f>
        <v>13.12205453</v>
      </c>
      <c r="AB497" s="28">
        <f>Table1[[#This Row],[Motivation (Gamification %)]]-Table1[[#This Row],[Motivation (Non-Gamification %)]]</f>
        <v>21.151163229999995</v>
      </c>
      <c r="AC497" s="28">
        <f>Table1[[#This Row],[Participation (Gamification %)]]-Table1[[#This Row],[Participation (Non-Gamification %)]]</f>
        <v>10.034826580000001</v>
      </c>
      <c r="AD497" s="28">
        <f>Table1[[#This Row],[Learning Outcomes (Gamification %)]]-Table1[[#This Row],[Learning Outcomes (Non-Gamification %)]]</f>
        <v>11.230693500000001</v>
      </c>
      <c r="AE497" s="44" t="str">
        <f>IF(Table1[[#This Row],[Overall Effectiveness]]&lt;3.9,"Low",IF(Table1[[#This Row],[Overall Effectiveness]]&lt;4.2,"Medium","High"))</f>
        <v>Low</v>
      </c>
      <c r="AF497" s="30" t="str">
        <f t="shared" si="46"/>
        <v>Experiments</v>
      </c>
      <c r="AG497" s="30" t="str">
        <f t="shared" si="47"/>
        <v>Case Studies</v>
      </c>
      <c r="AH497" s="27">
        <f>COUNTIF(Teacher_Master!$D$2:$D$16,AF497)</f>
        <v>3</v>
      </c>
      <c r="AI497" s="30" t="str">
        <f>INDEX(Teacher_Master!$B$2:$B$16,MATCH(AF497,Teacher_Master!$D$2:$D$16,0))</f>
        <v>Prof. Rahul Singh</v>
      </c>
    </row>
    <row r="498" spans="1:35" ht="14.25" customHeight="1" x14ac:dyDescent="0.3">
      <c r="A498" s="31" t="s">
        <v>1021</v>
      </c>
      <c r="B498" s="31" t="s">
        <v>1022</v>
      </c>
      <c r="C498" s="31" t="s">
        <v>2881</v>
      </c>
      <c r="D498" s="12">
        <f t="shared" ca="1" si="42"/>
        <v>29</v>
      </c>
      <c r="E498" s="12" t="str">
        <f ca="1">IF(Table1[[#This Row],[Age]]&lt;=22,"20-22",IF(Table1[[#This Row],[Age]]&lt;=25,"23-25",IF(Table1[[#This Row],[Age]]&lt;=28,"26-28","29-30")))</f>
        <v>29-30</v>
      </c>
      <c r="F498" s="12">
        <v>4.6500000000000004</v>
      </c>
      <c r="G498" s="12">
        <v>4.38</v>
      </c>
      <c r="H498" s="12">
        <v>3.86</v>
      </c>
      <c r="I498" s="12">
        <v>4.83</v>
      </c>
      <c r="J498" s="12">
        <v>4.25</v>
      </c>
      <c r="K498" s="12">
        <v>4.21</v>
      </c>
      <c r="L498" s="12">
        <v>3.93</v>
      </c>
      <c r="M498" s="12">
        <v>3.7</v>
      </c>
      <c r="N498" s="12">
        <v>4.32</v>
      </c>
      <c r="O498" s="12">
        <v>3.78</v>
      </c>
      <c r="P498" s="12">
        <f t="shared" si="43"/>
        <v>4.3940000000000001</v>
      </c>
      <c r="Q498" s="12">
        <f t="shared" si="44"/>
        <v>4.3899999999999997</v>
      </c>
      <c r="R498" s="12">
        <f t="shared" si="45"/>
        <v>3.9880000000000004</v>
      </c>
      <c r="S498" s="28">
        <f>IFERROR(INDEX('Clean Gamification Data'!$B:$B,MATCH($B498,'Clean Gamification Data'!$A:$A,0)),"Not Found")</f>
        <v>82.863594579999997</v>
      </c>
      <c r="T498" s="28">
        <f>IFERROR(INDEX('Clean Gamification Data'!$C:$C,MATCH($B498,'Clean Gamification Data'!$A:$A,0)),"Not Found")</f>
        <v>62.026070779999998</v>
      </c>
      <c r="U498" s="28">
        <f>IFERROR(INDEX('Clean Gamification Data'!$D:$D,MATCH($B498,'Clean Gamification Data'!$A:$A,0)),"Not Found")</f>
        <v>82.826951370000003</v>
      </c>
      <c r="V498" s="28">
        <f>IFERROR(INDEX('Clean Gamification Data'!$E:$E,MATCH($B498,'Clean Gamification Data'!$A:$A,0)),"Not Found")</f>
        <v>62.763547369999998</v>
      </c>
      <c r="W498" s="28">
        <f>IFERROR(INDEX('Clean Gamification Data'!$F:$F,MATCH($B498,'Clean Gamification Data'!$A:$A,0)),"Not Found")</f>
        <v>99.9</v>
      </c>
      <c r="X498" s="28">
        <f>IFERROR(INDEX('Clean Gamification Data'!$G:$G,MATCH($B498,'Clean Gamification Data'!$A:$A,0)),"Not Found")</f>
        <v>78.183920110000003</v>
      </c>
      <c r="Y498" s="28">
        <f>IFERROR(INDEX('Clean Gamification Data'!$H:$H,MATCH($B498,'Clean Gamification Data'!$A:$A,0)),"Not Found")</f>
        <v>78.732094000000004</v>
      </c>
      <c r="Z498" s="28">
        <f>IFERROR(INDEX('Clean Gamification Data'!$I:$I,MATCH($B498,'Clean Gamification Data'!$A:$A,0)),"Not Found")</f>
        <v>57.72101473</v>
      </c>
      <c r="AA498" s="28">
        <f>Table1[[#This Row],[Engagement (Gamification %)]]-Table1[[#This Row],[Engagement (Non-Gamification %)]]</f>
        <v>20.8375238</v>
      </c>
      <c r="AB498" s="28">
        <f>Table1[[#This Row],[Motivation (Gamification %)]]-Table1[[#This Row],[Motivation (Non-Gamification %)]]</f>
        <v>20.063404000000006</v>
      </c>
      <c r="AC498" s="28">
        <f>Table1[[#This Row],[Participation (Gamification %)]]-Table1[[#This Row],[Participation (Non-Gamification %)]]</f>
        <v>21.716079890000003</v>
      </c>
      <c r="AD498" s="28">
        <f>Table1[[#This Row],[Learning Outcomes (Gamification %)]]-Table1[[#This Row],[Learning Outcomes (Non-Gamification %)]]</f>
        <v>21.011079270000003</v>
      </c>
      <c r="AE498" s="44" t="str">
        <f>IF(Table1[[#This Row],[Overall Effectiveness]]&lt;3.9,"Low",IF(Table1[[#This Row],[Overall Effectiveness]]&lt;4.2,"Medium","High"))</f>
        <v>High</v>
      </c>
      <c r="AF498" s="30" t="str">
        <f t="shared" si="46"/>
        <v>Experiments</v>
      </c>
      <c r="AG498" s="30" t="str">
        <f t="shared" si="47"/>
        <v>Experiments</v>
      </c>
      <c r="AH498" s="27">
        <f>COUNTIF(Teacher_Master!$D$2:$D$16,AF498)</f>
        <v>3</v>
      </c>
      <c r="AI498" s="30" t="str">
        <f>INDEX(Teacher_Master!$B$2:$B$16,MATCH(AF498,Teacher_Master!$D$2:$D$16,0))</f>
        <v>Prof. Rahul Singh</v>
      </c>
    </row>
    <row r="499" spans="1:35" ht="14.25" customHeight="1" x14ac:dyDescent="0.3">
      <c r="A499" s="31" t="s">
        <v>1023</v>
      </c>
      <c r="B499" s="31" t="s">
        <v>2436</v>
      </c>
      <c r="C499" s="31" t="s">
        <v>2881</v>
      </c>
      <c r="D499" s="12">
        <f t="shared" ca="1" si="42"/>
        <v>20</v>
      </c>
      <c r="E499" s="12" t="str">
        <f ca="1">IF(Table1[[#This Row],[Age]]&lt;=22,"20-22",IF(Table1[[#This Row],[Age]]&lt;=25,"23-25",IF(Table1[[#This Row],[Age]]&lt;=28,"26-28","29-30")))</f>
        <v>20-22</v>
      </c>
      <c r="F499" s="12">
        <v>3.63</v>
      </c>
      <c r="G499" s="12">
        <v>4.29</v>
      </c>
      <c r="H499" s="12">
        <v>4.38</v>
      </c>
      <c r="I499" s="12">
        <v>3.9</v>
      </c>
      <c r="J499" s="12">
        <v>3.59</v>
      </c>
      <c r="K499" s="12">
        <v>4.3</v>
      </c>
      <c r="L499" s="12">
        <v>4.26</v>
      </c>
      <c r="M499" s="12">
        <v>4.08</v>
      </c>
      <c r="N499" s="12">
        <v>4.62</v>
      </c>
      <c r="O499" s="12">
        <v>4.13</v>
      </c>
      <c r="P499" s="12">
        <f t="shared" si="43"/>
        <v>3.9579999999999997</v>
      </c>
      <c r="Q499" s="12">
        <f t="shared" si="44"/>
        <v>3.96</v>
      </c>
      <c r="R499" s="12">
        <f t="shared" si="45"/>
        <v>4.2779999999999996</v>
      </c>
      <c r="S499" s="28">
        <f>IFERROR(INDEX('Clean Gamification Data'!$B:$B,MATCH($B499,'Clean Gamification Data'!$A:$A,0)),"Not Found")</f>
        <v>87.904557490000002</v>
      </c>
      <c r="T499" s="28">
        <f>IFERROR(INDEX('Clean Gamification Data'!$C:$C,MATCH($B499,'Clean Gamification Data'!$A:$A,0)),"Not Found")</f>
        <v>62.507035379999998</v>
      </c>
      <c r="U499" s="28">
        <f>IFERROR(INDEX('Clean Gamification Data'!$D:$D,MATCH($B499,'Clean Gamification Data'!$A:$A,0)),"Not Found")</f>
        <v>77.525177350000007</v>
      </c>
      <c r="V499" s="28">
        <f>IFERROR(INDEX('Clean Gamification Data'!$E:$E,MATCH($B499,'Clean Gamification Data'!$A:$A,0)),"Not Found")</f>
        <v>63.609309090000004</v>
      </c>
      <c r="W499" s="28">
        <f>IFERROR(INDEX('Clean Gamification Data'!$F:$F,MATCH($B499,'Clean Gamification Data'!$A:$A,0)),"Not Found")</f>
        <v>92.629783520000004</v>
      </c>
      <c r="X499" s="28">
        <f>IFERROR(INDEX('Clean Gamification Data'!$G:$G,MATCH($B499,'Clean Gamification Data'!$A:$A,0)),"Not Found")</f>
        <v>71.316522199999994</v>
      </c>
      <c r="Y499" s="28">
        <f>IFERROR(INDEX('Clean Gamification Data'!$H:$H,MATCH($B499,'Clean Gamification Data'!$A:$A,0)),"Not Found")</f>
        <v>74.760195190000005</v>
      </c>
      <c r="Z499" s="28">
        <f>IFERROR(INDEX('Clean Gamification Data'!$I:$I,MATCH($B499,'Clean Gamification Data'!$A:$A,0)),"Not Found")</f>
        <v>54.074321820000002</v>
      </c>
      <c r="AA499" s="28">
        <f>Table1[[#This Row],[Engagement (Gamification %)]]-Table1[[#This Row],[Engagement (Non-Gamification %)]]</f>
        <v>25.397522110000004</v>
      </c>
      <c r="AB499" s="28">
        <f>Table1[[#This Row],[Motivation (Gamification %)]]-Table1[[#This Row],[Motivation (Non-Gamification %)]]</f>
        <v>13.915868260000003</v>
      </c>
      <c r="AC499" s="28">
        <f>Table1[[#This Row],[Participation (Gamification %)]]-Table1[[#This Row],[Participation (Non-Gamification %)]]</f>
        <v>21.313261320000009</v>
      </c>
      <c r="AD499" s="28">
        <f>Table1[[#This Row],[Learning Outcomes (Gamification %)]]-Table1[[#This Row],[Learning Outcomes (Non-Gamification %)]]</f>
        <v>20.685873370000003</v>
      </c>
      <c r="AE499" s="44" t="str">
        <f>IF(Table1[[#This Row],[Overall Effectiveness]]&lt;3.9,"Low",IF(Table1[[#This Row],[Overall Effectiveness]]&lt;4.2,"Medium","High"))</f>
        <v>Medium</v>
      </c>
      <c r="AF499" s="30" t="str">
        <f t="shared" si="46"/>
        <v>Group Projects</v>
      </c>
      <c r="AG499" s="30" t="str">
        <f t="shared" si="47"/>
        <v>Experiments</v>
      </c>
      <c r="AH499" s="27">
        <f>COUNTIF(Teacher_Master!$D$2:$D$16,AF499)</f>
        <v>3</v>
      </c>
      <c r="AI499" s="30" t="str">
        <f>INDEX(Teacher_Master!$B$2:$B$16,MATCH(AF499,Teacher_Master!$D$2:$D$16,0))</f>
        <v>Dr. Rohan Dutta</v>
      </c>
    </row>
    <row r="500" spans="1:35" ht="14.25" customHeight="1" x14ac:dyDescent="0.3">
      <c r="A500" s="31" t="s">
        <v>1025</v>
      </c>
      <c r="B500" s="31" t="s">
        <v>1026</v>
      </c>
      <c r="C500" s="31" t="s">
        <v>2882</v>
      </c>
      <c r="D500" s="12">
        <f t="shared" ca="1" si="42"/>
        <v>22</v>
      </c>
      <c r="E500" s="12" t="str">
        <f ca="1">IF(Table1[[#This Row],[Age]]&lt;=22,"20-22",IF(Table1[[#This Row],[Age]]&lt;=25,"23-25",IF(Table1[[#This Row],[Age]]&lt;=28,"26-28","29-30")))</f>
        <v>20-22</v>
      </c>
      <c r="F500" s="12">
        <v>3.8</v>
      </c>
      <c r="G500" s="12">
        <v>4.2</v>
      </c>
      <c r="H500" s="12">
        <v>3.88</v>
      </c>
      <c r="I500" s="12">
        <v>3.82</v>
      </c>
      <c r="J500" s="12">
        <v>3.64</v>
      </c>
      <c r="K500" s="12">
        <v>3.78</v>
      </c>
      <c r="L500" s="12">
        <v>4.24</v>
      </c>
      <c r="M500" s="12">
        <v>3.76</v>
      </c>
      <c r="N500" s="12">
        <v>3.99</v>
      </c>
      <c r="O500" s="12">
        <v>4.21</v>
      </c>
      <c r="P500" s="12">
        <f t="shared" si="43"/>
        <v>3.8679999999999999</v>
      </c>
      <c r="Q500" s="12">
        <f t="shared" si="44"/>
        <v>3.87</v>
      </c>
      <c r="R500" s="12">
        <f t="shared" si="45"/>
        <v>3.996</v>
      </c>
      <c r="S500" s="28">
        <f>IFERROR(INDEX('Clean Gamification Data'!$B:$B,MATCH($B500,'Clean Gamification Data'!$A:$A,0)),"Not Found")</f>
        <v>79.997815750000001</v>
      </c>
      <c r="T500" s="28">
        <f>IFERROR(INDEX('Clean Gamification Data'!$C:$C,MATCH($B500,'Clean Gamification Data'!$A:$A,0)),"Not Found")</f>
        <v>70.208503300000004</v>
      </c>
      <c r="U500" s="28">
        <f>IFERROR(INDEX('Clean Gamification Data'!$D:$D,MATCH($B500,'Clean Gamification Data'!$A:$A,0)),"Not Found")</f>
        <v>79.235583059999996</v>
      </c>
      <c r="V500" s="28">
        <f>IFERROR(INDEX('Clean Gamification Data'!$E:$E,MATCH($B500,'Clean Gamification Data'!$A:$A,0)),"Not Found")</f>
        <v>65.137314180000004</v>
      </c>
      <c r="W500" s="28">
        <f>IFERROR(INDEX('Clean Gamification Data'!$F:$F,MATCH($B500,'Clean Gamification Data'!$A:$A,0)),"Not Found")</f>
        <v>85.356439649999999</v>
      </c>
      <c r="X500" s="28">
        <f>IFERROR(INDEX('Clean Gamification Data'!$G:$G,MATCH($B500,'Clean Gamification Data'!$A:$A,0)),"Not Found")</f>
        <v>77.373140309999997</v>
      </c>
      <c r="Y500" s="28">
        <f>IFERROR(INDEX('Clean Gamification Data'!$H:$H,MATCH($B500,'Clean Gamification Data'!$A:$A,0)),"Not Found")</f>
        <v>74.780805599999994</v>
      </c>
      <c r="Z500" s="28">
        <f>IFERROR(INDEX('Clean Gamification Data'!$I:$I,MATCH($B500,'Clean Gamification Data'!$A:$A,0)),"Not Found")</f>
        <v>58.899424070000002</v>
      </c>
      <c r="AA500" s="28">
        <f>Table1[[#This Row],[Engagement (Gamification %)]]-Table1[[#This Row],[Engagement (Non-Gamification %)]]</f>
        <v>9.7893124499999971</v>
      </c>
      <c r="AB500" s="28">
        <f>Table1[[#This Row],[Motivation (Gamification %)]]-Table1[[#This Row],[Motivation (Non-Gamification %)]]</f>
        <v>14.098268879999992</v>
      </c>
      <c r="AC500" s="28">
        <f>Table1[[#This Row],[Participation (Gamification %)]]-Table1[[#This Row],[Participation (Non-Gamification %)]]</f>
        <v>7.9832993400000021</v>
      </c>
      <c r="AD500" s="28">
        <f>Table1[[#This Row],[Learning Outcomes (Gamification %)]]-Table1[[#This Row],[Learning Outcomes (Non-Gamification %)]]</f>
        <v>15.881381529999992</v>
      </c>
      <c r="AE500" s="44" t="str">
        <f>IF(Table1[[#This Row],[Overall Effectiveness]]&lt;3.9,"Low",IF(Table1[[#This Row],[Overall Effectiveness]]&lt;4.2,"Medium","High"))</f>
        <v>Low</v>
      </c>
      <c r="AF500" s="30" t="str">
        <f t="shared" si="46"/>
        <v>Case Studies</v>
      </c>
      <c r="AG500" s="30" t="str">
        <f t="shared" si="47"/>
        <v>Case Studies</v>
      </c>
      <c r="AH500" s="27">
        <f>COUNTIF(Teacher_Master!$D$2:$D$16,AF500)</f>
        <v>3</v>
      </c>
      <c r="AI500" s="30" t="str">
        <f>INDEX(Teacher_Master!$B$2:$B$16,MATCH(AF500,Teacher_Master!$D$2:$D$16,0))</f>
        <v>Prof. Rajesh Mukherjee</v>
      </c>
    </row>
    <row r="501" spans="1:35" ht="14.25" customHeight="1" x14ac:dyDescent="0.3">
      <c r="A501" s="31" t="s">
        <v>1027</v>
      </c>
      <c r="B501" s="31" t="s">
        <v>2437</v>
      </c>
      <c r="C501" s="31" t="s">
        <v>2882</v>
      </c>
      <c r="D501" s="12">
        <f t="shared" ca="1" si="42"/>
        <v>29</v>
      </c>
      <c r="E501" s="12" t="str">
        <f ca="1">IF(Table1[[#This Row],[Age]]&lt;=22,"20-22",IF(Table1[[#This Row],[Age]]&lt;=25,"23-25",IF(Table1[[#This Row],[Age]]&lt;=28,"26-28","29-30")))</f>
        <v>29-30</v>
      </c>
      <c r="F501" s="12">
        <v>3.2</v>
      </c>
      <c r="G501" s="12">
        <v>4.13</v>
      </c>
      <c r="H501" s="12">
        <v>4.0599999999999996</v>
      </c>
      <c r="I501" s="12">
        <v>3.95</v>
      </c>
      <c r="J501" s="12">
        <v>3.84</v>
      </c>
      <c r="K501" s="12">
        <v>4.33</v>
      </c>
      <c r="L501" s="12">
        <v>4.41</v>
      </c>
      <c r="M501" s="12">
        <v>4.68</v>
      </c>
      <c r="N501" s="12">
        <v>3.99</v>
      </c>
      <c r="O501" s="12">
        <v>3.8</v>
      </c>
      <c r="P501" s="12">
        <f t="shared" si="43"/>
        <v>3.8359999999999999</v>
      </c>
      <c r="Q501" s="12">
        <f t="shared" si="44"/>
        <v>3.84</v>
      </c>
      <c r="R501" s="12">
        <f t="shared" si="45"/>
        <v>4.242</v>
      </c>
      <c r="S501" s="28">
        <f>IFERROR(INDEX('Clean Gamification Data'!$B:$B,MATCH($B501,'Clean Gamification Data'!$A:$A,0)),"Not Found")</f>
        <v>85.207418079999997</v>
      </c>
      <c r="T501" s="28">
        <f>IFERROR(INDEX('Clean Gamification Data'!$C:$C,MATCH($B501,'Clean Gamification Data'!$A:$A,0)),"Not Found")</f>
        <v>65.290220489999996</v>
      </c>
      <c r="U501" s="28">
        <f>IFERROR(INDEX('Clean Gamification Data'!$D:$D,MATCH($B501,'Clean Gamification Data'!$A:$A,0)),"Not Found")</f>
        <v>70</v>
      </c>
      <c r="V501" s="28">
        <f>IFERROR(INDEX('Clean Gamification Data'!$E:$E,MATCH($B501,'Clean Gamification Data'!$A:$A,0)),"Not Found")</f>
        <v>63.86787399</v>
      </c>
      <c r="W501" s="28">
        <f>IFERROR(INDEX('Clean Gamification Data'!$F:$F,MATCH($B501,'Clean Gamification Data'!$A:$A,0)),"Not Found")</f>
        <v>92.063862380000003</v>
      </c>
      <c r="X501" s="28">
        <f>IFERROR(INDEX('Clean Gamification Data'!$G:$G,MATCH($B501,'Clean Gamification Data'!$A:$A,0)),"Not Found")</f>
        <v>82.407954450000005</v>
      </c>
      <c r="Y501" s="28">
        <f>IFERROR(INDEX('Clean Gamification Data'!$H:$H,MATCH($B501,'Clean Gamification Data'!$A:$A,0)),"Not Found")</f>
        <v>67.199836750000003</v>
      </c>
      <c r="Z501" s="28">
        <f>IFERROR(INDEX('Clean Gamification Data'!$I:$I,MATCH($B501,'Clean Gamification Data'!$A:$A,0)),"Not Found")</f>
        <v>50.125461710000003</v>
      </c>
      <c r="AA501" s="28">
        <f>Table1[[#This Row],[Engagement (Gamification %)]]-Table1[[#This Row],[Engagement (Non-Gamification %)]]</f>
        <v>19.917197590000001</v>
      </c>
      <c r="AB501" s="28">
        <f>Table1[[#This Row],[Motivation (Gamification %)]]-Table1[[#This Row],[Motivation (Non-Gamification %)]]</f>
        <v>6.1321260100000003</v>
      </c>
      <c r="AC501" s="28">
        <f>Table1[[#This Row],[Participation (Gamification %)]]-Table1[[#This Row],[Participation (Non-Gamification %)]]</f>
        <v>9.6559079299999979</v>
      </c>
      <c r="AD501" s="28">
        <f>Table1[[#This Row],[Learning Outcomes (Gamification %)]]-Table1[[#This Row],[Learning Outcomes (Non-Gamification %)]]</f>
        <v>17.07437504</v>
      </c>
      <c r="AE501" s="44" t="str">
        <f>IF(Table1[[#This Row],[Overall Effectiveness]]&lt;3.9,"Low",IF(Table1[[#This Row],[Overall Effectiveness]]&lt;4.2,"Medium","High"))</f>
        <v>Low</v>
      </c>
      <c r="AF501" s="30" t="str">
        <f t="shared" si="46"/>
        <v>Case Studies</v>
      </c>
      <c r="AG501" s="30" t="str">
        <f t="shared" si="47"/>
        <v>Group Projects</v>
      </c>
      <c r="AH501" s="27">
        <f>COUNTIF(Teacher_Master!$D$2:$D$16,AF501)</f>
        <v>3</v>
      </c>
      <c r="AI501" s="30" t="str">
        <f>INDEX(Teacher_Master!$B$2:$B$16,MATCH(AF501,Teacher_Master!$D$2:$D$16,0))</f>
        <v>Prof. Rajesh Mukherjee</v>
      </c>
    </row>
    <row r="502" spans="1:35" ht="14.25" customHeight="1" x14ac:dyDescent="0.3">
      <c r="A502" s="31" t="s">
        <v>1029</v>
      </c>
      <c r="B502" s="31" t="s">
        <v>1030</v>
      </c>
      <c r="C502" s="31" t="s">
        <v>2881</v>
      </c>
      <c r="D502" s="12">
        <f t="shared" ca="1" si="42"/>
        <v>29</v>
      </c>
      <c r="E502" s="12" t="str">
        <f ca="1">IF(Table1[[#This Row],[Age]]&lt;=22,"20-22",IF(Table1[[#This Row],[Age]]&lt;=25,"23-25",IF(Table1[[#This Row],[Age]]&lt;=28,"26-28","29-30")))</f>
        <v>29-30</v>
      </c>
      <c r="F502" s="12">
        <v>4.13</v>
      </c>
      <c r="G502" s="12">
        <v>4.1900000000000004</v>
      </c>
      <c r="H502" s="12">
        <v>4.47</v>
      </c>
      <c r="I502" s="12">
        <v>4.03</v>
      </c>
      <c r="J502" s="12">
        <v>3.76</v>
      </c>
      <c r="K502" s="12">
        <v>4.16</v>
      </c>
      <c r="L502" s="12">
        <v>4.1900000000000004</v>
      </c>
      <c r="M502" s="12">
        <v>4.53</v>
      </c>
      <c r="N502" s="12">
        <v>3.6</v>
      </c>
      <c r="O502" s="12">
        <v>3.29</v>
      </c>
      <c r="P502" s="12">
        <f t="shared" si="43"/>
        <v>4.1159999999999997</v>
      </c>
      <c r="Q502" s="12">
        <f t="shared" si="44"/>
        <v>4.12</v>
      </c>
      <c r="R502" s="12">
        <f t="shared" si="45"/>
        <v>3.9540000000000006</v>
      </c>
      <c r="S502" s="28">
        <f>IFERROR(INDEX('Clean Gamification Data'!$B:$B,MATCH($B502,'Clean Gamification Data'!$A:$A,0)),"Not Found")</f>
        <v>87.333330050000001</v>
      </c>
      <c r="T502" s="28">
        <f>IFERROR(INDEX('Clean Gamification Data'!$C:$C,MATCH($B502,'Clean Gamification Data'!$A:$A,0)),"Not Found")</f>
        <v>60.35345676</v>
      </c>
      <c r="U502" s="28">
        <f>IFERROR(INDEX('Clean Gamification Data'!$D:$D,MATCH($B502,'Clean Gamification Data'!$A:$A,0)),"Not Found")</f>
        <v>77.40750267</v>
      </c>
      <c r="V502" s="28">
        <f>IFERROR(INDEX('Clean Gamification Data'!$E:$E,MATCH($B502,'Clean Gamification Data'!$A:$A,0)),"Not Found")</f>
        <v>63.012780909999996</v>
      </c>
      <c r="W502" s="28">
        <f>IFERROR(INDEX('Clean Gamification Data'!$F:$F,MATCH($B502,'Clean Gamification Data'!$A:$A,0)),"Not Found")</f>
        <v>85.237252359999999</v>
      </c>
      <c r="X502" s="28">
        <f>IFERROR(INDEX('Clean Gamification Data'!$G:$G,MATCH($B502,'Clean Gamification Data'!$A:$A,0)),"Not Found")</f>
        <v>78.082218319999996</v>
      </c>
      <c r="Y502" s="28">
        <f>IFERROR(INDEX('Clean Gamification Data'!$H:$H,MATCH($B502,'Clean Gamification Data'!$A:$A,0)),"Not Found")</f>
        <v>72.004612730000005</v>
      </c>
      <c r="Z502" s="28">
        <f>IFERROR(INDEX('Clean Gamification Data'!$I:$I,MATCH($B502,'Clean Gamification Data'!$A:$A,0)),"Not Found")</f>
        <v>62.372100719999999</v>
      </c>
      <c r="AA502" s="28">
        <f>Table1[[#This Row],[Engagement (Gamification %)]]-Table1[[#This Row],[Engagement (Non-Gamification %)]]</f>
        <v>26.97987329</v>
      </c>
      <c r="AB502" s="28">
        <f>Table1[[#This Row],[Motivation (Gamification %)]]-Table1[[#This Row],[Motivation (Non-Gamification %)]]</f>
        <v>14.394721760000003</v>
      </c>
      <c r="AC502" s="28">
        <f>Table1[[#This Row],[Participation (Gamification %)]]-Table1[[#This Row],[Participation (Non-Gamification %)]]</f>
        <v>7.1550340400000039</v>
      </c>
      <c r="AD502" s="28">
        <f>Table1[[#This Row],[Learning Outcomes (Gamification %)]]-Table1[[#This Row],[Learning Outcomes (Non-Gamification %)]]</f>
        <v>9.6325120100000063</v>
      </c>
      <c r="AE502" s="44" t="str">
        <f>IF(Table1[[#This Row],[Overall Effectiveness]]&lt;3.9,"Low",IF(Table1[[#This Row],[Overall Effectiveness]]&lt;4.2,"Medium","High"))</f>
        <v>Medium</v>
      </c>
      <c r="AF502" s="30" t="str">
        <f t="shared" si="46"/>
        <v>Group Projects</v>
      </c>
      <c r="AG502" s="30" t="str">
        <f t="shared" si="47"/>
        <v>Group Projects</v>
      </c>
      <c r="AH502" s="27">
        <f>COUNTIF(Teacher_Master!$D$2:$D$16,AF502)</f>
        <v>3</v>
      </c>
      <c r="AI502" s="30" t="str">
        <f>INDEX(Teacher_Master!$B$2:$B$16,MATCH(AF502,Teacher_Master!$D$2:$D$16,0))</f>
        <v>Dr. Rohan Dutta</v>
      </c>
    </row>
    <row r="503" spans="1:35" ht="14.25" customHeight="1" x14ac:dyDescent="0.3">
      <c r="A503" s="31" t="s">
        <v>1031</v>
      </c>
      <c r="B503" s="31" t="s">
        <v>1032</v>
      </c>
      <c r="C503" s="31" t="s">
        <v>2882</v>
      </c>
      <c r="D503" s="12">
        <f t="shared" ca="1" si="42"/>
        <v>23</v>
      </c>
      <c r="E503" s="12" t="str">
        <f ca="1">IF(Table1[[#This Row],[Age]]&lt;=22,"20-22",IF(Table1[[#This Row],[Age]]&lt;=25,"23-25",IF(Table1[[#This Row],[Age]]&lt;=28,"26-28","29-30")))</f>
        <v>23-25</v>
      </c>
      <c r="F503" s="12">
        <v>3.22</v>
      </c>
      <c r="G503" s="12">
        <v>4.33</v>
      </c>
      <c r="H503" s="12">
        <v>3.89</v>
      </c>
      <c r="I503" s="12">
        <v>4.0199999999999996</v>
      </c>
      <c r="J503" s="12">
        <v>4.78</v>
      </c>
      <c r="K503" s="12">
        <v>4.17</v>
      </c>
      <c r="L503" s="12">
        <v>4.1399999999999997</v>
      </c>
      <c r="M503" s="12">
        <v>3.28</v>
      </c>
      <c r="N503" s="12">
        <v>4.22</v>
      </c>
      <c r="O503" s="12">
        <v>3.97</v>
      </c>
      <c r="P503" s="12">
        <f t="shared" si="43"/>
        <v>4.048</v>
      </c>
      <c r="Q503" s="12">
        <f t="shared" si="44"/>
        <v>4.05</v>
      </c>
      <c r="R503" s="12">
        <f t="shared" si="45"/>
        <v>3.9559999999999995</v>
      </c>
      <c r="S503" s="28">
        <f>IFERROR(INDEX('Clean Gamification Data'!$B:$B,MATCH($B503,'Clean Gamification Data'!$A:$A,0)),"Not Found")</f>
        <v>91.825780420000001</v>
      </c>
      <c r="T503" s="28">
        <f>IFERROR(INDEX('Clean Gamification Data'!$C:$C,MATCH($B503,'Clean Gamification Data'!$A:$A,0)),"Not Found")</f>
        <v>72.774258309999993</v>
      </c>
      <c r="U503" s="28">
        <f>IFERROR(INDEX('Clean Gamification Data'!$D:$D,MATCH($B503,'Clean Gamification Data'!$A:$A,0)),"Not Found")</f>
        <v>83.907172119999998</v>
      </c>
      <c r="V503" s="28">
        <f>IFERROR(INDEX('Clean Gamification Data'!$E:$E,MATCH($B503,'Clean Gamification Data'!$A:$A,0)),"Not Found")</f>
        <v>59.591461049999999</v>
      </c>
      <c r="W503" s="28">
        <f>IFERROR(INDEX('Clean Gamification Data'!$F:$F,MATCH($B503,'Clean Gamification Data'!$A:$A,0)),"Not Found")</f>
        <v>82.857222429999993</v>
      </c>
      <c r="X503" s="28">
        <f>IFERROR(INDEX('Clean Gamification Data'!$G:$G,MATCH($B503,'Clean Gamification Data'!$A:$A,0)),"Not Found")</f>
        <v>82.401745399999996</v>
      </c>
      <c r="Y503" s="28">
        <f>IFERROR(INDEX('Clean Gamification Data'!$H:$H,MATCH($B503,'Clean Gamification Data'!$A:$A,0)),"Not Found")</f>
        <v>68.275269780000002</v>
      </c>
      <c r="Z503" s="28">
        <f>IFERROR(INDEX('Clean Gamification Data'!$I:$I,MATCH($B503,'Clean Gamification Data'!$A:$A,0)),"Not Found")</f>
        <v>66.617801170000007</v>
      </c>
      <c r="AA503" s="28">
        <f>Table1[[#This Row],[Engagement (Gamification %)]]-Table1[[#This Row],[Engagement (Non-Gamification %)]]</f>
        <v>19.051522110000008</v>
      </c>
      <c r="AB503" s="28">
        <f>Table1[[#This Row],[Motivation (Gamification %)]]-Table1[[#This Row],[Motivation (Non-Gamification %)]]</f>
        <v>24.315711069999999</v>
      </c>
      <c r="AC503" s="28">
        <f>Table1[[#This Row],[Participation (Gamification %)]]-Table1[[#This Row],[Participation (Non-Gamification %)]]</f>
        <v>0.45547702999999728</v>
      </c>
      <c r="AD503" s="28">
        <f>Table1[[#This Row],[Learning Outcomes (Gamification %)]]-Table1[[#This Row],[Learning Outcomes (Non-Gamification %)]]</f>
        <v>1.6574686099999951</v>
      </c>
      <c r="AE503" s="44" t="str">
        <f>IF(Table1[[#This Row],[Overall Effectiveness]]&lt;3.9,"Low",IF(Table1[[#This Row],[Overall Effectiveness]]&lt;4.2,"Medium","High"))</f>
        <v>Medium</v>
      </c>
      <c r="AF503" s="30" t="str">
        <f t="shared" si="46"/>
        <v>Online Tutorials</v>
      </c>
      <c r="AG503" s="30" t="str">
        <f t="shared" si="47"/>
        <v>Experiments</v>
      </c>
      <c r="AH503" s="27">
        <f>COUNTIF(Teacher_Master!$D$2:$D$16,AF503)</f>
        <v>3</v>
      </c>
      <c r="AI503" s="30" t="str">
        <f>INDEX(Teacher_Master!$B$2:$B$16,MATCH(AF503,Teacher_Master!$D$2:$D$16,0))</f>
        <v>Prof. Kavita Rao</v>
      </c>
    </row>
    <row r="504" spans="1:35" ht="14.25" customHeight="1" x14ac:dyDescent="0.3">
      <c r="A504" s="31" t="s">
        <v>1033</v>
      </c>
      <c r="B504" s="31" t="s">
        <v>1034</v>
      </c>
      <c r="C504" s="31" t="s">
        <v>2881</v>
      </c>
      <c r="D504" s="12">
        <f t="shared" ca="1" si="42"/>
        <v>25</v>
      </c>
      <c r="E504" s="12" t="str">
        <f ca="1">IF(Table1[[#This Row],[Age]]&lt;=22,"20-22",IF(Table1[[#This Row],[Age]]&lt;=25,"23-25",IF(Table1[[#This Row],[Age]]&lt;=28,"26-28","29-30")))</f>
        <v>23-25</v>
      </c>
      <c r="F504" s="12">
        <v>3.81</v>
      </c>
      <c r="G504" s="12">
        <v>4.49</v>
      </c>
      <c r="H504" s="12">
        <v>3.79</v>
      </c>
      <c r="I504" s="12">
        <v>4.09</v>
      </c>
      <c r="J504" s="12">
        <v>4.8899999999999997</v>
      </c>
      <c r="K504" s="12">
        <v>3.74</v>
      </c>
      <c r="L504" s="12">
        <v>3.89</v>
      </c>
      <c r="M504" s="12">
        <v>3.97</v>
      </c>
      <c r="N504" s="12">
        <v>3.41</v>
      </c>
      <c r="O504" s="12">
        <v>3.77</v>
      </c>
      <c r="P504" s="12">
        <f t="shared" si="43"/>
        <v>4.2140000000000004</v>
      </c>
      <c r="Q504" s="12">
        <f t="shared" si="44"/>
        <v>4.21</v>
      </c>
      <c r="R504" s="12">
        <f t="shared" si="45"/>
        <v>3.7560000000000002</v>
      </c>
      <c r="S504" s="28">
        <f>IFERROR(INDEX('Clean Gamification Data'!$B:$B,MATCH($B504,'Clean Gamification Data'!$A:$A,0)),"Not Found")</f>
        <v>93.300738530000004</v>
      </c>
      <c r="T504" s="28">
        <f>IFERROR(INDEX('Clean Gamification Data'!$C:$C,MATCH($B504,'Clean Gamification Data'!$A:$A,0)),"Not Found")</f>
        <v>71.745580829999994</v>
      </c>
      <c r="U504" s="28">
        <f>IFERROR(INDEX('Clean Gamification Data'!$D:$D,MATCH($B504,'Clean Gamification Data'!$A:$A,0)),"Not Found")</f>
        <v>79.27607313</v>
      </c>
      <c r="V504" s="28">
        <f>IFERROR(INDEX('Clean Gamification Data'!$E:$E,MATCH($B504,'Clean Gamification Data'!$A:$A,0)),"Not Found")</f>
        <v>67.685016709999999</v>
      </c>
      <c r="W504" s="28">
        <f>IFERROR(INDEX('Clean Gamification Data'!$F:$F,MATCH($B504,'Clean Gamification Data'!$A:$A,0)),"Not Found")</f>
        <v>98.817682849999997</v>
      </c>
      <c r="X504" s="28">
        <f>IFERROR(INDEX('Clean Gamification Data'!$G:$G,MATCH($B504,'Clean Gamification Data'!$A:$A,0)),"Not Found")</f>
        <v>85</v>
      </c>
      <c r="Y504" s="28">
        <f>IFERROR(INDEX('Clean Gamification Data'!$H:$H,MATCH($B504,'Clean Gamification Data'!$A:$A,0)),"Not Found")</f>
        <v>78.975462949999994</v>
      </c>
      <c r="Z504" s="28">
        <f>IFERROR(INDEX('Clean Gamification Data'!$I:$I,MATCH($B504,'Clean Gamification Data'!$A:$A,0)),"Not Found")</f>
        <v>50</v>
      </c>
      <c r="AA504" s="28">
        <f>Table1[[#This Row],[Engagement (Gamification %)]]-Table1[[#This Row],[Engagement (Non-Gamification %)]]</f>
        <v>21.555157700000009</v>
      </c>
      <c r="AB504" s="28">
        <f>Table1[[#This Row],[Motivation (Gamification %)]]-Table1[[#This Row],[Motivation (Non-Gamification %)]]</f>
        <v>11.591056420000001</v>
      </c>
      <c r="AC504" s="28">
        <f>Table1[[#This Row],[Participation (Gamification %)]]-Table1[[#This Row],[Participation (Non-Gamification %)]]</f>
        <v>13.817682849999997</v>
      </c>
      <c r="AD504" s="28">
        <f>Table1[[#This Row],[Learning Outcomes (Gamification %)]]-Table1[[#This Row],[Learning Outcomes (Non-Gamification %)]]</f>
        <v>28.975462949999994</v>
      </c>
      <c r="AE504" s="44" t="str">
        <f>IF(Table1[[#This Row],[Overall Effectiveness]]&lt;3.9,"Low",IF(Table1[[#This Row],[Overall Effectiveness]]&lt;4.2,"Medium","High"))</f>
        <v>High</v>
      </c>
      <c r="AF504" s="30" t="str">
        <f t="shared" si="46"/>
        <v>Online Tutorials</v>
      </c>
      <c r="AG504" s="30" t="str">
        <f t="shared" si="47"/>
        <v>Group Projects</v>
      </c>
      <c r="AH504" s="27">
        <f>COUNTIF(Teacher_Master!$D$2:$D$16,AF504)</f>
        <v>3</v>
      </c>
      <c r="AI504" s="30" t="str">
        <f>INDEX(Teacher_Master!$B$2:$B$16,MATCH(AF504,Teacher_Master!$D$2:$D$16,0))</f>
        <v>Prof. Kavita Rao</v>
      </c>
    </row>
    <row r="505" spans="1:35" ht="14.25" customHeight="1" x14ac:dyDescent="0.3">
      <c r="A505" s="31" t="s">
        <v>1035</v>
      </c>
      <c r="B505" s="31" t="s">
        <v>1036</v>
      </c>
      <c r="C505" s="31" t="s">
        <v>2881</v>
      </c>
      <c r="D505" s="12">
        <f t="shared" ca="1" si="42"/>
        <v>24</v>
      </c>
      <c r="E505" s="12" t="str">
        <f ca="1">IF(Table1[[#This Row],[Age]]&lt;=22,"20-22",IF(Table1[[#This Row],[Age]]&lt;=25,"23-25",IF(Table1[[#This Row],[Age]]&lt;=28,"26-28","29-30")))</f>
        <v>23-25</v>
      </c>
      <c r="F505" s="12">
        <v>3.86</v>
      </c>
      <c r="G505" s="12">
        <v>3.57</v>
      </c>
      <c r="H505" s="12" t="s">
        <v>211</v>
      </c>
      <c r="I505" s="12">
        <v>3.95</v>
      </c>
      <c r="J505" s="12">
        <v>3.79</v>
      </c>
      <c r="K505" s="12">
        <v>3.96</v>
      </c>
      <c r="L505" s="12">
        <v>3.55</v>
      </c>
      <c r="M505" s="12">
        <v>4.41</v>
      </c>
      <c r="N505" s="12">
        <v>3.92</v>
      </c>
      <c r="O505" s="12">
        <v>4.0999999999999996</v>
      </c>
      <c r="P505" s="12">
        <f t="shared" si="43"/>
        <v>3.7924999999999995</v>
      </c>
      <c r="Q505" s="12">
        <f t="shared" si="44"/>
        <v>3.79</v>
      </c>
      <c r="R505" s="12">
        <f t="shared" si="45"/>
        <v>3.9879999999999995</v>
      </c>
      <c r="S505" s="28">
        <f>IFERROR(INDEX('Clean Gamification Data'!$B:$B,MATCH($B505,'Clean Gamification Data'!$A:$A,0)),"Not Found")</f>
        <v>81.028614809999993</v>
      </c>
      <c r="T505" s="28">
        <f>IFERROR(INDEX('Clean Gamification Data'!$C:$C,MATCH($B505,'Clean Gamification Data'!$A:$A,0)),"Not Found")</f>
        <v>67.623293090000004</v>
      </c>
      <c r="U505" s="28">
        <f>IFERROR(INDEX('Clean Gamification Data'!$D:$D,MATCH($B505,'Clean Gamification Data'!$A:$A,0)),"Not Found")</f>
        <v>70</v>
      </c>
      <c r="V505" s="28">
        <f>IFERROR(INDEX('Clean Gamification Data'!$E:$E,MATCH($B505,'Clean Gamification Data'!$A:$A,0)),"Not Found")</f>
        <v>62.120050390000003</v>
      </c>
      <c r="W505" s="28">
        <f>IFERROR(INDEX('Clean Gamification Data'!$F:$F,MATCH($B505,'Clean Gamification Data'!$A:$A,0)),"Not Found")</f>
        <v>80</v>
      </c>
      <c r="X505" s="28">
        <f>IFERROR(INDEX('Clean Gamification Data'!$G:$G,MATCH($B505,'Clean Gamification Data'!$A:$A,0)),"Not Found")</f>
        <v>78.983532100000005</v>
      </c>
      <c r="Y505" s="28">
        <f>IFERROR(INDEX('Clean Gamification Data'!$H:$H,MATCH($B505,'Clean Gamification Data'!$A:$A,0)),"Not Found")</f>
        <v>74.879752719999999</v>
      </c>
      <c r="Z505" s="28">
        <f>IFERROR(INDEX('Clean Gamification Data'!$I:$I,MATCH($B505,'Clean Gamification Data'!$A:$A,0)),"Not Found")</f>
        <v>52.411522310000002</v>
      </c>
      <c r="AA505" s="28">
        <f>Table1[[#This Row],[Engagement (Gamification %)]]-Table1[[#This Row],[Engagement (Non-Gamification %)]]</f>
        <v>13.405321719999989</v>
      </c>
      <c r="AB505" s="28">
        <f>Table1[[#This Row],[Motivation (Gamification %)]]-Table1[[#This Row],[Motivation (Non-Gamification %)]]</f>
        <v>7.8799496099999971</v>
      </c>
      <c r="AC505" s="28">
        <f>Table1[[#This Row],[Participation (Gamification %)]]-Table1[[#This Row],[Participation (Non-Gamification %)]]</f>
        <v>1.016467899999995</v>
      </c>
      <c r="AD505" s="28">
        <f>Table1[[#This Row],[Learning Outcomes (Gamification %)]]-Table1[[#This Row],[Learning Outcomes (Non-Gamification %)]]</f>
        <v>22.468230409999997</v>
      </c>
      <c r="AE505" s="44" t="str">
        <f>IF(Table1[[#This Row],[Overall Effectiveness]]&lt;3.9,"Low",IF(Table1[[#This Row],[Overall Effectiveness]]&lt;4.2,"Medium","High"))</f>
        <v>Low</v>
      </c>
      <c r="AF505" s="30" t="str">
        <f t="shared" si="46"/>
        <v>Experiments</v>
      </c>
      <c r="AG505" s="30" t="str">
        <f t="shared" si="47"/>
        <v>Group Projects</v>
      </c>
      <c r="AH505" s="27">
        <f>COUNTIF(Teacher_Master!$D$2:$D$16,AF505)</f>
        <v>3</v>
      </c>
      <c r="AI505" s="30" t="str">
        <f>INDEX(Teacher_Master!$B$2:$B$16,MATCH(AF505,Teacher_Master!$D$2:$D$16,0))</f>
        <v>Prof. Rahul Singh</v>
      </c>
    </row>
    <row r="506" spans="1:35" ht="14.25" customHeight="1" x14ac:dyDescent="0.3">
      <c r="A506" s="31" t="s">
        <v>1037</v>
      </c>
      <c r="B506" s="31" t="s">
        <v>2438</v>
      </c>
      <c r="C506" s="31" t="s">
        <v>2882</v>
      </c>
      <c r="D506" s="12">
        <f t="shared" ca="1" si="42"/>
        <v>24</v>
      </c>
      <c r="E506" s="12" t="str">
        <f ca="1">IF(Table1[[#This Row],[Age]]&lt;=22,"20-22",IF(Table1[[#This Row],[Age]]&lt;=25,"23-25",IF(Table1[[#This Row],[Age]]&lt;=28,"26-28","29-30")))</f>
        <v>23-25</v>
      </c>
      <c r="F506" s="12">
        <v>3.85</v>
      </c>
      <c r="G506" s="12">
        <v>3.94</v>
      </c>
      <c r="H506" s="12">
        <v>4.29</v>
      </c>
      <c r="I506" s="12">
        <v>3.95</v>
      </c>
      <c r="J506" s="12">
        <v>4.4400000000000004</v>
      </c>
      <c r="K506" s="12" t="s">
        <v>211</v>
      </c>
      <c r="L506" s="12">
        <v>3.6</v>
      </c>
      <c r="M506" s="12">
        <v>4.21</v>
      </c>
      <c r="N506" s="12">
        <v>4.38</v>
      </c>
      <c r="O506" s="12">
        <v>4.25</v>
      </c>
      <c r="P506" s="12">
        <f t="shared" si="43"/>
        <v>4.0940000000000003</v>
      </c>
      <c r="Q506" s="12">
        <f t="shared" si="44"/>
        <v>4.09</v>
      </c>
      <c r="R506" s="12">
        <f t="shared" si="45"/>
        <v>4.1100000000000003</v>
      </c>
      <c r="S506" s="28">
        <f>IFERROR(INDEX('Clean Gamification Data'!$B:$B,MATCH($B506,'Clean Gamification Data'!$A:$A,0)),"Not Found")</f>
        <v>91.737786150000005</v>
      </c>
      <c r="T506" s="28">
        <f>IFERROR(INDEX('Clean Gamification Data'!$C:$C,MATCH($B506,'Clean Gamification Data'!$A:$A,0)),"Not Found")</f>
        <v>64.259813019999996</v>
      </c>
      <c r="U506" s="28">
        <f>IFERROR(INDEX('Clean Gamification Data'!$D:$D,MATCH($B506,'Clean Gamification Data'!$A:$A,0)),"Not Found")</f>
        <v>79.362712880000004</v>
      </c>
      <c r="V506" s="28">
        <f>IFERROR(INDEX('Clean Gamification Data'!$E:$E,MATCH($B506,'Clean Gamification Data'!$A:$A,0)),"Not Found")</f>
        <v>74.862735689999994</v>
      </c>
      <c r="W506" s="28">
        <f>IFERROR(INDEX('Clean Gamification Data'!$F:$F,MATCH($B506,'Clean Gamification Data'!$A:$A,0)),"Not Found")</f>
        <v>80.806382720000002</v>
      </c>
      <c r="X506" s="28">
        <f>IFERROR(INDEX('Clean Gamification Data'!$G:$G,MATCH($B506,'Clean Gamification Data'!$A:$A,0)),"Not Found")</f>
        <v>82.964364009999997</v>
      </c>
      <c r="Y506" s="28">
        <f>IFERROR(INDEX('Clean Gamification Data'!$H:$H,MATCH($B506,'Clean Gamification Data'!$A:$A,0)),"Not Found")</f>
        <v>72.540972330000002</v>
      </c>
      <c r="Z506" s="28">
        <f>IFERROR(INDEX('Clean Gamification Data'!$I:$I,MATCH($B506,'Clean Gamification Data'!$A:$A,0)),"Not Found")</f>
        <v>60.873824990000003</v>
      </c>
      <c r="AA506" s="28">
        <f>Table1[[#This Row],[Engagement (Gamification %)]]-Table1[[#This Row],[Engagement (Non-Gamification %)]]</f>
        <v>27.477973130000009</v>
      </c>
      <c r="AB506" s="28">
        <f>Table1[[#This Row],[Motivation (Gamification %)]]-Table1[[#This Row],[Motivation (Non-Gamification %)]]</f>
        <v>4.4999771900000098</v>
      </c>
      <c r="AC506" s="28">
        <f>Table1[[#This Row],[Participation (Gamification %)]]-Table1[[#This Row],[Participation (Non-Gamification %)]]</f>
        <v>-2.1579812899999951</v>
      </c>
      <c r="AD506" s="28">
        <f>Table1[[#This Row],[Learning Outcomes (Gamification %)]]-Table1[[#This Row],[Learning Outcomes (Non-Gamification %)]]</f>
        <v>11.66714734</v>
      </c>
      <c r="AE506" s="44" t="str">
        <f>IF(Table1[[#This Row],[Overall Effectiveness]]&lt;3.9,"Low",IF(Table1[[#This Row],[Overall Effectiveness]]&lt;4.2,"Medium","High"))</f>
        <v>Medium</v>
      </c>
      <c r="AF506" s="30" t="str">
        <f t="shared" si="46"/>
        <v>Online Tutorials</v>
      </c>
      <c r="AG506" s="30" t="str">
        <f t="shared" si="47"/>
        <v>Experiments</v>
      </c>
      <c r="AH506" s="27">
        <f>COUNTIF(Teacher_Master!$D$2:$D$16,AF506)</f>
        <v>3</v>
      </c>
      <c r="AI506" s="30" t="str">
        <f>INDEX(Teacher_Master!$B$2:$B$16,MATCH(AF506,Teacher_Master!$D$2:$D$16,0))</f>
        <v>Prof. Kavita Rao</v>
      </c>
    </row>
    <row r="507" spans="1:35" ht="14.25" customHeight="1" x14ac:dyDescent="0.3">
      <c r="A507" s="31" t="s">
        <v>1039</v>
      </c>
      <c r="B507" s="31" t="s">
        <v>2439</v>
      </c>
      <c r="C507" s="31" t="s">
        <v>2882</v>
      </c>
      <c r="D507" s="12">
        <f t="shared" ca="1" si="42"/>
        <v>20</v>
      </c>
      <c r="E507" s="12" t="str">
        <f ca="1">IF(Table1[[#This Row],[Age]]&lt;=22,"20-22",IF(Table1[[#This Row],[Age]]&lt;=25,"23-25",IF(Table1[[#This Row],[Age]]&lt;=28,"26-28","29-30")))</f>
        <v>20-22</v>
      </c>
      <c r="F507" s="12" t="s">
        <v>211</v>
      </c>
      <c r="G507" s="12">
        <v>4.45</v>
      </c>
      <c r="H507" s="12">
        <v>4.71</v>
      </c>
      <c r="I507" s="12">
        <v>3.81</v>
      </c>
      <c r="J507" s="12">
        <v>3.93</v>
      </c>
      <c r="K507" s="12">
        <v>4.1900000000000004</v>
      </c>
      <c r="L507" s="12">
        <v>4.24</v>
      </c>
      <c r="M507" s="12">
        <v>3.81</v>
      </c>
      <c r="N507" s="12">
        <v>3.87</v>
      </c>
      <c r="O507" s="12">
        <v>4.24</v>
      </c>
      <c r="P507" s="12">
        <f t="shared" si="43"/>
        <v>4.2250000000000005</v>
      </c>
      <c r="Q507" s="12">
        <f t="shared" si="44"/>
        <v>4.2300000000000004</v>
      </c>
      <c r="R507" s="12">
        <f t="shared" si="45"/>
        <v>4.07</v>
      </c>
      <c r="S507" s="28">
        <f>IFERROR(INDEX('Clean Gamification Data'!$B:$B,MATCH($B507,'Clean Gamification Data'!$A:$A,0)),"Not Found")</f>
        <v>88.334982909999994</v>
      </c>
      <c r="T507" s="28">
        <f>IFERROR(INDEX('Clean Gamification Data'!$C:$C,MATCH($B507,'Clean Gamification Data'!$A:$A,0)),"Not Found")</f>
        <v>65.536881910000005</v>
      </c>
      <c r="U507" s="28">
        <f>IFERROR(INDEX('Clean Gamification Data'!$D:$D,MATCH($B507,'Clean Gamification Data'!$A:$A,0)),"Not Found")</f>
        <v>72.254882629999997</v>
      </c>
      <c r="V507" s="28">
        <f>IFERROR(INDEX('Clean Gamification Data'!$E:$E,MATCH($B507,'Clean Gamification Data'!$A:$A,0)),"Not Found")</f>
        <v>55.419810429999998</v>
      </c>
      <c r="W507" s="28">
        <f>IFERROR(INDEX('Clean Gamification Data'!$F:$F,MATCH($B507,'Clean Gamification Data'!$A:$A,0)),"Not Found")</f>
        <v>80</v>
      </c>
      <c r="X507" s="28">
        <f>IFERROR(INDEX('Clean Gamification Data'!$G:$G,MATCH($B507,'Clean Gamification Data'!$A:$A,0)),"Not Found")</f>
        <v>71.706185829999995</v>
      </c>
      <c r="Y507" s="28">
        <f>IFERROR(INDEX('Clean Gamification Data'!$H:$H,MATCH($B507,'Clean Gamification Data'!$A:$A,0)),"Not Found")</f>
        <v>68.026570699999994</v>
      </c>
      <c r="Z507" s="28">
        <f>IFERROR(INDEX('Clean Gamification Data'!$I:$I,MATCH($B507,'Clean Gamification Data'!$A:$A,0)),"Not Found")</f>
        <v>50</v>
      </c>
      <c r="AA507" s="28">
        <f>Table1[[#This Row],[Engagement (Gamification %)]]-Table1[[#This Row],[Engagement (Non-Gamification %)]]</f>
        <v>22.798100999999988</v>
      </c>
      <c r="AB507" s="28">
        <f>Table1[[#This Row],[Motivation (Gamification %)]]-Table1[[#This Row],[Motivation (Non-Gamification %)]]</f>
        <v>16.835072199999999</v>
      </c>
      <c r="AC507" s="28">
        <f>Table1[[#This Row],[Participation (Gamification %)]]-Table1[[#This Row],[Participation (Non-Gamification %)]]</f>
        <v>8.2938141700000045</v>
      </c>
      <c r="AD507" s="28">
        <f>Table1[[#This Row],[Learning Outcomes (Gamification %)]]-Table1[[#This Row],[Learning Outcomes (Non-Gamification %)]]</f>
        <v>18.026570699999994</v>
      </c>
      <c r="AE507" s="44" t="str">
        <f>IF(Table1[[#This Row],[Overall Effectiveness]]&lt;3.9,"Low",IF(Table1[[#This Row],[Overall Effectiveness]]&lt;4.2,"Medium","High"))</f>
        <v>High</v>
      </c>
      <c r="AF507" s="30" t="str">
        <f t="shared" si="46"/>
        <v>Group Projects</v>
      </c>
      <c r="AG507" s="30" t="str">
        <f t="shared" si="47"/>
        <v>Case Studies</v>
      </c>
      <c r="AH507" s="27">
        <f>COUNTIF(Teacher_Master!$D$2:$D$16,AF507)</f>
        <v>3</v>
      </c>
      <c r="AI507" s="30" t="str">
        <f>INDEX(Teacher_Master!$B$2:$B$16,MATCH(AF507,Teacher_Master!$D$2:$D$16,0))</f>
        <v>Dr. Rohan Dutta</v>
      </c>
    </row>
    <row r="508" spans="1:35" ht="14.25" customHeight="1" x14ac:dyDescent="0.3">
      <c r="A508" s="31" t="s">
        <v>1041</v>
      </c>
      <c r="B508" s="31" t="s">
        <v>1042</v>
      </c>
      <c r="C508" s="31" t="s">
        <v>2882</v>
      </c>
      <c r="D508" s="12">
        <f t="shared" ca="1" si="42"/>
        <v>27</v>
      </c>
      <c r="E508" s="12" t="str">
        <f ca="1">IF(Table1[[#This Row],[Age]]&lt;=22,"20-22",IF(Table1[[#This Row],[Age]]&lt;=25,"23-25",IF(Table1[[#This Row],[Age]]&lt;=28,"26-28","29-30")))</f>
        <v>26-28</v>
      </c>
      <c r="F508" s="12">
        <v>4.7</v>
      </c>
      <c r="G508" s="12">
        <v>3.96</v>
      </c>
      <c r="H508" s="12">
        <v>4.49</v>
      </c>
      <c r="I508" s="12">
        <v>4.32</v>
      </c>
      <c r="J508" s="12">
        <v>3.11</v>
      </c>
      <c r="K508" s="12" t="s">
        <v>211</v>
      </c>
      <c r="L508" s="12">
        <v>4.1399999999999997</v>
      </c>
      <c r="M508" s="12">
        <v>3.8</v>
      </c>
      <c r="N508" s="12">
        <v>4.34</v>
      </c>
      <c r="O508" s="12">
        <v>3.25</v>
      </c>
      <c r="P508" s="12">
        <f t="shared" si="43"/>
        <v>4.1159999999999997</v>
      </c>
      <c r="Q508" s="12">
        <f t="shared" si="44"/>
        <v>4.12</v>
      </c>
      <c r="R508" s="12">
        <f t="shared" si="45"/>
        <v>3.8824999999999998</v>
      </c>
      <c r="S508" s="28">
        <f>IFERROR(INDEX('Clean Gamification Data'!$B:$B,MATCH($B508,'Clean Gamification Data'!$A:$A,0)),"Not Found")</f>
        <v>91.174632869999996</v>
      </c>
      <c r="T508" s="28">
        <f>IFERROR(INDEX('Clean Gamification Data'!$C:$C,MATCH($B508,'Clean Gamification Data'!$A:$A,0)),"Not Found")</f>
        <v>69.124944920000004</v>
      </c>
      <c r="U508" s="28">
        <f>IFERROR(INDEX('Clean Gamification Data'!$D:$D,MATCH($B508,'Clean Gamification Data'!$A:$A,0)),"Not Found")</f>
        <v>76.807372119999997</v>
      </c>
      <c r="V508" s="28">
        <f>IFERROR(INDEX('Clean Gamification Data'!$E:$E,MATCH($B508,'Clean Gamification Data'!$A:$A,0)),"Not Found")</f>
        <v>75</v>
      </c>
      <c r="W508" s="28">
        <f>IFERROR(INDEX('Clean Gamification Data'!$F:$F,MATCH($B508,'Clean Gamification Data'!$A:$A,0)),"Not Found")</f>
        <v>83.542368530000005</v>
      </c>
      <c r="X508" s="28">
        <f>IFERROR(INDEX('Clean Gamification Data'!$G:$G,MATCH($B508,'Clean Gamification Data'!$A:$A,0)),"Not Found")</f>
        <v>77.560622100000003</v>
      </c>
      <c r="Y508" s="28">
        <f>IFERROR(INDEX('Clean Gamification Data'!$H:$H,MATCH($B508,'Clean Gamification Data'!$A:$A,0)),"Not Found")</f>
        <v>73.969147300000003</v>
      </c>
      <c r="Z508" s="28">
        <f>IFERROR(INDEX('Clean Gamification Data'!$I:$I,MATCH($B508,'Clean Gamification Data'!$A:$A,0)),"Not Found")</f>
        <v>61.540356529999997</v>
      </c>
      <c r="AA508" s="28">
        <f>Table1[[#This Row],[Engagement (Gamification %)]]-Table1[[#This Row],[Engagement (Non-Gamification %)]]</f>
        <v>22.049687949999992</v>
      </c>
      <c r="AB508" s="28">
        <f>Table1[[#This Row],[Motivation (Gamification %)]]-Table1[[#This Row],[Motivation (Non-Gamification %)]]</f>
        <v>1.8073721199999966</v>
      </c>
      <c r="AC508" s="28">
        <f>Table1[[#This Row],[Participation (Gamification %)]]-Table1[[#This Row],[Participation (Non-Gamification %)]]</f>
        <v>5.9817464300000012</v>
      </c>
      <c r="AD508" s="28">
        <f>Table1[[#This Row],[Learning Outcomes (Gamification %)]]-Table1[[#This Row],[Learning Outcomes (Non-Gamification %)]]</f>
        <v>12.428790770000006</v>
      </c>
      <c r="AE508" s="44" t="str">
        <f>IF(Table1[[#This Row],[Overall Effectiveness]]&lt;3.9,"Low",IF(Table1[[#This Row],[Overall Effectiveness]]&lt;4.2,"Medium","High"))</f>
        <v>Medium</v>
      </c>
      <c r="AF508" s="30" t="str">
        <f t="shared" si="46"/>
        <v>Lectures</v>
      </c>
      <c r="AG508" s="30" t="str">
        <f t="shared" si="47"/>
        <v>Experiments</v>
      </c>
      <c r="AH508" s="27">
        <f>COUNTIF(Teacher_Master!$D$2:$D$16,AF508)</f>
        <v>3</v>
      </c>
      <c r="AI508" s="30" t="str">
        <f>INDEX(Teacher_Master!$B$2:$B$16,MATCH(AF508,Teacher_Master!$D$2:$D$16,0))</f>
        <v>Prof. Vikram Gupta</v>
      </c>
    </row>
    <row r="509" spans="1:35" ht="14.25" customHeight="1" x14ac:dyDescent="0.3">
      <c r="A509" s="31" t="s">
        <v>1043</v>
      </c>
      <c r="B509" s="31" t="s">
        <v>1044</v>
      </c>
      <c r="C509" s="31" t="s">
        <v>2882</v>
      </c>
      <c r="D509" s="12">
        <f t="shared" ca="1" si="42"/>
        <v>22</v>
      </c>
      <c r="E509" s="12" t="str">
        <f ca="1">IF(Table1[[#This Row],[Age]]&lt;=22,"20-22",IF(Table1[[#This Row],[Age]]&lt;=25,"23-25",IF(Table1[[#This Row],[Age]]&lt;=28,"26-28","29-30")))</f>
        <v>20-22</v>
      </c>
      <c r="F509" s="12">
        <v>4.32</v>
      </c>
      <c r="G509" s="12">
        <v>4.38</v>
      </c>
      <c r="H509" s="12">
        <v>4.24</v>
      </c>
      <c r="I509" s="12">
        <v>4.16</v>
      </c>
      <c r="J509" s="12">
        <v>3.41</v>
      </c>
      <c r="K509" s="12">
        <v>4.1500000000000004</v>
      </c>
      <c r="L509" s="12">
        <v>4.17</v>
      </c>
      <c r="M509" s="12">
        <v>4.04</v>
      </c>
      <c r="N509" s="12">
        <v>4.57</v>
      </c>
      <c r="O509" s="12">
        <v>3.92</v>
      </c>
      <c r="P509" s="12">
        <f t="shared" si="43"/>
        <v>4.1020000000000003</v>
      </c>
      <c r="Q509" s="12">
        <f t="shared" si="44"/>
        <v>4.0999999999999996</v>
      </c>
      <c r="R509" s="12">
        <f t="shared" si="45"/>
        <v>4.17</v>
      </c>
      <c r="S509" s="28">
        <f>IFERROR(INDEX('Clean Gamification Data'!$B:$B,MATCH($B509,'Clean Gamification Data'!$A:$A,0)),"Not Found")</f>
        <v>84.606573350000005</v>
      </c>
      <c r="T509" s="28">
        <f>IFERROR(INDEX('Clean Gamification Data'!$C:$C,MATCH($B509,'Clean Gamification Data'!$A:$A,0)),"Not Found")</f>
        <v>79.300624830000004</v>
      </c>
      <c r="U509" s="28">
        <f>IFERROR(INDEX('Clean Gamification Data'!$D:$D,MATCH($B509,'Clean Gamification Data'!$A:$A,0)),"Not Found")</f>
        <v>85.672410490000004</v>
      </c>
      <c r="V509" s="28">
        <f>IFERROR(INDEX('Clean Gamification Data'!$E:$E,MATCH($B509,'Clean Gamification Data'!$A:$A,0)),"Not Found")</f>
        <v>60.313999680000002</v>
      </c>
      <c r="W509" s="28">
        <f>IFERROR(INDEX('Clean Gamification Data'!$F:$F,MATCH($B509,'Clean Gamification Data'!$A:$A,0)),"Not Found")</f>
        <v>85.261440010000001</v>
      </c>
      <c r="X509" s="28">
        <f>IFERROR(INDEX('Clean Gamification Data'!$G:$G,MATCH($B509,'Clean Gamification Data'!$A:$A,0)),"Not Found")</f>
        <v>84.65097471</v>
      </c>
      <c r="Y509" s="28">
        <f>IFERROR(INDEX('Clean Gamification Data'!$H:$H,MATCH($B509,'Clean Gamification Data'!$A:$A,0)),"Not Found")</f>
        <v>72.124296270000002</v>
      </c>
      <c r="Z509" s="28">
        <f>IFERROR(INDEX('Clean Gamification Data'!$I:$I,MATCH($B509,'Clean Gamification Data'!$A:$A,0)),"Not Found")</f>
        <v>52.41583696</v>
      </c>
      <c r="AA509" s="28">
        <f>Table1[[#This Row],[Engagement (Gamification %)]]-Table1[[#This Row],[Engagement (Non-Gamification %)]]</f>
        <v>5.3059485200000012</v>
      </c>
      <c r="AB509" s="28">
        <f>Table1[[#This Row],[Motivation (Gamification %)]]-Table1[[#This Row],[Motivation (Non-Gamification %)]]</f>
        <v>25.358410810000002</v>
      </c>
      <c r="AC509" s="28">
        <f>Table1[[#This Row],[Participation (Gamification %)]]-Table1[[#This Row],[Participation (Non-Gamification %)]]</f>
        <v>0.61046530000000132</v>
      </c>
      <c r="AD509" s="28">
        <f>Table1[[#This Row],[Learning Outcomes (Gamification %)]]-Table1[[#This Row],[Learning Outcomes (Non-Gamification %)]]</f>
        <v>19.708459310000002</v>
      </c>
      <c r="AE509" s="44" t="str">
        <f>IF(Table1[[#This Row],[Overall Effectiveness]]&lt;3.9,"Low",IF(Table1[[#This Row],[Overall Effectiveness]]&lt;4.2,"Medium","High"))</f>
        <v>Medium</v>
      </c>
      <c r="AF509" s="30" t="str">
        <f t="shared" si="46"/>
        <v>Case Studies</v>
      </c>
      <c r="AG509" s="30" t="str">
        <f t="shared" si="47"/>
        <v>Experiments</v>
      </c>
      <c r="AH509" s="27">
        <f>COUNTIF(Teacher_Master!$D$2:$D$16,AF509)</f>
        <v>3</v>
      </c>
      <c r="AI509" s="30" t="str">
        <f>INDEX(Teacher_Master!$B$2:$B$16,MATCH(AF509,Teacher_Master!$D$2:$D$16,0))</f>
        <v>Prof. Rajesh Mukherjee</v>
      </c>
    </row>
    <row r="510" spans="1:35" ht="14.25" customHeight="1" x14ac:dyDescent="0.3">
      <c r="A510" s="31" t="s">
        <v>1045</v>
      </c>
      <c r="B510" s="31" t="s">
        <v>1046</v>
      </c>
      <c r="C510" s="31" t="s">
        <v>2882</v>
      </c>
      <c r="D510" s="12">
        <f t="shared" ca="1" si="42"/>
        <v>20</v>
      </c>
      <c r="E510" s="12" t="str">
        <f ca="1">IF(Table1[[#This Row],[Age]]&lt;=22,"20-22",IF(Table1[[#This Row],[Age]]&lt;=25,"23-25",IF(Table1[[#This Row],[Age]]&lt;=28,"26-28","29-30")))</f>
        <v>20-22</v>
      </c>
      <c r="F510" s="12">
        <v>3.45</v>
      </c>
      <c r="G510" s="12">
        <v>4.43</v>
      </c>
      <c r="H510" s="12">
        <v>3.7</v>
      </c>
      <c r="I510" s="12">
        <v>4.26</v>
      </c>
      <c r="J510" s="12">
        <v>3.92</v>
      </c>
      <c r="K510" s="12">
        <v>3.53</v>
      </c>
      <c r="L510" s="12">
        <v>4.18</v>
      </c>
      <c r="M510" s="12">
        <v>4.21</v>
      </c>
      <c r="N510" s="12" t="s">
        <v>211</v>
      </c>
      <c r="O510" s="12">
        <v>4.33</v>
      </c>
      <c r="P510" s="12">
        <f t="shared" si="43"/>
        <v>3.9519999999999995</v>
      </c>
      <c r="Q510" s="12">
        <f t="shared" si="44"/>
        <v>3.95</v>
      </c>
      <c r="R510" s="12">
        <f t="shared" si="45"/>
        <v>4.0625</v>
      </c>
      <c r="S510" s="28">
        <f>IFERROR(INDEX('Clean Gamification Data'!$B:$B,MATCH($B510,'Clean Gamification Data'!$A:$A,0)),"Not Found")</f>
        <v>81.190524879999998</v>
      </c>
      <c r="T510" s="28">
        <f>IFERROR(INDEX('Clean Gamification Data'!$C:$C,MATCH($B510,'Clean Gamification Data'!$A:$A,0)),"Not Found")</f>
        <v>68.299598369999998</v>
      </c>
      <c r="U510" s="28">
        <f>IFERROR(INDEX('Clean Gamification Data'!$D:$D,MATCH($B510,'Clean Gamification Data'!$A:$A,0)),"Not Found")</f>
        <v>78.003612529999998</v>
      </c>
      <c r="V510" s="28">
        <f>IFERROR(INDEX('Clean Gamification Data'!$E:$E,MATCH($B510,'Clean Gamification Data'!$A:$A,0)),"Not Found")</f>
        <v>66.31186855</v>
      </c>
      <c r="W510" s="28">
        <f>IFERROR(INDEX('Clean Gamification Data'!$F:$F,MATCH($B510,'Clean Gamification Data'!$A:$A,0)),"Not Found")</f>
        <v>80</v>
      </c>
      <c r="X510" s="28">
        <f>IFERROR(INDEX('Clean Gamification Data'!$G:$G,MATCH($B510,'Clean Gamification Data'!$A:$A,0)),"Not Found")</f>
        <v>80.571477220000006</v>
      </c>
      <c r="Y510" s="28">
        <f>IFERROR(INDEX('Clean Gamification Data'!$H:$H,MATCH($B510,'Clean Gamification Data'!$A:$A,0)),"Not Found")</f>
        <v>68.241845720000001</v>
      </c>
      <c r="Z510" s="28">
        <f>IFERROR(INDEX('Clean Gamification Data'!$I:$I,MATCH($B510,'Clean Gamification Data'!$A:$A,0)),"Not Found")</f>
        <v>63.129130930000002</v>
      </c>
      <c r="AA510" s="28">
        <f>Table1[[#This Row],[Engagement (Gamification %)]]-Table1[[#This Row],[Engagement (Non-Gamification %)]]</f>
        <v>12.89092651</v>
      </c>
      <c r="AB510" s="28">
        <f>Table1[[#This Row],[Motivation (Gamification %)]]-Table1[[#This Row],[Motivation (Non-Gamification %)]]</f>
        <v>11.691743979999998</v>
      </c>
      <c r="AC510" s="28">
        <f>Table1[[#This Row],[Participation (Gamification %)]]-Table1[[#This Row],[Participation (Non-Gamification %)]]</f>
        <v>-0.57147722000000556</v>
      </c>
      <c r="AD510" s="28">
        <f>Table1[[#This Row],[Learning Outcomes (Gamification %)]]-Table1[[#This Row],[Learning Outcomes (Non-Gamification %)]]</f>
        <v>5.1127147899999983</v>
      </c>
      <c r="AE510" s="44" t="str">
        <f>IF(Table1[[#This Row],[Overall Effectiveness]]&lt;3.9,"Low",IF(Table1[[#This Row],[Overall Effectiveness]]&lt;4.2,"Medium","High"))</f>
        <v>Medium</v>
      </c>
      <c r="AF510" s="30" t="str">
        <f t="shared" si="46"/>
        <v>Case Studies</v>
      </c>
      <c r="AG510" s="30" t="str">
        <f t="shared" si="47"/>
        <v>Online Tutorials</v>
      </c>
      <c r="AH510" s="27">
        <f>COUNTIF(Teacher_Master!$D$2:$D$16,AF510)</f>
        <v>3</v>
      </c>
      <c r="AI510" s="30" t="str">
        <f>INDEX(Teacher_Master!$B$2:$B$16,MATCH(AF510,Teacher_Master!$D$2:$D$16,0))</f>
        <v>Prof. Rajesh Mukherjee</v>
      </c>
    </row>
    <row r="511" spans="1:35" ht="14.25" customHeight="1" x14ac:dyDescent="0.3">
      <c r="A511" s="31" t="s">
        <v>1047</v>
      </c>
      <c r="B511" s="31" t="s">
        <v>1048</v>
      </c>
      <c r="C511" s="31" t="s">
        <v>2882</v>
      </c>
      <c r="D511" s="12">
        <f t="shared" ca="1" si="42"/>
        <v>30</v>
      </c>
      <c r="E511" s="12" t="str">
        <f ca="1">IF(Table1[[#This Row],[Age]]&lt;=22,"20-22",IF(Table1[[#This Row],[Age]]&lt;=25,"23-25",IF(Table1[[#This Row],[Age]]&lt;=28,"26-28","29-30")))</f>
        <v>29-30</v>
      </c>
      <c r="F511" s="12">
        <v>4.1900000000000004</v>
      </c>
      <c r="G511" s="12">
        <v>3.82</v>
      </c>
      <c r="H511" s="12">
        <v>3.72</v>
      </c>
      <c r="I511" s="12">
        <v>3.92</v>
      </c>
      <c r="J511" s="12">
        <v>4.07</v>
      </c>
      <c r="K511" s="12">
        <v>4.05</v>
      </c>
      <c r="L511" s="12">
        <v>3.99</v>
      </c>
      <c r="M511" s="12">
        <v>4.8499999999999996</v>
      </c>
      <c r="N511" s="12">
        <v>4.2300000000000004</v>
      </c>
      <c r="O511" s="12">
        <v>3.74</v>
      </c>
      <c r="P511" s="12">
        <f t="shared" si="43"/>
        <v>3.944</v>
      </c>
      <c r="Q511" s="12">
        <f t="shared" si="44"/>
        <v>3.94</v>
      </c>
      <c r="R511" s="12">
        <f t="shared" si="45"/>
        <v>4.1719999999999997</v>
      </c>
      <c r="S511" s="28">
        <f>IFERROR(INDEX('Clean Gamification Data'!$B:$B,MATCH($B511,'Clean Gamification Data'!$A:$A,0)),"Not Found")</f>
        <v>86.131521239999998</v>
      </c>
      <c r="T511" s="28">
        <f>IFERROR(INDEX('Clean Gamification Data'!$C:$C,MATCH($B511,'Clean Gamification Data'!$A:$A,0)),"Not Found")</f>
        <v>75.787087819999996</v>
      </c>
      <c r="U511" s="28">
        <f>IFERROR(INDEX('Clean Gamification Data'!$D:$D,MATCH($B511,'Clean Gamification Data'!$A:$A,0)),"Not Found")</f>
        <v>70</v>
      </c>
      <c r="V511" s="28">
        <f>IFERROR(INDEX('Clean Gamification Data'!$E:$E,MATCH($B511,'Clean Gamification Data'!$A:$A,0)),"Not Found")</f>
        <v>69.242695429999998</v>
      </c>
      <c r="W511" s="28">
        <f>IFERROR(INDEX('Clean Gamification Data'!$F:$F,MATCH($B511,'Clean Gamification Data'!$A:$A,0)),"Not Found")</f>
        <v>93.903708469999998</v>
      </c>
      <c r="X511" s="28">
        <f>IFERROR(INDEX('Clean Gamification Data'!$G:$G,MATCH($B511,'Clean Gamification Data'!$A:$A,0)),"Not Found")</f>
        <v>79.882725010000001</v>
      </c>
      <c r="Y511" s="28">
        <f>IFERROR(INDEX('Clean Gamification Data'!$H:$H,MATCH($B511,'Clean Gamification Data'!$A:$A,0)),"Not Found")</f>
        <v>70.338631230000004</v>
      </c>
      <c r="Z511" s="28">
        <f>IFERROR(INDEX('Clean Gamification Data'!$I:$I,MATCH($B511,'Clean Gamification Data'!$A:$A,0)),"Not Found")</f>
        <v>58.685789829999997</v>
      </c>
      <c r="AA511" s="28">
        <f>Table1[[#This Row],[Engagement (Gamification %)]]-Table1[[#This Row],[Engagement (Non-Gamification %)]]</f>
        <v>10.344433420000001</v>
      </c>
      <c r="AB511" s="28">
        <f>Table1[[#This Row],[Motivation (Gamification %)]]-Table1[[#This Row],[Motivation (Non-Gamification %)]]</f>
        <v>0.75730457000000229</v>
      </c>
      <c r="AC511" s="28">
        <f>Table1[[#This Row],[Participation (Gamification %)]]-Table1[[#This Row],[Participation (Non-Gamification %)]]</f>
        <v>14.020983459999997</v>
      </c>
      <c r="AD511" s="28">
        <f>Table1[[#This Row],[Learning Outcomes (Gamification %)]]-Table1[[#This Row],[Learning Outcomes (Non-Gamification %)]]</f>
        <v>11.652841400000007</v>
      </c>
      <c r="AE511" s="44" t="str">
        <f>IF(Table1[[#This Row],[Overall Effectiveness]]&lt;3.9,"Low",IF(Table1[[#This Row],[Overall Effectiveness]]&lt;4.2,"Medium","High"))</f>
        <v>Medium</v>
      </c>
      <c r="AF511" s="30" t="str">
        <f t="shared" si="46"/>
        <v>Lectures</v>
      </c>
      <c r="AG511" s="30" t="str">
        <f t="shared" si="47"/>
        <v>Group Projects</v>
      </c>
      <c r="AH511" s="27">
        <f>COUNTIF(Teacher_Master!$D$2:$D$16,AF511)</f>
        <v>3</v>
      </c>
      <c r="AI511" s="30" t="str">
        <f>INDEX(Teacher_Master!$B$2:$B$16,MATCH(AF511,Teacher_Master!$D$2:$D$16,0))</f>
        <v>Prof. Vikram Gupta</v>
      </c>
    </row>
    <row r="512" spans="1:35" ht="14.25" customHeight="1" x14ac:dyDescent="0.3">
      <c r="A512" s="31" t="s">
        <v>1049</v>
      </c>
      <c r="B512" s="31" t="s">
        <v>1050</v>
      </c>
      <c r="C512" s="31" t="s">
        <v>2882</v>
      </c>
      <c r="D512" s="12">
        <f t="shared" ca="1" si="42"/>
        <v>29</v>
      </c>
      <c r="E512" s="12" t="str">
        <f ca="1">IF(Table1[[#This Row],[Age]]&lt;=22,"20-22",IF(Table1[[#This Row],[Age]]&lt;=25,"23-25",IF(Table1[[#This Row],[Age]]&lt;=28,"26-28","29-30")))</f>
        <v>29-30</v>
      </c>
      <c r="F512" s="12">
        <v>4.3499999999999996</v>
      </c>
      <c r="G512" s="12">
        <v>4.68</v>
      </c>
      <c r="H512" s="12" t="s">
        <v>1051</v>
      </c>
      <c r="I512" s="12">
        <v>3.99</v>
      </c>
      <c r="J512" s="12">
        <v>4.08</v>
      </c>
      <c r="K512" s="12">
        <v>3.68</v>
      </c>
      <c r="L512" s="12">
        <v>4.4800000000000004</v>
      </c>
      <c r="M512" s="12">
        <v>3.97</v>
      </c>
      <c r="N512" s="12">
        <v>3.81</v>
      </c>
      <c r="O512" s="12">
        <v>4.33</v>
      </c>
      <c r="P512" s="12">
        <f t="shared" si="43"/>
        <v>4.2750000000000004</v>
      </c>
      <c r="Q512" s="12">
        <f t="shared" si="44"/>
        <v>4.28</v>
      </c>
      <c r="R512" s="12">
        <f t="shared" si="45"/>
        <v>4.0540000000000003</v>
      </c>
      <c r="S512" s="28">
        <f>IFERROR(INDEX('Clean Gamification Data'!$B:$B,MATCH($B512,'Clean Gamification Data'!$A:$A,0)),"Not Found")</f>
        <v>89.080315319999997</v>
      </c>
      <c r="T512" s="28">
        <f>IFERROR(INDEX('Clean Gamification Data'!$C:$C,MATCH($B512,'Clean Gamification Data'!$A:$A,0)),"Not Found")</f>
        <v>73.871763049999998</v>
      </c>
      <c r="U512" s="28">
        <f>IFERROR(INDEX('Clean Gamification Data'!$D:$D,MATCH($B512,'Clean Gamification Data'!$A:$A,0)),"Not Found")</f>
        <v>77.723777589999997</v>
      </c>
      <c r="V512" s="28">
        <f>IFERROR(INDEX('Clean Gamification Data'!$E:$E,MATCH($B512,'Clean Gamification Data'!$A:$A,0)),"Not Found")</f>
        <v>60.288340769999998</v>
      </c>
      <c r="W512" s="28">
        <f>IFERROR(INDEX('Clean Gamification Data'!$F:$F,MATCH($B512,'Clean Gamification Data'!$A:$A,0)),"Not Found")</f>
        <v>89.129364600000002</v>
      </c>
      <c r="X512" s="28">
        <f>IFERROR(INDEX('Clean Gamification Data'!$G:$G,MATCH($B512,'Clean Gamification Data'!$A:$A,0)),"Not Found")</f>
        <v>75.890653470000004</v>
      </c>
      <c r="Y512" s="28">
        <f>IFERROR(INDEX('Clean Gamification Data'!$H:$H,MATCH($B512,'Clean Gamification Data'!$A:$A,0)),"Not Found")</f>
        <v>68.420967970000007</v>
      </c>
      <c r="Z512" s="28">
        <f>IFERROR(INDEX('Clean Gamification Data'!$I:$I,MATCH($B512,'Clean Gamification Data'!$A:$A,0)),"Not Found")</f>
        <v>64.680185769999994</v>
      </c>
      <c r="AA512" s="28">
        <f>Table1[[#This Row],[Engagement (Gamification %)]]-Table1[[#This Row],[Engagement (Non-Gamification %)]]</f>
        <v>15.208552269999998</v>
      </c>
      <c r="AB512" s="28">
        <f>Table1[[#This Row],[Motivation (Gamification %)]]-Table1[[#This Row],[Motivation (Non-Gamification %)]]</f>
        <v>17.43543682</v>
      </c>
      <c r="AC512" s="28">
        <f>Table1[[#This Row],[Participation (Gamification %)]]-Table1[[#This Row],[Participation (Non-Gamification %)]]</f>
        <v>13.238711129999999</v>
      </c>
      <c r="AD512" s="28">
        <f>Table1[[#This Row],[Learning Outcomes (Gamification %)]]-Table1[[#This Row],[Learning Outcomes (Non-Gamification %)]]</f>
        <v>3.7407822000000124</v>
      </c>
      <c r="AE512" s="44" t="str">
        <f>IF(Table1[[#This Row],[Overall Effectiveness]]&lt;3.9,"Low",IF(Table1[[#This Row],[Overall Effectiveness]]&lt;4.2,"Medium","High"))</f>
        <v>High</v>
      </c>
      <c r="AF512" s="30" t="str">
        <f t="shared" si="46"/>
        <v>Case Studies</v>
      </c>
      <c r="AG512" s="30" t="str">
        <f t="shared" si="47"/>
        <v>Case Studies</v>
      </c>
      <c r="AH512" s="27">
        <f>COUNTIF(Teacher_Master!$D$2:$D$16,AF512)</f>
        <v>3</v>
      </c>
      <c r="AI512" s="30" t="str">
        <f>INDEX(Teacher_Master!$B$2:$B$16,MATCH(AF512,Teacher_Master!$D$2:$D$16,0))</f>
        <v>Prof. Rajesh Mukherjee</v>
      </c>
    </row>
    <row r="513" spans="1:35" ht="14.25" customHeight="1" x14ac:dyDescent="0.3">
      <c r="A513" s="31" t="s">
        <v>1052</v>
      </c>
      <c r="B513" s="31" t="s">
        <v>2440</v>
      </c>
      <c r="C513" s="31" t="s">
        <v>2881</v>
      </c>
      <c r="D513" s="12">
        <f t="shared" ca="1" si="42"/>
        <v>29</v>
      </c>
      <c r="E513" s="12" t="str">
        <f ca="1">IF(Table1[[#This Row],[Age]]&lt;=22,"20-22",IF(Table1[[#This Row],[Age]]&lt;=25,"23-25",IF(Table1[[#This Row],[Age]]&lt;=28,"26-28","29-30")))</f>
        <v>29-30</v>
      </c>
      <c r="F513" s="12">
        <v>3.8</v>
      </c>
      <c r="G513" s="12">
        <v>3.79</v>
      </c>
      <c r="H513" s="12">
        <v>3.99</v>
      </c>
      <c r="I513" s="12">
        <v>3.9</v>
      </c>
      <c r="J513" s="12">
        <v>3.63</v>
      </c>
      <c r="K513" s="12">
        <v>4.0199999999999996</v>
      </c>
      <c r="L513" s="12">
        <v>4.16</v>
      </c>
      <c r="M513" s="12">
        <v>3.89</v>
      </c>
      <c r="N513" s="12">
        <v>4.3099999999999996</v>
      </c>
      <c r="O513" s="12">
        <v>4.1500000000000004</v>
      </c>
      <c r="P513" s="12">
        <f t="shared" si="43"/>
        <v>3.8220000000000001</v>
      </c>
      <c r="Q513" s="12">
        <f t="shared" si="44"/>
        <v>3.82</v>
      </c>
      <c r="R513" s="12">
        <f t="shared" si="45"/>
        <v>4.1059999999999999</v>
      </c>
      <c r="S513" s="28">
        <f>IFERROR(INDEX('Clean Gamification Data'!$B:$B,MATCH($B513,'Clean Gamification Data'!$A:$A,0)),"Not Found")</f>
        <v>88.227887989999999</v>
      </c>
      <c r="T513" s="28">
        <f>IFERROR(INDEX('Clean Gamification Data'!$C:$C,MATCH($B513,'Clean Gamification Data'!$A:$A,0)),"Not Found")</f>
        <v>71.840343379999993</v>
      </c>
      <c r="U513" s="28">
        <f>IFERROR(INDEX('Clean Gamification Data'!$D:$D,MATCH($B513,'Clean Gamification Data'!$A:$A,0)),"Not Found")</f>
        <v>79.689430999999999</v>
      </c>
      <c r="V513" s="28">
        <f>IFERROR(INDEX('Clean Gamification Data'!$E:$E,MATCH($B513,'Clean Gamification Data'!$A:$A,0)),"Not Found")</f>
        <v>66.250641880000003</v>
      </c>
      <c r="W513" s="28">
        <f>IFERROR(INDEX('Clean Gamification Data'!$F:$F,MATCH($B513,'Clean Gamification Data'!$A:$A,0)),"Not Found")</f>
        <v>90.551883059999994</v>
      </c>
      <c r="X513" s="28">
        <f>IFERROR(INDEX('Clean Gamification Data'!$G:$G,MATCH($B513,'Clean Gamification Data'!$A:$A,0)),"Not Found")</f>
        <v>69.233099019999997</v>
      </c>
      <c r="Y513" s="28">
        <f>IFERROR(INDEX('Clean Gamification Data'!$H:$H,MATCH($B513,'Clean Gamification Data'!$A:$A,0)),"Not Found")</f>
        <v>70.600051339999993</v>
      </c>
      <c r="Z513" s="28">
        <f>IFERROR(INDEX('Clean Gamification Data'!$I:$I,MATCH($B513,'Clean Gamification Data'!$A:$A,0)),"Not Found")</f>
        <v>59.619424010000003</v>
      </c>
      <c r="AA513" s="28">
        <f>Table1[[#This Row],[Engagement (Gamification %)]]-Table1[[#This Row],[Engagement (Non-Gamification %)]]</f>
        <v>16.387544610000006</v>
      </c>
      <c r="AB513" s="28">
        <f>Table1[[#This Row],[Motivation (Gamification %)]]-Table1[[#This Row],[Motivation (Non-Gamification %)]]</f>
        <v>13.438789119999996</v>
      </c>
      <c r="AC513" s="28">
        <f>Table1[[#This Row],[Participation (Gamification %)]]-Table1[[#This Row],[Participation (Non-Gamification %)]]</f>
        <v>21.318784039999997</v>
      </c>
      <c r="AD513" s="28">
        <f>Table1[[#This Row],[Learning Outcomes (Gamification %)]]-Table1[[#This Row],[Learning Outcomes (Non-Gamification %)]]</f>
        <v>10.98062732999999</v>
      </c>
      <c r="AE513" s="44" t="str">
        <f>IF(Table1[[#This Row],[Overall Effectiveness]]&lt;3.9,"Low",IF(Table1[[#This Row],[Overall Effectiveness]]&lt;4.2,"Medium","High"))</f>
        <v>Low</v>
      </c>
      <c r="AF513" s="30" t="str">
        <f t="shared" si="46"/>
        <v>Group Projects</v>
      </c>
      <c r="AG513" s="30" t="str">
        <f t="shared" si="47"/>
        <v>Experiments</v>
      </c>
      <c r="AH513" s="27">
        <f>COUNTIF(Teacher_Master!$D$2:$D$16,AF513)</f>
        <v>3</v>
      </c>
      <c r="AI513" s="30" t="str">
        <f>INDEX(Teacher_Master!$B$2:$B$16,MATCH(AF513,Teacher_Master!$D$2:$D$16,0))</f>
        <v>Dr. Rohan Dutta</v>
      </c>
    </row>
    <row r="514" spans="1:35" ht="14.25" customHeight="1" x14ac:dyDescent="0.3">
      <c r="A514" s="31" t="s">
        <v>1054</v>
      </c>
      <c r="B514" s="31" t="s">
        <v>1055</v>
      </c>
      <c r="C514" s="31" t="s">
        <v>2882</v>
      </c>
      <c r="D514" s="12">
        <f t="shared" ref="D514:D577" ca="1" si="48">RANDBETWEEN(20,30)</f>
        <v>30</v>
      </c>
      <c r="E514" s="12" t="str">
        <f ca="1">IF(Table1[[#This Row],[Age]]&lt;=22,"20-22",IF(Table1[[#This Row],[Age]]&lt;=25,"23-25",IF(Table1[[#This Row],[Age]]&lt;=28,"26-28","29-30")))</f>
        <v>29-30</v>
      </c>
      <c r="F514" s="12">
        <v>4.18</v>
      </c>
      <c r="G514" s="12">
        <v>4.2699999999999996</v>
      </c>
      <c r="H514" s="12" t="s">
        <v>211</v>
      </c>
      <c r="I514" s="12">
        <v>4.3899999999999997</v>
      </c>
      <c r="J514" s="12">
        <v>3.89</v>
      </c>
      <c r="K514" s="12">
        <v>4.26</v>
      </c>
      <c r="L514" s="12">
        <v>3.31</v>
      </c>
      <c r="M514" s="12">
        <v>3.91</v>
      </c>
      <c r="N514" s="12">
        <v>3.51</v>
      </c>
      <c r="O514" s="12">
        <v>4</v>
      </c>
      <c r="P514" s="12">
        <f t="shared" ref="P514:P577" si="49">AVERAGE(F514:J514)</f>
        <v>4.1825000000000001</v>
      </c>
      <c r="Q514" s="12">
        <f t="shared" ref="Q514:Q577" si="50">ROUND(P514,2)</f>
        <v>4.18</v>
      </c>
      <c r="R514" s="12">
        <f t="shared" ref="R514:R577" si="51">AVERAGE(K514:O514)</f>
        <v>3.7980000000000005</v>
      </c>
      <c r="S514" s="28">
        <f>IFERROR(INDEX('Clean Gamification Data'!$B:$B,MATCH($B514,'Clean Gamification Data'!$A:$A,0)),"Not Found")</f>
        <v>85.59678203</v>
      </c>
      <c r="T514" s="28">
        <f>IFERROR(INDEX('Clean Gamification Data'!$C:$C,MATCH($B514,'Clean Gamification Data'!$A:$A,0)),"Not Found")</f>
        <v>64.410207200000002</v>
      </c>
      <c r="U514" s="28">
        <f>IFERROR(INDEX('Clean Gamification Data'!$D:$D,MATCH($B514,'Clean Gamification Data'!$A:$A,0)),"Not Found")</f>
        <v>81.571901929999996</v>
      </c>
      <c r="V514" s="28">
        <f>IFERROR(INDEX('Clean Gamification Data'!$E:$E,MATCH($B514,'Clean Gamification Data'!$A:$A,0)),"Not Found")</f>
        <v>66.932722929999997</v>
      </c>
      <c r="W514" s="28">
        <f>IFERROR(INDEX('Clean Gamification Data'!$F:$F,MATCH($B514,'Clean Gamification Data'!$A:$A,0)),"Not Found")</f>
        <v>80</v>
      </c>
      <c r="X514" s="28">
        <f>IFERROR(INDEX('Clean Gamification Data'!$G:$G,MATCH($B514,'Clean Gamification Data'!$A:$A,0)),"Not Found")</f>
        <v>80.053589250000002</v>
      </c>
      <c r="Y514" s="28">
        <f>IFERROR(INDEX('Clean Gamification Data'!$H:$H,MATCH($B514,'Clean Gamification Data'!$A:$A,0)),"Not Found")</f>
        <v>72.893735960000001</v>
      </c>
      <c r="Z514" s="28">
        <f>IFERROR(INDEX('Clean Gamification Data'!$I:$I,MATCH($B514,'Clean Gamification Data'!$A:$A,0)),"Not Found")</f>
        <v>61.547042959999999</v>
      </c>
      <c r="AA514" s="28">
        <f>Table1[[#This Row],[Engagement (Gamification %)]]-Table1[[#This Row],[Engagement (Non-Gamification %)]]</f>
        <v>21.186574829999998</v>
      </c>
      <c r="AB514" s="28">
        <f>Table1[[#This Row],[Motivation (Gamification %)]]-Table1[[#This Row],[Motivation (Non-Gamification %)]]</f>
        <v>14.639178999999999</v>
      </c>
      <c r="AC514" s="28">
        <f>Table1[[#This Row],[Participation (Gamification %)]]-Table1[[#This Row],[Participation (Non-Gamification %)]]</f>
        <v>-5.3589250000001698E-2</v>
      </c>
      <c r="AD514" s="28">
        <f>Table1[[#This Row],[Learning Outcomes (Gamification %)]]-Table1[[#This Row],[Learning Outcomes (Non-Gamification %)]]</f>
        <v>11.346693000000002</v>
      </c>
      <c r="AE514" s="44" t="str">
        <f>IF(Table1[[#This Row],[Overall Effectiveness]]&lt;3.9,"Low",IF(Table1[[#This Row],[Overall Effectiveness]]&lt;4.2,"Medium","High"))</f>
        <v>Medium</v>
      </c>
      <c r="AF514" s="30" t="str">
        <f t="shared" ref="AF514:AF577" si="52">CHOOSE(MATCH(MAX(F514:J514),F514:J514,0),"Lectures","Case Studies","Group Projects","Experiments","Online Tutorials")</f>
        <v>Experiments</v>
      </c>
      <c r="AG514" s="30" t="str">
        <f t="shared" ref="AG514:AG577" si="53">CHOOSE(MATCH(MAX(K514:O514),K514:O514,0),"Lectures","Case Studies","Group Projects","Experiments","Online Tutorials")</f>
        <v>Lectures</v>
      </c>
      <c r="AH514" s="27">
        <f>COUNTIF(Teacher_Master!$D$2:$D$16,AF514)</f>
        <v>3</v>
      </c>
      <c r="AI514" s="30" t="str">
        <f>INDEX(Teacher_Master!$B$2:$B$16,MATCH(AF514,Teacher_Master!$D$2:$D$16,0))</f>
        <v>Prof. Rahul Singh</v>
      </c>
    </row>
    <row r="515" spans="1:35" ht="14.25" customHeight="1" x14ac:dyDescent="0.3">
      <c r="A515" s="31" t="s">
        <v>1056</v>
      </c>
      <c r="B515" s="31" t="s">
        <v>1057</v>
      </c>
      <c r="C515" s="31" t="s">
        <v>2882</v>
      </c>
      <c r="D515" s="12">
        <f t="shared" ca="1" si="48"/>
        <v>22</v>
      </c>
      <c r="E515" s="12" t="str">
        <f ca="1">IF(Table1[[#This Row],[Age]]&lt;=22,"20-22",IF(Table1[[#This Row],[Age]]&lt;=25,"23-25",IF(Table1[[#This Row],[Age]]&lt;=28,"26-28","29-30")))</f>
        <v>20-22</v>
      </c>
      <c r="F515" s="12">
        <v>3.89</v>
      </c>
      <c r="G515" s="12">
        <v>3.94</v>
      </c>
      <c r="H515" s="12">
        <v>3.93</v>
      </c>
      <c r="I515" s="12" t="s">
        <v>211</v>
      </c>
      <c r="J515" s="12">
        <v>4.37</v>
      </c>
      <c r="K515" s="12">
        <v>3.58</v>
      </c>
      <c r="L515" s="12">
        <v>3.98</v>
      </c>
      <c r="M515" s="12">
        <v>4.54</v>
      </c>
      <c r="N515" s="12">
        <v>3.79</v>
      </c>
      <c r="O515" s="12">
        <v>4.3499999999999996</v>
      </c>
      <c r="P515" s="12">
        <f t="shared" si="49"/>
        <v>4.0324999999999998</v>
      </c>
      <c r="Q515" s="12">
        <f t="shared" si="50"/>
        <v>4.03</v>
      </c>
      <c r="R515" s="12">
        <f t="shared" si="51"/>
        <v>4.048</v>
      </c>
      <c r="S515" s="28">
        <f>IFERROR(INDEX('Clean Gamification Data'!$B:$B,MATCH($B515,'Clean Gamification Data'!$A:$A,0)),"Not Found")</f>
        <v>84.261352700000003</v>
      </c>
      <c r="T515" s="28">
        <f>IFERROR(INDEX('Clean Gamification Data'!$C:$C,MATCH($B515,'Clean Gamification Data'!$A:$A,0)),"Not Found")</f>
        <v>74.018037359999994</v>
      </c>
      <c r="U515" s="28">
        <f>IFERROR(INDEX('Clean Gamification Data'!$D:$D,MATCH($B515,'Clean Gamification Data'!$A:$A,0)),"Not Found")</f>
        <v>81.398202560000001</v>
      </c>
      <c r="V515" s="28">
        <f>IFERROR(INDEX('Clean Gamification Data'!$E:$E,MATCH($B515,'Clean Gamification Data'!$A:$A,0)),"Not Found")</f>
        <v>74.638701359999999</v>
      </c>
      <c r="W515" s="28">
        <f>IFERROR(INDEX('Clean Gamification Data'!$F:$F,MATCH($B515,'Clean Gamification Data'!$A:$A,0)),"Not Found")</f>
        <v>89.514417370000004</v>
      </c>
      <c r="X515" s="28">
        <f>IFERROR(INDEX('Clean Gamification Data'!$G:$G,MATCH($B515,'Clean Gamification Data'!$A:$A,0)),"Not Found")</f>
        <v>75.275358049999994</v>
      </c>
      <c r="Y515" s="28">
        <f>IFERROR(INDEX('Clean Gamification Data'!$H:$H,MATCH($B515,'Clean Gamification Data'!$A:$A,0)),"Not Found")</f>
        <v>75.995557390000002</v>
      </c>
      <c r="Z515" s="28">
        <f>IFERROR(INDEX('Clean Gamification Data'!$I:$I,MATCH($B515,'Clean Gamification Data'!$A:$A,0)),"Not Found")</f>
        <v>50.871572710000002</v>
      </c>
      <c r="AA515" s="28">
        <f>Table1[[#This Row],[Engagement (Gamification %)]]-Table1[[#This Row],[Engagement (Non-Gamification %)]]</f>
        <v>10.243315340000009</v>
      </c>
      <c r="AB515" s="28">
        <f>Table1[[#This Row],[Motivation (Gamification %)]]-Table1[[#This Row],[Motivation (Non-Gamification %)]]</f>
        <v>6.7595012000000025</v>
      </c>
      <c r="AC515" s="28">
        <f>Table1[[#This Row],[Participation (Gamification %)]]-Table1[[#This Row],[Participation (Non-Gamification %)]]</f>
        <v>14.23905932000001</v>
      </c>
      <c r="AD515" s="28">
        <f>Table1[[#This Row],[Learning Outcomes (Gamification %)]]-Table1[[#This Row],[Learning Outcomes (Non-Gamification %)]]</f>
        <v>25.12398468</v>
      </c>
      <c r="AE515" s="44" t="str">
        <f>IF(Table1[[#This Row],[Overall Effectiveness]]&lt;3.9,"Low",IF(Table1[[#This Row],[Overall Effectiveness]]&lt;4.2,"Medium","High"))</f>
        <v>Medium</v>
      </c>
      <c r="AF515" s="30" t="str">
        <f t="shared" si="52"/>
        <v>Online Tutorials</v>
      </c>
      <c r="AG515" s="30" t="str">
        <f t="shared" si="53"/>
        <v>Group Projects</v>
      </c>
      <c r="AH515" s="27">
        <f>COUNTIF(Teacher_Master!$D$2:$D$16,AF515)</f>
        <v>3</v>
      </c>
      <c r="AI515" s="30" t="str">
        <f>INDEX(Teacher_Master!$B$2:$B$16,MATCH(AF515,Teacher_Master!$D$2:$D$16,0))</f>
        <v>Prof. Kavita Rao</v>
      </c>
    </row>
    <row r="516" spans="1:35" ht="14.25" customHeight="1" x14ac:dyDescent="0.3">
      <c r="A516" s="31" t="s">
        <v>1058</v>
      </c>
      <c r="B516" s="31" t="s">
        <v>2441</v>
      </c>
      <c r="C516" s="31" t="s">
        <v>2881</v>
      </c>
      <c r="D516" s="12">
        <f t="shared" ca="1" si="48"/>
        <v>21</v>
      </c>
      <c r="E516" s="12" t="str">
        <f ca="1">IF(Table1[[#This Row],[Age]]&lt;=22,"20-22",IF(Table1[[#This Row],[Age]]&lt;=25,"23-25",IF(Table1[[#This Row],[Age]]&lt;=28,"26-28","29-30")))</f>
        <v>20-22</v>
      </c>
      <c r="F516" s="12">
        <v>4.4400000000000004</v>
      </c>
      <c r="G516" s="12">
        <v>4.08</v>
      </c>
      <c r="H516" s="12">
        <v>3.79</v>
      </c>
      <c r="I516" s="12">
        <v>4.3099999999999996</v>
      </c>
      <c r="J516" s="12">
        <v>3.67</v>
      </c>
      <c r="K516" s="12">
        <v>4.6399999999999997</v>
      </c>
      <c r="L516" s="12">
        <v>4.2</v>
      </c>
      <c r="M516" s="12">
        <v>4.16</v>
      </c>
      <c r="N516" s="12">
        <v>4.09</v>
      </c>
      <c r="O516" s="12">
        <v>4.25</v>
      </c>
      <c r="P516" s="12">
        <f t="shared" si="49"/>
        <v>4.0579999999999998</v>
      </c>
      <c r="Q516" s="12">
        <f t="shared" si="50"/>
        <v>4.0599999999999996</v>
      </c>
      <c r="R516" s="12">
        <f t="shared" si="51"/>
        <v>4.2679999999999998</v>
      </c>
      <c r="S516" s="28">
        <f>IFERROR(INDEX('Clean Gamification Data'!$B:$B,MATCH($B516,'Clean Gamification Data'!$A:$A,0)),"Not Found")</f>
        <v>81.055702150000002</v>
      </c>
      <c r="T516" s="28">
        <f>IFERROR(INDEX('Clean Gamification Data'!$C:$C,MATCH($B516,'Clean Gamification Data'!$A:$A,0)),"Not Found")</f>
        <v>60</v>
      </c>
      <c r="U516" s="28">
        <f>IFERROR(INDEX('Clean Gamification Data'!$D:$D,MATCH($B516,'Clean Gamification Data'!$A:$A,0)),"Not Found")</f>
        <v>88.730145989999997</v>
      </c>
      <c r="V516" s="28">
        <f>IFERROR(INDEX('Clean Gamification Data'!$E:$E,MATCH($B516,'Clean Gamification Data'!$A:$A,0)),"Not Found")</f>
        <v>64.984058989999994</v>
      </c>
      <c r="W516" s="28">
        <f>IFERROR(INDEX('Clean Gamification Data'!$F:$F,MATCH($B516,'Clean Gamification Data'!$A:$A,0)),"Not Found")</f>
        <v>90.274330370000001</v>
      </c>
      <c r="X516" s="28">
        <f>IFERROR(INDEX('Clean Gamification Data'!$G:$G,MATCH($B516,'Clean Gamification Data'!$A:$A,0)),"Not Found")</f>
        <v>84.477703750000003</v>
      </c>
      <c r="Y516" s="28">
        <f>IFERROR(INDEX('Clean Gamification Data'!$H:$H,MATCH($B516,'Clean Gamification Data'!$A:$A,0)),"Not Found")</f>
        <v>70.488007980000006</v>
      </c>
      <c r="Z516" s="28">
        <f>IFERROR(INDEX('Clean Gamification Data'!$I:$I,MATCH($B516,'Clean Gamification Data'!$A:$A,0)),"Not Found")</f>
        <v>62.50594255</v>
      </c>
      <c r="AA516" s="28">
        <f>Table1[[#This Row],[Engagement (Gamification %)]]-Table1[[#This Row],[Engagement (Non-Gamification %)]]</f>
        <v>21.055702150000002</v>
      </c>
      <c r="AB516" s="28">
        <f>Table1[[#This Row],[Motivation (Gamification %)]]-Table1[[#This Row],[Motivation (Non-Gamification %)]]</f>
        <v>23.746087000000003</v>
      </c>
      <c r="AC516" s="28">
        <f>Table1[[#This Row],[Participation (Gamification %)]]-Table1[[#This Row],[Participation (Non-Gamification %)]]</f>
        <v>5.7966266199999978</v>
      </c>
      <c r="AD516" s="28">
        <f>Table1[[#This Row],[Learning Outcomes (Gamification %)]]-Table1[[#This Row],[Learning Outcomes (Non-Gamification %)]]</f>
        <v>7.9820654300000058</v>
      </c>
      <c r="AE516" s="44" t="str">
        <f>IF(Table1[[#This Row],[Overall Effectiveness]]&lt;3.9,"Low",IF(Table1[[#This Row],[Overall Effectiveness]]&lt;4.2,"Medium","High"))</f>
        <v>Medium</v>
      </c>
      <c r="AF516" s="30" t="str">
        <f t="shared" si="52"/>
        <v>Lectures</v>
      </c>
      <c r="AG516" s="30" t="str">
        <f t="shared" si="53"/>
        <v>Lectures</v>
      </c>
      <c r="AH516" s="27">
        <f>COUNTIF(Teacher_Master!$D$2:$D$16,AF516)</f>
        <v>3</v>
      </c>
      <c r="AI516" s="30" t="str">
        <f>INDEX(Teacher_Master!$B$2:$B$16,MATCH(AF516,Teacher_Master!$D$2:$D$16,0))</f>
        <v>Prof. Vikram Gupta</v>
      </c>
    </row>
    <row r="517" spans="1:35" ht="14.25" customHeight="1" x14ac:dyDescent="0.3">
      <c r="A517" s="31" t="s">
        <v>1060</v>
      </c>
      <c r="B517" s="31" t="s">
        <v>2442</v>
      </c>
      <c r="C517" s="31" t="s">
        <v>2882</v>
      </c>
      <c r="D517" s="12">
        <f t="shared" ca="1" si="48"/>
        <v>20</v>
      </c>
      <c r="E517" s="12" t="str">
        <f ca="1">IF(Table1[[#This Row],[Age]]&lt;=22,"20-22",IF(Table1[[#This Row],[Age]]&lt;=25,"23-25",IF(Table1[[#This Row],[Age]]&lt;=28,"26-28","29-30")))</f>
        <v>20-22</v>
      </c>
      <c r="F517" s="12">
        <v>4.34</v>
      </c>
      <c r="G517" s="12">
        <v>3.63</v>
      </c>
      <c r="H517" s="12">
        <v>3.88</v>
      </c>
      <c r="I517" s="12">
        <v>3.5</v>
      </c>
      <c r="J517" s="12">
        <v>3.43</v>
      </c>
      <c r="K517" s="12">
        <v>4.4000000000000004</v>
      </c>
      <c r="L517" s="12">
        <v>4.18</v>
      </c>
      <c r="M517" s="12">
        <v>4.16</v>
      </c>
      <c r="N517" s="12">
        <v>4.34</v>
      </c>
      <c r="O517" s="12">
        <v>4.08</v>
      </c>
      <c r="P517" s="12">
        <f t="shared" si="49"/>
        <v>3.7560000000000002</v>
      </c>
      <c r="Q517" s="12">
        <f t="shared" si="50"/>
        <v>3.76</v>
      </c>
      <c r="R517" s="12">
        <f t="shared" si="51"/>
        <v>4.2319999999999993</v>
      </c>
      <c r="S517" s="28">
        <f>IFERROR(INDEX('Clean Gamification Data'!$B:$B,MATCH($B517,'Clean Gamification Data'!$A:$A,0)),"Not Found")</f>
        <v>79.62447272</v>
      </c>
      <c r="T517" s="28">
        <f>IFERROR(INDEX('Clean Gamification Data'!$C:$C,MATCH($B517,'Clean Gamification Data'!$A:$A,0)),"Not Found")</f>
        <v>60</v>
      </c>
      <c r="U517" s="28">
        <f>IFERROR(INDEX('Clean Gamification Data'!$D:$D,MATCH($B517,'Clean Gamification Data'!$A:$A,0)),"Not Found")</f>
        <v>72.943723899999995</v>
      </c>
      <c r="V517" s="28">
        <f>IFERROR(INDEX('Clean Gamification Data'!$E:$E,MATCH($B517,'Clean Gamification Data'!$A:$A,0)),"Not Found")</f>
        <v>64.780777549999996</v>
      </c>
      <c r="W517" s="28">
        <f>IFERROR(INDEX('Clean Gamification Data'!$F:$F,MATCH($B517,'Clean Gamification Data'!$A:$A,0)),"Not Found")</f>
        <v>84.350165180000005</v>
      </c>
      <c r="X517" s="28">
        <f>IFERROR(INDEX('Clean Gamification Data'!$G:$G,MATCH($B517,'Clean Gamification Data'!$A:$A,0)),"Not Found")</f>
        <v>85</v>
      </c>
      <c r="Y517" s="28">
        <f>IFERROR(INDEX('Clean Gamification Data'!$H:$H,MATCH($B517,'Clean Gamification Data'!$A:$A,0)),"Not Found")</f>
        <v>74.43281915</v>
      </c>
      <c r="Z517" s="28">
        <f>IFERROR(INDEX('Clean Gamification Data'!$I:$I,MATCH($B517,'Clean Gamification Data'!$A:$A,0)),"Not Found")</f>
        <v>61.448620750000003</v>
      </c>
      <c r="AA517" s="28">
        <f>Table1[[#This Row],[Engagement (Gamification %)]]-Table1[[#This Row],[Engagement (Non-Gamification %)]]</f>
        <v>19.62447272</v>
      </c>
      <c r="AB517" s="28">
        <f>Table1[[#This Row],[Motivation (Gamification %)]]-Table1[[#This Row],[Motivation (Non-Gamification %)]]</f>
        <v>8.1629463499999986</v>
      </c>
      <c r="AC517" s="28">
        <f>Table1[[#This Row],[Participation (Gamification %)]]-Table1[[#This Row],[Participation (Non-Gamification %)]]</f>
        <v>-0.64983481999999526</v>
      </c>
      <c r="AD517" s="28">
        <f>Table1[[#This Row],[Learning Outcomes (Gamification %)]]-Table1[[#This Row],[Learning Outcomes (Non-Gamification %)]]</f>
        <v>12.984198399999997</v>
      </c>
      <c r="AE517" s="44" t="str">
        <f>IF(Table1[[#This Row],[Overall Effectiveness]]&lt;3.9,"Low",IF(Table1[[#This Row],[Overall Effectiveness]]&lt;4.2,"Medium","High"))</f>
        <v>Low</v>
      </c>
      <c r="AF517" s="30" t="str">
        <f t="shared" si="52"/>
        <v>Lectures</v>
      </c>
      <c r="AG517" s="30" t="str">
        <f t="shared" si="53"/>
        <v>Lectures</v>
      </c>
      <c r="AH517" s="27">
        <f>COUNTIF(Teacher_Master!$D$2:$D$16,AF517)</f>
        <v>3</v>
      </c>
      <c r="AI517" s="30" t="str">
        <f>INDEX(Teacher_Master!$B$2:$B$16,MATCH(AF517,Teacher_Master!$D$2:$D$16,0))</f>
        <v>Prof. Vikram Gupta</v>
      </c>
    </row>
    <row r="518" spans="1:35" ht="14.25" customHeight="1" x14ac:dyDescent="0.3">
      <c r="A518" s="31" t="s">
        <v>1062</v>
      </c>
      <c r="B518" s="31" t="s">
        <v>2443</v>
      </c>
      <c r="C518" s="31" t="s">
        <v>2882</v>
      </c>
      <c r="D518" s="12">
        <f t="shared" ca="1" si="48"/>
        <v>24</v>
      </c>
      <c r="E518" s="12" t="str">
        <f ca="1">IF(Table1[[#This Row],[Age]]&lt;=22,"20-22",IF(Table1[[#This Row],[Age]]&lt;=25,"23-25",IF(Table1[[#This Row],[Age]]&lt;=28,"26-28","29-30")))</f>
        <v>23-25</v>
      </c>
      <c r="F518" s="12">
        <v>4.32</v>
      </c>
      <c r="G518" s="12">
        <v>3.44</v>
      </c>
      <c r="H518" s="12">
        <v>3.61</v>
      </c>
      <c r="I518" s="12">
        <v>3.74</v>
      </c>
      <c r="J518" s="12">
        <v>3.77</v>
      </c>
      <c r="K518" s="12">
        <v>4.47</v>
      </c>
      <c r="L518" s="12">
        <v>4.63</v>
      </c>
      <c r="M518" s="12">
        <v>4.16</v>
      </c>
      <c r="N518" s="12">
        <v>4.16</v>
      </c>
      <c r="O518" s="12">
        <v>4.67</v>
      </c>
      <c r="P518" s="12">
        <f t="shared" si="49"/>
        <v>3.7759999999999998</v>
      </c>
      <c r="Q518" s="12">
        <f t="shared" si="50"/>
        <v>3.78</v>
      </c>
      <c r="R518" s="12">
        <f t="shared" si="51"/>
        <v>4.418000000000001</v>
      </c>
      <c r="S518" s="28">
        <f>IFERROR(INDEX('Clean Gamification Data'!$B:$B,MATCH($B518,'Clean Gamification Data'!$A:$A,0)),"Not Found")</f>
        <v>90.224829150000005</v>
      </c>
      <c r="T518" s="28">
        <f>IFERROR(INDEX('Clean Gamification Data'!$C:$C,MATCH($B518,'Clean Gamification Data'!$A:$A,0)),"Not Found")</f>
        <v>67.120403839999994</v>
      </c>
      <c r="U518" s="28">
        <f>IFERROR(INDEX('Clean Gamification Data'!$D:$D,MATCH($B518,'Clean Gamification Data'!$A:$A,0)),"Not Found")</f>
        <v>75.639665309999998</v>
      </c>
      <c r="V518" s="28">
        <f>IFERROR(INDEX('Clean Gamification Data'!$E:$E,MATCH($B518,'Clean Gamification Data'!$A:$A,0)),"Not Found")</f>
        <v>65.845951119999995</v>
      </c>
      <c r="W518" s="28">
        <f>IFERROR(INDEX('Clean Gamification Data'!$F:$F,MATCH($B518,'Clean Gamification Data'!$A:$A,0)),"Not Found")</f>
        <v>99.9</v>
      </c>
      <c r="X518" s="28">
        <f>IFERROR(INDEX('Clean Gamification Data'!$G:$G,MATCH($B518,'Clean Gamification Data'!$A:$A,0)),"Not Found")</f>
        <v>68.630915200000004</v>
      </c>
      <c r="Y518" s="28">
        <f>IFERROR(INDEX('Clean Gamification Data'!$H:$H,MATCH($B518,'Clean Gamification Data'!$A:$A,0)),"Not Found")</f>
        <v>71.716807020000005</v>
      </c>
      <c r="Z518" s="28">
        <f>IFERROR(INDEX('Clean Gamification Data'!$I:$I,MATCH($B518,'Clean Gamification Data'!$A:$A,0)),"Not Found")</f>
        <v>50</v>
      </c>
      <c r="AA518" s="28">
        <f>Table1[[#This Row],[Engagement (Gamification %)]]-Table1[[#This Row],[Engagement (Non-Gamification %)]]</f>
        <v>23.104425310000011</v>
      </c>
      <c r="AB518" s="28">
        <f>Table1[[#This Row],[Motivation (Gamification %)]]-Table1[[#This Row],[Motivation (Non-Gamification %)]]</f>
        <v>9.7937141900000029</v>
      </c>
      <c r="AC518" s="28">
        <f>Table1[[#This Row],[Participation (Gamification %)]]-Table1[[#This Row],[Participation (Non-Gamification %)]]</f>
        <v>31.269084800000002</v>
      </c>
      <c r="AD518" s="28">
        <f>Table1[[#This Row],[Learning Outcomes (Gamification %)]]-Table1[[#This Row],[Learning Outcomes (Non-Gamification %)]]</f>
        <v>21.716807020000005</v>
      </c>
      <c r="AE518" s="44" t="str">
        <f>IF(Table1[[#This Row],[Overall Effectiveness]]&lt;3.9,"Low",IF(Table1[[#This Row],[Overall Effectiveness]]&lt;4.2,"Medium","High"))</f>
        <v>Low</v>
      </c>
      <c r="AF518" s="30" t="str">
        <f t="shared" si="52"/>
        <v>Lectures</v>
      </c>
      <c r="AG518" s="30" t="str">
        <f t="shared" si="53"/>
        <v>Online Tutorials</v>
      </c>
      <c r="AH518" s="27">
        <f>COUNTIF(Teacher_Master!$D$2:$D$16,AF518)</f>
        <v>3</v>
      </c>
      <c r="AI518" s="30" t="str">
        <f>INDEX(Teacher_Master!$B$2:$B$16,MATCH(AF518,Teacher_Master!$D$2:$D$16,0))</f>
        <v>Prof. Vikram Gupta</v>
      </c>
    </row>
    <row r="519" spans="1:35" ht="14.25" customHeight="1" x14ac:dyDescent="0.3">
      <c r="A519" s="31" t="s">
        <v>1064</v>
      </c>
      <c r="B519" s="31" t="s">
        <v>2444</v>
      </c>
      <c r="C519" s="31" t="s">
        <v>2881</v>
      </c>
      <c r="D519" s="12">
        <f t="shared" ca="1" si="48"/>
        <v>24</v>
      </c>
      <c r="E519" s="12" t="str">
        <f ca="1">IF(Table1[[#This Row],[Age]]&lt;=22,"20-22",IF(Table1[[#This Row],[Age]]&lt;=25,"23-25",IF(Table1[[#This Row],[Age]]&lt;=28,"26-28","29-30")))</f>
        <v>23-25</v>
      </c>
      <c r="F519" s="12">
        <v>3.97</v>
      </c>
      <c r="G519" s="12">
        <v>4.26</v>
      </c>
      <c r="H519" s="12">
        <v>4.38</v>
      </c>
      <c r="I519" s="12">
        <v>4.01</v>
      </c>
      <c r="J519" s="12">
        <v>4.0599999999999996</v>
      </c>
      <c r="K519" s="12">
        <v>3.89</v>
      </c>
      <c r="L519" s="12">
        <v>4.42</v>
      </c>
      <c r="M519" s="12">
        <v>4.09</v>
      </c>
      <c r="N519" s="12">
        <v>3.86</v>
      </c>
      <c r="O519" s="12">
        <v>4.1399999999999997</v>
      </c>
      <c r="P519" s="12">
        <f t="shared" si="49"/>
        <v>4.1359999999999992</v>
      </c>
      <c r="Q519" s="12">
        <f t="shared" si="50"/>
        <v>4.1399999999999997</v>
      </c>
      <c r="R519" s="12">
        <f t="shared" si="51"/>
        <v>4.08</v>
      </c>
      <c r="S519" s="28">
        <f>IFERROR(INDEX('Clean Gamification Data'!$B:$B,MATCH($B519,'Clean Gamification Data'!$A:$A,0)),"Not Found")</f>
        <v>90.148214260000003</v>
      </c>
      <c r="T519" s="28">
        <f>IFERROR(INDEX('Clean Gamification Data'!$C:$C,MATCH($B519,'Clean Gamification Data'!$A:$A,0)),"Not Found")</f>
        <v>66.475229769999999</v>
      </c>
      <c r="U519" s="28">
        <f>IFERROR(INDEX('Clean Gamification Data'!$D:$D,MATCH($B519,'Clean Gamification Data'!$A:$A,0)),"Not Found")</f>
        <v>71.097776229999994</v>
      </c>
      <c r="V519" s="28">
        <f>IFERROR(INDEX('Clean Gamification Data'!$E:$E,MATCH($B519,'Clean Gamification Data'!$A:$A,0)),"Not Found")</f>
        <v>70.286213309999994</v>
      </c>
      <c r="W519" s="28">
        <f>IFERROR(INDEX('Clean Gamification Data'!$F:$F,MATCH($B519,'Clean Gamification Data'!$A:$A,0)),"Not Found")</f>
        <v>99.9</v>
      </c>
      <c r="X519" s="28">
        <f>IFERROR(INDEX('Clean Gamification Data'!$G:$G,MATCH($B519,'Clean Gamification Data'!$A:$A,0)),"Not Found")</f>
        <v>85</v>
      </c>
      <c r="Y519" s="28">
        <f>IFERROR(INDEX('Clean Gamification Data'!$H:$H,MATCH($B519,'Clean Gamification Data'!$A:$A,0)),"Not Found")</f>
        <v>72.647753870000003</v>
      </c>
      <c r="Z519" s="28">
        <f>IFERROR(INDEX('Clean Gamification Data'!$I:$I,MATCH($B519,'Clean Gamification Data'!$A:$A,0)),"Not Found")</f>
        <v>50</v>
      </c>
      <c r="AA519" s="28">
        <f>Table1[[#This Row],[Engagement (Gamification %)]]-Table1[[#This Row],[Engagement (Non-Gamification %)]]</f>
        <v>23.672984490000005</v>
      </c>
      <c r="AB519" s="28">
        <f>Table1[[#This Row],[Motivation (Gamification %)]]-Table1[[#This Row],[Motivation (Non-Gamification %)]]</f>
        <v>0.81156292000000008</v>
      </c>
      <c r="AC519" s="28">
        <f>Table1[[#This Row],[Participation (Gamification %)]]-Table1[[#This Row],[Participation (Non-Gamification %)]]</f>
        <v>14.900000000000006</v>
      </c>
      <c r="AD519" s="28">
        <f>Table1[[#This Row],[Learning Outcomes (Gamification %)]]-Table1[[#This Row],[Learning Outcomes (Non-Gamification %)]]</f>
        <v>22.647753870000003</v>
      </c>
      <c r="AE519" s="44" t="str">
        <f>IF(Table1[[#This Row],[Overall Effectiveness]]&lt;3.9,"Low",IF(Table1[[#This Row],[Overall Effectiveness]]&lt;4.2,"Medium","High"))</f>
        <v>Medium</v>
      </c>
      <c r="AF519" s="30" t="str">
        <f t="shared" si="52"/>
        <v>Group Projects</v>
      </c>
      <c r="AG519" s="30" t="str">
        <f t="shared" si="53"/>
        <v>Case Studies</v>
      </c>
      <c r="AH519" s="27">
        <f>COUNTIF(Teacher_Master!$D$2:$D$16,AF519)</f>
        <v>3</v>
      </c>
      <c r="AI519" s="30" t="str">
        <f>INDEX(Teacher_Master!$B$2:$B$16,MATCH(AF519,Teacher_Master!$D$2:$D$16,0))</f>
        <v>Dr. Rohan Dutta</v>
      </c>
    </row>
    <row r="520" spans="1:35" ht="14.25" customHeight="1" x14ac:dyDescent="0.3">
      <c r="A520" s="31" t="s">
        <v>1066</v>
      </c>
      <c r="B520" s="31" t="s">
        <v>1067</v>
      </c>
      <c r="C520" s="31" t="s">
        <v>2882</v>
      </c>
      <c r="D520" s="12">
        <f t="shared" ca="1" si="48"/>
        <v>22</v>
      </c>
      <c r="E520" s="12" t="str">
        <f ca="1">IF(Table1[[#This Row],[Age]]&lt;=22,"20-22",IF(Table1[[#This Row],[Age]]&lt;=25,"23-25",IF(Table1[[#This Row],[Age]]&lt;=28,"26-28","29-30")))</f>
        <v>20-22</v>
      </c>
      <c r="F520" s="12">
        <v>3.75</v>
      </c>
      <c r="G520" s="12">
        <v>3.85</v>
      </c>
      <c r="H520" s="12">
        <v>4.13</v>
      </c>
      <c r="I520" s="12">
        <v>4</v>
      </c>
      <c r="J520" s="12">
        <v>4.04</v>
      </c>
      <c r="K520" s="12">
        <v>4.09</v>
      </c>
      <c r="L520" s="12">
        <v>4.1900000000000004</v>
      </c>
      <c r="M520" s="12">
        <v>4.1399999999999997</v>
      </c>
      <c r="N520" s="12">
        <v>3.71</v>
      </c>
      <c r="O520" s="12">
        <v>3.8</v>
      </c>
      <c r="P520" s="12">
        <f t="shared" si="49"/>
        <v>3.9539999999999997</v>
      </c>
      <c r="Q520" s="12">
        <f t="shared" si="50"/>
        <v>3.95</v>
      </c>
      <c r="R520" s="12">
        <f t="shared" si="51"/>
        <v>3.9860000000000007</v>
      </c>
      <c r="S520" s="28">
        <f>IFERROR(INDEX('Clean Gamification Data'!$B:$B,MATCH($B520,'Clean Gamification Data'!$A:$A,0)),"Not Found")</f>
        <v>86.137601250000003</v>
      </c>
      <c r="T520" s="28">
        <f>IFERROR(INDEX('Clean Gamification Data'!$C:$C,MATCH($B520,'Clean Gamification Data'!$A:$A,0)),"Not Found")</f>
        <v>71.870560190000006</v>
      </c>
      <c r="U520" s="28">
        <f>IFERROR(INDEX('Clean Gamification Data'!$D:$D,MATCH($B520,'Clean Gamification Data'!$A:$A,0)),"Not Found")</f>
        <v>89.788081090000006</v>
      </c>
      <c r="V520" s="28">
        <f>IFERROR(INDEX('Clean Gamification Data'!$E:$E,MATCH($B520,'Clean Gamification Data'!$A:$A,0)),"Not Found")</f>
        <v>62.284942600000001</v>
      </c>
      <c r="W520" s="28">
        <f>IFERROR(INDEX('Clean Gamification Data'!$F:$F,MATCH($B520,'Clean Gamification Data'!$A:$A,0)),"Not Found")</f>
        <v>99.9</v>
      </c>
      <c r="X520" s="28">
        <f>IFERROR(INDEX('Clean Gamification Data'!$G:$G,MATCH($B520,'Clean Gamification Data'!$A:$A,0)),"Not Found")</f>
        <v>82.515724289999994</v>
      </c>
      <c r="Y520" s="28">
        <f>IFERROR(INDEX('Clean Gamification Data'!$H:$H,MATCH($B520,'Clean Gamification Data'!$A:$A,0)),"Not Found")</f>
        <v>70.204775549999994</v>
      </c>
      <c r="Z520" s="28">
        <f>IFERROR(INDEX('Clean Gamification Data'!$I:$I,MATCH($B520,'Clean Gamification Data'!$A:$A,0)),"Not Found")</f>
        <v>65.832628619999994</v>
      </c>
      <c r="AA520" s="28">
        <f>Table1[[#This Row],[Engagement (Gamification %)]]-Table1[[#This Row],[Engagement (Non-Gamification %)]]</f>
        <v>14.267041059999997</v>
      </c>
      <c r="AB520" s="28">
        <f>Table1[[#This Row],[Motivation (Gamification %)]]-Table1[[#This Row],[Motivation (Non-Gamification %)]]</f>
        <v>27.503138490000005</v>
      </c>
      <c r="AC520" s="28">
        <f>Table1[[#This Row],[Participation (Gamification %)]]-Table1[[#This Row],[Participation (Non-Gamification %)]]</f>
        <v>17.384275710000011</v>
      </c>
      <c r="AD520" s="28">
        <f>Table1[[#This Row],[Learning Outcomes (Gamification %)]]-Table1[[#This Row],[Learning Outcomes (Non-Gamification %)]]</f>
        <v>4.3721469299999995</v>
      </c>
      <c r="AE520" s="44" t="str">
        <f>IF(Table1[[#This Row],[Overall Effectiveness]]&lt;3.9,"Low",IF(Table1[[#This Row],[Overall Effectiveness]]&lt;4.2,"Medium","High"))</f>
        <v>Medium</v>
      </c>
      <c r="AF520" s="30" t="str">
        <f t="shared" si="52"/>
        <v>Group Projects</v>
      </c>
      <c r="AG520" s="30" t="str">
        <f t="shared" si="53"/>
        <v>Case Studies</v>
      </c>
      <c r="AH520" s="27">
        <f>COUNTIF(Teacher_Master!$D$2:$D$16,AF520)</f>
        <v>3</v>
      </c>
      <c r="AI520" s="30" t="str">
        <f>INDEX(Teacher_Master!$B$2:$B$16,MATCH(AF520,Teacher_Master!$D$2:$D$16,0))</f>
        <v>Dr. Rohan Dutta</v>
      </c>
    </row>
    <row r="521" spans="1:35" ht="14.25" customHeight="1" x14ac:dyDescent="0.3">
      <c r="A521" s="31" t="s">
        <v>1068</v>
      </c>
      <c r="B521" s="31" t="s">
        <v>2445</v>
      </c>
      <c r="C521" s="31" t="s">
        <v>2881</v>
      </c>
      <c r="D521" s="12">
        <f t="shared" ca="1" si="48"/>
        <v>21</v>
      </c>
      <c r="E521" s="12" t="str">
        <f ca="1">IF(Table1[[#This Row],[Age]]&lt;=22,"20-22",IF(Table1[[#This Row],[Age]]&lt;=25,"23-25",IF(Table1[[#This Row],[Age]]&lt;=28,"26-28","29-30")))</f>
        <v>20-22</v>
      </c>
      <c r="F521" s="12">
        <v>4.01</v>
      </c>
      <c r="G521" s="12">
        <v>3.98</v>
      </c>
      <c r="H521" s="12">
        <v>4.37</v>
      </c>
      <c r="I521" s="12" t="s">
        <v>211</v>
      </c>
      <c r="J521" s="12">
        <v>3.98</v>
      </c>
      <c r="K521" s="12">
        <v>4.47</v>
      </c>
      <c r="L521" s="12">
        <v>3.67</v>
      </c>
      <c r="M521" s="12" t="s">
        <v>211</v>
      </c>
      <c r="N521" s="12">
        <v>4.13</v>
      </c>
      <c r="O521" s="12">
        <v>3.62</v>
      </c>
      <c r="P521" s="12">
        <f t="shared" si="49"/>
        <v>4.085</v>
      </c>
      <c r="Q521" s="12">
        <f t="shared" si="50"/>
        <v>4.09</v>
      </c>
      <c r="R521" s="12">
        <f t="shared" si="51"/>
        <v>3.9725000000000001</v>
      </c>
      <c r="S521" s="28">
        <f>IFERROR(INDEX('Clean Gamification Data'!$B:$B,MATCH($B521,'Clean Gamification Data'!$A:$A,0)),"Not Found")</f>
        <v>85.842468490000002</v>
      </c>
      <c r="T521" s="28">
        <f>IFERROR(INDEX('Clean Gamification Data'!$C:$C,MATCH($B521,'Clean Gamification Data'!$A:$A,0)),"Not Found")</f>
        <v>65.682673440000002</v>
      </c>
      <c r="U521" s="28">
        <f>IFERROR(INDEX('Clean Gamification Data'!$D:$D,MATCH($B521,'Clean Gamification Data'!$A:$A,0)),"Not Found")</f>
        <v>72.811387909999993</v>
      </c>
      <c r="V521" s="28">
        <f>IFERROR(INDEX('Clean Gamification Data'!$E:$E,MATCH($B521,'Clean Gamification Data'!$A:$A,0)),"Not Found")</f>
        <v>68.073244979999998</v>
      </c>
      <c r="W521" s="28">
        <f>IFERROR(INDEX('Clean Gamification Data'!$F:$F,MATCH($B521,'Clean Gamification Data'!$A:$A,0)),"Not Found")</f>
        <v>87.477180500000003</v>
      </c>
      <c r="X521" s="28">
        <f>IFERROR(INDEX('Clean Gamification Data'!$G:$G,MATCH($B521,'Clean Gamification Data'!$A:$A,0)),"Not Found")</f>
        <v>81.740040050000005</v>
      </c>
      <c r="Y521" s="28">
        <f>IFERROR(INDEX('Clean Gamification Data'!$H:$H,MATCH($B521,'Clean Gamification Data'!$A:$A,0)),"Not Found")</f>
        <v>70.033489799999998</v>
      </c>
      <c r="Z521" s="28">
        <f>IFERROR(INDEX('Clean Gamification Data'!$I:$I,MATCH($B521,'Clean Gamification Data'!$A:$A,0)),"Not Found")</f>
        <v>59.935957879999997</v>
      </c>
      <c r="AA521" s="28">
        <f>Table1[[#This Row],[Engagement (Gamification %)]]-Table1[[#This Row],[Engagement (Non-Gamification %)]]</f>
        <v>20.15979505</v>
      </c>
      <c r="AB521" s="28">
        <f>Table1[[#This Row],[Motivation (Gamification %)]]-Table1[[#This Row],[Motivation (Non-Gamification %)]]</f>
        <v>4.7381429299999951</v>
      </c>
      <c r="AC521" s="28">
        <f>Table1[[#This Row],[Participation (Gamification %)]]-Table1[[#This Row],[Participation (Non-Gamification %)]]</f>
        <v>5.7371404499999983</v>
      </c>
      <c r="AD521" s="28">
        <f>Table1[[#This Row],[Learning Outcomes (Gamification %)]]-Table1[[#This Row],[Learning Outcomes (Non-Gamification %)]]</f>
        <v>10.097531920000002</v>
      </c>
      <c r="AE521" s="44" t="str">
        <f>IF(Table1[[#This Row],[Overall Effectiveness]]&lt;3.9,"Low",IF(Table1[[#This Row],[Overall Effectiveness]]&lt;4.2,"Medium","High"))</f>
        <v>Medium</v>
      </c>
      <c r="AF521" s="30" t="str">
        <f t="shared" si="52"/>
        <v>Group Projects</v>
      </c>
      <c r="AG521" s="30" t="str">
        <f t="shared" si="53"/>
        <v>Lectures</v>
      </c>
      <c r="AH521" s="27">
        <f>COUNTIF(Teacher_Master!$D$2:$D$16,AF521)</f>
        <v>3</v>
      </c>
      <c r="AI521" s="30" t="str">
        <f>INDEX(Teacher_Master!$B$2:$B$16,MATCH(AF521,Teacher_Master!$D$2:$D$16,0))</f>
        <v>Dr. Rohan Dutta</v>
      </c>
    </row>
    <row r="522" spans="1:35" ht="14.25" customHeight="1" x14ac:dyDescent="0.3">
      <c r="A522" s="31" t="s">
        <v>1070</v>
      </c>
      <c r="B522" s="31" t="s">
        <v>1071</v>
      </c>
      <c r="C522" s="31" t="s">
        <v>2882</v>
      </c>
      <c r="D522" s="12">
        <f t="shared" ca="1" si="48"/>
        <v>29</v>
      </c>
      <c r="E522" s="12" t="str">
        <f ca="1">IF(Table1[[#This Row],[Age]]&lt;=22,"20-22",IF(Table1[[#This Row],[Age]]&lt;=25,"23-25",IF(Table1[[#This Row],[Age]]&lt;=28,"26-28","29-30")))</f>
        <v>29-30</v>
      </c>
      <c r="F522" s="12">
        <v>4.3899999999999997</v>
      </c>
      <c r="G522" s="12">
        <v>4.3</v>
      </c>
      <c r="H522" s="12">
        <v>4.2699999999999996</v>
      </c>
      <c r="I522" s="12">
        <v>4.07</v>
      </c>
      <c r="J522" s="12">
        <v>4.1399999999999997</v>
      </c>
      <c r="K522" s="12">
        <v>4.29</v>
      </c>
      <c r="L522" s="12">
        <v>4.37</v>
      </c>
      <c r="M522" s="12">
        <v>3.82</v>
      </c>
      <c r="N522" s="12">
        <v>4.1900000000000004</v>
      </c>
      <c r="O522" s="12">
        <v>4.03</v>
      </c>
      <c r="P522" s="12">
        <f t="shared" si="49"/>
        <v>4.234</v>
      </c>
      <c r="Q522" s="12">
        <f t="shared" si="50"/>
        <v>4.2300000000000004</v>
      </c>
      <c r="R522" s="12">
        <f t="shared" si="51"/>
        <v>4.1400000000000006</v>
      </c>
      <c r="S522" s="28">
        <f>IFERROR(INDEX('Clean Gamification Data'!$B:$B,MATCH($B522,'Clean Gamification Data'!$A:$A,0)),"Not Found")</f>
        <v>91.324910279999997</v>
      </c>
      <c r="T522" s="28">
        <f>IFERROR(INDEX('Clean Gamification Data'!$C:$C,MATCH($B522,'Clean Gamification Data'!$A:$A,0)),"Not Found")</f>
        <v>74.830648289999999</v>
      </c>
      <c r="U522" s="28">
        <f>IFERROR(INDEX('Clean Gamification Data'!$D:$D,MATCH($B522,'Clean Gamification Data'!$A:$A,0)),"Not Found")</f>
        <v>76.183554869999995</v>
      </c>
      <c r="V522" s="28">
        <f>IFERROR(INDEX('Clean Gamification Data'!$E:$E,MATCH($B522,'Clean Gamification Data'!$A:$A,0)),"Not Found")</f>
        <v>55</v>
      </c>
      <c r="W522" s="28">
        <f>IFERROR(INDEX('Clean Gamification Data'!$F:$F,MATCH($B522,'Clean Gamification Data'!$A:$A,0)),"Not Found")</f>
        <v>89.6304564</v>
      </c>
      <c r="X522" s="28">
        <f>IFERROR(INDEX('Clean Gamification Data'!$G:$G,MATCH($B522,'Clean Gamification Data'!$A:$A,0)),"Not Found")</f>
        <v>77.799625789999993</v>
      </c>
      <c r="Y522" s="28">
        <f>IFERROR(INDEX('Clean Gamification Data'!$H:$H,MATCH($B522,'Clean Gamification Data'!$A:$A,0)),"Not Found")</f>
        <v>70.253543640000004</v>
      </c>
      <c r="Z522" s="28">
        <f>IFERROR(INDEX('Clean Gamification Data'!$I:$I,MATCH($B522,'Clean Gamification Data'!$A:$A,0)),"Not Found")</f>
        <v>69.671975739999993</v>
      </c>
      <c r="AA522" s="28">
        <f>Table1[[#This Row],[Engagement (Gamification %)]]-Table1[[#This Row],[Engagement (Non-Gamification %)]]</f>
        <v>16.494261989999998</v>
      </c>
      <c r="AB522" s="28">
        <f>Table1[[#This Row],[Motivation (Gamification %)]]-Table1[[#This Row],[Motivation (Non-Gamification %)]]</f>
        <v>21.183554869999995</v>
      </c>
      <c r="AC522" s="28">
        <f>Table1[[#This Row],[Participation (Gamification %)]]-Table1[[#This Row],[Participation (Non-Gamification %)]]</f>
        <v>11.830830610000007</v>
      </c>
      <c r="AD522" s="28">
        <f>Table1[[#This Row],[Learning Outcomes (Gamification %)]]-Table1[[#This Row],[Learning Outcomes (Non-Gamification %)]]</f>
        <v>0.58156790000001024</v>
      </c>
      <c r="AE522" s="44" t="str">
        <f>IF(Table1[[#This Row],[Overall Effectiveness]]&lt;3.9,"Low",IF(Table1[[#This Row],[Overall Effectiveness]]&lt;4.2,"Medium","High"))</f>
        <v>High</v>
      </c>
      <c r="AF522" s="30" t="str">
        <f t="shared" si="52"/>
        <v>Lectures</v>
      </c>
      <c r="AG522" s="30" t="str">
        <f t="shared" si="53"/>
        <v>Case Studies</v>
      </c>
      <c r="AH522" s="27">
        <f>COUNTIF(Teacher_Master!$D$2:$D$16,AF522)</f>
        <v>3</v>
      </c>
      <c r="AI522" s="30" t="str">
        <f>INDEX(Teacher_Master!$B$2:$B$16,MATCH(AF522,Teacher_Master!$D$2:$D$16,0))</f>
        <v>Prof. Vikram Gupta</v>
      </c>
    </row>
    <row r="523" spans="1:35" ht="14.25" customHeight="1" x14ac:dyDescent="0.3">
      <c r="A523" s="31" t="s">
        <v>1072</v>
      </c>
      <c r="B523" s="31" t="s">
        <v>2446</v>
      </c>
      <c r="C523" s="31" t="s">
        <v>2882</v>
      </c>
      <c r="D523" s="12">
        <f t="shared" ca="1" si="48"/>
        <v>24</v>
      </c>
      <c r="E523" s="12" t="str">
        <f ca="1">IF(Table1[[#This Row],[Age]]&lt;=22,"20-22",IF(Table1[[#This Row],[Age]]&lt;=25,"23-25",IF(Table1[[#This Row],[Age]]&lt;=28,"26-28","29-30")))</f>
        <v>23-25</v>
      </c>
      <c r="F523" s="12">
        <v>4.2699999999999996</v>
      </c>
      <c r="G523" s="12">
        <v>3.76</v>
      </c>
      <c r="H523" s="12">
        <v>3.98</v>
      </c>
      <c r="I523" s="12">
        <v>3.86</v>
      </c>
      <c r="J523" s="12">
        <v>3.98</v>
      </c>
      <c r="K523" s="12">
        <v>3.91</v>
      </c>
      <c r="L523" s="12">
        <v>4.51</v>
      </c>
      <c r="M523" s="12">
        <v>3.27</v>
      </c>
      <c r="N523" s="12">
        <v>3.71</v>
      </c>
      <c r="O523" s="12">
        <v>4.2300000000000004</v>
      </c>
      <c r="P523" s="12">
        <f t="shared" si="49"/>
        <v>3.9699999999999998</v>
      </c>
      <c r="Q523" s="12">
        <f t="shared" si="50"/>
        <v>3.97</v>
      </c>
      <c r="R523" s="12">
        <f t="shared" si="51"/>
        <v>3.9259999999999997</v>
      </c>
      <c r="S523" s="28">
        <f>IFERROR(INDEX('Clean Gamification Data'!$B:$B,MATCH($B523,'Clean Gamification Data'!$A:$A,0)),"Not Found")</f>
        <v>82.894821730000004</v>
      </c>
      <c r="T523" s="28">
        <f>IFERROR(INDEX('Clean Gamification Data'!$C:$C,MATCH($B523,'Clean Gamification Data'!$A:$A,0)),"Not Found")</f>
        <v>65.063915870000002</v>
      </c>
      <c r="U523" s="28">
        <f>IFERROR(INDEX('Clean Gamification Data'!$D:$D,MATCH($B523,'Clean Gamification Data'!$A:$A,0)),"Not Found")</f>
        <v>70.136388449999998</v>
      </c>
      <c r="V523" s="28">
        <f>IFERROR(INDEX('Clean Gamification Data'!$E:$E,MATCH($B523,'Clean Gamification Data'!$A:$A,0)),"Not Found")</f>
        <v>67.710118600000001</v>
      </c>
      <c r="W523" s="28">
        <f>IFERROR(INDEX('Clean Gamification Data'!$F:$F,MATCH($B523,'Clean Gamification Data'!$A:$A,0)),"Not Found")</f>
        <v>84.345183700000007</v>
      </c>
      <c r="X523" s="28">
        <f>IFERROR(INDEX('Clean Gamification Data'!$G:$G,MATCH($B523,'Clean Gamification Data'!$A:$A,0)),"Not Found")</f>
        <v>85</v>
      </c>
      <c r="Y523" s="28">
        <f>IFERROR(INDEX('Clean Gamification Data'!$H:$H,MATCH($B523,'Clean Gamification Data'!$A:$A,0)),"Not Found")</f>
        <v>73.314011800000003</v>
      </c>
      <c r="Z523" s="28">
        <f>IFERROR(INDEX('Clean Gamification Data'!$I:$I,MATCH($B523,'Clean Gamification Data'!$A:$A,0)),"Not Found")</f>
        <v>63.03103677</v>
      </c>
      <c r="AA523" s="28">
        <f>Table1[[#This Row],[Engagement (Gamification %)]]-Table1[[#This Row],[Engagement (Non-Gamification %)]]</f>
        <v>17.830905860000001</v>
      </c>
      <c r="AB523" s="28">
        <f>Table1[[#This Row],[Motivation (Gamification %)]]-Table1[[#This Row],[Motivation (Non-Gamification %)]]</f>
        <v>2.4262698499999971</v>
      </c>
      <c r="AC523" s="28">
        <f>Table1[[#This Row],[Participation (Gamification %)]]-Table1[[#This Row],[Participation (Non-Gamification %)]]</f>
        <v>-0.65481629999999313</v>
      </c>
      <c r="AD523" s="28">
        <f>Table1[[#This Row],[Learning Outcomes (Gamification %)]]-Table1[[#This Row],[Learning Outcomes (Non-Gamification %)]]</f>
        <v>10.282975030000003</v>
      </c>
      <c r="AE523" s="44" t="str">
        <f>IF(Table1[[#This Row],[Overall Effectiveness]]&lt;3.9,"Low",IF(Table1[[#This Row],[Overall Effectiveness]]&lt;4.2,"Medium","High"))</f>
        <v>Medium</v>
      </c>
      <c r="AF523" s="30" t="str">
        <f t="shared" si="52"/>
        <v>Lectures</v>
      </c>
      <c r="AG523" s="30" t="str">
        <f t="shared" si="53"/>
        <v>Case Studies</v>
      </c>
      <c r="AH523" s="27">
        <f>COUNTIF(Teacher_Master!$D$2:$D$16,AF523)</f>
        <v>3</v>
      </c>
      <c r="AI523" s="30" t="str">
        <f>INDEX(Teacher_Master!$B$2:$B$16,MATCH(AF523,Teacher_Master!$D$2:$D$16,0))</f>
        <v>Prof. Vikram Gupta</v>
      </c>
    </row>
    <row r="524" spans="1:35" ht="14.25" customHeight="1" x14ac:dyDescent="0.3">
      <c r="A524" s="31" t="s">
        <v>1074</v>
      </c>
      <c r="B524" s="31" t="s">
        <v>2447</v>
      </c>
      <c r="C524" s="31" t="s">
        <v>2882</v>
      </c>
      <c r="D524" s="12">
        <f t="shared" ca="1" si="48"/>
        <v>26</v>
      </c>
      <c r="E524" s="12" t="str">
        <f ca="1">IF(Table1[[#This Row],[Age]]&lt;=22,"20-22",IF(Table1[[#This Row],[Age]]&lt;=25,"23-25",IF(Table1[[#This Row],[Age]]&lt;=28,"26-28","29-30")))</f>
        <v>26-28</v>
      </c>
      <c r="F524" s="12" t="s">
        <v>211</v>
      </c>
      <c r="G524" s="12">
        <v>3.77</v>
      </c>
      <c r="H524" s="12">
        <v>3.67</v>
      </c>
      <c r="I524" s="12">
        <v>4.13</v>
      </c>
      <c r="J524" s="12">
        <v>3.75</v>
      </c>
      <c r="K524" s="12">
        <v>4.0599999999999996</v>
      </c>
      <c r="L524" s="12">
        <v>3.93</v>
      </c>
      <c r="M524" s="12">
        <v>4.55</v>
      </c>
      <c r="N524" s="12">
        <v>4.37</v>
      </c>
      <c r="O524" s="12">
        <v>4.2300000000000004</v>
      </c>
      <c r="P524" s="12">
        <f t="shared" si="49"/>
        <v>3.83</v>
      </c>
      <c r="Q524" s="12">
        <f t="shared" si="50"/>
        <v>3.83</v>
      </c>
      <c r="R524" s="12">
        <f t="shared" si="51"/>
        <v>4.2279999999999998</v>
      </c>
      <c r="S524" s="28">
        <f>IFERROR(INDEX('Clean Gamification Data'!$B:$B,MATCH($B524,'Clean Gamification Data'!$A:$A,0)),"Not Found")</f>
        <v>87.455768989999996</v>
      </c>
      <c r="T524" s="28">
        <f>IFERROR(INDEX('Clean Gamification Data'!$C:$C,MATCH($B524,'Clean Gamification Data'!$A:$A,0)),"Not Found")</f>
        <v>64.362992090000006</v>
      </c>
      <c r="U524" s="28">
        <f>IFERROR(INDEX('Clean Gamification Data'!$D:$D,MATCH($B524,'Clean Gamification Data'!$A:$A,0)),"Not Found")</f>
        <v>74.678435030000003</v>
      </c>
      <c r="V524" s="28">
        <f>IFERROR(INDEX('Clean Gamification Data'!$E:$E,MATCH($B524,'Clean Gamification Data'!$A:$A,0)),"Not Found")</f>
        <v>55.166918719999998</v>
      </c>
      <c r="W524" s="28">
        <f>IFERROR(INDEX('Clean Gamification Data'!$F:$F,MATCH($B524,'Clean Gamification Data'!$A:$A,0)),"Not Found")</f>
        <v>98.009363280000002</v>
      </c>
      <c r="X524" s="28">
        <f>IFERROR(INDEX('Clean Gamification Data'!$G:$G,MATCH($B524,'Clean Gamification Data'!$A:$A,0)),"Not Found")</f>
        <v>77.243374680000002</v>
      </c>
      <c r="Y524" s="28">
        <f>IFERROR(INDEX('Clean Gamification Data'!$H:$H,MATCH($B524,'Clean Gamification Data'!$A:$A,0)),"Not Found")</f>
        <v>80.999329119999999</v>
      </c>
      <c r="Z524" s="28">
        <f>IFERROR(INDEX('Clean Gamification Data'!$I:$I,MATCH($B524,'Clean Gamification Data'!$A:$A,0)),"Not Found")</f>
        <v>59.653764700000004</v>
      </c>
      <c r="AA524" s="28">
        <f>Table1[[#This Row],[Engagement (Gamification %)]]-Table1[[#This Row],[Engagement (Non-Gamification %)]]</f>
        <v>23.09277689999999</v>
      </c>
      <c r="AB524" s="28">
        <f>Table1[[#This Row],[Motivation (Gamification %)]]-Table1[[#This Row],[Motivation (Non-Gamification %)]]</f>
        <v>19.511516310000005</v>
      </c>
      <c r="AC524" s="28">
        <f>Table1[[#This Row],[Participation (Gamification %)]]-Table1[[#This Row],[Participation (Non-Gamification %)]]</f>
        <v>20.7659886</v>
      </c>
      <c r="AD524" s="28">
        <f>Table1[[#This Row],[Learning Outcomes (Gamification %)]]-Table1[[#This Row],[Learning Outcomes (Non-Gamification %)]]</f>
        <v>21.345564419999995</v>
      </c>
      <c r="AE524" s="44" t="str">
        <f>IF(Table1[[#This Row],[Overall Effectiveness]]&lt;3.9,"Low",IF(Table1[[#This Row],[Overall Effectiveness]]&lt;4.2,"Medium","High"))</f>
        <v>Low</v>
      </c>
      <c r="AF524" s="30" t="str">
        <f t="shared" si="52"/>
        <v>Experiments</v>
      </c>
      <c r="AG524" s="30" t="str">
        <f t="shared" si="53"/>
        <v>Group Projects</v>
      </c>
      <c r="AH524" s="27">
        <f>COUNTIF(Teacher_Master!$D$2:$D$16,AF524)</f>
        <v>3</v>
      </c>
      <c r="AI524" s="30" t="str">
        <f>INDEX(Teacher_Master!$B$2:$B$16,MATCH(AF524,Teacher_Master!$D$2:$D$16,0))</f>
        <v>Prof. Rahul Singh</v>
      </c>
    </row>
    <row r="525" spans="1:35" ht="14.25" customHeight="1" x14ac:dyDescent="0.3">
      <c r="A525" s="31" t="s">
        <v>1076</v>
      </c>
      <c r="B525" s="31" t="s">
        <v>2448</v>
      </c>
      <c r="C525" s="31" t="s">
        <v>2882</v>
      </c>
      <c r="D525" s="12">
        <f t="shared" ca="1" si="48"/>
        <v>26</v>
      </c>
      <c r="E525" s="12" t="str">
        <f ca="1">IF(Table1[[#This Row],[Age]]&lt;=22,"20-22",IF(Table1[[#This Row],[Age]]&lt;=25,"23-25",IF(Table1[[#This Row],[Age]]&lt;=28,"26-28","29-30")))</f>
        <v>26-28</v>
      </c>
      <c r="F525" s="12">
        <v>3.55</v>
      </c>
      <c r="G525" s="12">
        <v>4.1900000000000004</v>
      </c>
      <c r="H525" s="12">
        <v>3.81</v>
      </c>
      <c r="I525" s="12">
        <v>3.48</v>
      </c>
      <c r="J525" s="12">
        <v>4.0999999999999996</v>
      </c>
      <c r="K525" s="12">
        <v>4.37</v>
      </c>
      <c r="L525" s="12">
        <v>4.3899999999999997</v>
      </c>
      <c r="M525" s="12">
        <v>4.0199999999999996</v>
      </c>
      <c r="N525" s="12">
        <v>4.47</v>
      </c>
      <c r="O525" s="12">
        <v>3.52</v>
      </c>
      <c r="P525" s="12">
        <f t="shared" si="49"/>
        <v>3.8260000000000005</v>
      </c>
      <c r="Q525" s="12">
        <f t="shared" si="50"/>
        <v>3.83</v>
      </c>
      <c r="R525" s="12">
        <f t="shared" si="51"/>
        <v>4.1539999999999999</v>
      </c>
      <c r="S525" s="28">
        <f>IFERROR(INDEX('Clean Gamification Data'!$B:$B,MATCH($B525,'Clean Gamification Data'!$A:$A,0)),"Not Found")</f>
        <v>84.637063909999995</v>
      </c>
      <c r="T525" s="28">
        <f>IFERROR(INDEX('Clean Gamification Data'!$C:$C,MATCH($B525,'Clean Gamification Data'!$A:$A,0)),"Not Found")</f>
        <v>73.447931850000003</v>
      </c>
      <c r="U525" s="28">
        <f>IFERROR(INDEX('Clean Gamification Data'!$D:$D,MATCH($B525,'Clean Gamification Data'!$A:$A,0)),"Not Found")</f>
        <v>80.138729819999995</v>
      </c>
      <c r="V525" s="28">
        <f>IFERROR(INDEX('Clean Gamification Data'!$E:$E,MATCH($B525,'Clean Gamification Data'!$A:$A,0)),"Not Found")</f>
        <v>67.727500160000005</v>
      </c>
      <c r="W525" s="28">
        <f>IFERROR(INDEX('Clean Gamification Data'!$F:$F,MATCH($B525,'Clean Gamification Data'!$A:$A,0)),"Not Found")</f>
        <v>84.402637810000002</v>
      </c>
      <c r="X525" s="28">
        <f>IFERROR(INDEX('Clean Gamification Data'!$G:$G,MATCH($B525,'Clean Gamification Data'!$A:$A,0)),"Not Found")</f>
        <v>75.281173219999999</v>
      </c>
      <c r="Y525" s="28">
        <f>IFERROR(INDEX('Clean Gamification Data'!$H:$H,MATCH($B525,'Clean Gamification Data'!$A:$A,0)),"Not Found")</f>
        <v>68.040144929999997</v>
      </c>
      <c r="Z525" s="28">
        <f>IFERROR(INDEX('Clean Gamification Data'!$I:$I,MATCH($B525,'Clean Gamification Data'!$A:$A,0)),"Not Found")</f>
        <v>58.78944044</v>
      </c>
      <c r="AA525" s="28">
        <f>Table1[[#This Row],[Engagement (Gamification %)]]-Table1[[#This Row],[Engagement (Non-Gamification %)]]</f>
        <v>11.189132059999991</v>
      </c>
      <c r="AB525" s="28">
        <f>Table1[[#This Row],[Motivation (Gamification %)]]-Table1[[#This Row],[Motivation (Non-Gamification %)]]</f>
        <v>12.411229659999989</v>
      </c>
      <c r="AC525" s="28">
        <f>Table1[[#This Row],[Participation (Gamification %)]]-Table1[[#This Row],[Participation (Non-Gamification %)]]</f>
        <v>9.1214645900000022</v>
      </c>
      <c r="AD525" s="28">
        <f>Table1[[#This Row],[Learning Outcomes (Gamification %)]]-Table1[[#This Row],[Learning Outcomes (Non-Gamification %)]]</f>
        <v>9.2507044899999968</v>
      </c>
      <c r="AE525" s="44" t="str">
        <f>IF(Table1[[#This Row],[Overall Effectiveness]]&lt;3.9,"Low",IF(Table1[[#This Row],[Overall Effectiveness]]&lt;4.2,"Medium","High"))</f>
        <v>Low</v>
      </c>
      <c r="AF525" s="30" t="str">
        <f t="shared" si="52"/>
        <v>Case Studies</v>
      </c>
      <c r="AG525" s="30" t="str">
        <f t="shared" si="53"/>
        <v>Experiments</v>
      </c>
      <c r="AH525" s="27">
        <f>COUNTIF(Teacher_Master!$D$2:$D$16,AF525)</f>
        <v>3</v>
      </c>
      <c r="AI525" s="30" t="str">
        <f>INDEX(Teacher_Master!$B$2:$B$16,MATCH(AF525,Teacher_Master!$D$2:$D$16,0))</f>
        <v>Prof. Rajesh Mukherjee</v>
      </c>
    </row>
    <row r="526" spans="1:35" ht="14.25" customHeight="1" x14ac:dyDescent="0.3">
      <c r="A526" s="31" t="s">
        <v>1078</v>
      </c>
      <c r="B526" s="31" t="s">
        <v>2449</v>
      </c>
      <c r="C526" s="31" t="s">
        <v>2882</v>
      </c>
      <c r="D526" s="12">
        <f t="shared" ca="1" si="48"/>
        <v>27</v>
      </c>
      <c r="E526" s="12" t="str">
        <f ca="1">IF(Table1[[#This Row],[Age]]&lt;=22,"20-22",IF(Table1[[#This Row],[Age]]&lt;=25,"23-25",IF(Table1[[#This Row],[Age]]&lt;=28,"26-28","29-30")))</f>
        <v>26-28</v>
      </c>
      <c r="F526" s="12">
        <v>4.55</v>
      </c>
      <c r="G526" s="12">
        <v>5.0999999999999996</v>
      </c>
      <c r="H526" s="12">
        <v>3.9</v>
      </c>
      <c r="I526" s="12">
        <v>4.0599999999999996</v>
      </c>
      <c r="J526" s="12">
        <v>3.62</v>
      </c>
      <c r="K526" s="12">
        <v>4.2300000000000004</v>
      </c>
      <c r="L526" s="12" t="s">
        <v>211</v>
      </c>
      <c r="M526" s="12">
        <v>4.1399999999999997</v>
      </c>
      <c r="N526" s="12">
        <v>3.7</v>
      </c>
      <c r="O526" s="12">
        <v>4.3</v>
      </c>
      <c r="P526" s="12">
        <f t="shared" si="49"/>
        <v>4.2460000000000004</v>
      </c>
      <c r="Q526" s="12">
        <f t="shared" si="50"/>
        <v>4.25</v>
      </c>
      <c r="R526" s="12">
        <f t="shared" si="51"/>
        <v>4.0925000000000002</v>
      </c>
      <c r="S526" s="28">
        <f>IFERROR(INDEX('Clean Gamification Data'!$B:$B,MATCH($B526,'Clean Gamification Data'!$A:$A,0)),"Not Found")</f>
        <v>83.458486399999998</v>
      </c>
      <c r="T526" s="28">
        <f>IFERROR(INDEX('Clean Gamification Data'!$C:$C,MATCH($B526,'Clean Gamification Data'!$A:$A,0)),"Not Found")</f>
        <v>74.619552630000001</v>
      </c>
      <c r="U526" s="28">
        <f>IFERROR(INDEX('Clean Gamification Data'!$D:$D,MATCH($B526,'Clean Gamification Data'!$A:$A,0)),"Not Found")</f>
        <v>79.951005379999998</v>
      </c>
      <c r="V526" s="28">
        <f>IFERROR(INDEX('Clean Gamification Data'!$E:$E,MATCH($B526,'Clean Gamification Data'!$A:$A,0)),"Not Found")</f>
        <v>73.882493729999993</v>
      </c>
      <c r="W526" s="28">
        <f>IFERROR(INDEX('Clean Gamification Data'!$F:$F,MATCH($B526,'Clean Gamification Data'!$A:$A,0)),"Not Found")</f>
        <v>90.67009204</v>
      </c>
      <c r="X526" s="28">
        <f>IFERROR(INDEX('Clean Gamification Data'!$G:$G,MATCH($B526,'Clean Gamification Data'!$A:$A,0)),"Not Found")</f>
        <v>85</v>
      </c>
      <c r="Y526" s="28">
        <f>IFERROR(INDEX('Clean Gamification Data'!$H:$H,MATCH($B526,'Clean Gamification Data'!$A:$A,0)),"Not Found")</f>
        <v>74.72006322</v>
      </c>
      <c r="Z526" s="28">
        <f>IFERROR(INDEX('Clean Gamification Data'!$I:$I,MATCH($B526,'Clean Gamification Data'!$A:$A,0)),"Not Found")</f>
        <v>62.673036349999997</v>
      </c>
      <c r="AA526" s="28">
        <f>Table1[[#This Row],[Engagement (Gamification %)]]-Table1[[#This Row],[Engagement (Non-Gamification %)]]</f>
        <v>8.838933769999997</v>
      </c>
      <c r="AB526" s="28">
        <f>Table1[[#This Row],[Motivation (Gamification %)]]-Table1[[#This Row],[Motivation (Non-Gamification %)]]</f>
        <v>6.0685116500000049</v>
      </c>
      <c r="AC526" s="28">
        <f>Table1[[#This Row],[Participation (Gamification %)]]-Table1[[#This Row],[Participation (Non-Gamification %)]]</f>
        <v>5.6700920400000001</v>
      </c>
      <c r="AD526" s="28">
        <f>Table1[[#This Row],[Learning Outcomes (Gamification %)]]-Table1[[#This Row],[Learning Outcomes (Non-Gamification %)]]</f>
        <v>12.047026870000003</v>
      </c>
      <c r="AE526" s="44" t="str">
        <f>IF(Table1[[#This Row],[Overall Effectiveness]]&lt;3.9,"Low",IF(Table1[[#This Row],[Overall Effectiveness]]&lt;4.2,"Medium","High"))</f>
        <v>High</v>
      </c>
      <c r="AF526" s="30" t="str">
        <f t="shared" si="52"/>
        <v>Case Studies</v>
      </c>
      <c r="AG526" s="30" t="str">
        <f t="shared" si="53"/>
        <v>Online Tutorials</v>
      </c>
      <c r="AH526" s="27">
        <f>COUNTIF(Teacher_Master!$D$2:$D$16,AF526)</f>
        <v>3</v>
      </c>
      <c r="AI526" s="30" t="str">
        <f>INDEX(Teacher_Master!$B$2:$B$16,MATCH(AF526,Teacher_Master!$D$2:$D$16,0))</f>
        <v>Prof. Rajesh Mukherjee</v>
      </c>
    </row>
    <row r="527" spans="1:35" ht="14.25" customHeight="1" x14ac:dyDescent="0.3">
      <c r="A527" s="31" t="s">
        <v>1080</v>
      </c>
      <c r="B527" s="31" t="s">
        <v>2450</v>
      </c>
      <c r="C527" s="31" t="s">
        <v>2882</v>
      </c>
      <c r="D527" s="12">
        <f t="shared" ca="1" si="48"/>
        <v>24</v>
      </c>
      <c r="E527" s="12" t="str">
        <f ca="1">IF(Table1[[#This Row],[Age]]&lt;=22,"20-22",IF(Table1[[#This Row],[Age]]&lt;=25,"23-25",IF(Table1[[#This Row],[Age]]&lt;=28,"26-28","29-30")))</f>
        <v>23-25</v>
      </c>
      <c r="F527" s="12">
        <v>4.8499999999999996</v>
      </c>
      <c r="G527" s="12">
        <v>4.3899999999999997</v>
      </c>
      <c r="H527" s="12">
        <v>3.82</v>
      </c>
      <c r="I527" s="12">
        <v>4.42</v>
      </c>
      <c r="J527" s="12">
        <v>4.21</v>
      </c>
      <c r="K527" s="12">
        <v>4.04</v>
      </c>
      <c r="L527" s="12">
        <v>4.32</v>
      </c>
      <c r="M527" s="12">
        <v>3.61</v>
      </c>
      <c r="N527" s="12">
        <v>3.96</v>
      </c>
      <c r="O527" s="12">
        <v>4.55</v>
      </c>
      <c r="P527" s="12">
        <f t="shared" si="49"/>
        <v>4.3379999999999992</v>
      </c>
      <c r="Q527" s="12">
        <f t="shared" si="50"/>
        <v>4.34</v>
      </c>
      <c r="R527" s="12">
        <f t="shared" si="51"/>
        <v>4.0960000000000001</v>
      </c>
      <c r="S527" s="28">
        <f>IFERROR(INDEX('Clean Gamification Data'!$B:$B,MATCH($B527,'Clean Gamification Data'!$A:$A,0)),"Not Found")</f>
        <v>90.214240200000006</v>
      </c>
      <c r="T527" s="28">
        <f>IFERROR(INDEX('Clean Gamification Data'!$C:$C,MATCH($B527,'Clean Gamification Data'!$A:$A,0)),"Not Found")</f>
        <v>68.783462270000001</v>
      </c>
      <c r="U527" s="28">
        <f>IFERROR(INDEX('Clean Gamification Data'!$D:$D,MATCH($B527,'Clean Gamification Data'!$A:$A,0)),"Not Found")</f>
        <v>85.464789789999998</v>
      </c>
      <c r="V527" s="28">
        <f>IFERROR(INDEX('Clean Gamification Data'!$E:$E,MATCH($B527,'Clean Gamification Data'!$A:$A,0)),"Not Found")</f>
        <v>68.180217749999997</v>
      </c>
      <c r="W527" s="28">
        <f>IFERROR(INDEX('Clean Gamification Data'!$F:$F,MATCH($B527,'Clean Gamification Data'!$A:$A,0)),"Not Found")</f>
        <v>93.820376210000006</v>
      </c>
      <c r="X527" s="28">
        <f>IFERROR(INDEX('Clean Gamification Data'!$G:$G,MATCH($B527,'Clean Gamification Data'!$A:$A,0)),"Not Found")</f>
        <v>83.794465840000001</v>
      </c>
      <c r="Y527" s="28">
        <f>IFERROR(INDEX('Clean Gamification Data'!$H:$H,MATCH($B527,'Clean Gamification Data'!$A:$A,0)),"Not Found")</f>
        <v>71.401576800000001</v>
      </c>
      <c r="Z527" s="28">
        <f>IFERROR(INDEX('Clean Gamification Data'!$I:$I,MATCH($B527,'Clean Gamification Data'!$A:$A,0)),"Not Found")</f>
        <v>69.612841399999994</v>
      </c>
      <c r="AA527" s="28">
        <f>Table1[[#This Row],[Engagement (Gamification %)]]-Table1[[#This Row],[Engagement (Non-Gamification %)]]</f>
        <v>21.430777930000005</v>
      </c>
      <c r="AB527" s="28">
        <f>Table1[[#This Row],[Motivation (Gamification %)]]-Table1[[#This Row],[Motivation (Non-Gamification %)]]</f>
        <v>17.28457204</v>
      </c>
      <c r="AC527" s="28">
        <f>Table1[[#This Row],[Participation (Gamification %)]]-Table1[[#This Row],[Participation (Non-Gamification %)]]</f>
        <v>10.025910370000005</v>
      </c>
      <c r="AD527" s="28">
        <f>Table1[[#This Row],[Learning Outcomes (Gamification %)]]-Table1[[#This Row],[Learning Outcomes (Non-Gamification %)]]</f>
        <v>1.7887354000000073</v>
      </c>
      <c r="AE527" s="44" t="str">
        <f>IF(Table1[[#This Row],[Overall Effectiveness]]&lt;3.9,"Low",IF(Table1[[#This Row],[Overall Effectiveness]]&lt;4.2,"Medium","High"))</f>
        <v>High</v>
      </c>
      <c r="AF527" s="30" t="str">
        <f t="shared" si="52"/>
        <v>Lectures</v>
      </c>
      <c r="AG527" s="30" t="str">
        <f t="shared" si="53"/>
        <v>Online Tutorials</v>
      </c>
      <c r="AH527" s="27">
        <f>COUNTIF(Teacher_Master!$D$2:$D$16,AF527)</f>
        <v>3</v>
      </c>
      <c r="AI527" s="30" t="str">
        <f>INDEX(Teacher_Master!$B$2:$B$16,MATCH(AF527,Teacher_Master!$D$2:$D$16,0))</f>
        <v>Prof. Vikram Gupta</v>
      </c>
    </row>
    <row r="528" spans="1:35" ht="14.25" customHeight="1" x14ac:dyDescent="0.3">
      <c r="A528" s="31" t="s">
        <v>1082</v>
      </c>
      <c r="B528" s="31" t="s">
        <v>2451</v>
      </c>
      <c r="C528" s="31" t="s">
        <v>2882</v>
      </c>
      <c r="D528" s="12">
        <f t="shared" ca="1" si="48"/>
        <v>28</v>
      </c>
      <c r="E528" s="12" t="str">
        <f ca="1">IF(Table1[[#This Row],[Age]]&lt;=22,"20-22",IF(Table1[[#This Row],[Age]]&lt;=25,"23-25",IF(Table1[[#This Row],[Age]]&lt;=28,"26-28","29-30")))</f>
        <v>26-28</v>
      </c>
      <c r="F528" s="12">
        <v>4.07</v>
      </c>
      <c r="G528" s="12">
        <v>3.48</v>
      </c>
      <c r="H528" s="12">
        <v>4.33</v>
      </c>
      <c r="I528" s="12">
        <v>3.95</v>
      </c>
      <c r="J528" s="12">
        <v>3.66</v>
      </c>
      <c r="K528" s="12">
        <v>3.37</v>
      </c>
      <c r="L528" s="12">
        <v>4.43</v>
      </c>
      <c r="M528" s="12" t="s">
        <v>211</v>
      </c>
      <c r="N528" s="12">
        <v>4.26</v>
      </c>
      <c r="O528" s="12">
        <v>4.33</v>
      </c>
      <c r="P528" s="12">
        <f t="shared" si="49"/>
        <v>3.8980000000000006</v>
      </c>
      <c r="Q528" s="12">
        <f t="shared" si="50"/>
        <v>3.9</v>
      </c>
      <c r="R528" s="12">
        <f t="shared" si="51"/>
        <v>4.0975000000000001</v>
      </c>
      <c r="S528" s="28">
        <f>IFERROR(INDEX('Clean Gamification Data'!$B:$B,MATCH($B528,'Clean Gamification Data'!$A:$A,0)),"Not Found")</f>
        <v>93.703376079999998</v>
      </c>
      <c r="T528" s="28">
        <f>IFERROR(INDEX('Clean Gamification Data'!$C:$C,MATCH($B528,'Clean Gamification Data'!$A:$A,0)),"Not Found")</f>
        <v>70.525339450000004</v>
      </c>
      <c r="U528" s="28">
        <f>IFERROR(INDEX('Clean Gamification Data'!$D:$D,MATCH($B528,'Clean Gamification Data'!$A:$A,0)),"Not Found")</f>
        <v>81.847604360000005</v>
      </c>
      <c r="V528" s="28">
        <f>IFERROR(INDEX('Clean Gamification Data'!$E:$E,MATCH($B528,'Clean Gamification Data'!$A:$A,0)),"Not Found")</f>
        <v>65.242197709999999</v>
      </c>
      <c r="W528" s="28">
        <f>IFERROR(INDEX('Clean Gamification Data'!$F:$F,MATCH($B528,'Clean Gamification Data'!$A:$A,0)),"Not Found")</f>
        <v>84.536223730000003</v>
      </c>
      <c r="X528" s="28">
        <f>IFERROR(INDEX('Clean Gamification Data'!$G:$G,MATCH($B528,'Clean Gamification Data'!$A:$A,0)),"Not Found")</f>
        <v>82.319654439999994</v>
      </c>
      <c r="Y528" s="28">
        <f>IFERROR(INDEX('Clean Gamification Data'!$H:$H,MATCH($B528,'Clean Gamification Data'!$A:$A,0)),"Not Found")</f>
        <v>76.398311489999998</v>
      </c>
      <c r="Z528" s="28">
        <f>IFERROR(INDEX('Clean Gamification Data'!$I:$I,MATCH($B528,'Clean Gamification Data'!$A:$A,0)),"Not Found")</f>
        <v>50</v>
      </c>
      <c r="AA528" s="28">
        <f>Table1[[#This Row],[Engagement (Gamification %)]]-Table1[[#This Row],[Engagement (Non-Gamification %)]]</f>
        <v>23.178036629999994</v>
      </c>
      <c r="AB528" s="28">
        <f>Table1[[#This Row],[Motivation (Gamification %)]]-Table1[[#This Row],[Motivation (Non-Gamification %)]]</f>
        <v>16.605406650000006</v>
      </c>
      <c r="AC528" s="28">
        <f>Table1[[#This Row],[Participation (Gamification %)]]-Table1[[#This Row],[Participation (Non-Gamification %)]]</f>
        <v>2.2165692900000096</v>
      </c>
      <c r="AD528" s="28">
        <f>Table1[[#This Row],[Learning Outcomes (Gamification %)]]-Table1[[#This Row],[Learning Outcomes (Non-Gamification %)]]</f>
        <v>26.398311489999998</v>
      </c>
      <c r="AE528" s="44" t="str">
        <f>IF(Table1[[#This Row],[Overall Effectiveness]]&lt;3.9,"Low",IF(Table1[[#This Row],[Overall Effectiveness]]&lt;4.2,"Medium","High"))</f>
        <v>Low</v>
      </c>
      <c r="AF528" s="30" t="str">
        <f t="shared" si="52"/>
        <v>Group Projects</v>
      </c>
      <c r="AG528" s="30" t="str">
        <f t="shared" si="53"/>
        <v>Case Studies</v>
      </c>
      <c r="AH528" s="27">
        <f>COUNTIF(Teacher_Master!$D$2:$D$16,AF528)</f>
        <v>3</v>
      </c>
      <c r="AI528" s="30" t="str">
        <f>INDEX(Teacher_Master!$B$2:$B$16,MATCH(AF528,Teacher_Master!$D$2:$D$16,0))</f>
        <v>Dr. Rohan Dutta</v>
      </c>
    </row>
    <row r="529" spans="1:35" ht="14.25" customHeight="1" x14ac:dyDescent="0.3">
      <c r="A529" s="31" t="s">
        <v>1084</v>
      </c>
      <c r="B529" s="31" t="s">
        <v>1085</v>
      </c>
      <c r="C529" s="31" t="s">
        <v>2882</v>
      </c>
      <c r="D529" s="12">
        <f t="shared" ca="1" si="48"/>
        <v>26</v>
      </c>
      <c r="E529" s="12" t="str">
        <f ca="1">IF(Table1[[#This Row],[Age]]&lt;=22,"20-22",IF(Table1[[#This Row],[Age]]&lt;=25,"23-25",IF(Table1[[#This Row],[Age]]&lt;=28,"26-28","29-30")))</f>
        <v>26-28</v>
      </c>
      <c r="F529" s="12">
        <v>3.82</v>
      </c>
      <c r="G529" s="12">
        <v>4.07</v>
      </c>
      <c r="H529" s="12">
        <v>4.12</v>
      </c>
      <c r="I529" s="12">
        <v>4.0199999999999996</v>
      </c>
      <c r="J529" s="12">
        <v>4</v>
      </c>
      <c r="K529" s="12">
        <v>3.45</v>
      </c>
      <c r="L529" s="12" t="s">
        <v>211</v>
      </c>
      <c r="M529" s="12">
        <v>4.05</v>
      </c>
      <c r="N529" s="12">
        <v>4.24</v>
      </c>
      <c r="O529" s="12">
        <v>4.4400000000000004</v>
      </c>
      <c r="P529" s="12">
        <f t="shared" si="49"/>
        <v>4.0060000000000002</v>
      </c>
      <c r="Q529" s="12">
        <f t="shared" si="50"/>
        <v>4.01</v>
      </c>
      <c r="R529" s="12">
        <f t="shared" si="51"/>
        <v>4.0449999999999999</v>
      </c>
      <c r="S529" s="28">
        <f>IFERROR(INDEX('Clean Gamification Data'!$B:$B,MATCH($B529,'Clean Gamification Data'!$A:$A,0)),"Not Found")</f>
        <v>91.100821289999999</v>
      </c>
      <c r="T529" s="28">
        <f>IFERROR(INDEX('Clean Gamification Data'!$C:$C,MATCH($B529,'Clean Gamification Data'!$A:$A,0)),"Not Found")</f>
        <v>73.53646646</v>
      </c>
      <c r="U529" s="28">
        <f>IFERROR(INDEX('Clean Gamification Data'!$D:$D,MATCH($B529,'Clean Gamification Data'!$A:$A,0)),"Not Found")</f>
        <v>73.95429695</v>
      </c>
      <c r="V529" s="28">
        <f>IFERROR(INDEX('Clean Gamification Data'!$E:$E,MATCH($B529,'Clean Gamification Data'!$A:$A,0)),"Not Found")</f>
        <v>69.890656300000003</v>
      </c>
      <c r="W529" s="28">
        <f>IFERROR(INDEX('Clean Gamification Data'!$F:$F,MATCH($B529,'Clean Gamification Data'!$A:$A,0)),"Not Found")</f>
        <v>86.936061249999995</v>
      </c>
      <c r="X529" s="28">
        <f>IFERROR(INDEX('Clean Gamification Data'!$G:$G,MATCH($B529,'Clean Gamification Data'!$A:$A,0)),"Not Found")</f>
        <v>80.352591050000001</v>
      </c>
      <c r="Y529" s="28">
        <f>IFERROR(INDEX('Clean Gamification Data'!$H:$H,MATCH($B529,'Clean Gamification Data'!$A:$A,0)),"Not Found")</f>
        <v>65</v>
      </c>
      <c r="Z529" s="28">
        <f>IFERROR(INDEX('Clean Gamification Data'!$I:$I,MATCH($B529,'Clean Gamification Data'!$A:$A,0)),"Not Found")</f>
        <v>58.090889490000002</v>
      </c>
      <c r="AA529" s="28">
        <f>Table1[[#This Row],[Engagement (Gamification %)]]-Table1[[#This Row],[Engagement (Non-Gamification %)]]</f>
        <v>17.564354829999999</v>
      </c>
      <c r="AB529" s="28">
        <f>Table1[[#This Row],[Motivation (Gamification %)]]-Table1[[#This Row],[Motivation (Non-Gamification %)]]</f>
        <v>4.0636406499999964</v>
      </c>
      <c r="AC529" s="28">
        <f>Table1[[#This Row],[Participation (Gamification %)]]-Table1[[#This Row],[Participation (Non-Gamification %)]]</f>
        <v>6.5834701999999936</v>
      </c>
      <c r="AD529" s="28">
        <f>Table1[[#This Row],[Learning Outcomes (Gamification %)]]-Table1[[#This Row],[Learning Outcomes (Non-Gamification %)]]</f>
        <v>6.9091105099999979</v>
      </c>
      <c r="AE529" s="44" t="str">
        <f>IF(Table1[[#This Row],[Overall Effectiveness]]&lt;3.9,"Low",IF(Table1[[#This Row],[Overall Effectiveness]]&lt;4.2,"Medium","High"))</f>
        <v>Medium</v>
      </c>
      <c r="AF529" s="30" t="str">
        <f t="shared" si="52"/>
        <v>Group Projects</v>
      </c>
      <c r="AG529" s="30" t="str">
        <f t="shared" si="53"/>
        <v>Online Tutorials</v>
      </c>
      <c r="AH529" s="27">
        <f>COUNTIF(Teacher_Master!$D$2:$D$16,AF529)</f>
        <v>3</v>
      </c>
      <c r="AI529" s="30" t="str">
        <f>INDEX(Teacher_Master!$B$2:$B$16,MATCH(AF529,Teacher_Master!$D$2:$D$16,0))</f>
        <v>Dr. Rohan Dutta</v>
      </c>
    </row>
    <row r="530" spans="1:35" ht="14.25" customHeight="1" x14ac:dyDescent="0.3">
      <c r="A530" s="31" t="s">
        <v>1086</v>
      </c>
      <c r="B530" s="31" t="s">
        <v>1087</v>
      </c>
      <c r="C530" s="31" t="s">
        <v>2882</v>
      </c>
      <c r="D530" s="12">
        <f t="shared" ca="1" si="48"/>
        <v>28</v>
      </c>
      <c r="E530" s="12" t="str">
        <f ca="1">IF(Table1[[#This Row],[Age]]&lt;=22,"20-22",IF(Table1[[#This Row],[Age]]&lt;=25,"23-25",IF(Table1[[#This Row],[Age]]&lt;=28,"26-28","29-30")))</f>
        <v>26-28</v>
      </c>
      <c r="F530" s="12" t="s">
        <v>211</v>
      </c>
      <c r="G530" s="12">
        <v>4.47</v>
      </c>
      <c r="H530" s="12">
        <v>4.08</v>
      </c>
      <c r="I530" s="12">
        <v>3.58</v>
      </c>
      <c r="J530" s="12">
        <v>3.68</v>
      </c>
      <c r="K530" s="12">
        <v>4</v>
      </c>
      <c r="L530" s="12">
        <v>3.79</v>
      </c>
      <c r="M530" s="12">
        <v>4.1100000000000003</v>
      </c>
      <c r="N530" s="12">
        <v>3.67</v>
      </c>
      <c r="O530" s="12">
        <v>4.0599999999999996</v>
      </c>
      <c r="P530" s="12">
        <f t="shared" si="49"/>
        <v>3.9525000000000001</v>
      </c>
      <c r="Q530" s="12">
        <f t="shared" si="50"/>
        <v>3.95</v>
      </c>
      <c r="R530" s="12">
        <f t="shared" si="51"/>
        <v>3.9259999999999997</v>
      </c>
      <c r="S530" s="28">
        <f>IFERROR(INDEX('Clean Gamification Data'!$B:$B,MATCH($B530,'Clean Gamification Data'!$A:$A,0)),"Not Found")</f>
        <v>76.167235579999996</v>
      </c>
      <c r="T530" s="28">
        <f>IFERROR(INDEX('Clean Gamification Data'!$C:$C,MATCH($B530,'Clean Gamification Data'!$A:$A,0)),"Not Found")</f>
        <v>66.805528170000002</v>
      </c>
      <c r="U530" s="28">
        <f>IFERROR(INDEX('Clean Gamification Data'!$D:$D,MATCH($B530,'Clean Gamification Data'!$A:$A,0)),"Not Found")</f>
        <v>73.275746310000002</v>
      </c>
      <c r="V530" s="28">
        <f>IFERROR(INDEX('Clean Gamification Data'!$E:$E,MATCH($B530,'Clean Gamification Data'!$A:$A,0)),"Not Found")</f>
        <v>73.015702399999995</v>
      </c>
      <c r="W530" s="28">
        <f>IFERROR(INDEX('Clean Gamification Data'!$F:$F,MATCH($B530,'Clean Gamification Data'!$A:$A,0)),"Not Found")</f>
        <v>96.317152350000001</v>
      </c>
      <c r="X530" s="28">
        <f>IFERROR(INDEX('Clean Gamification Data'!$G:$G,MATCH($B530,'Clean Gamification Data'!$A:$A,0)),"Not Found")</f>
        <v>73.849940860000004</v>
      </c>
      <c r="Y530" s="28">
        <f>IFERROR(INDEX('Clean Gamification Data'!$H:$H,MATCH($B530,'Clean Gamification Data'!$A:$A,0)),"Not Found")</f>
        <v>75.865693660000005</v>
      </c>
      <c r="Z530" s="28">
        <f>IFERROR(INDEX('Clean Gamification Data'!$I:$I,MATCH($B530,'Clean Gamification Data'!$A:$A,0)),"Not Found")</f>
        <v>59.076875219999998</v>
      </c>
      <c r="AA530" s="28">
        <f>Table1[[#This Row],[Engagement (Gamification %)]]-Table1[[#This Row],[Engagement (Non-Gamification %)]]</f>
        <v>9.361707409999994</v>
      </c>
      <c r="AB530" s="28">
        <f>Table1[[#This Row],[Motivation (Gamification %)]]-Table1[[#This Row],[Motivation (Non-Gamification %)]]</f>
        <v>0.26004391000000737</v>
      </c>
      <c r="AC530" s="28">
        <f>Table1[[#This Row],[Participation (Gamification %)]]-Table1[[#This Row],[Participation (Non-Gamification %)]]</f>
        <v>22.467211489999997</v>
      </c>
      <c r="AD530" s="28">
        <f>Table1[[#This Row],[Learning Outcomes (Gamification %)]]-Table1[[#This Row],[Learning Outcomes (Non-Gamification %)]]</f>
        <v>16.788818440000007</v>
      </c>
      <c r="AE530" s="44" t="str">
        <f>IF(Table1[[#This Row],[Overall Effectiveness]]&lt;3.9,"Low",IF(Table1[[#This Row],[Overall Effectiveness]]&lt;4.2,"Medium","High"))</f>
        <v>Medium</v>
      </c>
      <c r="AF530" s="30" t="str">
        <f t="shared" si="52"/>
        <v>Case Studies</v>
      </c>
      <c r="AG530" s="30" t="str">
        <f t="shared" si="53"/>
        <v>Group Projects</v>
      </c>
      <c r="AH530" s="27">
        <f>COUNTIF(Teacher_Master!$D$2:$D$16,AF530)</f>
        <v>3</v>
      </c>
      <c r="AI530" s="30" t="str">
        <f>INDEX(Teacher_Master!$B$2:$B$16,MATCH(AF530,Teacher_Master!$D$2:$D$16,0))</f>
        <v>Prof. Rajesh Mukherjee</v>
      </c>
    </row>
    <row r="531" spans="1:35" ht="14.25" customHeight="1" x14ac:dyDescent="0.3">
      <c r="A531" s="31" t="s">
        <v>1088</v>
      </c>
      <c r="B531" s="31" t="s">
        <v>2452</v>
      </c>
      <c r="C531" s="31" t="s">
        <v>2881</v>
      </c>
      <c r="D531" s="12">
        <f t="shared" ca="1" si="48"/>
        <v>29</v>
      </c>
      <c r="E531" s="12" t="str">
        <f ca="1">IF(Table1[[#This Row],[Age]]&lt;=22,"20-22",IF(Table1[[#This Row],[Age]]&lt;=25,"23-25",IF(Table1[[#This Row],[Age]]&lt;=28,"26-28","29-30")))</f>
        <v>29-30</v>
      </c>
      <c r="F531" s="12">
        <v>4.2</v>
      </c>
      <c r="G531" s="12">
        <v>3.68</v>
      </c>
      <c r="H531" s="12">
        <v>4.59</v>
      </c>
      <c r="I531" s="12">
        <v>4.1100000000000003</v>
      </c>
      <c r="J531" s="12">
        <v>4.71</v>
      </c>
      <c r="K531" s="12">
        <v>4.01</v>
      </c>
      <c r="L531" s="12">
        <v>4.3099999999999996</v>
      </c>
      <c r="M531" s="12">
        <v>4.29</v>
      </c>
      <c r="N531" s="12">
        <v>4.26</v>
      </c>
      <c r="O531" s="12" t="s">
        <v>211</v>
      </c>
      <c r="P531" s="12">
        <f t="shared" si="49"/>
        <v>4.2580000000000009</v>
      </c>
      <c r="Q531" s="12">
        <f t="shared" si="50"/>
        <v>4.26</v>
      </c>
      <c r="R531" s="12">
        <f t="shared" si="51"/>
        <v>4.2174999999999994</v>
      </c>
      <c r="S531" s="28">
        <f>IFERROR(INDEX('Clean Gamification Data'!$B:$B,MATCH($B531,'Clean Gamification Data'!$A:$A,0)),"Not Found")</f>
        <v>83.028459139999995</v>
      </c>
      <c r="T531" s="28">
        <f>IFERROR(INDEX('Clean Gamification Data'!$C:$C,MATCH($B531,'Clean Gamification Data'!$A:$A,0)),"Not Found")</f>
        <v>66.246957839999993</v>
      </c>
      <c r="U531" s="28">
        <f>IFERROR(INDEX('Clean Gamification Data'!$D:$D,MATCH($B531,'Clean Gamification Data'!$A:$A,0)),"Not Found")</f>
        <v>89.540079349999999</v>
      </c>
      <c r="V531" s="28">
        <f>IFERROR(INDEX('Clean Gamification Data'!$E:$E,MATCH($B531,'Clean Gamification Data'!$A:$A,0)),"Not Found")</f>
        <v>70.644163500000005</v>
      </c>
      <c r="W531" s="28">
        <f>IFERROR(INDEX('Clean Gamification Data'!$F:$F,MATCH($B531,'Clean Gamification Data'!$A:$A,0)),"Not Found")</f>
        <v>99.9</v>
      </c>
      <c r="X531" s="28">
        <f>IFERROR(INDEX('Clean Gamification Data'!$G:$G,MATCH($B531,'Clean Gamification Data'!$A:$A,0)),"Not Found")</f>
        <v>85</v>
      </c>
      <c r="Y531" s="28">
        <f>IFERROR(INDEX('Clean Gamification Data'!$H:$H,MATCH($B531,'Clean Gamification Data'!$A:$A,0)),"Not Found")</f>
        <v>69.751070510000005</v>
      </c>
      <c r="Z531" s="28">
        <f>IFERROR(INDEX('Clean Gamification Data'!$I:$I,MATCH($B531,'Clean Gamification Data'!$A:$A,0)),"Not Found")</f>
        <v>57.904862170000001</v>
      </c>
      <c r="AA531" s="28">
        <f>Table1[[#This Row],[Engagement (Gamification %)]]-Table1[[#This Row],[Engagement (Non-Gamification %)]]</f>
        <v>16.781501300000002</v>
      </c>
      <c r="AB531" s="28">
        <f>Table1[[#This Row],[Motivation (Gamification %)]]-Table1[[#This Row],[Motivation (Non-Gamification %)]]</f>
        <v>18.895915849999994</v>
      </c>
      <c r="AC531" s="28">
        <f>Table1[[#This Row],[Participation (Gamification %)]]-Table1[[#This Row],[Participation (Non-Gamification %)]]</f>
        <v>14.900000000000006</v>
      </c>
      <c r="AD531" s="28">
        <f>Table1[[#This Row],[Learning Outcomes (Gamification %)]]-Table1[[#This Row],[Learning Outcomes (Non-Gamification %)]]</f>
        <v>11.846208340000004</v>
      </c>
      <c r="AE531" s="44" t="str">
        <f>IF(Table1[[#This Row],[Overall Effectiveness]]&lt;3.9,"Low",IF(Table1[[#This Row],[Overall Effectiveness]]&lt;4.2,"Medium","High"))</f>
        <v>High</v>
      </c>
      <c r="AF531" s="30" t="str">
        <f t="shared" si="52"/>
        <v>Online Tutorials</v>
      </c>
      <c r="AG531" s="30" t="str">
        <f t="shared" si="53"/>
        <v>Case Studies</v>
      </c>
      <c r="AH531" s="27">
        <f>COUNTIF(Teacher_Master!$D$2:$D$16,AF531)</f>
        <v>3</v>
      </c>
      <c r="AI531" s="30" t="str">
        <f>INDEX(Teacher_Master!$B$2:$B$16,MATCH(AF531,Teacher_Master!$D$2:$D$16,0))</f>
        <v>Prof. Kavita Rao</v>
      </c>
    </row>
    <row r="532" spans="1:35" ht="14.25" customHeight="1" x14ac:dyDescent="0.3">
      <c r="A532" s="31" t="s">
        <v>1090</v>
      </c>
      <c r="B532" s="31" t="s">
        <v>2453</v>
      </c>
      <c r="C532" s="31" t="s">
        <v>2881</v>
      </c>
      <c r="D532" s="12">
        <f t="shared" ca="1" si="48"/>
        <v>21</v>
      </c>
      <c r="E532" s="12" t="str">
        <f ca="1">IF(Table1[[#This Row],[Age]]&lt;=22,"20-22",IF(Table1[[#This Row],[Age]]&lt;=25,"23-25",IF(Table1[[#This Row],[Age]]&lt;=28,"26-28","29-30")))</f>
        <v>20-22</v>
      </c>
      <c r="F532" s="12">
        <v>4.26</v>
      </c>
      <c r="G532" s="12">
        <v>4.47</v>
      </c>
      <c r="H532" s="12">
        <v>4.17</v>
      </c>
      <c r="I532" s="12">
        <v>3.4</v>
      </c>
      <c r="J532" s="12">
        <v>4.22</v>
      </c>
      <c r="K532" s="12" t="s">
        <v>211</v>
      </c>
      <c r="L532" s="12">
        <v>3.93</v>
      </c>
      <c r="M532" s="12">
        <v>4.34</v>
      </c>
      <c r="N532" s="12">
        <v>4.09</v>
      </c>
      <c r="O532" s="12">
        <v>3.64</v>
      </c>
      <c r="P532" s="12">
        <f t="shared" si="49"/>
        <v>4.1040000000000001</v>
      </c>
      <c r="Q532" s="12">
        <f t="shared" si="50"/>
        <v>4.0999999999999996</v>
      </c>
      <c r="R532" s="12">
        <f t="shared" si="51"/>
        <v>4</v>
      </c>
      <c r="S532" s="28">
        <f>IFERROR(INDEX('Clean Gamification Data'!$B:$B,MATCH($B532,'Clean Gamification Data'!$A:$A,0)),"Not Found")</f>
        <v>82.139794289999998</v>
      </c>
      <c r="T532" s="28">
        <f>IFERROR(INDEX('Clean Gamification Data'!$C:$C,MATCH($B532,'Clean Gamification Data'!$A:$A,0)),"Not Found")</f>
        <v>72.865443089999999</v>
      </c>
      <c r="U532" s="28">
        <f>IFERROR(INDEX('Clean Gamification Data'!$D:$D,MATCH($B532,'Clean Gamification Data'!$A:$A,0)),"Not Found")</f>
        <v>78.397431159999996</v>
      </c>
      <c r="V532" s="28">
        <f>IFERROR(INDEX('Clean Gamification Data'!$E:$E,MATCH($B532,'Clean Gamification Data'!$A:$A,0)),"Not Found")</f>
        <v>66.4843908</v>
      </c>
      <c r="W532" s="28">
        <f>IFERROR(INDEX('Clean Gamification Data'!$F:$F,MATCH($B532,'Clean Gamification Data'!$A:$A,0)),"Not Found")</f>
        <v>90.978897430000004</v>
      </c>
      <c r="X532" s="28">
        <f>IFERROR(INDEX('Clean Gamification Data'!$G:$G,MATCH($B532,'Clean Gamification Data'!$A:$A,0)),"Not Found")</f>
        <v>79.734445010000002</v>
      </c>
      <c r="Y532" s="28">
        <f>IFERROR(INDEX('Clean Gamification Data'!$H:$H,MATCH($B532,'Clean Gamification Data'!$A:$A,0)),"Not Found")</f>
        <v>74.269953950000001</v>
      </c>
      <c r="Z532" s="28">
        <f>IFERROR(INDEX('Clean Gamification Data'!$I:$I,MATCH($B532,'Clean Gamification Data'!$A:$A,0)),"Not Found")</f>
        <v>56.347274970000001</v>
      </c>
      <c r="AA532" s="28">
        <f>Table1[[#This Row],[Engagement (Gamification %)]]-Table1[[#This Row],[Engagement (Non-Gamification %)]]</f>
        <v>9.2743511999999981</v>
      </c>
      <c r="AB532" s="28">
        <f>Table1[[#This Row],[Motivation (Gamification %)]]-Table1[[#This Row],[Motivation (Non-Gamification %)]]</f>
        <v>11.913040359999997</v>
      </c>
      <c r="AC532" s="28">
        <f>Table1[[#This Row],[Participation (Gamification %)]]-Table1[[#This Row],[Participation (Non-Gamification %)]]</f>
        <v>11.244452420000002</v>
      </c>
      <c r="AD532" s="28">
        <f>Table1[[#This Row],[Learning Outcomes (Gamification %)]]-Table1[[#This Row],[Learning Outcomes (Non-Gamification %)]]</f>
        <v>17.922678980000001</v>
      </c>
      <c r="AE532" s="44" t="str">
        <f>IF(Table1[[#This Row],[Overall Effectiveness]]&lt;3.9,"Low",IF(Table1[[#This Row],[Overall Effectiveness]]&lt;4.2,"Medium","High"))</f>
        <v>Medium</v>
      </c>
      <c r="AF532" s="30" t="str">
        <f t="shared" si="52"/>
        <v>Case Studies</v>
      </c>
      <c r="AG532" s="30" t="str">
        <f t="shared" si="53"/>
        <v>Group Projects</v>
      </c>
      <c r="AH532" s="27">
        <f>COUNTIF(Teacher_Master!$D$2:$D$16,AF532)</f>
        <v>3</v>
      </c>
      <c r="AI532" s="30" t="str">
        <f>INDEX(Teacher_Master!$B$2:$B$16,MATCH(AF532,Teacher_Master!$D$2:$D$16,0))</f>
        <v>Prof. Rajesh Mukherjee</v>
      </c>
    </row>
    <row r="533" spans="1:35" ht="14.25" customHeight="1" x14ac:dyDescent="0.3">
      <c r="A533" s="31" t="s">
        <v>1092</v>
      </c>
      <c r="B533" s="31" t="s">
        <v>1093</v>
      </c>
      <c r="C533" s="31" t="s">
        <v>2882</v>
      </c>
      <c r="D533" s="12">
        <f t="shared" ca="1" si="48"/>
        <v>21</v>
      </c>
      <c r="E533" s="12" t="str">
        <f ca="1">IF(Table1[[#This Row],[Age]]&lt;=22,"20-22",IF(Table1[[#This Row],[Age]]&lt;=25,"23-25",IF(Table1[[#This Row],[Age]]&lt;=28,"26-28","29-30")))</f>
        <v>20-22</v>
      </c>
      <c r="F533" s="12">
        <v>3.72</v>
      </c>
      <c r="G533" s="12">
        <v>3.89</v>
      </c>
      <c r="H533" s="12">
        <v>4.28</v>
      </c>
      <c r="I533" s="12">
        <v>3.75</v>
      </c>
      <c r="J533" s="12">
        <v>3.76</v>
      </c>
      <c r="K533" s="12">
        <v>4.29</v>
      </c>
      <c r="L533" s="12">
        <v>4.49</v>
      </c>
      <c r="M533" s="12">
        <v>3.97</v>
      </c>
      <c r="N533" s="12">
        <v>3.52</v>
      </c>
      <c r="O533" s="12">
        <v>4.76</v>
      </c>
      <c r="P533" s="12">
        <f t="shared" si="49"/>
        <v>3.88</v>
      </c>
      <c r="Q533" s="12">
        <f t="shared" si="50"/>
        <v>3.88</v>
      </c>
      <c r="R533" s="12">
        <f t="shared" si="51"/>
        <v>4.2060000000000004</v>
      </c>
      <c r="S533" s="28">
        <f>IFERROR(INDEX('Clean Gamification Data'!$B:$B,MATCH($B533,'Clean Gamification Data'!$A:$A,0)),"Not Found")</f>
        <v>75</v>
      </c>
      <c r="T533" s="28">
        <f>IFERROR(INDEX('Clean Gamification Data'!$C:$C,MATCH($B533,'Clean Gamification Data'!$A:$A,0)),"Not Found")</f>
        <v>67.435028939999995</v>
      </c>
      <c r="U533" s="28">
        <f>IFERROR(INDEX('Clean Gamification Data'!$D:$D,MATCH($B533,'Clean Gamification Data'!$A:$A,0)),"Not Found")</f>
        <v>76.118051350000002</v>
      </c>
      <c r="V533" s="28">
        <f>IFERROR(INDEX('Clean Gamification Data'!$E:$E,MATCH($B533,'Clean Gamification Data'!$A:$A,0)),"Not Found")</f>
        <v>64.468156109999995</v>
      </c>
      <c r="W533" s="28">
        <f>IFERROR(INDEX('Clean Gamification Data'!$F:$F,MATCH($B533,'Clean Gamification Data'!$A:$A,0)),"Not Found")</f>
        <v>96.492537580000004</v>
      </c>
      <c r="X533" s="28">
        <f>IFERROR(INDEX('Clean Gamification Data'!$G:$G,MATCH($B533,'Clean Gamification Data'!$A:$A,0)),"Not Found")</f>
        <v>79.156500379999997</v>
      </c>
      <c r="Y533" s="28">
        <f>IFERROR(INDEX('Clean Gamification Data'!$H:$H,MATCH($B533,'Clean Gamification Data'!$A:$A,0)),"Not Found")</f>
        <v>72.163790210000002</v>
      </c>
      <c r="Z533" s="28">
        <f>IFERROR(INDEX('Clean Gamification Data'!$I:$I,MATCH($B533,'Clean Gamification Data'!$A:$A,0)),"Not Found")</f>
        <v>68.247129220000005</v>
      </c>
      <c r="AA533" s="28">
        <f>Table1[[#This Row],[Engagement (Gamification %)]]-Table1[[#This Row],[Engagement (Non-Gamification %)]]</f>
        <v>7.5649710600000049</v>
      </c>
      <c r="AB533" s="28">
        <f>Table1[[#This Row],[Motivation (Gamification %)]]-Table1[[#This Row],[Motivation (Non-Gamification %)]]</f>
        <v>11.649895240000006</v>
      </c>
      <c r="AC533" s="28">
        <f>Table1[[#This Row],[Participation (Gamification %)]]-Table1[[#This Row],[Participation (Non-Gamification %)]]</f>
        <v>17.336037200000007</v>
      </c>
      <c r="AD533" s="28">
        <f>Table1[[#This Row],[Learning Outcomes (Gamification %)]]-Table1[[#This Row],[Learning Outcomes (Non-Gamification %)]]</f>
        <v>3.9166609899999969</v>
      </c>
      <c r="AE533" s="44" t="str">
        <f>IF(Table1[[#This Row],[Overall Effectiveness]]&lt;3.9,"Low",IF(Table1[[#This Row],[Overall Effectiveness]]&lt;4.2,"Medium","High"))</f>
        <v>Low</v>
      </c>
      <c r="AF533" s="30" t="str">
        <f t="shared" si="52"/>
        <v>Group Projects</v>
      </c>
      <c r="AG533" s="30" t="str">
        <f t="shared" si="53"/>
        <v>Online Tutorials</v>
      </c>
      <c r="AH533" s="27">
        <f>COUNTIF(Teacher_Master!$D$2:$D$16,AF533)</f>
        <v>3</v>
      </c>
      <c r="AI533" s="30" t="str">
        <f>INDEX(Teacher_Master!$B$2:$B$16,MATCH(AF533,Teacher_Master!$D$2:$D$16,0))</f>
        <v>Dr. Rohan Dutta</v>
      </c>
    </row>
    <row r="534" spans="1:35" ht="14.25" customHeight="1" x14ac:dyDescent="0.3">
      <c r="A534" s="31" t="s">
        <v>1094</v>
      </c>
      <c r="B534" s="31" t="s">
        <v>1095</v>
      </c>
      <c r="C534" s="31" t="s">
        <v>2882</v>
      </c>
      <c r="D534" s="12">
        <f t="shared" ca="1" si="48"/>
        <v>30</v>
      </c>
      <c r="E534" s="12" t="str">
        <f ca="1">IF(Table1[[#This Row],[Age]]&lt;=22,"20-22",IF(Table1[[#This Row],[Age]]&lt;=25,"23-25",IF(Table1[[#This Row],[Age]]&lt;=28,"26-28","29-30")))</f>
        <v>29-30</v>
      </c>
      <c r="F534" s="12">
        <v>4.1500000000000004</v>
      </c>
      <c r="G534" s="12">
        <v>4.07</v>
      </c>
      <c r="H534" s="12">
        <v>4.2</v>
      </c>
      <c r="I534" s="12">
        <v>3.8</v>
      </c>
      <c r="J534" s="12">
        <v>4.05</v>
      </c>
      <c r="K534" s="12">
        <v>3.98</v>
      </c>
      <c r="L534" s="12">
        <v>4.28</v>
      </c>
      <c r="M534" s="12">
        <v>3.87</v>
      </c>
      <c r="N534" s="12">
        <v>4.29</v>
      </c>
      <c r="O534" s="12">
        <v>4.22</v>
      </c>
      <c r="P534" s="12">
        <f t="shared" si="49"/>
        <v>4.0540000000000003</v>
      </c>
      <c r="Q534" s="12">
        <f t="shared" si="50"/>
        <v>4.05</v>
      </c>
      <c r="R534" s="12">
        <f t="shared" si="51"/>
        <v>4.1279999999999992</v>
      </c>
      <c r="S534" s="28">
        <f>IFERROR(INDEX('Clean Gamification Data'!$B:$B,MATCH($B534,'Clean Gamification Data'!$A:$A,0)),"Not Found")</f>
        <v>85.577781180000002</v>
      </c>
      <c r="T534" s="28">
        <f>IFERROR(INDEX('Clean Gamification Data'!$C:$C,MATCH($B534,'Clean Gamification Data'!$A:$A,0)),"Not Found")</f>
        <v>63.393118659999999</v>
      </c>
      <c r="U534" s="28">
        <f>IFERROR(INDEX('Clean Gamification Data'!$D:$D,MATCH($B534,'Clean Gamification Data'!$A:$A,0)),"Not Found")</f>
        <v>70</v>
      </c>
      <c r="V534" s="28">
        <f>IFERROR(INDEX('Clean Gamification Data'!$E:$E,MATCH($B534,'Clean Gamification Data'!$A:$A,0)),"Not Found")</f>
        <v>59.557915770000001</v>
      </c>
      <c r="W534" s="28">
        <f>IFERROR(INDEX('Clean Gamification Data'!$F:$F,MATCH($B534,'Clean Gamification Data'!$A:$A,0)),"Not Found")</f>
        <v>82.752152539999997</v>
      </c>
      <c r="X534" s="28">
        <f>IFERROR(INDEX('Clean Gamification Data'!$G:$G,MATCH($B534,'Clean Gamification Data'!$A:$A,0)),"Not Found")</f>
        <v>82.028564020000005</v>
      </c>
      <c r="Y534" s="28">
        <f>IFERROR(INDEX('Clean Gamification Data'!$H:$H,MATCH($B534,'Clean Gamification Data'!$A:$A,0)),"Not Found")</f>
        <v>69.653348789999995</v>
      </c>
      <c r="Z534" s="28">
        <f>IFERROR(INDEX('Clean Gamification Data'!$I:$I,MATCH($B534,'Clean Gamification Data'!$A:$A,0)),"Not Found")</f>
        <v>54.057439930000001</v>
      </c>
      <c r="AA534" s="28">
        <f>Table1[[#This Row],[Engagement (Gamification %)]]-Table1[[#This Row],[Engagement (Non-Gamification %)]]</f>
        <v>22.184662520000003</v>
      </c>
      <c r="AB534" s="28">
        <f>Table1[[#This Row],[Motivation (Gamification %)]]-Table1[[#This Row],[Motivation (Non-Gamification %)]]</f>
        <v>10.442084229999999</v>
      </c>
      <c r="AC534" s="28">
        <f>Table1[[#This Row],[Participation (Gamification %)]]-Table1[[#This Row],[Participation (Non-Gamification %)]]</f>
        <v>0.72358851999999274</v>
      </c>
      <c r="AD534" s="28">
        <f>Table1[[#This Row],[Learning Outcomes (Gamification %)]]-Table1[[#This Row],[Learning Outcomes (Non-Gamification %)]]</f>
        <v>15.595908859999994</v>
      </c>
      <c r="AE534" s="44" t="str">
        <f>IF(Table1[[#This Row],[Overall Effectiveness]]&lt;3.9,"Low",IF(Table1[[#This Row],[Overall Effectiveness]]&lt;4.2,"Medium","High"))</f>
        <v>Medium</v>
      </c>
      <c r="AF534" s="30" t="str">
        <f t="shared" si="52"/>
        <v>Group Projects</v>
      </c>
      <c r="AG534" s="30" t="str">
        <f t="shared" si="53"/>
        <v>Experiments</v>
      </c>
      <c r="AH534" s="27">
        <f>COUNTIF(Teacher_Master!$D$2:$D$16,AF534)</f>
        <v>3</v>
      </c>
      <c r="AI534" s="30" t="str">
        <f>INDEX(Teacher_Master!$B$2:$B$16,MATCH(AF534,Teacher_Master!$D$2:$D$16,0))</f>
        <v>Dr. Rohan Dutta</v>
      </c>
    </row>
    <row r="535" spans="1:35" ht="14.25" customHeight="1" x14ac:dyDescent="0.3">
      <c r="A535" s="31" t="s">
        <v>1096</v>
      </c>
      <c r="B535" s="31" t="s">
        <v>2454</v>
      </c>
      <c r="C535" s="31" t="s">
        <v>2882</v>
      </c>
      <c r="D535" s="12">
        <f t="shared" ca="1" si="48"/>
        <v>21</v>
      </c>
      <c r="E535" s="12" t="str">
        <f ca="1">IF(Table1[[#This Row],[Age]]&lt;=22,"20-22",IF(Table1[[#This Row],[Age]]&lt;=25,"23-25",IF(Table1[[#This Row],[Age]]&lt;=28,"26-28","29-30")))</f>
        <v>20-22</v>
      </c>
      <c r="F535" s="12">
        <v>3.77</v>
      </c>
      <c r="G535" s="12">
        <v>4.43</v>
      </c>
      <c r="H535" s="12">
        <v>4.0599999999999996</v>
      </c>
      <c r="I535" s="12">
        <v>4.51</v>
      </c>
      <c r="J535" s="12">
        <v>3.46</v>
      </c>
      <c r="K535" s="12">
        <v>3.66</v>
      </c>
      <c r="L535" s="12">
        <v>4.3</v>
      </c>
      <c r="M535" s="12">
        <v>4.16</v>
      </c>
      <c r="N535" s="12">
        <v>4.0199999999999996</v>
      </c>
      <c r="O535" s="12">
        <v>4.0999999999999996</v>
      </c>
      <c r="P535" s="12">
        <f t="shared" si="49"/>
        <v>4.0459999999999994</v>
      </c>
      <c r="Q535" s="12">
        <f t="shared" si="50"/>
        <v>4.05</v>
      </c>
      <c r="R535" s="12">
        <f t="shared" si="51"/>
        <v>4.048</v>
      </c>
      <c r="S535" s="28">
        <f>IFERROR(INDEX('Clean Gamification Data'!$B:$B,MATCH($B535,'Clean Gamification Data'!$A:$A,0)),"Not Found")</f>
        <v>88.456483460000001</v>
      </c>
      <c r="T535" s="28">
        <f>IFERROR(INDEX('Clean Gamification Data'!$C:$C,MATCH($B535,'Clean Gamification Data'!$A:$A,0)),"Not Found")</f>
        <v>64.771607970000005</v>
      </c>
      <c r="U535" s="28">
        <f>IFERROR(INDEX('Clean Gamification Data'!$D:$D,MATCH($B535,'Clean Gamification Data'!$A:$A,0)),"Not Found")</f>
        <v>81.149542499999995</v>
      </c>
      <c r="V535" s="28">
        <f>IFERROR(INDEX('Clean Gamification Data'!$E:$E,MATCH($B535,'Clean Gamification Data'!$A:$A,0)),"Not Found")</f>
        <v>71.096910410000007</v>
      </c>
      <c r="W535" s="28">
        <f>IFERROR(INDEX('Clean Gamification Data'!$F:$F,MATCH($B535,'Clean Gamification Data'!$A:$A,0)),"Not Found")</f>
        <v>93.678188660000004</v>
      </c>
      <c r="X535" s="28">
        <f>IFERROR(INDEX('Clean Gamification Data'!$G:$G,MATCH($B535,'Clean Gamification Data'!$A:$A,0)),"Not Found")</f>
        <v>77.566280469999995</v>
      </c>
      <c r="Y535" s="28">
        <f>IFERROR(INDEX('Clean Gamification Data'!$H:$H,MATCH($B535,'Clean Gamification Data'!$A:$A,0)),"Not Found")</f>
        <v>75.611191849999997</v>
      </c>
      <c r="Z535" s="28">
        <f>IFERROR(INDEX('Clean Gamification Data'!$I:$I,MATCH($B535,'Clean Gamification Data'!$A:$A,0)),"Not Found")</f>
        <v>55.933326440000002</v>
      </c>
      <c r="AA535" s="28">
        <f>Table1[[#This Row],[Engagement (Gamification %)]]-Table1[[#This Row],[Engagement (Non-Gamification %)]]</f>
        <v>23.684875489999996</v>
      </c>
      <c r="AB535" s="28">
        <f>Table1[[#This Row],[Motivation (Gamification %)]]-Table1[[#This Row],[Motivation (Non-Gamification %)]]</f>
        <v>10.052632089999989</v>
      </c>
      <c r="AC535" s="28">
        <f>Table1[[#This Row],[Participation (Gamification %)]]-Table1[[#This Row],[Participation (Non-Gamification %)]]</f>
        <v>16.111908190000008</v>
      </c>
      <c r="AD535" s="28">
        <f>Table1[[#This Row],[Learning Outcomes (Gamification %)]]-Table1[[#This Row],[Learning Outcomes (Non-Gamification %)]]</f>
        <v>19.677865409999995</v>
      </c>
      <c r="AE535" s="44" t="str">
        <f>IF(Table1[[#This Row],[Overall Effectiveness]]&lt;3.9,"Low",IF(Table1[[#This Row],[Overall Effectiveness]]&lt;4.2,"Medium","High"))</f>
        <v>Medium</v>
      </c>
      <c r="AF535" s="30" t="str">
        <f t="shared" si="52"/>
        <v>Experiments</v>
      </c>
      <c r="AG535" s="30" t="str">
        <f t="shared" si="53"/>
        <v>Case Studies</v>
      </c>
      <c r="AH535" s="27">
        <f>COUNTIF(Teacher_Master!$D$2:$D$16,AF535)</f>
        <v>3</v>
      </c>
      <c r="AI535" s="30" t="str">
        <f>INDEX(Teacher_Master!$B$2:$B$16,MATCH(AF535,Teacher_Master!$D$2:$D$16,0))</f>
        <v>Prof. Rahul Singh</v>
      </c>
    </row>
    <row r="536" spans="1:35" ht="14.25" customHeight="1" x14ac:dyDescent="0.3">
      <c r="A536" s="31" t="s">
        <v>1098</v>
      </c>
      <c r="B536" s="31" t="s">
        <v>1099</v>
      </c>
      <c r="C536" s="31" t="s">
        <v>2881</v>
      </c>
      <c r="D536" s="12">
        <f t="shared" ca="1" si="48"/>
        <v>30</v>
      </c>
      <c r="E536" s="12" t="str">
        <f ca="1">IF(Table1[[#This Row],[Age]]&lt;=22,"20-22",IF(Table1[[#This Row],[Age]]&lt;=25,"23-25",IF(Table1[[#This Row],[Age]]&lt;=28,"26-28","29-30")))</f>
        <v>29-30</v>
      </c>
      <c r="F536" s="12">
        <v>3.43</v>
      </c>
      <c r="G536" s="12">
        <v>4.21</v>
      </c>
      <c r="H536" s="12">
        <v>3.42</v>
      </c>
      <c r="I536" s="12">
        <v>3.76</v>
      </c>
      <c r="J536" s="12">
        <v>4</v>
      </c>
      <c r="K536" s="12">
        <v>4.54</v>
      </c>
      <c r="L536" s="12">
        <v>3.26</v>
      </c>
      <c r="M536" s="12">
        <v>3.56</v>
      </c>
      <c r="N536" s="12">
        <v>3.82</v>
      </c>
      <c r="O536" s="12">
        <v>4.2699999999999996</v>
      </c>
      <c r="P536" s="12">
        <f t="shared" si="49"/>
        <v>3.7640000000000002</v>
      </c>
      <c r="Q536" s="12">
        <f t="shared" si="50"/>
        <v>3.76</v>
      </c>
      <c r="R536" s="12">
        <f t="shared" si="51"/>
        <v>3.8899999999999997</v>
      </c>
      <c r="S536" s="28">
        <f>IFERROR(INDEX('Clean Gamification Data'!$B:$B,MATCH($B536,'Clean Gamification Data'!$A:$A,0)),"Not Found")</f>
        <v>85.551667690000002</v>
      </c>
      <c r="T536" s="28">
        <f>IFERROR(INDEX('Clean Gamification Data'!$C:$C,MATCH($B536,'Clean Gamification Data'!$A:$A,0)),"Not Found")</f>
        <v>65.180996899999997</v>
      </c>
      <c r="U536" s="28">
        <f>IFERROR(INDEX('Clean Gamification Data'!$D:$D,MATCH($B536,'Clean Gamification Data'!$A:$A,0)),"Not Found")</f>
        <v>70</v>
      </c>
      <c r="V536" s="28">
        <f>IFERROR(INDEX('Clean Gamification Data'!$E:$E,MATCH($B536,'Clean Gamification Data'!$A:$A,0)),"Not Found")</f>
        <v>62.046956119999997</v>
      </c>
      <c r="W536" s="28">
        <f>IFERROR(INDEX('Clean Gamification Data'!$F:$F,MATCH($B536,'Clean Gamification Data'!$A:$A,0)),"Not Found")</f>
        <v>87.457383039999996</v>
      </c>
      <c r="X536" s="28">
        <f>IFERROR(INDEX('Clean Gamification Data'!$G:$G,MATCH($B536,'Clean Gamification Data'!$A:$A,0)),"Not Found")</f>
        <v>79.248370460000004</v>
      </c>
      <c r="Y536" s="28">
        <f>IFERROR(INDEX('Clean Gamification Data'!$H:$H,MATCH($B536,'Clean Gamification Data'!$A:$A,0)),"Not Found")</f>
        <v>69.779686150000003</v>
      </c>
      <c r="Z536" s="28">
        <f>IFERROR(INDEX('Clean Gamification Data'!$I:$I,MATCH($B536,'Clean Gamification Data'!$A:$A,0)),"Not Found")</f>
        <v>67.318784359999995</v>
      </c>
      <c r="AA536" s="28">
        <f>Table1[[#This Row],[Engagement (Gamification %)]]-Table1[[#This Row],[Engagement (Non-Gamification %)]]</f>
        <v>20.370670790000005</v>
      </c>
      <c r="AB536" s="28">
        <f>Table1[[#This Row],[Motivation (Gamification %)]]-Table1[[#This Row],[Motivation (Non-Gamification %)]]</f>
        <v>7.9530438800000027</v>
      </c>
      <c r="AC536" s="28">
        <f>Table1[[#This Row],[Participation (Gamification %)]]-Table1[[#This Row],[Participation (Non-Gamification %)]]</f>
        <v>8.2090125799999925</v>
      </c>
      <c r="AD536" s="28">
        <f>Table1[[#This Row],[Learning Outcomes (Gamification %)]]-Table1[[#This Row],[Learning Outcomes (Non-Gamification %)]]</f>
        <v>2.4609017900000083</v>
      </c>
      <c r="AE536" s="44" t="str">
        <f>IF(Table1[[#This Row],[Overall Effectiveness]]&lt;3.9,"Low",IF(Table1[[#This Row],[Overall Effectiveness]]&lt;4.2,"Medium","High"))</f>
        <v>Low</v>
      </c>
      <c r="AF536" s="30" t="str">
        <f t="shared" si="52"/>
        <v>Case Studies</v>
      </c>
      <c r="AG536" s="30" t="str">
        <f t="shared" si="53"/>
        <v>Lectures</v>
      </c>
      <c r="AH536" s="27">
        <f>COUNTIF(Teacher_Master!$D$2:$D$16,AF536)</f>
        <v>3</v>
      </c>
      <c r="AI536" s="30" t="str">
        <f>INDEX(Teacher_Master!$B$2:$B$16,MATCH(AF536,Teacher_Master!$D$2:$D$16,0))</f>
        <v>Prof. Rajesh Mukherjee</v>
      </c>
    </row>
    <row r="537" spans="1:35" ht="14.25" customHeight="1" x14ac:dyDescent="0.3">
      <c r="A537" s="31" t="s">
        <v>1100</v>
      </c>
      <c r="B537" s="31" t="s">
        <v>2455</v>
      </c>
      <c r="C537" s="31" t="s">
        <v>2882</v>
      </c>
      <c r="D537" s="12">
        <f t="shared" ca="1" si="48"/>
        <v>29</v>
      </c>
      <c r="E537" s="12" t="str">
        <f ca="1">IF(Table1[[#This Row],[Age]]&lt;=22,"20-22",IF(Table1[[#This Row],[Age]]&lt;=25,"23-25",IF(Table1[[#This Row],[Age]]&lt;=28,"26-28","29-30")))</f>
        <v>29-30</v>
      </c>
      <c r="F537" s="12">
        <v>4.0999999999999996</v>
      </c>
      <c r="G537" s="12">
        <v>3.91</v>
      </c>
      <c r="H537" s="12">
        <v>3.92</v>
      </c>
      <c r="I537" s="12">
        <v>3.79</v>
      </c>
      <c r="J537" s="12">
        <v>3.51</v>
      </c>
      <c r="K537" s="12">
        <v>4.04</v>
      </c>
      <c r="L537" s="12">
        <v>3.81</v>
      </c>
      <c r="M537" s="12">
        <v>4.42</v>
      </c>
      <c r="N537" s="12">
        <v>3.83</v>
      </c>
      <c r="O537" s="12">
        <v>4.3099999999999996</v>
      </c>
      <c r="P537" s="12">
        <f t="shared" si="49"/>
        <v>3.8459999999999992</v>
      </c>
      <c r="Q537" s="12">
        <f t="shared" si="50"/>
        <v>3.85</v>
      </c>
      <c r="R537" s="12">
        <f t="shared" si="51"/>
        <v>4.0819999999999999</v>
      </c>
      <c r="S537" s="28">
        <f>IFERROR(INDEX('Clean Gamification Data'!$B:$B,MATCH($B537,'Clean Gamification Data'!$A:$A,0)),"Not Found")</f>
        <v>92.572843239999997</v>
      </c>
      <c r="T537" s="28">
        <f>IFERROR(INDEX('Clean Gamification Data'!$C:$C,MATCH($B537,'Clean Gamification Data'!$A:$A,0)),"Not Found")</f>
        <v>65.477648500000001</v>
      </c>
      <c r="U537" s="28">
        <f>IFERROR(INDEX('Clean Gamification Data'!$D:$D,MATCH($B537,'Clean Gamification Data'!$A:$A,0)),"Not Found")</f>
        <v>79.778708280000004</v>
      </c>
      <c r="V537" s="28">
        <f>IFERROR(INDEX('Clean Gamification Data'!$E:$E,MATCH($B537,'Clean Gamification Data'!$A:$A,0)),"Not Found")</f>
        <v>65.366104590000006</v>
      </c>
      <c r="W537" s="28">
        <f>IFERROR(INDEX('Clean Gamification Data'!$F:$F,MATCH($B537,'Clean Gamification Data'!$A:$A,0)),"Not Found")</f>
        <v>84.368364990000003</v>
      </c>
      <c r="X537" s="28">
        <f>IFERROR(INDEX('Clean Gamification Data'!$G:$G,MATCH($B537,'Clean Gamification Data'!$A:$A,0)),"Not Found")</f>
        <v>82.938345389999995</v>
      </c>
      <c r="Y537" s="28">
        <f>IFERROR(INDEX('Clean Gamification Data'!$H:$H,MATCH($B537,'Clean Gamification Data'!$A:$A,0)),"Not Found")</f>
        <v>73.645350989999997</v>
      </c>
      <c r="Z537" s="28">
        <f>IFERROR(INDEX('Clean Gamification Data'!$I:$I,MATCH($B537,'Clean Gamification Data'!$A:$A,0)),"Not Found")</f>
        <v>51.048165019999999</v>
      </c>
      <c r="AA537" s="28">
        <f>Table1[[#This Row],[Engagement (Gamification %)]]-Table1[[#This Row],[Engagement (Non-Gamification %)]]</f>
        <v>27.095194739999997</v>
      </c>
      <c r="AB537" s="28">
        <f>Table1[[#This Row],[Motivation (Gamification %)]]-Table1[[#This Row],[Motivation (Non-Gamification %)]]</f>
        <v>14.412603689999997</v>
      </c>
      <c r="AC537" s="28">
        <f>Table1[[#This Row],[Participation (Gamification %)]]-Table1[[#This Row],[Participation (Non-Gamification %)]]</f>
        <v>1.4300196000000085</v>
      </c>
      <c r="AD537" s="28">
        <f>Table1[[#This Row],[Learning Outcomes (Gamification %)]]-Table1[[#This Row],[Learning Outcomes (Non-Gamification %)]]</f>
        <v>22.597185969999998</v>
      </c>
      <c r="AE537" s="44" t="str">
        <f>IF(Table1[[#This Row],[Overall Effectiveness]]&lt;3.9,"Low",IF(Table1[[#This Row],[Overall Effectiveness]]&lt;4.2,"Medium","High"))</f>
        <v>Low</v>
      </c>
      <c r="AF537" s="30" t="str">
        <f t="shared" si="52"/>
        <v>Lectures</v>
      </c>
      <c r="AG537" s="30" t="str">
        <f t="shared" si="53"/>
        <v>Group Projects</v>
      </c>
      <c r="AH537" s="27">
        <f>COUNTIF(Teacher_Master!$D$2:$D$16,AF537)</f>
        <v>3</v>
      </c>
      <c r="AI537" s="30" t="str">
        <f>INDEX(Teacher_Master!$B$2:$B$16,MATCH(AF537,Teacher_Master!$D$2:$D$16,0))</f>
        <v>Prof. Vikram Gupta</v>
      </c>
    </row>
    <row r="538" spans="1:35" ht="14.25" customHeight="1" x14ac:dyDescent="0.3">
      <c r="A538" s="31" t="s">
        <v>1102</v>
      </c>
      <c r="B538" s="31" t="s">
        <v>2456</v>
      </c>
      <c r="C538" s="31" t="s">
        <v>2882</v>
      </c>
      <c r="D538" s="12">
        <f t="shared" ca="1" si="48"/>
        <v>26</v>
      </c>
      <c r="E538" s="12" t="str">
        <f ca="1">IF(Table1[[#This Row],[Age]]&lt;=22,"20-22",IF(Table1[[#This Row],[Age]]&lt;=25,"23-25",IF(Table1[[#This Row],[Age]]&lt;=28,"26-28","29-30")))</f>
        <v>26-28</v>
      </c>
      <c r="F538" s="12">
        <v>4.26</v>
      </c>
      <c r="G538" s="12">
        <v>3.72</v>
      </c>
      <c r="H538" s="12">
        <v>4.03</v>
      </c>
      <c r="I538" s="12" t="s">
        <v>1104</v>
      </c>
      <c r="J538" s="12">
        <v>4.37</v>
      </c>
      <c r="K538" s="12">
        <v>4.04</v>
      </c>
      <c r="L538" s="12">
        <v>4.13</v>
      </c>
      <c r="M538" s="12">
        <v>4.57</v>
      </c>
      <c r="N538" s="12">
        <v>4.57</v>
      </c>
      <c r="O538" s="12">
        <v>4.3899999999999997</v>
      </c>
      <c r="P538" s="12">
        <f t="shared" si="49"/>
        <v>4.0950000000000006</v>
      </c>
      <c r="Q538" s="12">
        <f t="shared" si="50"/>
        <v>4.0999999999999996</v>
      </c>
      <c r="R538" s="12">
        <f t="shared" si="51"/>
        <v>4.3400000000000007</v>
      </c>
      <c r="S538" s="28">
        <f>IFERROR(INDEX('Clean Gamification Data'!$B:$B,MATCH($B538,'Clean Gamification Data'!$A:$A,0)),"Not Found")</f>
        <v>86.782063460000003</v>
      </c>
      <c r="T538" s="28">
        <f>IFERROR(INDEX('Clean Gamification Data'!$C:$C,MATCH($B538,'Clean Gamification Data'!$A:$A,0)),"Not Found")</f>
        <v>75.574199899999996</v>
      </c>
      <c r="U538" s="28">
        <f>IFERROR(INDEX('Clean Gamification Data'!$D:$D,MATCH($B538,'Clean Gamification Data'!$A:$A,0)),"Not Found")</f>
        <v>80.557557009999996</v>
      </c>
      <c r="V538" s="28">
        <f>IFERROR(INDEX('Clean Gamification Data'!$E:$E,MATCH($B538,'Clean Gamification Data'!$A:$A,0)),"Not Found")</f>
        <v>66.033556169999997</v>
      </c>
      <c r="W538" s="28">
        <f>IFERROR(INDEX('Clean Gamification Data'!$F:$F,MATCH($B538,'Clean Gamification Data'!$A:$A,0)),"Not Found")</f>
        <v>94.753472380000005</v>
      </c>
      <c r="X538" s="28">
        <f>IFERROR(INDEX('Clean Gamification Data'!$G:$G,MATCH($B538,'Clean Gamification Data'!$A:$A,0)),"Not Found")</f>
        <v>72.897872660000004</v>
      </c>
      <c r="Y538" s="28">
        <f>IFERROR(INDEX('Clean Gamification Data'!$H:$H,MATCH($B538,'Clean Gamification Data'!$A:$A,0)),"Not Found")</f>
        <v>69.162579699999995</v>
      </c>
      <c r="Z538" s="28">
        <f>IFERROR(INDEX('Clean Gamification Data'!$I:$I,MATCH($B538,'Clean Gamification Data'!$A:$A,0)),"Not Found")</f>
        <v>61.15849059</v>
      </c>
      <c r="AA538" s="28">
        <f>Table1[[#This Row],[Engagement (Gamification %)]]-Table1[[#This Row],[Engagement (Non-Gamification %)]]</f>
        <v>11.207863560000007</v>
      </c>
      <c r="AB538" s="28">
        <f>Table1[[#This Row],[Motivation (Gamification %)]]-Table1[[#This Row],[Motivation (Non-Gamification %)]]</f>
        <v>14.524000839999999</v>
      </c>
      <c r="AC538" s="28">
        <f>Table1[[#This Row],[Participation (Gamification %)]]-Table1[[#This Row],[Participation (Non-Gamification %)]]</f>
        <v>21.855599720000001</v>
      </c>
      <c r="AD538" s="28">
        <f>Table1[[#This Row],[Learning Outcomes (Gamification %)]]-Table1[[#This Row],[Learning Outcomes (Non-Gamification %)]]</f>
        <v>8.0040891099999953</v>
      </c>
      <c r="AE538" s="44" t="str">
        <f>IF(Table1[[#This Row],[Overall Effectiveness]]&lt;3.9,"Low",IF(Table1[[#This Row],[Overall Effectiveness]]&lt;4.2,"Medium","High"))</f>
        <v>Medium</v>
      </c>
      <c r="AF538" s="30" t="str">
        <f t="shared" si="52"/>
        <v>Online Tutorials</v>
      </c>
      <c r="AG538" s="30" t="str">
        <f t="shared" si="53"/>
        <v>Group Projects</v>
      </c>
      <c r="AH538" s="27">
        <f>COUNTIF(Teacher_Master!$D$2:$D$16,AF538)</f>
        <v>3</v>
      </c>
      <c r="AI538" s="30" t="str">
        <f>INDEX(Teacher_Master!$B$2:$B$16,MATCH(AF538,Teacher_Master!$D$2:$D$16,0))</f>
        <v>Prof. Kavita Rao</v>
      </c>
    </row>
    <row r="539" spans="1:35" ht="14.25" customHeight="1" x14ac:dyDescent="0.3">
      <c r="A539" s="31" t="s">
        <v>1105</v>
      </c>
      <c r="B539" s="31" t="s">
        <v>2457</v>
      </c>
      <c r="C539" s="31" t="s">
        <v>2882</v>
      </c>
      <c r="D539" s="12">
        <f t="shared" ca="1" si="48"/>
        <v>20</v>
      </c>
      <c r="E539" s="12" t="str">
        <f ca="1">IF(Table1[[#This Row],[Age]]&lt;=22,"20-22",IF(Table1[[#This Row],[Age]]&lt;=25,"23-25",IF(Table1[[#This Row],[Age]]&lt;=28,"26-28","29-30")))</f>
        <v>20-22</v>
      </c>
      <c r="F539" s="12">
        <v>3.99</v>
      </c>
      <c r="G539" s="12">
        <v>4.46</v>
      </c>
      <c r="H539" s="12">
        <v>3.72</v>
      </c>
      <c r="I539" s="12">
        <v>3.98</v>
      </c>
      <c r="J539" s="12">
        <v>3.98</v>
      </c>
      <c r="K539" s="12">
        <v>4.1500000000000004</v>
      </c>
      <c r="L539" s="12">
        <v>4.22</v>
      </c>
      <c r="M539" s="12">
        <v>3.71</v>
      </c>
      <c r="N539" s="12">
        <v>3.9</v>
      </c>
      <c r="O539" s="12">
        <v>4.5</v>
      </c>
      <c r="P539" s="12">
        <f t="shared" si="49"/>
        <v>4.0259999999999998</v>
      </c>
      <c r="Q539" s="12">
        <f t="shared" si="50"/>
        <v>4.03</v>
      </c>
      <c r="R539" s="12">
        <f t="shared" si="51"/>
        <v>4.096000000000001</v>
      </c>
      <c r="S539" s="28">
        <f>IFERROR(INDEX('Clean Gamification Data'!$B:$B,MATCH($B539,'Clean Gamification Data'!$A:$A,0)),"Not Found")</f>
        <v>96.481057620000001</v>
      </c>
      <c r="T539" s="28">
        <f>IFERROR(INDEX('Clean Gamification Data'!$C:$C,MATCH($B539,'Clean Gamification Data'!$A:$A,0)),"Not Found")</f>
        <v>72.229299280000006</v>
      </c>
      <c r="U539" s="28">
        <f>IFERROR(INDEX('Clean Gamification Data'!$D:$D,MATCH($B539,'Clean Gamification Data'!$A:$A,0)),"Not Found")</f>
        <v>83.509374359999995</v>
      </c>
      <c r="V539" s="28">
        <f>IFERROR(INDEX('Clean Gamification Data'!$E:$E,MATCH($B539,'Clean Gamification Data'!$A:$A,0)),"Not Found")</f>
        <v>68.820404699999997</v>
      </c>
      <c r="W539" s="28">
        <f>IFERROR(INDEX('Clean Gamification Data'!$F:$F,MATCH($B539,'Clean Gamification Data'!$A:$A,0)),"Not Found")</f>
        <v>90.329737609999995</v>
      </c>
      <c r="X539" s="28">
        <f>IFERROR(INDEX('Clean Gamification Data'!$G:$G,MATCH($B539,'Clean Gamification Data'!$A:$A,0)),"Not Found")</f>
        <v>85</v>
      </c>
      <c r="Y539" s="28">
        <f>IFERROR(INDEX('Clean Gamification Data'!$H:$H,MATCH($B539,'Clean Gamification Data'!$A:$A,0)),"Not Found")</f>
        <v>73.675025579999996</v>
      </c>
      <c r="Z539" s="28">
        <f>IFERROR(INDEX('Clean Gamification Data'!$I:$I,MATCH($B539,'Clean Gamification Data'!$A:$A,0)),"Not Found")</f>
        <v>63.199377519999999</v>
      </c>
      <c r="AA539" s="28">
        <f>Table1[[#This Row],[Engagement (Gamification %)]]-Table1[[#This Row],[Engagement (Non-Gamification %)]]</f>
        <v>24.251758339999995</v>
      </c>
      <c r="AB539" s="28">
        <f>Table1[[#This Row],[Motivation (Gamification %)]]-Table1[[#This Row],[Motivation (Non-Gamification %)]]</f>
        <v>14.688969659999998</v>
      </c>
      <c r="AC539" s="28">
        <f>Table1[[#This Row],[Participation (Gamification %)]]-Table1[[#This Row],[Participation (Non-Gamification %)]]</f>
        <v>5.3297376099999951</v>
      </c>
      <c r="AD539" s="28">
        <f>Table1[[#This Row],[Learning Outcomes (Gamification %)]]-Table1[[#This Row],[Learning Outcomes (Non-Gamification %)]]</f>
        <v>10.475648059999997</v>
      </c>
      <c r="AE539" s="44" t="str">
        <f>IF(Table1[[#This Row],[Overall Effectiveness]]&lt;3.9,"Low",IF(Table1[[#This Row],[Overall Effectiveness]]&lt;4.2,"Medium","High"))</f>
        <v>Medium</v>
      </c>
      <c r="AF539" s="30" t="str">
        <f t="shared" si="52"/>
        <v>Case Studies</v>
      </c>
      <c r="AG539" s="30" t="str">
        <f t="shared" si="53"/>
        <v>Online Tutorials</v>
      </c>
      <c r="AH539" s="27">
        <f>COUNTIF(Teacher_Master!$D$2:$D$16,AF539)</f>
        <v>3</v>
      </c>
      <c r="AI539" s="30" t="str">
        <f>INDEX(Teacher_Master!$B$2:$B$16,MATCH(AF539,Teacher_Master!$D$2:$D$16,0))</f>
        <v>Prof. Rajesh Mukherjee</v>
      </c>
    </row>
    <row r="540" spans="1:35" ht="14.25" customHeight="1" x14ac:dyDescent="0.3">
      <c r="A540" s="31" t="s">
        <v>1107</v>
      </c>
      <c r="B540" s="31" t="s">
        <v>2458</v>
      </c>
      <c r="C540" s="31" t="s">
        <v>2882</v>
      </c>
      <c r="D540" s="12">
        <f t="shared" ca="1" si="48"/>
        <v>22</v>
      </c>
      <c r="E540" s="12" t="str">
        <f ca="1">IF(Table1[[#This Row],[Age]]&lt;=22,"20-22",IF(Table1[[#This Row],[Age]]&lt;=25,"23-25",IF(Table1[[#This Row],[Age]]&lt;=28,"26-28","29-30")))</f>
        <v>20-22</v>
      </c>
      <c r="F540" s="12">
        <v>3.84</v>
      </c>
      <c r="G540" s="12">
        <v>4.17</v>
      </c>
      <c r="H540" s="12">
        <v>3.57</v>
      </c>
      <c r="I540" s="12">
        <v>4</v>
      </c>
      <c r="J540" s="12">
        <v>3.42</v>
      </c>
      <c r="K540" s="12">
        <v>3.86</v>
      </c>
      <c r="L540" s="12">
        <v>3.78</v>
      </c>
      <c r="M540" s="12">
        <v>3.77</v>
      </c>
      <c r="N540" s="12">
        <v>4.2</v>
      </c>
      <c r="O540" s="12">
        <v>4.4000000000000004</v>
      </c>
      <c r="P540" s="12">
        <f t="shared" si="49"/>
        <v>3.8</v>
      </c>
      <c r="Q540" s="12">
        <f t="shared" si="50"/>
        <v>3.8</v>
      </c>
      <c r="R540" s="12">
        <f t="shared" si="51"/>
        <v>4.0019999999999998</v>
      </c>
      <c r="S540" s="28">
        <f>IFERROR(INDEX('Clean Gamification Data'!$B:$B,MATCH($B540,'Clean Gamification Data'!$A:$A,0)),"Not Found")</f>
        <v>75.483530139999999</v>
      </c>
      <c r="T540" s="28">
        <f>IFERROR(INDEX('Clean Gamification Data'!$C:$C,MATCH($B540,'Clean Gamification Data'!$A:$A,0)),"Not Found")</f>
        <v>76.846482829999999</v>
      </c>
      <c r="U540" s="28">
        <f>IFERROR(INDEX('Clean Gamification Data'!$D:$D,MATCH($B540,'Clean Gamification Data'!$A:$A,0)),"Not Found")</f>
        <v>71.925094000000001</v>
      </c>
      <c r="V540" s="28">
        <f>IFERROR(INDEX('Clean Gamification Data'!$E:$E,MATCH($B540,'Clean Gamification Data'!$A:$A,0)),"Not Found")</f>
        <v>72.87328316</v>
      </c>
      <c r="W540" s="28">
        <f>IFERROR(INDEX('Clean Gamification Data'!$F:$F,MATCH($B540,'Clean Gamification Data'!$A:$A,0)),"Not Found")</f>
        <v>80</v>
      </c>
      <c r="X540" s="28">
        <f>IFERROR(INDEX('Clean Gamification Data'!$G:$G,MATCH($B540,'Clean Gamification Data'!$A:$A,0)),"Not Found")</f>
        <v>76.245537510000005</v>
      </c>
      <c r="Y540" s="28">
        <f>IFERROR(INDEX('Clean Gamification Data'!$H:$H,MATCH($B540,'Clean Gamification Data'!$A:$A,0)),"Not Found")</f>
        <v>67.014187000000007</v>
      </c>
      <c r="Z540" s="28">
        <f>IFERROR(INDEX('Clean Gamification Data'!$I:$I,MATCH($B540,'Clean Gamification Data'!$A:$A,0)),"Not Found")</f>
        <v>61.972584859999998</v>
      </c>
      <c r="AA540" s="28">
        <f>Table1[[#This Row],[Engagement (Gamification %)]]-Table1[[#This Row],[Engagement (Non-Gamification %)]]</f>
        <v>-1.3629526900000002</v>
      </c>
      <c r="AB540" s="28">
        <f>Table1[[#This Row],[Motivation (Gamification %)]]-Table1[[#This Row],[Motivation (Non-Gamification %)]]</f>
        <v>-0.94818915999999831</v>
      </c>
      <c r="AC540" s="28">
        <f>Table1[[#This Row],[Participation (Gamification %)]]-Table1[[#This Row],[Participation (Non-Gamification %)]]</f>
        <v>3.7544624899999945</v>
      </c>
      <c r="AD540" s="28">
        <f>Table1[[#This Row],[Learning Outcomes (Gamification %)]]-Table1[[#This Row],[Learning Outcomes (Non-Gamification %)]]</f>
        <v>5.0416021400000091</v>
      </c>
      <c r="AE540" s="44" t="str">
        <f>IF(Table1[[#This Row],[Overall Effectiveness]]&lt;3.9,"Low",IF(Table1[[#This Row],[Overall Effectiveness]]&lt;4.2,"Medium","High"))</f>
        <v>Low</v>
      </c>
      <c r="AF540" s="30" t="str">
        <f t="shared" si="52"/>
        <v>Case Studies</v>
      </c>
      <c r="AG540" s="30" t="str">
        <f t="shared" si="53"/>
        <v>Online Tutorials</v>
      </c>
      <c r="AH540" s="27">
        <f>COUNTIF(Teacher_Master!$D$2:$D$16,AF540)</f>
        <v>3</v>
      </c>
      <c r="AI540" s="30" t="str">
        <f>INDEX(Teacher_Master!$B$2:$B$16,MATCH(AF540,Teacher_Master!$D$2:$D$16,0))</f>
        <v>Prof. Rajesh Mukherjee</v>
      </c>
    </row>
    <row r="541" spans="1:35" ht="14.25" customHeight="1" x14ac:dyDescent="0.3">
      <c r="A541" s="31" t="s">
        <v>1109</v>
      </c>
      <c r="B541" s="31" t="s">
        <v>2459</v>
      </c>
      <c r="C541" s="31" t="s">
        <v>2881</v>
      </c>
      <c r="D541" s="12">
        <f t="shared" ca="1" si="48"/>
        <v>27</v>
      </c>
      <c r="E541" s="12" t="str">
        <f ca="1">IF(Table1[[#This Row],[Age]]&lt;=22,"20-22",IF(Table1[[#This Row],[Age]]&lt;=25,"23-25",IF(Table1[[#This Row],[Age]]&lt;=28,"26-28","29-30")))</f>
        <v>26-28</v>
      </c>
      <c r="F541" s="12">
        <v>4.41</v>
      </c>
      <c r="G541" s="12">
        <v>3.9</v>
      </c>
      <c r="H541" s="12" t="s">
        <v>211</v>
      </c>
      <c r="I541" s="12">
        <v>3.69</v>
      </c>
      <c r="J541" s="12">
        <v>3.67</v>
      </c>
      <c r="K541" s="12">
        <v>4.22</v>
      </c>
      <c r="L541" s="12">
        <v>3.78</v>
      </c>
      <c r="M541" s="12">
        <v>3.77</v>
      </c>
      <c r="N541" s="12">
        <v>3.93</v>
      </c>
      <c r="O541" s="12">
        <v>4.1900000000000004</v>
      </c>
      <c r="P541" s="12">
        <f t="shared" si="49"/>
        <v>3.9175</v>
      </c>
      <c r="Q541" s="12">
        <f t="shared" si="50"/>
        <v>3.92</v>
      </c>
      <c r="R541" s="12">
        <f t="shared" si="51"/>
        <v>3.9780000000000002</v>
      </c>
      <c r="S541" s="28">
        <f>IFERROR(INDEX('Clean Gamification Data'!$B:$B,MATCH($B541,'Clean Gamification Data'!$A:$A,0)),"Not Found")</f>
        <v>90.547551920000004</v>
      </c>
      <c r="T541" s="28">
        <f>IFERROR(INDEX('Clean Gamification Data'!$C:$C,MATCH($B541,'Clean Gamification Data'!$A:$A,0)),"Not Found")</f>
        <v>67.083830809999995</v>
      </c>
      <c r="U541" s="28">
        <f>IFERROR(INDEX('Clean Gamification Data'!$D:$D,MATCH($B541,'Clean Gamification Data'!$A:$A,0)),"Not Found")</f>
        <v>77.206031179999997</v>
      </c>
      <c r="V541" s="28">
        <f>IFERROR(INDEX('Clean Gamification Data'!$E:$E,MATCH($B541,'Clean Gamification Data'!$A:$A,0)),"Not Found")</f>
        <v>58.005924219999997</v>
      </c>
      <c r="W541" s="28">
        <f>IFERROR(INDEX('Clean Gamification Data'!$F:$F,MATCH($B541,'Clean Gamification Data'!$A:$A,0)),"Not Found")</f>
        <v>99.044630810000001</v>
      </c>
      <c r="X541" s="28">
        <f>IFERROR(INDEX('Clean Gamification Data'!$G:$G,MATCH($B541,'Clean Gamification Data'!$A:$A,0)),"Not Found")</f>
        <v>74.456819879999998</v>
      </c>
      <c r="Y541" s="28">
        <f>IFERROR(INDEX('Clean Gamification Data'!$H:$H,MATCH($B541,'Clean Gamification Data'!$A:$A,0)),"Not Found")</f>
        <v>75.186835299999998</v>
      </c>
      <c r="Z541" s="28">
        <f>IFERROR(INDEX('Clean Gamification Data'!$I:$I,MATCH($B541,'Clean Gamification Data'!$A:$A,0)),"Not Found")</f>
        <v>52.851694379999998</v>
      </c>
      <c r="AA541" s="28">
        <f>Table1[[#This Row],[Engagement (Gamification %)]]-Table1[[#This Row],[Engagement (Non-Gamification %)]]</f>
        <v>23.463721110000009</v>
      </c>
      <c r="AB541" s="28">
        <f>Table1[[#This Row],[Motivation (Gamification %)]]-Table1[[#This Row],[Motivation (Non-Gamification %)]]</f>
        <v>19.200106959999999</v>
      </c>
      <c r="AC541" s="28">
        <f>Table1[[#This Row],[Participation (Gamification %)]]-Table1[[#This Row],[Participation (Non-Gamification %)]]</f>
        <v>24.587810930000003</v>
      </c>
      <c r="AD541" s="28">
        <f>Table1[[#This Row],[Learning Outcomes (Gamification %)]]-Table1[[#This Row],[Learning Outcomes (Non-Gamification %)]]</f>
        <v>22.335140920000001</v>
      </c>
      <c r="AE541" s="44" t="str">
        <f>IF(Table1[[#This Row],[Overall Effectiveness]]&lt;3.9,"Low",IF(Table1[[#This Row],[Overall Effectiveness]]&lt;4.2,"Medium","High"))</f>
        <v>Medium</v>
      </c>
      <c r="AF541" s="30" t="str">
        <f t="shared" si="52"/>
        <v>Lectures</v>
      </c>
      <c r="AG541" s="30" t="str">
        <f t="shared" si="53"/>
        <v>Lectures</v>
      </c>
      <c r="AH541" s="27">
        <f>COUNTIF(Teacher_Master!$D$2:$D$16,AF541)</f>
        <v>3</v>
      </c>
      <c r="AI541" s="30" t="str">
        <f>INDEX(Teacher_Master!$B$2:$B$16,MATCH(AF541,Teacher_Master!$D$2:$D$16,0))</f>
        <v>Prof. Vikram Gupta</v>
      </c>
    </row>
    <row r="542" spans="1:35" ht="14.25" customHeight="1" x14ac:dyDescent="0.3">
      <c r="A542" s="31" t="s">
        <v>1111</v>
      </c>
      <c r="B542" s="31" t="s">
        <v>2460</v>
      </c>
      <c r="C542" s="31" t="s">
        <v>2881</v>
      </c>
      <c r="D542" s="12">
        <f t="shared" ca="1" si="48"/>
        <v>30</v>
      </c>
      <c r="E542" s="12" t="str">
        <f ca="1">IF(Table1[[#This Row],[Age]]&lt;=22,"20-22",IF(Table1[[#This Row],[Age]]&lt;=25,"23-25",IF(Table1[[#This Row],[Age]]&lt;=28,"26-28","29-30")))</f>
        <v>29-30</v>
      </c>
      <c r="F542" s="12">
        <v>4.2300000000000004</v>
      </c>
      <c r="G542" s="12">
        <v>3.78</v>
      </c>
      <c r="H542" s="12">
        <v>4.5</v>
      </c>
      <c r="I542" s="12">
        <v>3.51</v>
      </c>
      <c r="J542" s="12">
        <v>3.64</v>
      </c>
      <c r="K542" s="12">
        <v>3.59</v>
      </c>
      <c r="L542" s="12">
        <v>4.0199999999999996</v>
      </c>
      <c r="M542" s="12">
        <v>4.3099999999999996</v>
      </c>
      <c r="N542" s="12">
        <v>4.3099999999999996</v>
      </c>
      <c r="O542" s="12">
        <v>4.46</v>
      </c>
      <c r="P542" s="12">
        <f t="shared" si="49"/>
        <v>3.9319999999999999</v>
      </c>
      <c r="Q542" s="12">
        <f t="shared" si="50"/>
        <v>3.93</v>
      </c>
      <c r="R542" s="12">
        <f t="shared" si="51"/>
        <v>4.1379999999999999</v>
      </c>
      <c r="S542" s="28">
        <f>IFERROR(INDEX('Clean Gamification Data'!$B:$B,MATCH($B542,'Clean Gamification Data'!$A:$A,0)),"Not Found")</f>
        <v>83.220042829999997</v>
      </c>
      <c r="T542" s="28">
        <f>IFERROR(INDEX('Clean Gamification Data'!$C:$C,MATCH($B542,'Clean Gamification Data'!$A:$A,0)),"Not Found")</f>
        <v>77.260278279999994</v>
      </c>
      <c r="U542" s="28">
        <f>IFERROR(INDEX('Clean Gamification Data'!$D:$D,MATCH($B542,'Clean Gamification Data'!$A:$A,0)),"Not Found")</f>
        <v>87.664020140000005</v>
      </c>
      <c r="V542" s="28">
        <f>IFERROR(INDEX('Clean Gamification Data'!$E:$E,MATCH($B542,'Clean Gamification Data'!$A:$A,0)),"Not Found")</f>
        <v>69.201823070000003</v>
      </c>
      <c r="W542" s="28">
        <f>IFERROR(INDEX('Clean Gamification Data'!$F:$F,MATCH($B542,'Clean Gamification Data'!$A:$A,0)),"Not Found")</f>
        <v>94.941491119999995</v>
      </c>
      <c r="X542" s="28">
        <f>IFERROR(INDEX('Clean Gamification Data'!$G:$G,MATCH($B542,'Clean Gamification Data'!$A:$A,0)),"Not Found")</f>
        <v>74.073839289999995</v>
      </c>
      <c r="Y542" s="28">
        <f>IFERROR(INDEX('Clean Gamification Data'!$H:$H,MATCH($B542,'Clean Gamification Data'!$A:$A,0)),"Not Found")</f>
        <v>73.713228099999995</v>
      </c>
      <c r="Z542" s="28">
        <f>IFERROR(INDEX('Clean Gamification Data'!$I:$I,MATCH($B542,'Clean Gamification Data'!$A:$A,0)),"Not Found")</f>
        <v>70</v>
      </c>
      <c r="AA542" s="28">
        <f>Table1[[#This Row],[Engagement (Gamification %)]]-Table1[[#This Row],[Engagement (Non-Gamification %)]]</f>
        <v>5.9597645500000027</v>
      </c>
      <c r="AB542" s="28">
        <f>Table1[[#This Row],[Motivation (Gamification %)]]-Table1[[#This Row],[Motivation (Non-Gamification %)]]</f>
        <v>18.462197070000002</v>
      </c>
      <c r="AC542" s="28">
        <f>Table1[[#This Row],[Participation (Gamification %)]]-Table1[[#This Row],[Participation (Non-Gamification %)]]</f>
        <v>20.86765183</v>
      </c>
      <c r="AD542" s="28">
        <f>Table1[[#This Row],[Learning Outcomes (Gamification %)]]-Table1[[#This Row],[Learning Outcomes (Non-Gamification %)]]</f>
        <v>3.7132280999999949</v>
      </c>
      <c r="AE542" s="44" t="str">
        <f>IF(Table1[[#This Row],[Overall Effectiveness]]&lt;3.9,"Low",IF(Table1[[#This Row],[Overall Effectiveness]]&lt;4.2,"Medium","High"))</f>
        <v>Medium</v>
      </c>
      <c r="AF542" s="30" t="str">
        <f t="shared" si="52"/>
        <v>Group Projects</v>
      </c>
      <c r="AG542" s="30" t="str">
        <f t="shared" si="53"/>
        <v>Online Tutorials</v>
      </c>
      <c r="AH542" s="27">
        <f>COUNTIF(Teacher_Master!$D$2:$D$16,AF542)</f>
        <v>3</v>
      </c>
      <c r="AI542" s="30" t="str">
        <f>INDEX(Teacher_Master!$B$2:$B$16,MATCH(AF542,Teacher_Master!$D$2:$D$16,0))</f>
        <v>Dr. Rohan Dutta</v>
      </c>
    </row>
    <row r="543" spans="1:35" ht="14.25" customHeight="1" x14ac:dyDescent="0.3">
      <c r="A543" s="31" t="s">
        <v>1113</v>
      </c>
      <c r="B543" s="31" t="s">
        <v>2461</v>
      </c>
      <c r="C543" s="31" t="s">
        <v>2881</v>
      </c>
      <c r="D543" s="12">
        <f t="shared" ca="1" si="48"/>
        <v>25</v>
      </c>
      <c r="E543" s="12" t="str">
        <f ca="1">IF(Table1[[#This Row],[Age]]&lt;=22,"20-22",IF(Table1[[#This Row],[Age]]&lt;=25,"23-25",IF(Table1[[#This Row],[Age]]&lt;=28,"26-28","29-30")))</f>
        <v>23-25</v>
      </c>
      <c r="F543" s="12">
        <v>4.09</v>
      </c>
      <c r="G543" s="12">
        <v>4.1100000000000003</v>
      </c>
      <c r="H543" s="12">
        <v>4.13</v>
      </c>
      <c r="I543" s="12">
        <v>3.79</v>
      </c>
      <c r="J543" s="12">
        <v>3.07</v>
      </c>
      <c r="K543" s="12">
        <v>4.1399999999999997</v>
      </c>
      <c r="L543" s="12">
        <v>3.44</v>
      </c>
      <c r="M543" s="12">
        <v>4.38</v>
      </c>
      <c r="N543" s="12">
        <v>4.13</v>
      </c>
      <c r="O543" s="12">
        <v>4.29</v>
      </c>
      <c r="P543" s="12">
        <f t="shared" si="49"/>
        <v>3.8379999999999996</v>
      </c>
      <c r="Q543" s="12">
        <f t="shared" si="50"/>
        <v>3.84</v>
      </c>
      <c r="R543" s="12">
        <f t="shared" si="51"/>
        <v>4.0759999999999996</v>
      </c>
      <c r="S543" s="28">
        <f>IFERROR(INDEX('Clean Gamification Data'!$B:$B,MATCH($B543,'Clean Gamification Data'!$A:$A,0)),"Not Found")</f>
        <v>83.606777890000004</v>
      </c>
      <c r="T543" s="28">
        <f>IFERROR(INDEX('Clean Gamification Data'!$C:$C,MATCH($B543,'Clean Gamification Data'!$A:$A,0)),"Not Found")</f>
        <v>66.882201670000001</v>
      </c>
      <c r="U543" s="28">
        <f>IFERROR(INDEX('Clean Gamification Data'!$D:$D,MATCH($B543,'Clean Gamification Data'!$A:$A,0)),"Not Found")</f>
        <v>70</v>
      </c>
      <c r="V543" s="28">
        <f>IFERROR(INDEX('Clean Gamification Data'!$E:$E,MATCH($B543,'Clean Gamification Data'!$A:$A,0)),"Not Found")</f>
        <v>70.091638340000003</v>
      </c>
      <c r="W543" s="28">
        <f>IFERROR(INDEX('Clean Gamification Data'!$F:$F,MATCH($B543,'Clean Gamification Data'!$A:$A,0)),"Not Found")</f>
        <v>91.846214930000002</v>
      </c>
      <c r="X543" s="28">
        <f>IFERROR(INDEX('Clean Gamification Data'!$G:$G,MATCH($B543,'Clean Gamification Data'!$A:$A,0)),"Not Found")</f>
        <v>67.905339990000002</v>
      </c>
      <c r="Y543" s="28">
        <f>IFERROR(INDEX('Clean Gamification Data'!$H:$H,MATCH($B543,'Clean Gamification Data'!$A:$A,0)),"Not Found")</f>
        <v>69.065833339999998</v>
      </c>
      <c r="Z543" s="28">
        <f>IFERROR(INDEX('Clean Gamification Data'!$I:$I,MATCH($B543,'Clean Gamification Data'!$A:$A,0)),"Not Found")</f>
        <v>64.538094090000001</v>
      </c>
      <c r="AA543" s="28">
        <f>Table1[[#This Row],[Engagement (Gamification %)]]-Table1[[#This Row],[Engagement (Non-Gamification %)]]</f>
        <v>16.724576220000003</v>
      </c>
      <c r="AB543" s="28">
        <f>Table1[[#This Row],[Motivation (Gamification %)]]-Table1[[#This Row],[Motivation (Non-Gamification %)]]</f>
        <v>-9.1638340000002927E-2</v>
      </c>
      <c r="AC543" s="28">
        <f>Table1[[#This Row],[Participation (Gamification %)]]-Table1[[#This Row],[Participation (Non-Gamification %)]]</f>
        <v>23.94087494</v>
      </c>
      <c r="AD543" s="28">
        <f>Table1[[#This Row],[Learning Outcomes (Gamification %)]]-Table1[[#This Row],[Learning Outcomes (Non-Gamification %)]]</f>
        <v>4.5277392499999962</v>
      </c>
      <c r="AE543" s="44" t="str">
        <f>IF(Table1[[#This Row],[Overall Effectiveness]]&lt;3.9,"Low",IF(Table1[[#This Row],[Overall Effectiveness]]&lt;4.2,"Medium","High"))</f>
        <v>Low</v>
      </c>
      <c r="AF543" s="30" t="str">
        <f t="shared" si="52"/>
        <v>Group Projects</v>
      </c>
      <c r="AG543" s="30" t="str">
        <f t="shared" si="53"/>
        <v>Group Projects</v>
      </c>
      <c r="AH543" s="27">
        <f>COUNTIF(Teacher_Master!$D$2:$D$16,AF543)</f>
        <v>3</v>
      </c>
      <c r="AI543" s="30" t="str">
        <f>INDEX(Teacher_Master!$B$2:$B$16,MATCH(AF543,Teacher_Master!$D$2:$D$16,0))</f>
        <v>Dr. Rohan Dutta</v>
      </c>
    </row>
    <row r="544" spans="1:35" ht="14.25" customHeight="1" x14ac:dyDescent="0.3">
      <c r="A544" s="31" t="s">
        <v>1115</v>
      </c>
      <c r="B544" s="31" t="s">
        <v>2462</v>
      </c>
      <c r="C544" s="31" t="s">
        <v>2881</v>
      </c>
      <c r="D544" s="12">
        <f t="shared" ca="1" si="48"/>
        <v>28</v>
      </c>
      <c r="E544" s="12" t="str">
        <f ca="1">IF(Table1[[#This Row],[Age]]&lt;=22,"20-22",IF(Table1[[#This Row],[Age]]&lt;=25,"23-25",IF(Table1[[#This Row],[Age]]&lt;=28,"26-28","29-30")))</f>
        <v>26-28</v>
      </c>
      <c r="F544" s="12">
        <v>4.1100000000000003</v>
      </c>
      <c r="G544" s="12">
        <v>3.8</v>
      </c>
      <c r="H544" s="12">
        <v>3.61</v>
      </c>
      <c r="I544" s="12">
        <v>3.91</v>
      </c>
      <c r="J544" s="12">
        <v>4.54</v>
      </c>
      <c r="K544" s="12">
        <v>4.18</v>
      </c>
      <c r="L544" s="12">
        <v>4.07</v>
      </c>
      <c r="M544" s="12">
        <v>3.94</v>
      </c>
      <c r="N544" s="12">
        <v>4.2699999999999996</v>
      </c>
      <c r="O544" s="12">
        <v>3.88</v>
      </c>
      <c r="P544" s="12">
        <f t="shared" si="49"/>
        <v>3.9939999999999998</v>
      </c>
      <c r="Q544" s="12">
        <f t="shared" si="50"/>
        <v>3.99</v>
      </c>
      <c r="R544" s="12">
        <f t="shared" si="51"/>
        <v>4.0679999999999996</v>
      </c>
      <c r="S544" s="28">
        <f>IFERROR(INDEX('Clean Gamification Data'!$B:$B,MATCH($B544,'Clean Gamification Data'!$A:$A,0)),"Not Found")</f>
        <v>86.749635249999997</v>
      </c>
      <c r="T544" s="28">
        <f>IFERROR(INDEX('Clean Gamification Data'!$C:$C,MATCH($B544,'Clean Gamification Data'!$A:$A,0)),"Not Found")</f>
        <v>64.205583489999995</v>
      </c>
      <c r="U544" s="28">
        <f>IFERROR(INDEX('Clean Gamification Data'!$D:$D,MATCH($B544,'Clean Gamification Data'!$A:$A,0)),"Not Found")</f>
        <v>75.923067169999996</v>
      </c>
      <c r="V544" s="28">
        <f>IFERROR(INDEX('Clean Gamification Data'!$E:$E,MATCH($B544,'Clean Gamification Data'!$A:$A,0)),"Not Found")</f>
        <v>68.331318929999995</v>
      </c>
      <c r="W544" s="28">
        <f>IFERROR(INDEX('Clean Gamification Data'!$F:$F,MATCH($B544,'Clean Gamification Data'!$A:$A,0)),"Not Found")</f>
        <v>89.291966860000002</v>
      </c>
      <c r="X544" s="28">
        <f>IFERROR(INDEX('Clean Gamification Data'!$G:$G,MATCH($B544,'Clean Gamification Data'!$A:$A,0)),"Not Found")</f>
        <v>78.059526039999994</v>
      </c>
      <c r="Y544" s="28">
        <f>IFERROR(INDEX('Clean Gamification Data'!$H:$H,MATCH($B544,'Clean Gamification Data'!$A:$A,0)),"Not Found")</f>
        <v>65.732819550000002</v>
      </c>
      <c r="Z544" s="28">
        <f>IFERROR(INDEX('Clean Gamification Data'!$I:$I,MATCH($B544,'Clean Gamification Data'!$A:$A,0)),"Not Found")</f>
        <v>62.468846370000001</v>
      </c>
      <c r="AA544" s="28">
        <f>Table1[[#This Row],[Engagement (Gamification %)]]-Table1[[#This Row],[Engagement (Non-Gamification %)]]</f>
        <v>22.544051760000002</v>
      </c>
      <c r="AB544" s="28">
        <f>Table1[[#This Row],[Motivation (Gamification %)]]-Table1[[#This Row],[Motivation (Non-Gamification %)]]</f>
        <v>7.5917482400000011</v>
      </c>
      <c r="AC544" s="28">
        <f>Table1[[#This Row],[Participation (Gamification %)]]-Table1[[#This Row],[Participation (Non-Gamification %)]]</f>
        <v>11.232440820000008</v>
      </c>
      <c r="AD544" s="28">
        <f>Table1[[#This Row],[Learning Outcomes (Gamification %)]]-Table1[[#This Row],[Learning Outcomes (Non-Gamification %)]]</f>
        <v>3.2639731800000007</v>
      </c>
      <c r="AE544" s="44" t="str">
        <f>IF(Table1[[#This Row],[Overall Effectiveness]]&lt;3.9,"Low",IF(Table1[[#This Row],[Overall Effectiveness]]&lt;4.2,"Medium","High"))</f>
        <v>Medium</v>
      </c>
      <c r="AF544" s="30" t="str">
        <f t="shared" si="52"/>
        <v>Online Tutorials</v>
      </c>
      <c r="AG544" s="30" t="str">
        <f t="shared" si="53"/>
        <v>Experiments</v>
      </c>
      <c r="AH544" s="27">
        <f>COUNTIF(Teacher_Master!$D$2:$D$16,AF544)</f>
        <v>3</v>
      </c>
      <c r="AI544" s="30" t="str">
        <f>INDEX(Teacher_Master!$B$2:$B$16,MATCH(AF544,Teacher_Master!$D$2:$D$16,0))</f>
        <v>Prof. Kavita Rao</v>
      </c>
    </row>
    <row r="545" spans="1:35" ht="14.25" customHeight="1" x14ac:dyDescent="0.3">
      <c r="A545" s="31" t="s">
        <v>1117</v>
      </c>
      <c r="B545" s="31" t="s">
        <v>2463</v>
      </c>
      <c r="C545" s="31" t="s">
        <v>2881</v>
      </c>
      <c r="D545" s="12">
        <f t="shared" ca="1" si="48"/>
        <v>28</v>
      </c>
      <c r="E545" s="12" t="str">
        <f ca="1">IF(Table1[[#This Row],[Age]]&lt;=22,"20-22",IF(Table1[[#This Row],[Age]]&lt;=25,"23-25",IF(Table1[[#This Row],[Age]]&lt;=28,"26-28","29-30")))</f>
        <v>26-28</v>
      </c>
      <c r="F545" s="12">
        <v>4.32</v>
      </c>
      <c r="G545" s="12">
        <v>3.86</v>
      </c>
      <c r="H545" s="12">
        <v>3.74</v>
      </c>
      <c r="I545" s="12" t="s">
        <v>211</v>
      </c>
      <c r="J545" s="12">
        <v>4.7</v>
      </c>
      <c r="K545" s="12">
        <v>4.46</v>
      </c>
      <c r="L545" s="12">
        <v>4.0199999999999996</v>
      </c>
      <c r="M545" s="12">
        <v>3.88</v>
      </c>
      <c r="N545" s="12" t="s">
        <v>211</v>
      </c>
      <c r="O545" s="12">
        <v>4.3899999999999997</v>
      </c>
      <c r="P545" s="12">
        <f t="shared" si="49"/>
        <v>4.1550000000000002</v>
      </c>
      <c r="Q545" s="12">
        <f t="shared" si="50"/>
        <v>4.16</v>
      </c>
      <c r="R545" s="12">
        <f t="shared" si="51"/>
        <v>4.1875</v>
      </c>
      <c r="S545" s="28">
        <f>IFERROR(INDEX('Clean Gamification Data'!$B:$B,MATCH($B545,'Clean Gamification Data'!$A:$A,0)),"Not Found")</f>
        <v>89.857274309999994</v>
      </c>
      <c r="T545" s="28">
        <f>IFERROR(INDEX('Clean Gamification Data'!$C:$C,MATCH($B545,'Clean Gamification Data'!$A:$A,0)),"Not Found")</f>
        <v>65.674374830000005</v>
      </c>
      <c r="U545" s="28">
        <f>IFERROR(INDEX('Clean Gamification Data'!$D:$D,MATCH($B545,'Clean Gamification Data'!$A:$A,0)),"Not Found")</f>
        <v>70</v>
      </c>
      <c r="V545" s="28">
        <f>IFERROR(INDEX('Clean Gamification Data'!$E:$E,MATCH($B545,'Clean Gamification Data'!$A:$A,0)),"Not Found")</f>
        <v>69.946247709999994</v>
      </c>
      <c r="W545" s="28">
        <f>IFERROR(INDEX('Clean Gamification Data'!$F:$F,MATCH($B545,'Clean Gamification Data'!$A:$A,0)),"Not Found")</f>
        <v>86.064974879999994</v>
      </c>
      <c r="X545" s="28">
        <f>IFERROR(INDEX('Clean Gamification Data'!$G:$G,MATCH($B545,'Clean Gamification Data'!$A:$A,0)),"Not Found")</f>
        <v>82.761498000000003</v>
      </c>
      <c r="Y545" s="28">
        <f>IFERROR(INDEX('Clean Gamification Data'!$H:$H,MATCH($B545,'Clean Gamification Data'!$A:$A,0)),"Not Found")</f>
        <v>80.538755289999997</v>
      </c>
      <c r="Z545" s="28">
        <f>IFERROR(INDEX('Clean Gamification Data'!$I:$I,MATCH($B545,'Clean Gamification Data'!$A:$A,0)),"Not Found")</f>
        <v>66.7595101</v>
      </c>
      <c r="AA545" s="28">
        <f>Table1[[#This Row],[Engagement (Gamification %)]]-Table1[[#This Row],[Engagement (Non-Gamification %)]]</f>
        <v>24.182899479999989</v>
      </c>
      <c r="AB545" s="28">
        <f>Table1[[#This Row],[Motivation (Gamification %)]]-Table1[[#This Row],[Motivation (Non-Gamification %)]]</f>
        <v>5.3752290000005587E-2</v>
      </c>
      <c r="AC545" s="28">
        <f>Table1[[#This Row],[Participation (Gamification %)]]-Table1[[#This Row],[Participation (Non-Gamification %)]]</f>
        <v>3.303476879999991</v>
      </c>
      <c r="AD545" s="28">
        <f>Table1[[#This Row],[Learning Outcomes (Gamification %)]]-Table1[[#This Row],[Learning Outcomes (Non-Gamification %)]]</f>
        <v>13.779245189999997</v>
      </c>
      <c r="AE545" s="44" t="str">
        <f>IF(Table1[[#This Row],[Overall Effectiveness]]&lt;3.9,"Low",IF(Table1[[#This Row],[Overall Effectiveness]]&lt;4.2,"Medium","High"))</f>
        <v>Medium</v>
      </c>
      <c r="AF545" s="30" t="str">
        <f t="shared" si="52"/>
        <v>Online Tutorials</v>
      </c>
      <c r="AG545" s="30" t="str">
        <f t="shared" si="53"/>
        <v>Lectures</v>
      </c>
      <c r="AH545" s="27">
        <f>COUNTIF(Teacher_Master!$D$2:$D$16,AF545)</f>
        <v>3</v>
      </c>
      <c r="AI545" s="30" t="str">
        <f>INDEX(Teacher_Master!$B$2:$B$16,MATCH(AF545,Teacher_Master!$D$2:$D$16,0))</f>
        <v>Prof. Kavita Rao</v>
      </c>
    </row>
    <row r="546" spans="1:35" ht="14.25" customHeight="1" x14ac:dyDescent="0.3">
      <c r="A546" s="31" t="s">
        <v>1119</v>
      </c>
      <c r="B546" s="31" t="s">
        <v>2464</v>
      </c>
      <c r="C546" s="31" t="s">
        <v>2882</v>
      </c>
      <c r="D546" s="12">
        <f t="shared" ca="1" si="48"/>
        <v>23</v>
      </c>
      <c r="E546" s="12" t="str">
        <f ca="1">IF(Table1[[#This Row],[Age]]&lt;=22,"20-22",IF(Table1[[#This Row],[Age]]&lt;=25,"23-25",IF(Table1[[#This Row],[Age]]&lt;=28,"26-28","29-30")))</f>
        <v>23-25</v>
      </c>
      <c r="F546" s="12">
        <v>3.83</v>
      </c>
      <c r="G546" s="12">
        <v>3.69</v>
      </c>
      <c r="H546" s="12">
        <v>4.1100000000000003</v>
      </c>
      <c r="I546" s="12">
        <v>3.66</v>
      </c>
      <c r="J546" s="12">
        <v>3.91</v>
      </c>
      <c r="K546" s="12">
        <v>4.05</v>
      </c>
      <c r="L546" s="12">
        <v>3.6</v>
      </c>
      <c r="M546" s="12">
        <v>3.73</v>
      </c>
      <c r="N546" s="12">
        <v>3.82</v>
      </c>
      <c r="O546" s="12">
        <v>4.6100000000000003</v>
      </c>
      <c r="P546" s="12">
        <f t="shared" si="49"/>
        <v>3.84</v>
      </c>
      <c r="Q546" s="12">
        <f t="shared" si="50"/>
        <v>3.84</v>
      </c>
      <c r="R546" s="12">
        <f t="shared" si="51"/>
        <v>3.9620000000000006</v>
      </c>
      <c r="S546" s="28">
        <f>IFERROR(INDEX('Clean Gamification Data'!$B:$B,MATCH($B546,'Clean Gamification Data'!$A:$A,0)),"Not Found")</f>
        <v>75</v>
      </c>
      <c r="T546" s="28">
        <f>IFERROR(INDEX('Clean Gamification Data'!$C:$C,MATCH($B546,'Clean Gamification Data'!$A:$A,0)),"Not Found")</f>
        <v>68.390246450000006</v>
      </c>
      <c r="U546" s="28">
        <f>IFERROR(INDEX('Clean Gamification Data'!$D:$D,MATCH($B546,'Clean Gamification Data'!$A:$A,0)),"Not Found")</f>
        <v>70.585535579999998</v>
      </c>
      <c r="V546" s="28">
        <f>IFERROR(INDEX('Clean Gamification Data'!$E:$E,MATCH($B546,'Clean Gamification Data'!$A:$A,0)),"Not Found")</f>
        <v>61.791217799999998</v>
      </c>
      <c r="W546" s="28">
        <f>IFERROR(INDEX('Clean Gamification Data'!$F:$F,MATCH($B546,'Clean Gamification Data'!$A:$A,0)),"Not Found")</f>
        <v>89.823337690000002</v>
      </c>
      <c r="X546" s="28">
        <f>IFERROR(INDEX('Clean Gamification Data'!$G:$G,MATCH($B546,'Clean Gamification Data'!$A:$A,0)),"Not Found")</f>
        <v>77.227719669999999</v>
      </c>
      <c r="Y546" s="28">
        <f>IFERROR(INDEX('Clean Gamification Data'!$H:$H,MATCH($B546,'Clean Gamification Data'!$A:$A,0)),"Not Found")</f>
        <v>75.175487689999997</v>
      </c>
      <c r="Z546" s="28">
        <f>IFERROR(INDEX('Clean Gamification Data'!$I:$I,MATCH($B546,'Clean Gamification Data'!$A:$A,0)),"Not Found")</f>
        <v>50</v>
      </c>
      <c r="AA546" s="28">
        <f>Table1[[#This Row],[Engagement (Gamification %)]]-Table1[[#This Row],[Engagement (Non-Gamification %)]]</f>
        <v>6.6097535499999935</v>
      </c>
      <c r="AB546" s="28">
        <f>Table1[[#This Row],[Motivation (Gamification %)]]-Table1[[#This Row],[Motivation (Non-Gamification %)]]</f>
        <v>8.7943177800000001</v>
      </c>
      <c r="AC546" s="28">
        <f>Table1[[#This Row],[Participation (Gamification %)]]-Table1[[#This Row],[Participation (Non-Gamification %)]]</f>
        <v>12.595618020000003</v>
      </c>
      <c r="AD546" s="28">
        <f>Table1[[#This Row],[Learning Outcomes (Gamification %)]]-Table1[[#This Row],[Learning Outcomes (Non-Gamification %)]]</f>
        <v>25.175487689999997</v>
      </c>
      <c r="AE546" s="44" t="str">
        <f>IF(Table1[[#This Row],[Overall Effectiveness]]&lt;3.9,"Low",IF(Table1[[#This Row],[Overall Effectiveness]]&lt;4.2,"Medium","High"))</f>
        <v>Low</v>
      </c>
      <c r="AF546" s="30" t="str">
        <f t="shared" si="52"/>
        <v>Group Projects</v>
      </c>
      <c r="AG546" s="30" t="str">
        <f t="shared" si="53"/>
        <v>Online Tutorials</v>
      </c>
      <c r="AH546" s="27">
        <f>COUNTIF(Teacher_Master!$D$2:$D$16,AF546)</f>
        <v>3</v>
      </c>
      <c r="AI546" s="30" t="str">
        <f>INDEX(Teacher_Master!$B$2:$B$16,MATCH(AF546,Teacher_Master!$D$2:$D$16,0))</f>
        <v>Dr. Rohan Dutta</v>
      </c>
    </row>
    <row r="547" spans="1:35" ht="14.25" customHeight="1" x14ac:dyDescent="0.3">
      <c r="A547" s="31" t="s">
        <v>1121</v>
      </c>
      <c r="B547" s="31" t="s">
        <v>2465</v>
      </c>
      <c r="C547" s="31" t="s">
        <v>2882</v>
      </c>
      <c r="D547" s="12">
        <f t="shared" ca="1" si="48"/>
        <v>23</v>
      </c>
      <c r="E547" s="12" t="str">
        <f ca="1">IF(Table1[[#This Row],[Age]]&lt;=22,"20-22",IF(Table1[[#This Row],[Age]]&lt;=25,"23-25",IF(Table1[[#This Row],[Age]]&lt;=28,"26-28","29-30")))</f>
        <v>23-25</v>
      </c>
      <c r="F547" s="12">
        <v>4.26</v>
      </c>
      <c r="G547" s="12">
        <v>3.96</v>
      </c>
      <c r="H547" s="12">
        <v>4.22</v>
      </c>
      <c r="I547" s="12">
        <v>4.1900000000000004</v>
      </c>
      <c r="J547" s="12">
        <v>4</v>
      </c>
      <c r="K547" s="12">
        <v>4.37</v>
      </c>
      <c r="L547" s="12">
        <v>4.12</v>
      </c>
      <c r="M547" s="12">
        <v>3.97</v>
      </c>
      <c r="N547" s="12" t="s">
        <v>211</v>
      </c>
      <c r="O547" s="12">
        <v>3.95</v>
      </c>
      <c r="P547" s="12">
        <f t="shared" si="49"/>
        <v>4.1259999999999994</v>
      </c>
      <c r="Q547" s="12">
        <f t="shared" si="50"/>
        <v>4.13</v>
      </c>
      <c r="R547" s="12">
        <f t="shared" si="51"/>
        <v>4.1025</v>
      </c>
      <c r="S547" s="28">
        <f>IFERROR(INDEX('Clean Gamification Data'!$B:$B,MATCH($B547,'Clean Gamification Data'!$A:$A,0)),"Not Found")</f>
        <v>86.804773030000007</v>
      </c>
      <c r="T547" s="28">
        <f>IFERROR(INDEX('Clean Gamification Data'!$C:$C,MATCH($B547,'Clean Gamification Data'!$A:$A,0)),"Not Found")</f>
        <v>78.275351869999994</v>
      </c>
      <c r="U547" s="28">
        <f>IFERROR(INDEX('Clean Gamification Data'!$D:$D,MATCH($B547,'Clean Gamification Data'!$A:$A,0)),"Not Found")</f>
        <v>74.893161640000002</v>
      </c>
      <c r="V547" s="28">
        <f>IFERROR(INDEX('Clean Gamification Data'!$E:$E,MATCH($B547,'Clean Gamification Data'!$A:$A,0)),"Not Found")</f>
        <v>73.250586249999998</v>
      </c>
      <c r="W547" s="28">
        <f>IFERROR(INDEX('Clean Gamification Data'!$F:$F,MATCH($B547,'Clean Gamification Data'!$A:$A,0)),"Not Found")</f>
        <v>80.72604192</v>
      </c>
      <c r="X547" s="28">
        <f>IFERROR(INDEX('Clean Gamification Data'!$G:$G,MATCH($B547,'Clean Gamification Data'!$A:$A,0)),"Not Found")</f>
        <v>81.187824120000002</v>
      </c>
      <c r="Y547" s="28">
        <f>IFERROR(INDEX('Clean Gamification Data'!$H:$H,MATCH($B547,'Clean Gamification Data'!$A:$A,0)),"Not Found")</f>
        <v>69.915415749999994</v>
      </c>
      <c r="Z547" s="28">
        <f>IFERROR(INDEX('Clean Gamification Data'!$I:$I,MATCH($B547,'Clean Gamification Data'!$A:$A,0)),"Not Found")</f>
        <v>57.939865439999998</v>
      </c>
      <c r="AA547" s="28">
        <f>Table1[[#This Row],[Engagement (Gamification %)]]-Table1[[#This Row],[Engagement (Non-Gamification %)]]</f>
        <v>8.5294211600000125</v>
      </c>
      <c r="AB547" s="28">
        <f>Table1[[#This Row],[Motivation (Gamification %)]]-Table1[[#This Row],[Motivation (Non-Gamification %)]]</f>
        <v>1.6425753900000046</v>
      </c>
      <c r="AC547" s="28">
        <f>Table1[[#This Row],[Participation (Gamification %)]]-Table1[[#This Row],[Participation (Non-Gamification %)]]</f>
        <v>-0.46178220000000181</v>
      </c>
      <c r="AD547" s="28">
        <f>Table1[[#This Row],[Learning Outcomes (Gamification %)]]-Table1[[#This Row],[Learning Outcomes (Non-Gamification %)]]</f>
        <v>11.975550309999996</v>
      </c>
      <c r="AE547" s="44" t="str">
        <f>IF(Table1[[#This Row],[Overall Effectiveness]]&lt;3.9,"Low",IF(Table1[[#This Row],[Overall Effectiveness]]&lt;4.2,"Medium","High"))</f>
        <v>Medium</v>
      </c>
      <c r="AF547" s="30" t="str">
        <f t="shared" si="52"/>
        <v>Lectures</v>
      </c>
      <c r="AG547" s="30" t="str">
        <f t="shared" si="53"/>
        <v>Lectures</v>
      </c>
      <c r="AH547" s="27">
        <f>COUNTIF(Teacher_Master!$D$2:$D$16,AF547)</f>
        <v>3</v>
      </c>
      <c r="AI547" s="30" t="str">
        <f>INDEX(Teacher_Master!$B$2:$B$16,MATCH(AF547,Teacher_Master!$D$2:$D$16,0))</f>
        <v>Prof. Vikram Gupta</v>
      </c>
    </row>
    <row r="548" spans="1:35" ht="14.25" customHeight="1" x14ac:dyDescent="0.3">
      <c r="A548" s="31" t="s">
        <v>1123</v>
      </c>
      <c r="B548" s="31" t="s">
        <v>2466</v>
      </c>
      <c r="C548" s="31" t="s">
        <v>2881</v>
      </c>
      <c r="D548" s="12">
        <f t="shared" ca="1" si="48"/>
        <v>23</v>
      </c>
      <c r="E548" s="12" t="str">
        <f ca="1">IF(Table1[[#This Row],[Age]]&lt;=22,"20-22",IF(Table1[[#This Row],[Age]]&lt;=25,"23-25",IF(Table1[[#This Row],[Age]]&lt;=28,"26-28","29-30")))</f>
        <v>23-25</v>
      </c>
      <c r="F548" s="12">
        <v>3.7</v>
      </c>
      <c r="G548" s="12">
        <v>3.95</v>
      </c>
      <c r="H548" s="12">
        <v>4.0599999999999996</v>
      </c>
      <c r="I548" s="12">
        <v>4.3099999999999996</v>
      </c>
      <c r="J548" s="12">
        <v>4.09</v>
      </c>
      <c r="K548" s="12">
        <v>3.88</v>
      </c>
      <c r="L548" s="12">
        <v>3.75</v>
      </c>
      <c r="M548" s="12" t="s">
        <v>211</v>
      </c>
      <c r="N548" s="12">
        <v>3.89</v>
      </c>
      <c r="O548" s="12">
        <v>4.4800000000000004</v>
      </c>
      <c r="P548" s="12">
        <f t="shared" si="49"/>
        <v>4.0220000000000002</v>
      </c>
      <c r="Q548" s="12">
        <f t="shared" si="50"/>
        <v>4.0199999999999996</v>
      </c>
      <c r="R548" s="12">
        <f t="shared" si="51"/>
        <v>4</v>
      </c>
      <c r="S548" s="28">
        <f>IFERROR(INDEX('Clean Gamification Data'!$B:$B,MATCH($B548,'Clean Gamification Data'!$A:$A,0)),"Not Found")</f>
        <v>86.810686050000001</v>
      </c>
      <c r="T548" s="28">
        <f>IFERROR(INDEX('Clean Gamification Data'!$C:$C,MATCH($B548,'Clean Gamification Data'!$A:$A,0)),"Not Found")</f>
        <v>74.663329189999999</v>
      </c>
      <c r="U548" s="28">
        <f>IFERROR(INDEX('Clean Gamification Data'!$D:$D,MATCH($B548,'Clean Gamification Data'!$A:$A,0)),"Not Found")</f>
        <v>70</v>
      </c>
      <c r="V548" s="28">
        <f>IFERROR(INDEX('Clean Gamification Data'!$E:$E,MATCH($B548,'Clean Gamification Data'!$A:$A,0)),"Not Found")</f>
        <v>65.800469370000002</v>
      </c>
      <c r="W548" s="28">
        <f>IFERROR(INDEX('Clean Gamification Data'!$F:$F,MATCH($B548,'Clean Gamification Data'!$A:$A,0)),"Not Found")</f>
        <v>86.981861910000006</v>
      </c>
      <c r="X548" s="28">
        <f>IFERROR(INDEX('Clean Gamification Data'!$G:$G,MATCH($B548,'Clean Gamification Data'!$A:$A,0)),"Not Found")</f>
        <v>80.170031050000006</v>
      </c>
      <c r="Y548" s="28">
        <f>IFERROR(INDEX('Clean Gamification Data'!$H:$H,MATCH($B548,'Clean Gamification Data'!$A:$A,0)),"Not Found")</f>
        <v>71.842154440000002</v>
      </c>
      <c r="Z548" s="28">
        <f>IFERROR(INDEX('Clean Gamification Data'!$I:$I,MATCH($B548,'Clean Gamification Data'!$A:$A,0)),"Not Found")</f>
        <v>57.675242160000003</v>
      </c>
      <c r="AA548" s="28">
        <f>Table1[[#This Row],[Engagement (Gamification %)]]-Table1[[#This Row],[Engagement (Non-Gamification %)]]</f>
        <v>12.147356860000002</v>
      </c>
      <c r="AB548" s="28">
        <f>Table1[[#This Row],[Motivation (Gamification %)]]-Table1[[#This Row],[Motivation (Non-Gamification %)]]</f>
        <v>4.1995306299999982</v>
      </c>
      <c r="AC548" s="28">
        <f>Table1[[#This Row],[Participation (Gamification %)]]-Table1[[#This Row],[Participation (Non-Gamification %)]]</f>
        <v>6.8118308600000006</v>
      </c>
      <c r="AD548" s="28">
        <f>Table1[[#This Row],[Learning Outcomes (Gamification %)]]-Table1[[#This Row],[Learning Outcomes (Non-Gamification %)]]</f>
        <v>14.166912279999998</v>
      </c>
      <c r="AE548" s="44" t="str">
        <f>IF(Table1[[#This Row],[Overall Effectiveness]]&lt;3.9,"Low",IF(Table1[[#This Row],[Overall Effectiveness]]&lt;4.2,"Medium","High"))</f>
        <v>Medium</v>
      </c>
      <c r="AF548" s="30" t="str">
        <f t="shared" si="52"/>
        <v>Experiments</v>
      </c>
      <c r="AG548" s="30" t="str">
        <f t="shared" si="53"/>
        <v>Online Tutorials</v>
      </c>
      <c r="AH548" s="27">
        <f>COUNTIF(Teacher_Master!$D$2:$D$16,AF548)</f>
        <v>3</v>
      </c>
      <c r="AI548" s="30" t="str">
        <f>INDEX(Teacher_Master!$B$2:$B$16,MATCH(AF548,Teacher_Master!$D$2:$D$16,0))</f>
        <v>Prof. Rahul Singh</v>
      </c>
    </row>
    <row r="549" spans="1:35" ht="14.25" customHeight="1" x14ac:dyDescent="0.3">
      <c r="A549" s="31" t="s">
        <v>1125</v>
      </c>
      <c r="B549" s="31" t="s">
        <v>2467</v>
      </c>
      <c r="C549" s="31" t="s">
        <v>2881</v>
      </c>
      <c r="D549" s="12">
        <f t="shared" ca="1" si="48"/>
        <v>26</v>
      </c>
      <c r="E549" s="12" t="str">
        <f ca="1">IF(Table1[[#This Row],[Age]]&lt;=22,"20-22",IF(Table1[[#This Row],[Age]]&lt;=25,"23-25",IF(Table1[[#This Row],[Age]]&lt;=28,"26-28","29-30")))</f>
        <v>26-28</v>
      </c>
      <c r="F549" s="12">
        <v>4.3099999999999996</v>
      </c>
      <c r="G549" s="12">
        <v>3.65</v>
      </c>
      <c r="H549" s="12">
        <v>4.51</v>
      </c>
      <c r="I549" s="12">
        <v>3.87</v>
      </c>
      <c r="J549" s="12">
        <v>4.1100000000000003</v>
      </c>
      <c r="K549" s="12" t="s">
        <v>211</v>
      </c>
      <c r="L549" s="12">
        <v>3.79</v>
      </c>
      <c r="M549" s="12">
        <v>3.96</v>
      </c>
      <c r="N549" s="12">
        <v>4.34</v>
      </c>
      <c r="O549" s="12">
        <v>3.97</v>
      </c>
      <c r="P549" s="12">
        <f t="shared" si="49"/>
        <v>4.09</v>
      </c>
      <c r="Q549" s="12">
        <f t="shared" si="50"/>
        <v>4.09</v>
      </c>
      <c r="R549" s="12">
        <f t="shared" si="51"/>
        <v>4.0149999999999997</v>
      </c>
      <c r="S549" s="28">
        <f>IFERROR(INDEX('Clean Gamification Data'!$B:$B,MATCH($B549,'Clean Gamification Data'!$A:$A,0)),"Not Found")</f>
        <v>80.495785810000001</v>
      </c>
      <c r="T549" s="28">
        <f>IFERROR(INDEX('Clean Gamification Data'!$C:$C,MATCH($B549,'Clean Gamification Data'!$A:$A,0)),"Not Found")</f>
        <v>77.069768339999996</v>
      </c>
      <c r="U549" s="28">
        <f>IFERROR(INDEX('Clean Gamification Data'!$D:$D,MATCH($B549,'Clean Gamification Data'!$A:$A,0)),"Not Found")</f>
        <v>72.119516829999995</v>
      </c>
      <c r="V549" s="28">
        <f>IFERROR(INDEX('Clean Gamification Data'!$E:$E,MATCH($B549,'Clean Gamification Data'!$A:$A,0)),"Not Found")</f>
        <v>72.529420770000002</v>
      </c>
      <c r="W549" s="28">
        <f>IFERROR(INDEX('Clean Gamification Data'!$F:$F,MATCH($B549,'Clean Gamification Data'!$A:$A,0)),"Not Found")</f>
        <v>97.063480749999997</v>
      </c>
      <c r="X549" s="28">
        <f>IFERROR(INDEX('Clean Gamification Data'!$G:$G,MATCH($B549,'Clean Gamification Data'!$A:$A,0)),"Not Found")</f>
        <v>85</v>
      </c>
      <c r="Y549" s="28">
        <f>IFERROR(INDEX('Clean Gamification Data'!$H:$H,MATCH($B549,'Clean Gamification Data'!$A:$A,0)),"Not Found")</f>
        <v>69.558178990000002</v>
      </c>
      <c r="Z549" s="28">
        <f>IFERROR(INDEX('Clean Gamification Data'!$I:$I,MATCH($B549,'Clean Gamification Data'!$A:$A,0)),"Not Found")</f>
        <v>55.874971619999997</v>
      </c>
      <c r="AA549" s="28">
        <f>Table1[[#This Row],[Engagement (Gamification %)]]-Table1[[#This Row],[Engagement (Non-Gamification %)]]</f>
        <v>3.426017470000005</v>
      </c>
      <c r="AB549" s="28">
        <f>Table1[[#This Row],[Motivation (Gamification %)]]-Table1[[#This Row],[Motivation (Non-Gamification %)]]</f>
        <v>-0.40990394000000663</v>
      </c>
      <c r="AC549" s="28">
        <f>Table1[[#This Row],[Participation (Gamification %)]]-Table1[[#This Row],[Participation (Non-Gamification %)]]</f>
        <v>12.063480749999997</v>
      </c>
      <c r="AD549" s="28">
        <f>Table1[[#This Row],[Learning Outcomes (Gamification %)]]-Table1[[#This Row],[Learning Outcomes (Non-Gamification %)]]</f>
        <v>13.683207370000005</v>
      </c>
      <c r="AE549" s="44" t="str">
        <f>IF(Table1[[#This Row],[Overall Effectiveness]]&lt;3.9,"Low",IF(Table1[[#This Row],[Overall Effectiveness]]&lt;4.2,"Medium","High"))</f>
        <v>Medium</v>
      </c>
      <c r="AF549" s="30" t="str">
        <f t="shared" si="52"/>
        <v>Group Projects</v>
      </c>
      <c r="AG549" s="30" t="str">
        <f t="shared" si="53"/>
        <v>Experiments</v>
      </c>
      <c r="AH549" s="27">
        <f>COUNTIF(Teacher_Master!$D$2:$D$16,AF549)</f>
        <v>3</v>
      </c>
      <c r="AI549" s="30" t="str">
        <f>INDEX(Teacher_Master!$B$2:$B$16,MATCH(AF549,Teacher_Master!$D$2:$D$16,0))</f>
        <v>Dr. Rohan Dutta</v>
      </c>
    </row>
    <row r="550" spans="1:35" ht="14.25" customHeight="1" x14ac:dyDescent="0.3">
      <c r="A550" s="31" t="s">
        <v>1127</v>
      </c>
      <c r="B550" s="31" t="s">
        <v>1128</v>
      </c>
      <c r="C550" s="31" t="s">
        <v>2882</v>
      </c>
      <c r="D550" s="12">
        <f t="shared" ca="1" si="48"/>
        <v>23</v>
      </c>
      <c r="E550" s="12" t="str">
        <f ca="1">IF(Table1[[#This Row],[Age]]&lt;=22,"20-22",IF(Table1[[#This Row],[Age]]&lt;=25,"23-25",IF(Table1[[#This Row],[Age]]&lt;=28,"26-28","29-30")))</f>
        <v>23-25</v>
      </c>
      <c r="F550" s="12">
        <v>4.47</v>
      </c>
      <c r="G550" s="12">
        <v>3.58</v>
      </c>
      <c r="H550" s="12">
        <v>3.51</v>
      </c>
      <c r="I550" s="12">
        <v>4.5</v>
      </c>
      <c r="J550" s="12">
        <v>3.36</v>
      </c>
      <c r="K550" s="12">
        <v>4.5999999999999996</v>
      </c>
      <c r="L550" s="12">
        <v>4.05</v>
      </c>
      <c r="M550" s="12">
        <v>4.1900000000000004</v>
      </c>
      <c r="N550" s="12">
        <v>4.1500000000000004</v>
      </c>
      <c r="O550" s="12">
        <v>3.84</v>
      </c>
      <c r="P550" s="12">
        <f t="shared" si="49"/>
        <v>3.8840000000000003</v>
      </c>
      <c r="Q550" s="12">
        <f t="shared" si="50"/>
        <v>3.88</v>
      </c>
      <c r="R550" s="12">
        <f t="shared" si="51"/>
        <v>4.1660000000000004</v>
      </c>
      <c r="S550" s="28">
        <f>IFERROR(INDEX('Clean Gamification Data'!$B:$B,MATCH($B550,'Clean Gamification Data'!$A:$A,0)),"Not Found")</f>
        <v>94.135536270000003</v>
      </c>
      <c r="T550" s="28">
        <f>IFERROR(INDEX('Clean Gamification Data'!$C:$C,MATCH($B550,'Clean Gamification Data'!$A:$A,0)),"Not Found")</f>
        <v>71.995602390000002</v>
      </c>
      <c r="U550" s="28">
        <f>IFERROR(INDEX('Clean Gamification Data'!$D:$D,MATCH($B550,'Clean Gamification Data'!$A:$A,0)),"Not Found")</f>
        <v>84.850147590000006</v>
      </c>
      <c r="V550" s="28">
        <f>IFERROR(INDEX('Clean Gamification Data'!$E:$E,MATCH($B550,'Clean Gamification Data'!$A:$A,0)),"Not Found")</f>
        <v>59.45787318</v>
      </c>
      <c r="W550" s="28">
        <f>IFERROR(INDEX('Clean Gamification Data'!$F:$F,MATCH($B550,'Clean Gamification Data'!$A:$A,0)),"Not Found")</f>
        <v>87.935132100000004</v>
      </c>
      <c r="X550" s="28">
        <f>IFERROR(INDEX('Clean Gamification Data'!$G:$G,MATCH($B550,'Clean Gamification Data'!$A:$A,0)),"Not Found")</f>
        <v>84.03144494</v>
      </c>
      <c r="Y550" s="28">
        <f>IFERROR(INDEX('Clean Gamification Data'!$H:$H,MATCH($B550,'Clean Gamification Data'!$A:$A,0)),"Not Found")</f>
        <v>69.118515869999996</v>
      </c>
      <c r="Z550" s="28">
        <f>IFERROR(INDEX('Clean Gamification Data'!$I:$I,MATCH($B550,'Clean Gamification Data'!$A:$A,0)),"Not Found")</f>
        <v>53.775537589999999</v>
      </c>
      <c r="AA550" s="28">
        <f>Table1[[#This Row],[Engagement (Gamification %)]]-Table1[[#This Row],[Engagement (Non-Gamification %)]]</f>
        <v>22.139933880000001</v>
      </c>
      <c r="AB550" s="28">
        <f>Table1[[#This Row],[Motivation (Gamification %)]]-Table1[[#This Row],[Motivation (Non-Gamification %)]]</f>
        <v>25.392274410000006</v>
      </c>
      <c r="AC550" s="28">
        <f>Table1[[#This Row],[Participation (Gamification %)]]-Table1[[#This Row],[Participation (Non-Gamification %)]]</f>
        <v>3.903687160000004</v>
      </c>
      <c r="AD550" s="28">
        <f>Table1[[#This Row],[Learning Outcomes (Gamification %)]]-Table1[[#This Row],[Learning Outcomes (Non-Gamification %)]]</f>
        <v>15.342978279999997</v>
      </c>
      <c r="AE550" s="44" t="str">
        <f>IF(Table1[[#This Row],[Overall Effectiveness]]&lt;3.9,"Low",IF(Table1[[#This Row],[Overall Effectiveness]]&lt;4.2,"Medium","High"))</f>
        <v>Low</v>
      </c>
      <c r="AF550" s="30" t="str">
        <f t="shared" si="52"/>
        <v>Experiments</v>
      </c>
      <c r="AG550" s="30" t="str">
        <f t="shared" si="53"/>
        <v>Lectures</v>
      </c>
      <c r="AH550" s="27">
        <f>COUNTIF(Teacher_Master!$D$2:$D$16,AF550)</f>
        <v>3</v>
      </c>
      <c r="AI550" s="30" t="str">
        <f>INDEX(Teacher_Master!$B$2:$B$16,MATCH(AF550,Teacher_Master!$D$2:$D$16,0))</f>
        <v>Prof. Rahul Singh</v>
      </c>
    </row>
    <row r="551" spans="1:35" ht="14.25" customHeight="1" x14ac:dyDescent="0.3">
      <c r="A551" s="31" t="s">
        <v>1129</v>
      </c>
      <c r="B551" s="31" t="s">
        <v>2468</v>
      </c>
      <c r="C551" s="31" t="s">
        <v>2882</v>
      </c>
      <c r="D551" s="12">
        <f t="shared" ca="1" si="48"/>
        <v>21</v>
      </c>
      <c r="E551" s="12" t="str">
        <f ca="1">IF(Table1[[#This Row],[Age]]&lt;=22,"20-22",IF(Table1[[#This Row],[Age]]&lt;=25,"23-25",IF(Table1[[#This Row],[Age]]&lt;=28,"26-28","29-30")))</f>
        <v>20-22</v>
      </c>
      <c r="F551" s="12">
        <v>4.4400000000000004</v>
      </c>
      <c r="G551" s="12" t="s">
        <v>211</v>
      </c>
      <c r="H551" s="12">
        <v>4.45</v>
      </c>
      <c r="I551" s="12">
        <v>3.67</v>
      </c>
      <c r="J551" s="12">
        <v>3.98</v>
      </c>
      <c r="K551" s="12">
        <v>4.0999999999999996</v>
      </c>
      <c r="L551" s="12">
        <v>4.45</v>
      </c>
      <c r="M551" s="12">
        <v>3.61</v>
      </c>
      <c r="N551" s="12" t="s">
        <v>211</v>
      </c>
      <c r="O551" s="12">
        <v>3.92</v>
      </c>
      <c r="P551" s="12">
        <f t="shared" si="49"/>
        <v>4.1349999999999998</v>
      </c>
      <c r="Q551" s="12">
        <f t="shared" si="50"/>
        <v>4.1399999999999997</v>
      </c>
      <c r="R551" s="12">
        <f t="shared" si="51"/>
        <v>4.0199999999999996</v>
      </c>
      <c r="S551" s="28">
        <f>IFERROR(INDEX('Clean Gamification Data'!$B:$B,MATCH($B551,'Clean Gamification Data'!$A:$A,0)),"Not Found")</f>
        <v>91.423313340000007</v>
      </c>
      <c r="T551" s="28">
        <f>IFERROR(INDEX('Clean Gamification Data'!$C:$C,MATCH($B551,'Clean Gamification Data'!$A:$A,0)),"Not Found")</f>
        <v>60</v>
      </c>
      <c r="U551" s="28">
        <f>IFERROR(INDEX('Clean Gamification Data'!$D:$D,MATCH($B551,'Clean Gamification Data'!$A:$A,0)),"Not Found")</f>
        <v>80.073829950000004</v>
      </c>
      <c r="V551" s="28">
        <f>IFERROR(INDEX('Clean Gamification Data'!$E:$E,MATCH($B551,'Clean Gamification Data'!$A:$A,0)),"Not Found")</f>
        <v>65.083395179999997</v>
      </c>
      <c r="W551" s="28">
        <f>IFERROR(INDEX('Clean Gamification Data'!$F:$F,MATCH($B551,'Clean Gamification Data'!$A:$A,0)),"Not Found")</f>
        <v>96.430554420000007</v>
      </c>
      <c r="X551" s="28">
        <f>IFERROR(INDEX('Clean Gamification Data'!$G:$G,MATCH($B551,'Clean Gamification Data'!$A:$A,0)),"Not Found")</f>
        <v>76.037997200000007</v>
      </c>
      <c r="Y551" s="28">
        <f>IFERROR(INDEX('Clean Gamification Data'!$H:$H,MATCH($B551,'Clean Gamification Data'!$A:$A,0)),"Not Found")</f>
        <v>65</v>
      </c>
      <c r="Z551" s="28">
        <f>IFERROR(INDEX('Clean Gamification Data'!$I:$I,MATCH($B551,'Clean Gamification Data'!$A:$A,0)),"Not Found")</f>
        <v>57.350916439999999</v>
      </c>
      <c r="AA551" s="28">
        <f>Table1[[#This Row],[Engagement (Gamification %)]]-Table1[[#This Row],[Engagement (Non-Gamification %)]]</f>
        <v>31.423313340000007</v>
      </c>
      <c r="AB551" s="28">
        <f>Table1[[#This Row],[Motivation (Gamification %)]]-Table1[[#This Row],[Motivation (Non-Gamification %)]]</f>
        <v>14.990434770000007</v>
      </c>
      <c r="AC551" s="28">
        <f>Table1[[#This Row],[Participation (Gamification %)]]-Table1[[#This Row],[Participation (Non-Gamification %)]]</f>
        <v>20.39255722</v>
      </c>
      <c r="AD551" s="28">
        <f>Table1[[#This Row],[Learning Outcomes (Gamification %)]]-Table1[[#This Row],[Learning Outcomes (Non-Gamification %)]]</f>
        <v>7.6490835600000011</v>
      </c>
      <c r="AE551" s="44" t="str">
        <f>IF(Table1[[#This Row],[Overall Effectiveness]]&lt;3.9,"Low",IF(Table1[[#This Row],[Overall Effectiveness]]&lt;4.2,"Medium","High"))</f>
        <v>Medium</v>
      </c>
      <c r="AF551" s="30" t="str">
        <f t="shared" si="52"/>
        <v>Group Projects</v>
      </c>
      <c r="AG551" s="30" t="str">
        <f t="shared" si="53"/>
        <v>Case Studies</v>
      </c>
      <c r="AH551" s="27">
        <f>COUNTIF(Teacher_Master!$D$2:$D$16,AF551)</f>
        <v>3</v>
      </c>
      <c r="AI551" s="30" t="str">
        <f>INDEX(Teacher_Master!$B$2:$B$16,MATCH(AF551,Teacher_Master!$D$2:$D$16,0))</f>
        <v>Dr. Rohan Dutta</v>
      </c>
    </row>
    <row r="552" spans="1:35" ht="14.25" customHeight="1" x14ac:dyDescent="0.3">
      <c r="A552" s="31" t="s">
        <v>1131</v>
      </c>
      <c r="B552" s="31" t="s">
        <v>2469</v>
      </c>
      <c r="C552" s="31" t="s">
        <v>2882</v>
      </c>
      <c r="D552" s="12">
        <f t="shared" ca="1" si="48"/>
        <v>26</v>
      </c>
      <c r="E552" s="12" t="str">
        <f ca="1">IF(Table1[[#This Row],[Age]]&lt;=22,"20-22",IF(Table1[[#This Row],[Age]]&lt;=25,"23-25",IF(Table1[[#This Row],[Age]]&lt;=28,"26-28","29-30")))</f>
        <v>26-28</v>
      </c>
      <c r="F552" s="12">
        <v>3.92</v>
      </c>
      <c r="G552" s="12">
        <v>3.41</v>
      </c>
      <c r="H552" s="12">
        <v>4.3</v>
      </c>
      <c r="I552" s="12">
        <v>3.51</v>
      </c>
      <c r="J552" s="12">
        <v>3.93</v>
      </c>
      <c r="K552" s="12">
        <v>3.69</v>
      </c>
      <c r="L552" s="12">
        <v>3.79</v>
      </c>
      <c r="M552" s="12">
        <v>4.4000000000000004</v>
      </c>
      <c r="N552" s="12">
        <v>4.25</v>
      </c>
      <c r="O552" s="12" t="s">
        <v>1133</v>
      </c>
      <c r="P552" s="12">
        <f t="shared" si="49"/>
        <v>3.8140000000000001</v>
      </c>
      <c r="Q552" s="12">
        <f t="shared" si="50"/>
        <v>3.81</v>
      </c>
      <c r="R552" s="12">
        <f t="shared" si="51"/>
        <v>4.0325000000000006</v>
      </c>
      <c r="S552" s="28">
        <f>IFERROR(INDEX('Clean Gamification Data'!$B:$B,MATCH($B552,'Clean Gamification Data'!$A:$A,0)),"Not Found")</f>
        <v>84.511782210000007</v>
      </c>
      <c r="T552" s="28">
        <f>IFERROR(INDEX('Clean Gamification Data'!$C:$C,MATCH($B552,'Clean Gamification Data'!$A:$A,0)),"Not Found")</f>
        <v>75.841626899999994</v>
      </c>
      <c r="U552" s="28">
        <f>IFERROR(INDEX('Clean Gamification Data'!$D:$D,MATCH($B552,'Clean Gamification Data'!$A:$A,0)),"Not Found")</f>
        <v>83.389557359999998</v>
      </c>
      <c r="V552" s="28">
        <f>IFERROR(INDEX('Clean Gamification Data'!$E:$E,MATCH($B552,'Clean Gamification Data'!$A:$A,0)),"Not Found")</f>
        <v>62.760001600000002</v>
      </c>
      <c r="W552" s="28">
        <f>IFERROR(INDEX('Clean Gamification Data'!$F:$F,MATCH($B552,'Clean Gamification Data'!$A:$A,0)),"Not Found")</f>
        <v>87.612485230000004</v>
      </c>
      <c r="X552" s="28">
        <f>IFERROR(INDEX('Clean Gamification Data'!$G:$G,MATCH($B552,'Clean Gamification Data'!$A:$A,0)),"Not Found")</f>
        <v>78.724794939999995</v>
      </c>
      <c r="Y552" s="28">
        <f>IFERROR(INDEX('Clean Gamification Data'!$H:$H,MATCH($B552,'Clean Gamification Data'!$A:$A,0)),"Not Found")</f>
        <v>70.789887829999998</v>
      </c>
      <c r="Z552" s="28">
        <f>IFERROR(INDEX('Clean Gamification Data'!$I:$I,MATCH($B552,'Clean Gamification Data'!$A:$A,0)),"Not Found")</f>
        <v>62.648883789999999</v>
      </c>
      <c r="AA552" s="28">
        <f>Table1[[#This Row],[Engagement (Gamification %)]]-Table1[[#This Row],[Engagement (Non-Gamification %)]]</f>
        <v>8.6701553100000126</v>
      </c>
      <c r="AB552" s="28">
        <f>Table1[[#This Row],[Motivation (Gamification %)]]-Table1[[#This Row],[Motivation (Non-Gamification %)]]</f>
        <v>20.629555759999995</v>
      </c>
      <c r="AC552" s="28">
        <f>Table1[[#This Row],[Participation (Gamification %)]]-Table1[[#This Row],[Participation (Non-Gamification %)]]</f>
        <v>8.887690290000009</v>
      </c>
      <c r="AD552" s="28">
        <f>Table1[[#This Row],[Learning Outcomes (Gamification %)]]-Table1[[#This Row],[Learning Outcomes (Non-Gamification %)]]</f>
        <v>8.1410040399999986</v>
      </c>
      <c r="AE552" s="44" t="str">
        <f>IF(Table1[[#This Row],[Overall Effectiveness]]&lt;3.9,"Low",IF(Table1[[#This Row],[Overall Effectiveness]]&lt;4.2,"Medium","High"))</f>
        <v>Low</v>
      </c>
      <c r="AF552" s="30" t="str">
        <f t="shared" si="52"/>
        <v>Group Projects</v>
      </c>
      <c r="AG552" s="30" t="str">
        <f t="shared" si="53"/>
        <v>Group Projects</v>
      </c>
      <c r="AH552" s="27">
        <f>COUNTIF(Teacher_Master!$D$2:$D$16,AF552)</f>
        <v>3</v>
      </c>
      <c r="AI552" s="30" t="str">
        <f>INDEX(Teacher_Master!$B$2:$B$16,MATCH(AF552,Teacher_Master!$D$2:$D$16,0))</f>
        <v>Dr. Rohan Dutta</v>
      </c>
    </row>
    <row r="553" spans="1:35" ht="14.25" customHeight="1" x14ac:dyDescent="0.3">
      <c r="A553" s="31" t="s">
        <v>1134</v>
      </c>
      <c r="B553" s="31" t="s">
        <v>2470</v>
      </c>
      <c r="C553" s="31" t="s">
        <v>2881</v>
      </c>
      <c r="D553" s="12">
        <f t="shared" ca="1" si="48"/>
        <v>27</v>
      </c>
      <c r="E553" s="12" t="str">
        <f ca="1">IF(Table1[[#This Row],[Age]]&lt;=22,"20-22",IF(Table1[[#This Row],[Age]]&lt;=25,"23-25",IF(Table1[[#This Row],[Age]]&lt;=28,"26-28","29-30")))</f>
        <v>26-28</v>
      </c>
      <c r="F553" s="12">
        <v>4.08</v>
      </c>
      <c r="G553" s="12">
        <v>3.59</v>
      </c>
      <c r="H553" s="12">
        <v>4.1900000000000004</v>
      </c>
      <c r="I553" s="12">
        <v>4.37</v>
      </c>
      <c r="J553" s="12">
        <v>4.03</v>
      </c>
      <c r="K553" s="12">
        <v>4.03</v>
      </c>
      <c r="L553" s="12">
        <v>4.13</v>
      </c>
      <c r="M553" s="12">
        <v>4.3099999999999996</v>
      </c>
      <c r="N553" s="12">
        <v>3.91</v>
      </c>
      <c r="O553" s="12">
        <v>3.98</v>
      </c>
      <c r="P553" s="12">
        <f t="shared" si="49"/>
        <v>4.0520000000000005</v>
      </c>
      <c r="Q553" s="12">
        <f t="shared" si="50"/>
        <v>4.05</v>
      </c>
      <c r="R553" s="12">
        <f t="shared" si="51"/>
        <v>4.0720000000000001</v>
      </c>
      <c r="S553" s="28">
        <f>IFERROR(INDEX('Clean Gamification Data'!$B:$B,MATCH($B553,'Clean Gamification Data'!$A:$A,0)),"Not Found")</f>
        <v>84.896416880000004</v>
      </c>
      <c r="T553" s="28">
        <f>IFERROR(INDEX('Clean Gamification Data'!$C:$C,MATCH($B553,'Clean Gamification Data'!$A:$A,0)),"Not Found")</f>
        <v>68.433588540000002</v>
      </c>
      <c r="U553" s="28">
        <f>IFERROR(INDEX('Clean Gamification Data'!$D:$D,MATCH($B553,'Clean Gamification Data'!$A:$A,0)),"Not Found")</f>
        <v>79.689579379999998</v>
      </c>
      <c r="V553" s="28">
        <f>IFERROR(INDEX('Clean Gamification Data'!$E:$E,MATCH($B553,'Clean Gamification Data'!$A:$A,0)),"Not Found")</f>
        <v>64.987353560000003</v>
      </c>
      <c r="W553" s="28">
        <f>IFERROR(INDEX('Clean Gamification Data'!$F:$F,MATCH($B553,'Clean Gamification Data'!$A:$A,0)),"Not Found")</f>
        <v>86.612008459999998</v>
      </c>
      <c r="X553" s="28">
        <f>IFERROR(INDEX('Clean Gamification Data'!$G:$G,MATCH($B553,'Clean Gamification Data'!$A:$A,0)),"Not Found")</f>
        <v>74.616314110000005</v>
      </c>
      <c r="Y553" s="28">
        <f>IFERROR(INDEX('Clean Gamification Data'!$H:$H,MATCH($B553,'Clean Gamification Data'!$A:$A,0)),"Not Found")</f>
        <v>75.517510529999996</v>
      </c>
      <c r="Z553" s="28">
        <f>IFERROR(INDEX('Clean Gamification Data'!$I:$I,MATCH($B553,'Clean Gamification Data'!$A:$A,0)),"Not Found")</f>
        <v>56.829464940000001</v>
      </c>
      <c r="AA553" s="28">
        <f>Table1[[#This Row],[Engagement (Gamification %)]]-Table1[[#This Row],[Engagement (Non-Gamification %)]]</f>
        <v>16.462828340000002</v>
      </c>
      <c r="AB553" s="28">
        <f>Table1[[#This Row],[Motivation (Gamification %)]]-Table1[[#This Row],[Motivation (Non-Gamification %)]]</f>
        <v>14.702225819999995</v>
      </c>
      <c r="AC553" s="28">
        <f>Table1[[#This Row],[Participation (Gamification %)]]-Table1[[#This Row],[Participation (Non-Gamification %)]]</f>
        <v>11.995694349999994</v>
      </c>
      <c r="AD553" s="28">
        <f>Table1[[#This Row],[Learning Outcomes (Gamification %)]]-Table1[[#This Row],[Learning Outcomes (Non-Gamification %)]]</f>
        <v>18.688045589999994</v>
      </c>
      <c r="AE553" s="44" t="str">
        <f>IF(Table1[[#This Row],[Overall Effectiveness]]&lt;3.9,"Low",IF(Table1[[#This Row],[Overall Effectiveness]]&lt;4.2,"Medium","High"))</f>
        <v>Medium</v>
      </c>
      <c r="AF553" s="30" t="str">
        <f t="shared" si="52"/>
        <v>Experiments</v>
      </c>
      <c r="AG553" s="30" t="str">
        <f t="shared" si="53"/>
        <v>Group Projects</v>
      </c>
      <c r="AH553" s="27">
        <f>COUNTIF(Teacher_Master!$D$2:$D$16,AF553)</f>
        <v>3</v>
      </c>
      <c r="AI553" s="30" t="str">
        <f>INDEX(Teacher_Master!$B$2:$B$16,MATCH(AF553,Teacher_Master!$D$2:$D$16,0))</f>
        <v>Prof. Rahul Singh</v>
      </c>
    </row>
    <row r="554" spans="1:35" ht="14.25" customHeight="1" x14ac:dyDescent="0.3">
      <c r="A554" s="31" t="s">
        <v>1136</v>
      </c>
      <c r="B554" s="31" t="s">
        <v>2471</v>
      </c>
      <c r="C554" s="31" t="s">
        <v>2882</v>
      </c>
      <c r="D554" s="12">
        <f t="shared" ca="1" si="48"/>
        <v>30</v>
      </c>
      <c r="E554" s="12" t="str">
        <f ca="1">IF(Table1[[#This Row],[Age]]&lt;=22,"20-22",IF(Table1[[#This Row],[Age]]&lt;=25,"23-25",IF(Table1[[#This Row],[Age]]&lt;=28,"26-28","29-30")))</f>
        <v>29-30</v>
      </c>
      <c r="F554" s="12">
        <v>3.93</v>
      </c>
      <c r="G554" s="12">
        <v>3.52</v>
      </c>
      <c r="H554" s="12">
        <v>3.95</v>
      </c>
      <c r="I554" s="12">
        <v>3.91</v>
      </c>
      <c r="J554" s="12">
        <v>3.78</v>
      </c>
      <c r="K554" s="12">
        <v>3.87</v>
      </c>
      <c r="L554" s="12">
        <v>4.38</v>
      </c>
      <c r="M554" s="12">
        <v>3.92</v>
      </c>
      <c r="N554" s="12">
        <v>4.17</v>
      </c>
      <c r="O554" s="12">
        <v>3.93</v>
      </c>
      <c r="P554" s="12">
        <f t="shared" si="49"/>
        <v>3.8180000000000001</v>
      </c>
      <c r="Q554" s="12">
        <f t="shared" si="50"/>
        <v>3.82</v>
      </c>
      <c r="R554" s="12">
        <f t="shared" si="51"/>
        <v>4.0540000000000003</v>
      </c>
      <c r="S554" s="28">
        <f>IFERROR(INDEX('Clean Gamification Data'!$B:$B,MATCH($B554,'Clean Gamification Data'!$A:$A,0)),"Not Found")</f>
        <v>82.859565610000004</v>
      </c>
      <c r="T554" s="28">
        <f>IFERROR(INDEX('Clean Gamification Data'!$C:$C,MATCH($B554,'Clean Gamification Data'!$A:$A,0)),"Not Found")</f>
        <v>63.48829817</v>
      </c>
      <c r="U554" s="28">
        <f>IFERROR(INDEX('Clean Gamification Data'!$D:$D,MATCH($B554,'Clean Gamification Data'!$A:$A,0)),"Not Found")</f>
        <v>70.258226590000007</v>
      </c>
      <c r="V554" s="28">
        <f>IFERROR(INDEX('Clean Gamification Data'!$E:$E,MATCH($B554,'Clean Gamification Data'!$A:$A,0)),"Not Found")</f>
        <v>65.702429760000001</v>
      </c>
      <c r="W554" s="28">
        <f>IFERROR(INDEX('Clean Gamification Data'!$F:$F,MATCH($B554,'Clean Gamification Data'!$A:$A,0)),"Not Found")</f>
        <v>93.366539309999993</v>
      </c>
      <c r="X554" s="28">
        <f>IFERROR(INDEX('Clean Gamification Data'!$G:$G,MATCH($B554,'Clean Gamification Data'!$A:$A,0)),"Not Found")</f>
        <v>72.710213100000004</v>
      </c>
      <c r="Y554" s="28">
        <f>IFERROR(INDEX('Clean Gamification Data'!$H:$H,MATCH($B554,'Clean Gamification Data'!$A:$A,0)),"Not Found")</f>
        <v>71.171041849999995</v>
      </c>
      <c r="Z554" s="28">
        <f>IFERROR(INDEX('Clean Gamification Data'!$I:$I,MATCH($B554,'Clean Gamification Data'!$A:$A,0)),"Not Found")</f>
        <v>61.735270409999998</v>
      </c>
      <c r="AA554" s="28">
        <f>Table1[[#This Row],[Engagement (Gamification %)]]-Table1[[#This Row],[Engagement (Non-Gamification %)]]</f>
        <v>19.371267440000004</v>
      </c>
      <c r="AB554" s="28">
        <f>Table1[[#This Row],[Motivation (Gamification %)]]-Table1[[#This Row],[Motivation (Non-Gamification %)]]</f>
        <v>4.5557968300000056</v>
      </c>
      <c r="AC554" s="28">
        <f>Table1[[#This Row],[Participation (Gamification %)]]-Table1[[#This Row],[Participation (Non-Gamification %)]]</f>
        <v>20.656326209999989</v>
      </c>
      <c r="AD554" s="28">
        <f>Table1[[#This Row],[Learning Outcomes (Gamification %)]]-Table1[[#This Row],[Learning Outcomes (Non-Gamification %)]]</f>
        <v>9.4357714399999963</v>
      </c>
      <c r="AE554" s="44" t="str">
        <f>IF(Table1[[#This Row],[Overall Effectiveness]]&lt;3.9,"Low",IF(Table1[[#This Row],[Overall Effectiveness]]&lt;4.2,"Medium","High"))</f>
        <v>Low</v>
      </c>
      <c r="AF554" s="30" t="str">
        <f t="shared" si="52"/>
        <v>Group Projects</v>
      </c>
      <c r="AG554" s="30" t="str">
        <f t="shared" si="53"/>
        <v>Case Studies</v>
      </c>
      <c r="AH554" s="27">
        <f>COUNTIF(Teacher_Master!$D$2:$D$16,AF554)</f>
        <v>3</v>
      </c>
      <c r="AI554" s="30" t="str">
        <f>INDEX(Teacher_Master!$B$2:$B$16,MATCH(AF554,Teacher_Master!$D$2:$D$16,0))</f>
        <v>Dr. Rohan Dutta</v>
      </c>
    </row>
    <row r="555" spans="1:35" ht="14.25" customHeight="1" x14ac:dyDescent="0.3">
      <c r="A555" s="31" t="s">
        <v>1138</v>
      </c>
      <c r="B555" s="31" t="s">
        <v>1139</v>
      </c>
      <c r="C555" s="31" t="s">
        <v>2881</v>
      </c>
      <c r="D555" s="12">
        <f t="shared" ca="1" si="48"/>
        <v>29</v>
      </c>
      <c r="E555" s="12" t="str">
        <f ca="1">IF(Table1[[#This Row],[Age]]&lt;=22,"20-22",IF(Table1[[#This Row],[Age]]&lt;=25,"23-25",IF(Table1[[#This Row],[Age]]&lt;=28,"26-28","29-30")))</f>
        <v>29-30</v>
      </c>
      <c r="F555" s="12">
        <v>4.12</v>
      </c>
      <c r="G555" s="12">
        <v>3.85</v>
      </c>
      <c r="H555" s="12">
        <v>3.88</v>
      </c>
      <c r="I555" s="12">
        <v>4.1500000000000004</v>
      </c>
      <c r="J555" s="12">
        <v>4.5999999999999996</v>
      </c>
      <c r="K555" s="12">
        <v>3.51</v>
      </c>
      <c r="L555" s="12">
        <v>4.22</v>
      </c>
      <c r="M555" s="12">
        <v>3.9</v>
      </c>
      <c r="N555" s="12">
        <v>4.74</v>
      </c>
      <c r="O555" s="12">
        <v>3.82</v>
      </c>
      <c r="P555" s="12">
        <f t="shared" si="49"/>
        <v>4.12</v>
      </c>
      <c r="Q555" s="12">
        <f t="shared" si="50"/>
        <v>4.12</v>
      </c>
      <c r="R555" s="12">
        <f t="shared" si="51"/>
        <v>4.0379999999999994</v>
      </c>
      <c r="S555" s="28">
        <f>IFERROR(INDEX('Clean Gamification Data'!$B:$B,MATCH($B555,'Clean Gamification Data'!$A:$A,0)),"Not Found")</f>
        <v>85.157518249999995</v>
      </c>
      <c r="T555" s="28">
        <f>IFERROR(INDEX('Clean Gamification Data'!$C:$C,MATCH($B555,'Clean Gamification Data'!$A:$A,0)),"Not Found")</f>
        <v>68.35852122</v>
      </c>
      <c r="U555" s="28">
        <f>IFERROR(INDEX('Clean Gamification Data'!$D:$D,MATCH($B555,'Clean Gamification Data'!$A:$A,0)),"Not Found")</f>
        <v>70</v>
      </c>
      <c r="V555" s="28">
        <f>IFERROR(INDEX('Clean Gamification Data'!$E:$E,MATCH($B555,'Clean Gamification Data'!$A:$A,0)),"Not Found")</f>
        <v>61.210284010000002</v>
      </c>
      <c r="W555" s="28">
        <f>IFERROR(INDEX('Clean Gamification Data'!$F:$F,MATCH($B555,'Clean Gamification Data'!$A:$A,0)),"Not Found")</f>
        <v>97.598853669999997</v>
      </c>
      <c r="X555" s="28">
        <f>IFERROR(INDEX('Clean Gamification Data'!$G:$G,MATCH($B555,'Clean Gamification Data'!$A:$A,0)),"Not Found")</f>
        <v>75.236086270000001</v>
      </c>
      <c r="Y555" s="28">
        <f>IFERROR(INDEX('Clean Gamification Data'!$H:$H,MATCH($B555,'Clean Gamification Data'!$A:$A,0)),"Not Found")</f>
        <v>69.874779000000004</v>
      </c>
      <c r="Z555" s="28">
        <f>IFERROR(INDEX('Clean Gamification Data'!$I:$I,MATCH($B555,'Clean Gamification Data'!$A:$A,0)),"Not Found")</f>
        <v>66.868385230000001</v>
      </c>
      <c r="AA555" s="28">
        <f>Table1[[#This Row],[Engagement (Gamification %)]]-Table1[[#This Row],[Engagement (Non-Gamification %)]]</f>
        <v>16.798997029999995</v>
      </c>
      <c r="AB555" s="28">
        <f>Table1[[#This Row],[Motivation (Gamification %)]]-Table1[[#This Row],[Motivation (Non-Gamification %)]]</f>
        <v>8.7897159899999977</v>
      </c>
      <c r="AC555" s="28">
        <f>Table1[[#This Row],[Participation (Gamification %)]]-Table1[[#This Row],[Participation (Non-Gamification %)]]</f>
        <v>22.362767399999996</v>
      </c>
      <c r="AD555" s="28">
        <f>Table1[[#This Row],[Learning Outcomes (Gamification %)]]-Table1[[#This Row],[Learning Outcomes (Non-Gamification %)]]</f>
        <v>3.0063937700000025</v>
      </c>
      <c r="AE555" s="44" t="str">
        <f>IF(Table1[[#This Row],[Overall Effectiveness]]&lt;3.9,"Low",IF(Table1[[#This Row],[Overall Effectiveness]]&lt;4.2,"Medium","High"))</f>
        <v>Medium</v>
      </c>
      <c r="AF555" s="30" t="str">
        <f t="shared" si="52"/>
        <v>Online Tutorials</v>
      </c>
      <c r="AG555" s="30" t="str">
        <f t="shared" si="53"/>
        <v>Experiments</v>
      </c>
      <c r="AH555" s="27">
        <f>COUNTIF(Teacher_Master!$D$2:$D$16,AF555)</f>
        <v>3</v>
      </c>
      <c r="AI555" s="30" t="str">
        <f>INDEX(Teacher_Master!$B$2:$B$16,MATCH(AF555,Teacher_Master!$D$2:$D$16,0))</f>
        <v>Prof. Kavita Rao</v>
      </c>
    </row>
    <row r="556" spans="1:35" ht="14.25" customHeight="1" x14ac:dyDescent="0.3">
      <c r="A556" s="31" t="s">
        <v>1140</v>
      </c>
      <c r="B556" s="31" t="s">
        <v>2472</v>
      </c>
      <c r="C556" s="31" t="s">
        <v>2881</v>
      </c>
      <c r="D556" s="12">
        <f t="shared" ca="1" si="48"/>
        <v>25</v>
      </c>
      <c r="E556" s="12" t="str">
        <f ca="1">IF(Table1[[#This Row],[Age]]&lt;=22,"20-22",IF(Table1[[#This Row],[Age]]&lt;=25,"23-25",IF(Table1[[#This Row],[Age]]&lt;=28,"26-28","29-30")))</f>
        <v>23-25</v>
      </c>
      <c r="F556" s="12">
        <v>4.7699999999999996</v>
      </c>
      <c r="G556" s="12">
        <v>3.57</v>
      </c>
      <c r="H556" s="12">
        <v>4.21</v>
      </c>
      <c r="I556" s="12">
        <v>4.5199999999999996</v>
      </c>
      <c r="J556" s="12">
        <v>4.21</v>
      </c>
      <c r="K556" s="12">
        <v>4.33</v>
      </c>
      <c r="L556" s="12">
        <v>3.83</v>
      </c>
      <c r="M556" s="12">
        <v>4.16</v>
      </c>
      <c r="N556" s="12">
        <v>4.3099999999999996</v>
      </c>
      <c r="O556" s="12">
        <v>4.21</v>
      </c>
      <c r="P556" s="12">
        <f t="shared" si="49"/>
        <v>4.2560000000000002</v>
      </c>
      <c r="Q556" s="12">
        <f t="shared" si="50"/>
        <v>4.26</v>
      </c>
      <c r="R556" s="12">
        <f t="shared" si="51"/>
        <v>4.1680000000000001</v>
      </c>
      <c r="S556" s="28">
        <f>IFERROR(INDEX('Clean Gamification Data'!$B:$B,MATCH($B556,'Clean Gamification Data'!$A:$A,0)),"Not Found")</f>
        <v>83.411059210000005</v>
      </c>
      <c r="T556" s="28">
        <f>IFERROR(INDEX('Clean Gamification Data'!$C:$C,MATCH($B556,'Clean Gamification Data'!$A:$A,0)),"Not Found")</f>
        <v>75.853899839999997</v>
      </c>
      <c r="U556" s="28">
        <f>IFERROR(INDEX('Clean Gamification Data'!$D:$D,MATCH($B556,'Clean Gamification Data'!$A:$A,0)),"Not Found")</f>
        <v>88.284554499999999</v>
      </c>
      <c r="V556" s="28">
        <f>IFERROR(INDEX('Clean Gamification Data'!$E:$E,MATCH($B556,'Clean Gamification Data'!$A:$A,0)),"Not Found")</f>
        <v>69.826734759999994</v>
      </c>
      <c r="W556" s="28">
        <f>IFERROR(INDEX('Clean Gamification Data'!$F:$F,MATCH($B556,'Clean Gamification Data'!$A:$A,0)),"Not Found")</f>
        <v>82.015898890000003</v>
      </c>
      <c r="X556" s="28">
        <f>IFERROR(INDEX('Clean Gamification Data'!$G:$G,MATCH($B556,'Clean Gamification Data'!$A:$A,0)),"Not Found")</f>
        <v>75.542179540000006</v>
      </c>
      <c r="Y556" s="28">
        <f>IFERROR(INDEX('Clean Gamification Data'!$H:$H,MATCH($B556,'Clean Gamification Data'!$A:$A,0)),"Not Found")</f>
        <v>66.358551230000003</v>
      </c>
      <c r="Z556" s="28">
        <f>IFERROR(INDEX('Clean Gamification Data'!$I:$I,MATCH($B556,'Clean Gamification Data'!$A:$A,0)),"Not Found")</f>
        <v>59.512893609999999</v>
      </c>
      <c r="AA556" s="28">
        <f>Table1[[#This Row],[Engagement (Gamification %)]]-Table1[[#This Row],[Engagement (Non-Gamification %)]]</f>
        <v>7.5571593700000079</v>
      </c>
      <c r="AB556" s="28">
        <f>Table1[[#This Row],[Motivation (Gamification %)]]-Table1[[#This Row],[Motivation (Non-Gamification %)]]</f>
        <v>18.457819740000005</v>
      </c>
      <c r="AC556" s="28">
        <f>Table1[[#This Row],[Participation (Gamification %)]]-Table1[[#This Row],[Participation (Non-Gamification %)]]</f>
        <v>6.4737193499999961</v>
      </c>
      <c r="AD556" s="28">
        <f>Table1[[#This Row],[Learning Outcomes (Gamification %)]]-Table1[[#This Row],[Learning Outcomes (Non-Gamification %)]]</f>
        <v>6.8456576200000043</v>
      </c>
      <c r="AE556" s="44" t="str">
        <f>IF(Table1[[#This Row],[Overall Effectiveness]]&lt;3.9,"Low",IF(Table1[[#This Row],[Overall Effectiveness]]&lt;4.2,"Medium","High"))</f>
        <v>High</v>
      </c>
      <c r="AF556" s="30" t="str">
        <f t="shared" si="52"/>
        <v>Lectures</v>
      </c>
      <c r="AG556" s="30" t="str">
        <f t="shared" si="53"/>
        <v>Lectures</v>
      </c>
      <c r="AH556" s="27">
        <f>COUNTIF(Teacher_Master!$D$2:$D$16,AF556)</f>
        <v>3</v>
      </c>
      <c r="AI556" s="30" t="str">
        <f>INDEX(Teacher_Master!$B$2:$B$16,MATCH(AF556,Teacher_Master!$D$2:$D$16,0))</f>
        <v>Prof. Vikram Gupta</v>
      </c>
    </row>
    <row r="557" spans="1:35" ht="14.25" customHeight="1" x14ac:dyDescent="0.3">
      <c r="A557" s="31" t="s">
        <v>1142</v>
      </c>
      <c r="B557" s="31" t="s">
        <v>2473</v>
      </c>
      <c r="C557" s="31" t="s">
        <v>2882</v>
      </c>
      <c r="D557" s="12">
        <f t="shared" ca="1" si="48"/>
        <v>22</v>
      </c>
      <c r="E557" s="12" t="str">
        <f ca="1">IF(Table1[[#This Row],[Age]]&lt;=22,"20-22",IF(Table1[[#This Row],[Age]]&lt;=25,"23-25",IF(Table1[[#This Row],[Age]]&lt;=28,"26-28","29-30")))</f>
        <v>20-22</v>
      </c>
      <c r="F557" s="12">
        <v>4.4400000000000004</v>
      </c>
      <c r="G557" s="12">
        <v>4.08</v>
      </c>
      <c r="H557" s="12">
        <v>4.16</v>
      </c>
      <c r="I557" s="12">
        <v>3.32</v>
      </c>
      <c r="J557" s="12">
        <v>4.22</v>
      </c>
      <c r="K557" s="12">
        <v>3.72</v>
      </c>
      <c r="L557" s="12">
        <v>4.08</v>
      </c>
      <c r="M557" s="12">
        <v>4.26</v>
      </c>
      <c r="N557" s="12">
        <v>4.5999999999999996</v>
      </c>
      <c r="O557" s="12">
        <v>3.86</v>
      </c>
      <c r="P557" s="12">
        <f t="shared" si="49"/>
        <v>4.0439999999999996</v>
      </c>
      <c r="Q557" s="12">
        <f t="shared" si="50"/>
        <v>4.04</v>
      </c>
      <c r="R557" s="12">
        <f t="shared" si="51"/>
        <v>4.1040000000000001</v>
      </c>
      <c r="S557" s="28">
        <f>IFERROR(INDEX('Clean Gamification Data'!$B:$B,MATCH($B557,'Clean Gamification Data'!$A:$A,0)),"Not Found")</f>
        <v>78.526476669999994</v>
      </c>
      <c r="T557" s="28">
        <f>IFERROR(INDEX('Clean Gamification Data'!$C:$C,MATCH($B557,'Clean Gamification Data'!$A:$A,0)),"Not Found")</f>
        <v>63.817782360000002</v>
      </c>
      <c r="U557" s="28">
        <f>IFERROR(INDEX('Clean Gamification Data'!$D:$D,MATCH($B557,'Clean Gamification Data'!$A:$A,0)),"Not Found")</f>
        <v>87.88336323</v>
      </c>
      <c r="V557" s="28">
        <f>IFERROR(INDEX('Clean Gamification Data'!$E:$E,MATCH($B557,'Clean Gamification Data'!$A:$A,0)),"Not Found")</f>
        <v>67.043344730000001</v>
      </c>
      <c r="W557" s="28">
        <f>IFERROR(INDEX('Clean Gamification Data'!$F:$F,MATCH($B557,'Clean Gamification Data'!$A:$A,0)),"Not Found")</f>
        <v>86.701459610000001</v>
      </c>
      <c r="X557" s="28">
        <f>IFERROR(INDEX('Clean Gamification Data'!$G:$G,MATCH($B557,'Clean Gamification Data'!$A:$A,0)),"Not Found")</f>
        <v>71.493047709999999</v>
      </c>
      <c r="Y557" s="28">
        <f>IFERROR(INDEX('Clean Gamification Data'!$H:$H,MATCH($B557,'Clean Gamification Data'!$A:$A,0)),"Not Found")</f>
        <v>72.320599709999996</v>
      </c>
      <c r="Z557" s="28">
        <f>IFERROR(INDEX('Clean Gamification Data'!$I:$I,MATCH($B557,'Clean Gamification Data'!$A:$A,0)),"Not Found")</f>
        <v>57.057927810000002</v>
      </c>
      <c r="AA557" s="28">
        <f>Table1[[#This Row],[Engagement (Gamification %)]]-Table1[[#This Row],[Engagement (Non-Gamification %)]]</f>
        <v>14.708694309999991</v>
      </c>
      <c r="AB557" s="28">
        <f>Table1[[#This Row],[Motivation (Gamification %)]]-Table1[[#This Row],[Motivation (Non-Gamification %)]]</f>
        <v>20.840018499999999</v>
      </c>
      <c r="AC557" s="28">
        <f>Table1[[#This Row],[Participation (Gamification %)]]-Table1[[#This Row],[Participation (Non-Gamification %)]]</f>
        <v>15.208411900000002</v>
      </c>
      <c r="AD557" s="28">
        <f>Table1[[#This Row],[Learning Outcomes (Gamification %)]]-Table1[[#This Row],[Learning Outcomes (Non-Gamification %)]]</f>
        <v>15.262671899999994</v>
      </c>
      <c r="AE557" s="44" t="str">
        <f>IF(Table1[[#This Row],[Overall Effectiveness]]&lt;3.9,"Low",IF(Table1[[#This Row],[Overall Effectiveness]]&lt;4.2,"Medium","High"))</f>
        <v>Medium</v>
      </c>
      <c r="AF557" s="30" t="str">
        <f t="shared" si="52"/>
        <v>Lectures</v>
      </c>
      <c r="AG557" s="30" t="str">
        <f t="shared" si="53"/>
        <v>Experiments</v>
      </c>
      <c r="AH557" s="27">
        <f>COUNTIF(Teacher_Master!$D$2:$D$16,AF557)</f>
        <v>3</v>
      </c>
      <c r="AI557" s="30" t="str">
        <f>INDEX(Teacher_Master!$B$2:$B$16,MATCH(AF557,Teacher_Master!$D$2:$D$16,0))</f>
        <v>Prof. Vikram Gupta</v>
      </c>
    </row>
    <row r="558" spans="1:35" ht="14.25" customHeight="1" x14ac:dyDescent="0.3">
      <c r="A558" s="31" t="s">
        <v>1144</v>
      </c>
      <c r="B558" s="31" t="s">
        <v>2474</v>
      </c>
      <c r="C558" s="31" t="s">
        <v>2882</v>
      </c>
      <c r="D558" s="12">
        <f t="shared" ca="1" si="48"/>
        <v>27</v>
      </c>
      <c r="E558" s="12" t="str">
        <f ca="1">IF(Table1[[#This Row],[Age]]&lt;=22,"20-22",IF(Table1[[#This Row],[Age]]&lt;=25,"23-25",IF(Table1[[#This Row],[Age]]&lt;=28,"26-28","29-30")))</f>
        <v>26-28</v>
      </c>
      <c r="F558" s="12">
        <v>4.04</v>
      </c>
      <c r="G558" s="12">
        <v>3.74</v>
      </c>
      <c r="H558" s="12">
        <v>3.85</v>
      </c>
      <c r="I558" s="12">
        <v>4.1399999999999997</v>
      </c>
      <c r="J558" s="12">
        <v>4.18</v>
      </c>
      <c r="K558" s="12">
        <v>4.63</v>
      </c>
      <c r="L558" s="12">
        <v>4.0199999999999996</v>
      </c>
      <c r="M558" s="12">
        <v>3.84</v>
      </c>
      <c r="N558" s="12">
        <v>4.29</v>
      </c>
      <c r="O558" s="12">
        <v>4.5599999999999996</v>
      </c>
      <c r="P558" s="12">
        <f t="shared" si="49"/>
        <v>3.9899999999999998</v>
      </c>
      <c r="Q558" s="12">
        <f t="shared" si="50"/>
        <v>3.99</v>
      </c>
      <c r="R558" s="12">
        <f t="shared" si="51"/>
        <v>4.2679999999999989</v>
      </c>
      <c r="S558" s="28">
        <f>IFERROR(INDEX('Clean Gamification Data'!$B:$B,MATCH($B558,'Clean Gamification Data'!$A:$A,0)),"Not Found")</f>
        <v>81.119862060000003</v>
      </c>
      <c r="T558" s="28">
        <f>IFERROR(INDEX('Clean Gamification Data'!$C:$C,MATCH($B558,'Clean Gamification Data'!$A:$A,0)),"Not Found")</f>
        <v>60</v>
      </c>
      <c r="U558" s="28">
        <f>IFERROR(INDEX('Clean Gamification Data'!$D:$D,MATCH($B558,'Clean Gamification Data'!$A:$A,0)),"Not Found")</f>
        <v>73.213434019999994</v>
      </c>
      <c r="V558" s="28">
        <f>IFERROR(INDEX('Clean Gamification Data'!$E:$E,MATCH($B558,'Clean Gamification Data'!$A:$A,0)),"Not Found")</f>
        <v>67.845231940000005</v>
      </c>
      <c r="W558" s="28">
        <f>IFERROR(INDEX('Clean Gamification Data'!$F:$F,MATCH($B558,'Clean Gamification Data'!$A:$A,0)),"Not Found")</f>
        <v>97.094916049999995</v>
      </c>
      <c r="X558" s="28">
        <f>IFERROR(INDEX('Clean Gamification Data'!$G:$G,MATCH($B558,'Clean Gamification Data'!$A:$A,0)),"Not Found")</f>
        <v>85</v>
      </c>
      <c r="Y558" s="28">
        <f>IFERROR(INDEX('Clean Gamification Data'!$H:$H,MATCH($B558,'Clean Gamification Data'!$A:$A,0)),"Not Found")</f>
        <v>76.304555190000002</v>
      </c>
      <c r="Z558" s="28">
        <f>IFERROR(INDEX('Clean Gamification Data'!$I:$I,MATCH($B558,'Clean Gamification Data'!$A:$A,0)),"Not Found")</f>
        <v>65.660774959999998</v>
      </c>
      <c r="AA558" s="28">
        <f>Table1[[#This Row],[Engagement (Gamification %)]]-Table1[[#This Row],[Engagement (Non-Gamification %)]]</f>
        <v>21.119862060000003</v>
      </c>
      <c r="AB558" s="28">
        <f>Table1[[#This Row],[Motivation (Gamification %)]]-Table1[[#This Row],[Motivation (Non-Gamification %)]]</f>
        <v>5.368202079999989</v>
      </c>
      <c r="AC558" s="28">
        <f>Table1[[#This Row],[Participation (Gamification %)]]-Table1[[#This Row],[Participation (Non-Gamification %)]]</f>
        <v>12.094916049999995</v>
      </c>
      <c r="AD558" s="28">
        <f>Table1[[#This Row],[Learning Outcomes (Gamification %)]]-Table1[[#This Row],[Learning Outcomes (Non-Gamification %)]]</f>
        <v>10.643780230000004</v>
      </c>
      <c r="AE558" s="44" t="str">
        <f>IF(Table1[[#This Row],[Overall Effectiveness]]&lt;3.9,"Low",IF(Table1[[#This Row],[Overall Effectiveness]]&lt;4.2,"Medium","High"))</f>
        <v>Medium</v>
      </c>
      <c r="AF558" s="30" t="str">
        <f t="shared" si="52"/>
        <v>Online Tutorials</v>
      </c>
      <c r="AG558" s="30" t="str">
        <f t="shared" si="53"/>
        <v>Lectures</v>
      </c>
      <c r="AH558" s="27">
        <f>COUNTIF(Teacher_Master!$D$2:$D$16,AF558)</f>
        <v>3</v>
      </c>
      <c r="AI558" s="30" t="str">
        <f>INDEX(Teacher_Master!$B$2:$B$16,MATCH(AF558,Teacher_Master!$D$2:$D$16,0))</f>
        <v>Prof. Kavita Rao</v>
      </c>
    </row>
    <row r="559" spans="1:35" ht="14.25" customHeight="1" x14ac:dyDescent="0.3">
      <c r="A559" s="31" t="s">
        <v>1146</v>
      </c>
      <c r="B559" s="31" t="s">
        <v>2475</v>
      </c>
      <c r="C559" s="31" t="s">
        <v>2881</v>
      </c>
      <c r="D559" s="12">
        <f t="shared" ca="1" si="48"/>
        <v>20</v>
      </c>
      <c r="E559" s="12" t="str">
        <f ca="1">IF(Table1[[#This Row],[Age]]&lt;=22,"20-22",IF(Table1[[#This Row],[Age]]&lt;=25,"23-25",IF(Table1[[#This Row],[Age]]&lt;=28,"26-28","29-30")))</f>
        <v>20-22</v>
      </c>
      <c r="F559" s="12">
        <v>4.28</v>
      </c>
      <c r="G559" s="12">
        <v>4.01</v>
      </c>
      <c r="H559" s="12">
        <v>3.82</v>
      </c>
      <c r="I559" s="12">
        <v>4.12</v>
      </c>
      <c r="J559" s="12">
        <v>3.65</v>
      </c>
      <c r="K559" s="12">
        <v>3.82</v>
      </c>
      <c r="L559" s="12" t="s">
        <v>211</v>
      </c>
      <c r="M559" s="12">
        <v>4.2300000000000004</v>
      </c>
      <c r="N559" s="12">
        <v>4.6500000000000004</v>
      </c>
      <c r="O559" s="12">
        <v>3.42</v>
      </c>
      <c r="P559" s="12">
        <f t="shared" si="49"/>
        <v>3.976</v>
      </c>
      <c r="Q559" s="12">
        <f t="shared" si="50"/>
        <v>3.98</v>
      </c>
      <c r="R559" s="12">
        <f t="shared" si="51"/>
        <v>4.03</v>
      </c>
      <c r="S559" s="28">
        <f>IFERROR(INDEX('Clean Gamification Data'!$B:$B,MATCH($B559,'Clean Gamification Data'!$A:$A,0)),"Not Found")</f>
        <v>93.491381329999996</v>
      </c>
      <c r="T559" s="28">
        <f>IFERROR(INDEX('Clean Gamification Data'!$C:$C,MATCH($B559,'Clean Gamification Data'!$A:$A,0)),"Not Found")</f>
        <v>60</v>
      </c>
      <c r="U559" s="28">
        <f>IFERROR(INDEX('Clean Gamification Data'!$D:$D,MATCH($B559,'Clean Gamification Data'!$A:$A,0)),"Not Found")</f>
        <v>78.345786009999998</v>
      </c>
      <c r="V559" s="28">
        <f>IFERROR(INDEX('Clean Gamification Data'!$E:$E,MATCH($B559,'Clean Gamification Data'!$A:$A,0)),"Not Found")</f>
        <v>58.073023999999997</v>
      </c>
      <c r="W559" s="28">
        <f>IFERROR(INDEX('Clean Gamification Data'!$F:$F,MATCH($B559,'Clean Gamification Data'!$A:$A,0)),"Not Found")</f>
        <v>91.610654289999999</v>
      </c>
      <c r="X559" s="28">
        <f>IFERROR(INDEX('Clean Gamification Data'!$G:$G,MATCH($B559,'Clean Gamification Data'!$A:$A,0)),"Not Found")</f>
        <v>83.201869590000001</v>
      </c>
      <c r="Y559" s="28">
        <f>IFERROR(INDEX('Clean Gamification Data'!$H:$H,MATCH($B559,'Clean Gamification Data'!$A:$A,0)),"Not Found")</f>
        <v>70.361492089999999</v>
      </c>
      <c r="Z559" s="28">
        <f>IFERROR(INDEX('Clean Gamification Data'!$I:$I,MATCH($B559,'Clean Gamification Data'!$A:$A,0)),"Not Found")</f>
        <v>55.753717790000003</v>
      </c>
      <c r="AA559" s="28">
        <f>Table1[[#This Row],[Engagement (Gamification %)]]-Table1[[#This Row],[Engagement (Non-Gamification %)]]</f>
        <v>33.491381329999996</v>
      </c>
      <c r="AB559" s="28">
        <f>Table1[[#This Row],[Motivation (Gamification %)]]-Table1[[#This Row],[Motivation (Non-Gamification %)]]</f>
        <v>20.272762010000001</v>
      </c>
      <c r="AC559" s="28">
        <f>Table1[[#This Row],[Participation (Gamification %)]]-Table1[[#This Row],[Participation (Non-Gamification %)]]</f>
        <v>8.4087846999999982</v>
      </c>
      <c r="AD559" s="28">
        <f>Table1[[#This Row],[Learning Outcomes (Gamification %)]]-Table1[[#This Row],[Learning Outcomes (Non-Gamification %)]]</f>
        <v>14.607774299999996</v>
      </c>
      <c r="AE559" s="44" t="str">
        <f>IF(Table1[[#This Row],[Overall Effectiveness]]&lt;3.9,"Low",IF(Table1[[#This Row],[Overall Effectiveness]]&lt;4.2,"Medium","High"))</f>
        <v>Medium</v>
      </c>
      <c r="AF559" s="30" t="str">
        <f t="shared" si="52"/>
        <v>Lectures</v>
      </c>
      <c r="AG559" s="30" t="str">
        <f t="shared" si="53"/>
        <v>Experiments</v>
      </c>
      <c r="AH559" s="27">
        <f>COUNTIF(Teacher_Master!$D$2:$D$16,AF559)</f>
        <v>3</v>
      </c>
      <c r="AI559" s="30" t="str">
        <f>INDEX(Teacher_Master!$B$2:$B$16,MATCH(AF559,Teacher_Master!$D$2:$D$16,0))</f>
        <v>Prof. Vikram Gupta</v>
      </c>
    </row>
    <row r="560" spans="1:35" ht="14.25" customHeight="1" x14ac:dyDescent="0.3">
      <c r="A560" s="31" t="s">
        <v>1148</v>
      </c>
      <c r="B560" s="31" t="s">
        <v>2476</v>
      </c>
      <c r="C560" s="31" t="s">
        <v>2882</v>
      </c>
      <c r="D560" s="12">
        <f t="shared" ca="1" si="48"/>
        <v>24</v>
      </c>
      <c r="E560" s="12" t="str">
        <f ca="1">IF(Table1[[#This Row],[Age]]&lt;=22,"20-22",IF(Table1[[#This Row],[Age]]&lt;=25,"23-25",IF(Table1[[#This Row],[Age]]&lt;=28,"26-28","29-30")))</f>
        <v>23-25</v>
      </c>
      <c r="F560" s="12">
        <v>3.94</v>
      </c>
      <c r="G560" s="12">
        <v>3.56</v>
      </c>
      <c r="H560" s="12">
        <v>4.03</v>
      </c>
      <c r="I560" s="12">
        <v>3.8</v>
      </c>
      <c r="J560" s="12">
        <v>4.1399999999999997</v>
      </c>
      <c r="K560" s="12">
        <v>4.1100000000000003</v>
      </c>
      <c r="L560" s="12">
        <v>3.93</v>
      </c>
      <c r="M560" s="12">
        <v>4.25</v>
      </c>
      <c r="N560" s="12">
        <v>4.96</v>
      </c>
      <c r="O560" s="12">
        <v>3.46</v>
      </c>
      <c r="P560" s="12">
        <f t="shared" si="49"/>
        <v>3.8940000000000006</v>
      </c>
      <c r="Q560" s="12">
        <f t="shared" si="50"/>
        <v>3.89</v>
      </c>
      <c r="R560" s="12">
        <f t="shared" si="51"/>
        <v>4.1420000000000003</v>
      </c>
      <c r="S560" s="28">
        <f>IFERROR(INDEX('Clean Gamification Data'!$B:$B,MATCH($B560,'Clean Gamification Data'!$A:$A,0)),"Not Found")</f>
        <v>88.494446530000005</v>
      </c>
      <c r="T560" s="28">
        <f>IFERROR(INDEX('Clean Gamification Data'!$C:$C,MATCH($B560,'Clean Gamification Data'!$A:$A,0)),"Not Found")</f>
        <v>62.655564779999999</v>
      </c>
      <c r="U560" s="28">
        <f>IFERROR(INDEX('Clean Gamification Data'!$D:$D,MATCH($B560,'Clean Gamification Data'!$A:$A,0)),"Not Found")</f>
        <v>80.826921830000003</v>
      </c>
      <c r="V560" s="28">
        <f>IFERROR(INDEX('Clean Gamification Data'!$E:$E,MATCH($B560,'Clean Gamification Data'!$A:$A,0)),"Not Found")</f>
        <v>70.743018680000006</v>
      </c>
      <c r="W560" s="28">
        <f>IFERROR(INDEX('Clean Gamification Data'!$F:$F,MATCH($B560,'Clean Gamification Data'!$A:$A,0)),"Not Found")</f>
        <v>89.875291520000005</v>
      </c>
      <c r="X560" s="28">
        <f>IFERROR(INDEX('Clean Gamification Data'!$G:$G,MATCH($B560,'Clean Gamification Data'!$A:$A,0)),"Not Found")</f>
        <v>67.215405759999996</v>
      </c>
      <c r="Y560" s="28">
        <f>IFERROR(INDEX('Clean Gamification Data'!$H:$H,MATCH($B560,'Clean Gamification Data'!$A:$A,0)),"Not Found")</f>
        <v>70.961710569999994</v>
      </c>
      <c r="Z560" s="28">
        <f>IFERROR(INDEX('Clean Gamification Data'!$I:$I,MATCH($B560,'Clean Gamification Data'!$A:$A,0)),"Not Found")</f>
        <v>61.151781059999998</v>
      </c>
      <c r="AA560" s="28">
        <f>Table1[[#This Row],[Engagement (Gamification %)]]-Table1[[#This Row],[Engagement (Non-Gamification %)]]</f>
        <v>25.838881750000006</v>
      </c>
      <c r="AB560" s="28">
        <f>Table1[[#This Row],[Motivation (Gamification %)]]-Table1[[#This Row],[Motivation (Non-Gamification %)]]</f>
        <v>10.083903149999998</v>
      </c>
      <c r="AC560" s="28">
        <f>Table1[[#This Row],[Participation (Gamification %)]]-Table1[[#This Row],[Participation (Non-Gamification %)]]</f>
        <v>22.659885760000009</v>
      </c>
      <c r="AD560" s="28">
        <f>Table1[[#This Row],[Learning Outcomes (Gamification %)]]-Table1[[#This Row],[Learning Outcomes (Non-Gamification %)]]</f>
        <v>9.8099295099999964</v>
      </c>
      <c r="AE560" s="44" t="str">
        <f>IF(Table1[[#This Row],[Overall Effectiveness]]&lt;3.9,"Low",IF(Table1[[#This Row],[Overall Effectiveness]]&lt;4.2,"Medium","High"))</f>
        <v>Low</v>
      </c>
      <c r="AF560" s="30" t="str">
        <f t="shared" si="52"/>
        <v>Online Tutorials</v>
      </c>
      <c r="AG560" s="30" t="str">
        <f t="shared" si="53"/>
        <v>Experiments</v>
      </c>
      <c r="AH560" s="27">
        <f>COUNTIF(Teacher_Master!$D$2:$D$16,AF560)</f>
        <v>3</v>
      </c>
      <c r="AI560" s="30" t="str">
        <f>INDEX(Teacher_Master!$B$2:$B$16,MATCH(AF560,Teacher_Master!$D$2:$D$16,0))</f>
        <v>Prof. Kavita Rao</v>
      </c>
    </row>
    <row r="561" spans="1:35" ht="14.25" customHeight="1" x14ac:dyDescent="0.3">
      <c r="A561" s="31" t="s">
        <v>1150</v>
      </c>
      <c r="B561" s="31" t="s">
        <v>2477</v>
      </c>
      <c r="C561" s="31" t="s">
        <v>2881</v>
      </c>
      <c r="D561" s="12">
        <f t="shared" ca="1" si="48"/>
        <v>29</v>
      </c>
      <c r="E561" s="12" t="str">
        <f ca="1">IF(Table1[[#This Row],[Age]]&lt;=22,"20-22",IF(Table1[[#This Row],[Age]]&lt;=25,"23-25",IF(Table1[[#This Row],[Age]]&lt;=28,"26-28","29-30")))</f>
        <v>29-30</v>
      </c>
      <c r="F561" s="12">
        <v>4.43</v>
      </c>
      <c r="G561" s="12">
        <v>4.0599999999999996</v>
      </c>
      <c r="H561" s="12">
        <v>3.4</v>
      </c>
      <c r="I561" s="12">
        <v>4.6500000000000004</v>
      </c>
      <c r="J561" s="12">
        <v>3.97</v>
      </c>
      <c r="K561" s="12">
        <v>3.9</v>
      </c>
      <c r="L561" s="12" t="s">
        <v>211</v>
      </c>
      <c r="M561" s="12">
        <v>3.99</v>
      </c>
      <c r="N561" s="12">
        <v>4.13</v>
      </c>
      <c r="O561" s="12">
        <v>4.2300000000000004</v>
      </c>
      <c r="P561" s="12">
        <f t="shared" si="49"/>
        <v>4.1019999999999994</v>
      </c>
      <c r="Q561" s="12">
        <f t="shared" si="50"/>
        <v>4.0999999999999996</v>
      </c>
      <c r="R561" s="12">
        <f t="shared" si="51"/>
        <v>4.0625</v>
      </c>
      <c r="S561" s="28">
        <f>IFERROR(INDEX('Clean Gamification Data'!$B:$B,MATCH($B561,'Clean Gamification Data'!$A:$A,0)),"Not Found")</f>
        <v>94.526643309999997</v>
      </c>
      <c r="T561" s="28">
        <f>IFERROR(INDEX('Clean Gamification Data'!$C:$C,MATCH($B561,'Clean Gamification Data'!$A:$A,0)),"Not Found")</f>
        <v>60.49836328</v>
      </c>
      <c r="U561" s="28">
        <f>IFERROR(INDEX('Clean Gamification Data'!$D:$D,MATCH($B561,'Clean Gamification Data'!$A:$A,0)),"Not Found")</f>
        <v>75.802686109999996</v>
      </c>
      <c r="V561" s="28">
        <f>IFERROR(INDEX('Clean Gamification Data'!$E:$E,MATCH($B561,'Clean Gamification Data'!$A:$A,0)),"Not Found")</f>
        <v>58.649569720000002</v>
      </c>
      <c r="W561" s="28">
        <f>IFERROR(INDEX('Clean Gamification Data'!$F:$F,MATCH($B561,'Clean Gamification Data'!$A:$A,0)),"Not Found")</f>
        <v>92.780363010000002</v>
      </c>
      <c r="X561" s="28">
        <f>IFERROR(INDEX('Clean Gamification Data'!$G:$G,MATCH($B561,'Clean Gamification Data'!$A:$A,0)),"Not Found")</f>
        <v>79.645070700000005</v>
      </c>
      <c r="Y561" s="28">
        <f>IFERROR(INDEX('Clean Gamification Data'!$H:$H,MATCH($B561,'Clean Gamification Data'!$A:$A,0)),"Not Found")</f>
        <v>71.538825810000006</v>
      </c>
      <c r="Z561" s="28">
        <f>IFERROR(INDEX('Clean Gamification Data'!$I:$I,MATCH($B561,'Clean Gamification Data'!$A:$A,0)),"Not Found")</f>
        <v>59.26841718</v>
      </c>
      <c r="AA561" s="28">
        <f>Table1[[#This Row],[Engagement (Gamification %)]]-Table1[[#This Row],[Engagement (Non-Gamification %)]]</f>
        <v>34.028280029999998</v>
      </c>
      <c r="AB561" s="28">
        <f>Table1[[#This Row],[Motivation (Gamification %)]]-Table1[[#This Row],[Motivation (Non-Gamification %)]]</f>
        <v>17.153116389999994</v>
      </c>
      <c r="AC561" s="28">
        <f>Table1[[#This Row],[Participation (Gamification %)]]-Table1[[#This Row],[Participation (Non-Gamification %)]]</f>
        <v>13.135292309999997</v>
      </c>
      <c r="AD561" s="28">
        <f>Table1[[#This Row],[Learning Outcomes (Gamification %)]]-Table1[[#This Row],[Learning Outcomes (Non-Gamification %)]]</f>
        <v>12.270408630000006</v>
      </c>
      <c r="AE561" s="44" t="str">
        <f>IF(Table1[[#This Row],[Overall Effectiveness]]&lt;3.9,"Low",IF(Table1[[#This Row],[Overall Effectiveness]]&lt;4.2,"Medium","High"))</f>
        <v>Medium</v>
      </c>
      <c r="AF561" s="30" t="str">
        <f t="shared" si="52"/>
        <v>Experiments</v>
      </c>
      <c r="AG561" s="30" t="str">
        <f t="shared" si="53"/>
        <v>Online Tutorials</v>
      </c>
      <c r="AH561" s="27">
        <f>COUNTIF(Teacher_Master!$D$2:$D$16,AF561)</f>
        <v>3</v>
      </c>
      <c r="AI561" s="30" t="str">
        <f>INDEX(Teacher_Master!$B$2:$B$16,MATCH(AF561,Teacher_Master!$D$2:$D$16,0))</f>
        <v>Prof. Rahul Singh</v>
      </c>
    </row>
    <row r="562" spans="1:35" ht="14.25" customHeight="1" x14ac:dyDescent="0.3">
      <c r="A562" s="31" t="s">
        <v>1152</v>
      </c>
      <c r="B562" s="31" t="s">
        <v>2478</v>
      </c>
      <c r="C562" s="31" t="s">
        <v>2882</v>
      </c>
      <c r="D562" s="12">
        <f t="shared" ca="1" si="48"/>
        <v>29</v>
      </c>
      <c r="E562" s="12" t="str">
        <f ca="1">IF(Table1[[#This Row],[Age]]&lt;=22,"20-22",IF(Table1[[#This Row],[Age]]&lt;=25,"23-25",IF(Table1[[#This Row],[Age]]&lt;=28,"26-28","29-30")))</f>
        <v>29-30</v>
      </c>
      <c r="F562" s="12">
        <v>4.17</v>
      </c>
      <c r="G562" s="12" t="s">
        <v>211</v>
      </c>
      <c r="H562" s="12">
        <v>3.89</v>
      </c>
      <c r="I562" s="12">
        <v>4.41</v>
      </c>
      <c r="J562" s="12">
        <v>4.1500000000000004</v>
      </c>
      <c r="K562" s="12">
        <v>4.17</v>
      </c>
      <c r="L562" s="12">
        <v>4.21</v>
      </c>
      <c r="M562" s="12">
        <v>4.0999999999999996</v>
      </c>
      <c r="N562" s="12">
        <v>4.47</v>
      </c>
      <c r="O562" s="12">
        <v>3.61</v>
      </c>
      <c r="P562" s="12">
        <f t="shared" si="49"/>
        <v>4.1550000000000002</v>
      </c>
      <c r="Q562" s="12">
        <f t="shared" si="50"/>
        <v>4.16</v>
      </c>
      <c r="R562" s="12">
        <f t="shared" si="51"/>
        <v>4.1120000000000001</v>
      </c>
      <c r="S562" s="28">
        <f>IFERROR(INDEX('Clean Gamification Data'!$B:$B,MATCH($B562,'Clean Gamification Data'!$A:$A,0)),"Not Found")</f>
        <v>83.925884719999999</v>
      </c>
      <c r="T562" s="28">
        <f>IFERROR(INDEX('Clean Gamification Data'!$C:$C,MATCH($B562,'Clean Gamification Data'!$A:$A,0)),"Not Found")</f>
        <v>71.124043839999999</v>
      </c>
      <c r="U562" s="28">
        <f>IFERROR(INDEX('Clean Gamification Data'!$D:$D,MATCH($B562,'Clean Gamification Data'!$A:$A,0)),"Not Found")</f>
        <v>80.302806290000007</v>
      </c>
      <c r="V562" s="28">
        <f>IFERROR(INDEX('Clean Gamification Data'!$E:$E,MATCH($B562,'Clean Gamification Data'!$A:$A,0)),"Not Found")</f>
        <v>68.242565049999996</v>
      </c>
      <c r="W562" s="28">
        <f>IFERROR(INDEX('Clean Gamification Data'!$F:$F,MATCH($B562,'Clean Gamification Data'!$A:$A,0)),"Not Found")</f>
        <v>99.9</v>
      </c>
      <c r="X562" s="28">
        <f>IFERROR(INDEX('Clean Gamification Data'!$G:$G,MATCH($B562,'Clean Gamification Data'!$A:$A,0)),"Not Found")</f>
        <v>77.691929540000004</v>
      </c>
      <c r="Y562" s="28">
        <f>IFERROR(INDEX('Clean Gamification Data'!$H:$H,MATCH($B562,'Clean Gamification Data'!$A:$A,0)),"Not Found")</f>
        <v>68.397875659999997</v>
      </c>
      <c r="Z562" s="28">
        <f>IFERROR(INDEX('Clean Gamification Data'!$I:$I,MATCH($B562,'Clean Gamification Data'!$A:$A,0)),"Not Found")</f>
        <v>56.757742880000002</v>
      </c>
      <c r="AA562" s="28">
        <f>Table1[[#This Row],[Engagement (Gamification %)]]-Table1[[#This Row],[Engagement (Non-Gamification %)]]</f>
        <v>12.80184088</v>
      </c>
      <c r="AB562" s="28">
        <f>Table1[[#This Row],[Motivation (Gamification %)]]-Table1[[#This Row],[Motivation (Non-Gamification %)]]</f>
        <v>12.060241240000011</v>
      </c>
      <c r="AC562" s="28">
        <f>Table1[[#This Row],[Participation (Gamification %)]]-Table1[[#This Row],[Participation (Non-Gamification %)]]</f>
        <v>22.208070460000002</v>
      </c>
      <c r="AD562" s="28">
        <f>Table1[[#This Row],[Learning Outcomes (Gamification %)]]-Table1[[#This Row],[Learning Outcomes (Non-Gamification %)]]</f>
        <v>11.640132779999995</v>
      </c>
      <c r="AE562" s="44" t="str">
        <f>IF(Table1[[#This Row],[Overall Effectiveness]]&lt;3.9,"Low",IF(Table1[[#This Row],[Overall Effectiveness]]&lt;4.2,"Medium","High"))</f>
        <v>Medium</v>
      </c>
      <c r="AF562" s="30" t="str">
        <f t="shared" si="52"/>
        <v>Experiments</v>
      </c>
      <c r="AG562" s="30" t="str">
        <f t="shared" si="53"/>
        <v>Experiments</v>
      </c>
      <c r="AH562" s="27">
        <f>COUNTIF(Teacher_Master!$D$2:$D$16,AF562)</f>
        <v>3</v>
      </c>
      <c r="AI562" s="30" t="str">
        <f>INDEX(Teacher_Master!$B$2:$B$16,MATCH(AF562,Teacher_Master!$D$2:$D$16,0))</f>
        <v>Prof. Rahul Singh</v>
      </c>
    </row>
    <row r="563" spans="1:35" ht="14.25" customHeight="1" x14ac:dyDescent="0.3">
      <c r="A563" s="31" t="s">
        <v>1154</v>
      </c>
      <c r="B563" s="31" t="s">
        <v>2479</v>
      </c>
      <c r="C563" s="31" t="s">
        <v>2882</v>
      </c>
      <c r="D563" s="12">
        <f t="shared" ca="1" si="48"/>
        <v>25</v>
      </c>
      <c r="E563" s="12" t="str">
        <f ca="1">IF(Table1[[#This Row],[Age]]&lt;=22,"20-22",IF(Table1[[#This Row],[Age]]&lt;=25,"23-25",IF(Table1[[#This Row],[Age]]&lt;=28,"26-28","29-30")))</f>
        <v>23-25</v>
      </c>
      <c r="F563" s="12">
        <v>3.92</v>
      </c>
      <c r="G563" s="12">
        <v>4.6900000000000004</v>
      </c>
      <c r="H563" s="12" t="s">
        <v>211</v>
      </c>
      <c r="I563" s="12">
        <v>3.7</v>
      </c>
      <c r="J563" s="12">
        <v>4.03</v>
      </c>
      <c r="K563" s="12">
        <v>4.33</v>
      </c>
      <c r="L563" s="12">
        <v>4.2699999999999996</v>
      </c>
      <c r="M563" s="12">
        <v>3.88</v>
      </c>
      <c r="N563" s="12">
        <v>4.59</v>
      </c>
      <c r="O563" s="12">
        <v>4.03</v>
      </c>
      <c r="P563" s="12">
        <f t="shared" si="49"/>
        <v>4.085</v>
      </c>
      <c r="Q563" s="12">
        <f t="shared" si="50"/>
        <v>4.09</v>
      </c>
      <c r="R563" s="12">
        <f t="shared" si="51"/>
        <v>4.2200000000000006</v>
      </c>
      <c r="S563" s="28">
        <f>IFERROR(INDEX('Clean Gamification Data'!$B:$B,MATCH($B563,'Clean Gamification Data'!$A:$A,0)),"Not Found")</f>
        <v>89.031904130000001</v>
      </c>
      <c r="T563" s="28">
        <f>IFERROR(INDEX('Clean Gamification Data'!$C:$C,MATCH($B563,'Clean Gamification Data'!$A:$A,0)),"Not Found")</f>
        <v>61.594490909999998</v>
      </c>
      <c r="U563" s="28">
        <f>IFERROR(INDEX('Clean Gamification Data'!$D:$D,MATCH($B563,'Clean Gamification Data'!$A:$A,0)),"Not Found")</f>
        <v>70</v>
      </c>
      <c r="V563" s="28">
        <f>IFERROR(INDEX('Clean Gamification Data'!$E:$E,MATCH($B563,'Clean Gamification Data'!$A:$A,0)),"Not Found")</f>
        <v>56.866455909999999</v>
      </c>
      <c r="W563" s="28">
        <f>IFERROR(INDEX('Clean Gamification Data'!$F:$F,MATCH($B563,'Clean Gamification Data'!$A:$A,0)),"Not Found")</f>
        <v>88.322317659999996</v>
      </c>
      <c r="X563" s="28">
        <f>IFERROR(INDEX('Clean Gamification Data'!$G:$G,MATCH($B563,'Clean Gamification Data'!$A:$A,0)),"Not Found")</f>
        <v>81.042572100000001</v>
      </c>
      <c r="Y563" s="28">
        <f>IFERROR(INDEX('Clean Gamification Data'!$H:$H,MATCH($B563,'Clean Gamification Data'!$A:$A,0)),"Not Found")</f>
        <v>71.661277909999995</v>
      </c>
      <c r="Z563" s="28">
        <f>IFERROR(INDEX('Clean Gamification Data'!$I:$I,MATCH($B563,'Clean Gamification Data'!$A:$A,0)),"Not Found")</f>
        <v>67.554316380000003</v>
      </c>
      <c r="AA563" s="28">
        <f>Table1[[#This Row],[Engagement (Gamification %)]]-Table1[[#This Row],[Engagement (Non-Gamification %)]]</f>
        <v>27.437413220000003</v>
      </c>
      <c r="AB563" s="28">
        <f>Table1[[#This Row],[Motivation (Gamification %)]]-Table1[[#This Row],[Motivation (Non-Gamification %)]]</f>
        <v>13.133544090000001</v>
      </c>
      <c r="AC563" s="28">
        <f>Table1[[#This Row],[Participation (Gamification %)]]-Table1[[#This Row],[Participation (Non-Gamification %)]]</f>
        <v>7.279745559999995</v>
      </c>
      <c r="AD563" s="28">
        <f>Table1[[#This Row],[Learning Outcomes (Gamification %)]]-Table1[[#This Row],[Learning Outcomes (Non-Gamification %)]]</f>
        <v>4.1069615299999924</v>
      </c>
      <c r="AE563" s="44" t="str">
        <f>IF(Table1[[#This Row],[Overall Effectiveness]]&lt;3.9,"Low",IF(Table1[[#This Row],[Overall Effectiveness]]&lt;4.2,"Medium","High"))</f>
        <v>Medium</v>
      </c>
      <c r="AF563" s="30" t="str">
        <f t="shared" si="52"/>
        <v>Case Studies</v>
      </c>
      <c r="AG563" s="30" t="str">
        <f t="shared" si="53"/>
        <v>Experiments</v>
      </c>
      <c r="AH563" s="27">
        <f>COUNTIF(Teacher_Master!$D$2:$D$16,AF563)</f>
        <v>3</v>
      </c>
      <c r="AI563" s="30" t="str">
        <f>INDEX(Teacher_Master!$B$2:$B$16,MATCH(AF563,Teacher_Master!$D$2:$D$16,0))</f>
        <v>Prof. Rajesh Mukherjee</v>
      </c>
    </row>
    <row r="564" spans="1:35" ht="14.25" customHeight="1" x14ac:dyDescent="0.3">
      <c r="A564" s="31" t="s">
        <v>1156</v>
      </c>
      <c r="B564" s="31" t="s">
        <v>2480</v>
      </c>
      <c r="C564" s="31" t="s">
        <v>2881</v>
      </c>
      <c r="D564" s="12">
        <f t="shared" ca="1" si="48"/>
        <v>26</v>
      </c>
      <c r="E564" s="12" t="str">
        <f ca="1">IF(Table1[[#This Row],[Age]]&lt;=22,"20-22",IF(Table1[[#This Row],[Age]]&lt;=25,"23-25",IF(Table1[[#This Row],[Age]]&lt;=28,"26-28","29-30")))</f>
        <v>26-28</v>
      </c>
      <c r="F564" s="12">
        <v>4.22</v>
      </c>
      <c r="G564" s="12">
        <v>4.1100000000000003</v>
      </c>
      <c r="H564" s="12">
        <v>4.0599999999999996</v>
      </c>
      <c r="I564" s="12">
        <v>4.1399999999999997</v>
      </c>
      <c r="J564" s="12" t="s">
        <v>211</v>
      </c>
      <c r="K564" s="12">
        <v>4.55</v>
      </c>
      <c r="L564" s="12">
        <v>3.09</v>
      </c>
      <c r="M564" s="12">
        <v>4.46</v>
      </c>
      <c r="N564" s="12">
        <v>4.13</v>
      </c>
      <c r="O564" s="12">
        <v>4.01</v>
      </c>
      <c r="P564" s="12">
        <f t="shared" si="49"/>
        <v>4.1325000000000003</v>
      </c>
      <c r="Q564" s="12">
        <f t="shared" si="50"/>
        <v>4.13</v>
      </c>
      <c r="R564" s="12">
        <f t="shared" si="51"/>
        <v>4.048</v>
      </c>
      <c r="S564" s="28">
        <f>IFERROR(INDEX('Clean Gamification Data'!$B:$B,MATCH($B564,'Clean Gamification Data'!$A:$A,0)),"Not Found")</f>
        <v>77.038875759999996</v>
      </c>
      <c r="T564" s="28">
        <f>IFERROR(INDEX('Clean Gamification Data'!$C:$C,MATCH($B564,'Clean Gamification Data'!$A:$A,0)),"Not Found")</f>
        <v>73.482140869999995</v>
      </c>
      <c r="U564" s="28">
        <f>IFERROR(INDEX('Clean Gamification Data'!$D:$D,MATCH($B564,'Clean Gamification Data'!$A:$A,0)),"Not Found")</f>
        <v>74.874097590000005</v>
      </c>
      <c r="V564" s="28">
        <f>IFERROR(INDEX('Clean Gamification Data'!$E:$E,MATCH($B564,'Clean Gamification Data'!$A:$A,0)),"Not Found")</f>
        <v>71.390297970000006</v>
      </c>
      <c r="W564" s="28">
        <f>IFERROR(INDEX('Clean Gamification Data'!$F:$F,MATCH($B564,'Clean Gamification Data'!$A:$A,0)),"Not Found")</f>
        <v>80</v>
      </c>
      <c r="X564" s="28">
        <f>IFERROR(INDEX('Clean Gamification Data'!$G:$G,MATCH($B564,'Clean Gamification Data'!$A:$A,0)),"Not Found")</f>
        <v>85</v>
      </c>
      <c r="Y564" s="28">
        <f>IFERROR(INDEX('Clean Gamification Data'!$H:$H,MATCH($B564,'Clean Gamification Data'!$A:$A,0)),"Not Found")</f>
        <v>70.462687840000001</v>
      </c>
      <c r="Z564" s="28">
        <f>IFERROR(INDEX('Clean Gamification Data'!$I:$I,MATCH($B564,'Clean Gamification Data'!$A:$A,0)),"Not Found")</f>
        <v>50</v>
      </c>
      <c r="AA564" s="28">
        <f>Table1[[#This Row],[Engagement (Gamification %)]]-Table1[[#This Row],[Engagement (Non-Gamification %)]]</f>
        <v>3.5567348900000013</v>
      </c>
      <c r="AB564" s="28">
        <f>Table1[[#This Row],[Motivation (Gamification %)]]-Table1[[#This Row],[Motivation (Non-Gamification %)]]</f>
        <v>3.4837996199999992</v>
      </c>
      <c r="AC564" s="28">
        <f>Table1[[#This Row],[Participation (Gamification %)]]-Table1[[#This Row],[Participation (Non-Gamification %)]]</f>
        <v>-5</v>
      </c>
      <c r="AD564" s="28">
        <f>Table1[[#This Row],[Learning Outcomes (Gamification %)]]-Table1[[#This Row],[Learning Outcomes (Non-Gamification %)]]</f>
        <v>20.462687840000001</v>
      </c>
      <c r="AE564" s="44" t="str">
        <f>IF(Table1[[#This Row],[Overall Effectiveness]]&lt;3.9,"Low",IF(Table1[[#This Row],[Overall Effectiveness]]&lt;4.2,"Medium","High"))</f>
        <v>Medium</v>
      </c>
      <c r="AF564" s="30" t="str">
        <f t="shared" si="52"/>
        <v>Lectures</v>
      </c>
      <c r="AG564" s="30" t="str">
        <f t="shared" si="53"/>
        <v>Lectures</v>
      </c>
      <c r="AH564" s="27">
        <f>COUNTIF(Teacher_Master!$D$2:$D$16,AF564)</f>
        <v>3</v>
      </c>
      <c r="AI564" s="30" t="str">
        <f>INDEX(Teacher_Master!$B$2:$B$16,MATCH(AF564,Teacher_Master!$D$2:$D$16,0))</f>
        <v>Prof. Vikram Gupta</v>
      </c>
    </row>
    <row r="565" spans="1:35" ht="14.25" customHeight="1" x14ac:dyDescent="0.3">
      <c r="A565" s="31" t="s">
        <v>1158</v>
      </c>
      <c r="B565" s="31" t="s">
        <v>2481</v>
      </c>
      <c r="C565" s="31" t="s">
        <v>2882</v>
      </c>
      <c r="D565" s="12">
        <f t="shared" ca="1" si="48"/>
        <v>27</v>
      </c>
      <c r="E565" s="12" t="str">
        <f ca="1">IF(Table1[[#This Row],[Age]]&lt;=22,"20-22",IF(Table1[[#This Row],[Age]]&lt;=25,"23-25",IF(Table1[[#This Row],[Age]]&lt;=28,"26-28","29-30")))</f>
        <v>26-28</v>
      </c>
      <c r="F565" s="12">
        <v>3.9</v>
      </c>
      <c r="G565" s="12">
        <v>4.09</v>
      </c>
      <c r="H565" s="12">
        <v>4.0199999999999996</v>
      </c>
      <c r="I565" s="12">
        <v>3.87</v>
      </c>
      <c r="J565" s="12">
        <v>3.92</v>
      </c>
      <c r="K565" s="12">
        <v>4.2300000000000004</v>
      </c>
      <c r="L565" s="12">
        <v>3.92</v>
      </c>
      <c r="M565" s="12">
        <v>4.6399999999999997</v>
      </c>
      <c r="N565" s="12">
        <v>4.05</v>
      </c>
      <c r="O565" s="12">
        <v>3.45</v>
      </c>
      <c r="P565" s="12">
        <f t="shared" si="49"/>
        <v>3.9599999999999995</v>
      </c>
      <c r="Q565" s="12">
        <f t="shared" si="50"/>
        <v>3.96</v>
      </c>
      <c r="R565" s="12">
        <f t="shared" si="51"/>
        <v>4.0579999999999998</v>
      </c>
      <c r="S565" s="28">
        <f>IFERROR(INDEX('Clean Gamification Data'!$B:$B,MATCH($B565,'Clean Gamification Data'!$A:$A,0)),"Not Found")</f>
        <v>84.180611040000002</v>
      </c>
      <c r="T565" s="28">
        <f>IFERROR(INDEX('Clean Gamification Data'!$C:$C,MATCH($B565,'Clean Gamification Data'!$A:$A,0)),"Not Found")</f>
        <v>66.155559620000005</v>
      </c>
      <c r="U565" s="28">
        <f>IFERROR(INDEX('Clean Gamification Data'!$D:$D,MATCH($B565,'Clean Gamification Data'!$A:$A,0)),"Not Found")</f>
        <v>77.576439250000007</v>
      </c>
      <c r="V565" s="28">
        <f>IFERROR(INDEX('Clean Gamification Data'!$E:$E,MATCH($B565,'Clean Gamification Data'!$A:$A,0)),"Not Found")</f>
        <v>66.069446049999996</v>
      </c>
      <c r="W565" s="28">
        <f>IFERROR(INDEX('Clean Gamification Data'!$F:$F,MATCH($B565,'Clean Gamification Data'!$A:$A,0)),"Not Found")</f>
        <v>94.331510269999995</v>
      </c>
      <c r="X565" s="28">
        <f>IFERROR(INDEX('Clean Gamification Data'!$G:$G,MATCH($B565,'Clean Gamification Data'!$A:$A,0)),"Not Found")</f>
        <v>85</v>
      </c>
      <c r="Y565" s="28">
        <f>IFERROR(INDEX('Clean Gamification Data'!$H:$H,MATCH($B565,'Clean Gamification Data'!$A:$A,0)),"Not Found")</f>
        <v>67.435910440000001</v>
      </c>
      <c r="Z565" s="28">
        <f>IFERROR(INDEX('Clean Gamification Data'!$I:$I,MATCH($B565,'Clean Gamification Data'!$A:$A,0)),"Not Found")</f>
        <v>61.61236486</v>
      </c>
      <c r="AA565" s="28">
        <f>Table1[[#This Row],[Engagement (Gamification %)]]-Table1[[#This Row],[Engagement (Non-Gamification %)]]</f>
        <v>18.025051419999997</v>
      </c>
      <c r="AB565" s="28">
        <f>Table1[[#This Row],[Motivation (Gamification %)]]-Table1[[#This Row],[Motivation (Non-Gamification %)]]</f>
        <v>11.506993200000011</v>
      </c>
      <c r="AC565" s="28">
        <f>Table1[[#This Row],[Participation (Gamification %)]]-Table1[[#This Row],[Participation (Non-Gamification %)]]</f>
        <v>9.3315102699999954</v>
      </c>
      <c r="AD565" s="28">
        <f>Table1[[#This Row],[Learning Outcomes (Gamification %)]]-Table1[[#This Row],[Learning Outcomes (Non-Gamification %)]]</f>
        <v>5.8235455800000011</v>
      </c>
      <c r="AE565" s="44" t="str">
        <f>IF(Table1[[#This Row],[Overall Effectiveness]]&lt;3.9,"Low",IF(Table1[[#This Row],[Overall Effectiveness]]&lt;4.2,"Medium","High"))</f>
        <v>Medium</v>
      </c>
      <c r="AF565" s="30" t="str">
        <f t="shared" si="52"/>
        <v>Case Studies</v>
      </c>
      <c r="AG565" s="30" t="str">
        <f t="shared" si="53"/>
        <v>Group Projects</v>
      </c>
      <c r="AH565" s="27">
        <f>COUNTIF(Teacher_Master!$D$2:$D$16,AF565)</f>
        <v>3</v>
      </c>
      <c r="AI565" s="30" t="str">
        <f>INDEX(Teacher_Master!$B$2:$B$16,MATCH(AF565,Teacher_Master!$D$2:$D$16,0))</f>
        <v>Prof. Rajesh Mukherjee</v>
      </c>
    </row>
    <row r="566" spans="1:35" ht="14.25" customHeight="1" x14ac:dyDescent="0.3">
      <c r="A566" s="31" t="s">
        <v>1160</v>
      </c>
      <c r="B566" s="31" t="s">
        <v>2482</v>
      </c>
      <c r="C566" s="31" t="s">
        <v>2882</v>
      </c>
      <c r="D566" s="12">
        <f t="shared" ca="1" si="48"/>
        <v>20</v>
      </c>
      <c r="E566" s="12" t="str">
        <f ca="1">IF(Table1[[#This Row],[Age]]&lt;=22,"20-22",IF(Table1[[#This Row],[Age]]&lt;=25,"23-25",IF(Table1[[#This Row],[Age]]&lt;=28,"26-28","29-30")))</f>
        <v>20-22</v>
      </c>
      <c r="F566" s="12">
        <v>3.31</v>
      </c>
      <c r="G566" s="12">
        <v>3.62</v>
      </c>
      <c r="H566" s="12">
        <v>3.64</v>
      </c>
      <c r="I566" s="12" t="s">
        <v>211</v>
      </c>
      <c r="J566" s="12">
        <v>3.94</v>
      </c>
      <c r="K566" s="12">
        <v>4.1100000000000003</v>
      </c>
      <c r="L566" s="12" t="s">
        <v>211</v>
      </c>
      <c r="M566" s="12">
        <v>3.57</v>
      </c>
      <c r="N566" s="12">
        <v>4.1100000000000003</v>
      </c>
      <c r="O566" s="12">
        <v>4</v>
      </c>
      <c r="P566" s="12">
        <f t="shared" si="49"/>
        <v>3.6274999999999999</v>
      </c>
      <c r="Q566" s="12">
        <f t="shared" si="50"/>
        <v>3.63</v>
      </c>
      <c r="R566" s="12">
        <f t="shared" si="51"/>
        <v>3.9474999999999998</v>
      </c>
      <c r="S566" s="28">
        <f>IFERROR(INDEX('Clean Gamification Data'!$B:$B,MATCH($B566,'Clean Gamification Data'!$A:$A,0)),"Not Found")</f>
        <v>86.168106510000001</v>
      </c>
      <c r="T566" s="28">
        <f>IFERROR(INDEX('Clean Gamification Data'!$C:$C,MATCH($B566,'Clean Gamification Data'!$A:$A,0)),"Not Found")</f>
        <v>64.695823759999996</v>
      </c>
      <c r="U566" s="28">
        <f>IFERROR(INDEX('Clean Gamification Data'!$D:$D,MATCH($B566,'Clean Gamification Data'!$A:$A,0)),"Not Found")</f>
        <v>70</v>
      </c>
      <c r="V566" s="28">
        <f>IFERROR(INDEX('Clean Gamification Data'!$E:$E,MATCH($B566,'Clean Gamification Data'!$A:$A,0)),"Not Found")</f>
        <v>72.182372450000003</v>
      </c>
      <c r="W566" s="28">
        <f>IFERROR(INDEX('Clean Gamification Data'!$F:$F,MATCH($B566,'Clean Gamification Data'!$A:$A,0)),"Not Found")</f>
        <v>80</v>
      </c>
      <c r="X566" s="28">
        <f>IFERROR(INDEX('Clean Gamification Data'!$G:$G,MATCH($B566,'Clean Gamification Data'!$A:$A,0)),"Not Found")</f>
        <v>85</v>
      </c>
      <c r="Y566" s="28">
        <f>IFERROR(INDEX('Clean Gamification Data'!$H:$H,MATCH($B566,'Clean Gamification Data'!$A:$A,0)),"Not Found")</f>
        <v>72.831369600000002</v>
      </c>
      <c r="Z566" s="28">
        <f>IFERROR(INDEX('Clean Gamification Data'!$I:$I,MATCH($B566,'Clean Gamification Data'!$A:$A,0)),"Not Found")</f>
        <v>51.729242169999999</v>
      </c>
      <c r="AA566" s="28">
        <f>Table1[[#This Row],[Engagement (Gamification %)]]-Table1[[#This Row],[Engagement (Non-Gamification %)]]</f>
        <v>21.472282750000005</v>
      </c>
      <c r="AB566" s="28">
        <f>Table1[[#This Row],[Motivation (Gamification %)]]-Table1[[#This Row],[Motivation (Non-Gamification %)]]</f>
        <v>-2.1823724500000026</v>
      </c>
      <c r="AC566" s="28">
        <f>Table1[[#This Row],[Participation (Gamification %)]]-Table1[[#This Row],[Participation (Non-Gamification %)]]</f>
        <v>-5</v>
      </c>
      <c r="AD566" s="28">
        <f>Table1[[#This Row],[Learning Outcomes (Gamification %)]]-Table1[[#This Row],[Learning Outcomes (Non-Gamification %)]]</f>
        <v>21.102127430000003</v>
      </c>
      <c r="AE566" s="44" t="str">
        <f>IF(Table1[[#This Row],[Overall Effectiveness]]&lt;3.9,"Low",IF(Table1[[#This Row],[Overall Effectiveness]]&lt;4.2,"Medium","High"))</f>
        <v>Low</v>
      </c>
      <c r="AF566" s="30" t="str">
        <f t="shared" si="52"/>
        <v>Online Tutorials</v>
      </c>
      <c r="AG566" s="30" t="str">
        <f t="shared" si="53"/>
        <v>Lectures</v>
      </c>
      <c r="AH566" s="27">
        <f>COUNTIF(Teacher_Master!$D$2:$D$16,AF566)</f>
        <v>3</v>
      </c>
      <c r="AI566" s="30" t="str">
        <f>INDEX(Teacher_Master!$B$2:$B$16,MATCH(AF566,Teacher_Master!$D$2:$D$16,0))</f>
        <v>Prof. Kavita Rao</v>
      </c>
    </row>
    <row r="567" spans="1:35" ht="14.25" customHeight="1" x14ac:dyDescent="0.3">
      <c r="A567" s="31" t="s">
        <v>1162</v>
      </c>
      <c r="B567" s="31" t="s">
        <v>2483</v>
      </c>
      <c r="C567" s="31" t="s">
        <v>2882</v>
      </c>
      <c r="D567" s="12">
        <f t="shared" ca="1" si="48"/>
        <v>30</v>
      </c>
      <c r="E567" s="12" t="str">
        <f ca="1">IF(Table1[[#This Row],[Age]]&lt;=22,"20-22",IF(Table1[[#This Row],[Age]]&lt;=25,"23-25",IF(Table1[[#This Row],[Age]]&lt;=28,"26-28","29-30")))</f>
        <v>29-30</v>
      </c>
      <c r="F567" s="12">
        <v>3.53</v>
      </c>
      <c r="G567" s="12">
        <v>4.58</v>
      </c>
      <c r="H567" s="12">
        <v>4.2699999999999996</v>
      </c>
      <c r="I567" s="12">
        <v>4.22</v>
      </c>
      <c r="J567" s="12">
        <v>4.4000000000000004</v>
      </c>
      <c r="K567" s="12">
        <v>4.1100000000000003</v>
      </c>
      <c r="L567" s="12">
        <v>3.95</v>
      </c>
      <c r="M567" s="12">
        <v>3.7</v>
      </c>
      <c r="N567" s="12">
        <v>3.87</v>
      </c>
      <c r="O567" s="12">
        <v>3.87</v>
      </c>
      <c r="P567" s="12">
        <f t="shared" si="49"/>
        <v>4.2</v>
      </c>
      <c r="Q567" s="12">
        <f t="shared" si="50"/>
        <v>4.2</v>
      </c>
      <c r="R567" s="12">
        <f t="shared" si="51"/>
        <v>3.9000000000000008</v>
      </c>
      <c r="S567" s="28">
        <f>IFERROR(INDEX('Clean Gamification Data'!$B:$B,MATCH($B567,'Clean Gamification Data'!$A:$A,0)),"Not Found")</f>
        <v>86.471269460000002</v>
      </c>
      <c r="T567" s="28">
        <f>IFERROR(INDEX('Clean Gamification Data'!$C:$C,MATCH($B567,'Clean Gamification Data'!$A:$A,0)),"Not Found")</f>
        <v>74.363024530000004</v>
      </c>
      <c r="U567" s="28">
        <f>IFERROR(INDEX('Clean Gamification Data'!$D:$D,MATCH($B567,'Clean Gamification Data'!$A:$A,0)),"Not Found")</f>
        <v>70</v>
      </c>
      <c r="V567" s="28">
        <f>IFERROR(INDEX('Clean Gamification Data'!$E:$E,MATCH($B567,'Clean Gamification Data'!$A:$A,0)),"Not Found")</f>
        <v>66.233258219999996</v>
      </c>
      <c r="W567" s="28">
        <f>IFERROR(INDEX('Clean Gamification Data'!$F:$F,MATCH($B567,'Clean Gamification Data'!$A:$A,0)),"Not Found")</f>
        <v>87.890386919999997</v>
      </c>
      <c r="X567" s="28">
        <f>IFERROR(INDEX('Clean Gamification Data'!$G:$G,MATCH($B567,'Clean Gamification Data'!$A:$A,0)),"Not Found")</f>
        <v>71.664146049999999</v>
      </c>
      <c r="Y567" s="28">
        <f>IFERROR(INDEX('Clean Gamification Data'!$H:$H,MATCH($B567,'Clean Gamification Data'!$A:$A,0)),"Not Found")</f>
        <v>74.607645950000006</v>
      </c>
      <c r="Z567" s="28">
        <f>IFERROR(INDEX('Clean Gamification Data'!$I:$I,MATCH($B567,'Clean Gamification Data'!$A:$A,0)),"Not Found")</f>
        <v>63.397757300000002</v>
      </c>
      <c r="AA567" s="28">
        <f>Table1[[#This Row],[Engagement (Gamification %)]]-Table1[[#This Row],[Engagement (Non-Gamification %)]]</f>
        <v>12.108244929999998</v>
      </c>
      <c r="AB567" s="28">
        <f>Table1[[#This Row],[Motivation (Gamification %)]]-Table1[[#This Row],[Motivation (Non-Gamification %)]]</f>
        <v>3.7667417800000038</v>
      </c>
      <c r="AC567" s="28">
        <f>Table1[[#This Row],[Participation (Gamification %)]]-Table1[[#This Row],[Participation (Non-Gamification %)]]</f>
        <v>16.226240869999998</v>
      </c>
      <c r="AD567" s="28">
        <f>Table1[[#This Row],[Learning Outcomes (Gamification %)]]-Table1[[#This Row],[Learning Outcomes (Non-Gamification %)]]</f>
        <v>11.209888650000003</v>
      </c>
      <c r="AE567" s="44" t="str">
        <f>IF(Table1[[#This Row],[Overall Effectiveness]]&lt;3.9,"Low",IF(Table1[[#This Row],[Overall Effectiveness]]&lt;4.2,"Medium","High"))</f>
        <v>High</v>
      </c>
      <c r="AF567" s="30" t="str">
        <f t="shared" si="52"/>
        <v>Case Studies</v>
      </c>
      <c r="AG567" s="30" t="str">
        <f t="shared" si="53"/>
        <v>Lectures</v>
      </c>
      <c r="AH567" s="27">
        <f>COUNTIF(Teacher_Master!$D$2:$D$16,AF567)</f>
        <v>3</v>
      </c>
      <c r="AI567" s="30" t="str">
        <f>INDEX(Teacher_Master!$B$2:$B$16,MATCH(AF567,Teacher_Master!$D$2:$D$16,0))</f>
        <v>Prof. Rajesh Mukherjee</v>
      </c>
    </row>
    <row r="568" spans="1:35" ht="14.25" customHeight="1" x14ac:dyDescent="0.3">
      <c r="A568" s="31" t="s">
        <v>1164</v>
      </c>
      <c r="B568" s="31" t="s">
        <v>2484</v>
      </c>
      <c r="C568" s="31" t="s">
        <v>2882</v>
      </c>
      <c r="D568" s="12">
        <f t="shared" ca="1" si="48"/>
        <v>25</v>
      </c>
      <c r="E568" s="12" t="str">
        <f ca="1">IF(Table1[[#This Row],[Age]]&lt;=22,"20-22",IF(Table1[[#This Row],[Age]]&lt;=25,"23-25",IF(Table1[[#This Row],[Age]]&lt;=28,"26-28","29-30")))</f>
        <v>23-25</v>
      </c>
      <c r="F568" s="12">
        <v>4.51</v>
      </c>
      <c r="G568" s="12">
        <v>3.96</v>
      </c>
      <c r="H568" s="12">
        <v>4.32</v>
      </c>
      <c r="I568" s="12">
        <v>3.96</v>
      </c>
      <c r="J568" s="12">
        <v>3.99</v>
      </c>
      <c r="K568" s="12">
        <v>3.53</v>
      </c>
      <c r="L568" s="12">
        <v>4.45</v>
      </c>
      <c r="M568" s="12">
        <v>3.94</v>
      </c>
      <c r="N568" s="12">
        <v>4.07</v>
      </c>
      <c r="O568" s="12">
        <v>4.1500000000000004</v>
      </c>
      <c r="P568" s="12">
        <f t="shared" si="49"/>
        <v>4.1480000000000006</v>
      </c>
      <c r="Q568" s="12">
        <f t="shared" si="50"/>
        <v>4.1500000000000004</v>
      </c>
      <c r="R568" s="12">
        <f t="shared" si="51"/>
        <v>4.0280000000000005</v>
      </c>
      <c r="S568" s="28">
        <f>IFERROR(INDEX('Clean Gamification Data'!$B:$B,MATCH($B568,'Clean Gamification Data'!$A:$A,0)),"Not Found")</f>
        <v>85.510150359999997</v>
      </c>
      <c r="T568" s="28">
        <f>IFERROR(INDEX('Clean Gamification Data'!$C:$C,MATCH($B568,'Clean Gamification Data'!$A:$A,0)),"Not Found")</f>
        <v>69.791423719999997</v>
      </c>
      <c r="U568" s="28">
        <f>IFERROR(INDEX('Clean Gamification Data'!$D:$D,MATCH($B568,'Clean Gamification Data'!$A:$A,0)),"Not Found")</f>
        <v>73.018459789999994</v>
      </c>
      <c r="V568" s="28">
        <f>IFERROR(INDEX('Clean Gamification Data'!$E:$E,MATCH($B568,'Clean Gamification Data'!$A:$A,0)),"Not Found")</f>
        <v>64.289691079999997</v>
      </c>
      <c r="W568" s="28">
        <f>IFERROR(INDEX('Clean Gamification Data'!$F:$F,MATCH($B568,'Clean Gamification Data'!$A:$A,0)),"Not Found")</f>
        <v>99.9</v>
      </c>
      <c r="X568" s="28">
        <f>IFERROR(INDEX('Clean Gamification Data'!$G:$G,MATCH($B568,'Clean Gamification Data'!$A:$A,0)),"Not Found")</f>
        <v>84.479402460000003</v>
      </c>
      <c r="Y568" s="28">
        <f>IFERROR(INDEX('Clean Gamification Data'!$H:$H,MATCH($B568,'Clean Gamification Data'!$A:$A,0)),"Not Found")</f>
        <v>66.832426040000001</v>
      </c>
      <c r="Z568" s="28">
        <f>IFERROR(INDEX('Clean Gamification Data'!$I:$I,MATCH($B568,'Clean Gamification Data'!$A:$A,0)),"Not Found")</f>
        <v>60.815586080000003</v>
      </c>
      <c r="AA568" s="28">
        <f>Table1[[#This Row],[Engagement (Gamification %)]]-Table1[[#This Row],[Engagement (Non-Gamification %)]]</f>
        <v>15.71872664</v>
      </c>
      <c r="AB568" s="28">
        <f>Table1[[#This Row],[Motivation (Gamification %)]]-Table1[[#This Row],[Motivation (Non-Gamification %)]]</f>
        <v>8.7287687099999971</v>
      </c>
      <c r="AC568" s="28">
        <f>Table1[[#This Row],[Participation (Gamification %)]]-Table1[[#This Row],[Participation (Non-Gamification %)]]</f>
        <v>15.420597540000003</v>
      </c>
      <c r="AD568" s="28">
        <f>Table1[[#This Row],[Learning Outcomes (Gamification %)]]-Table1[[#This Row],[Learning Outcomes (Non-Gamification %)]]</f>
        <v>6.0168399599999987</v>
      </c>
      <c r="AE568" s="44" t="str">
        <f>IF(Table1[[#This Row],[Overall Effectiveness]]&lt;3.9,"Low",IF(Table1[[#This Row],[Overall Effectiveness]]&lt;4.2,"Medium","High"))</f>
        <v>Medium</v>
      </c>
      <c r="AF568" s="30" t="str">
        <f t="shared" si="52"/>
        <v>Lectures</v>
      </c>
      <c r="AG568" s="30" t="str">
        <f t="shared" si="53"/>
        <v>Case Studies</v>
      </c>
      <c r="AH568" s="27">
        <f>COUNTIF(Teacher_Master!$D$2:$D$16,AF568)</f>
        <v>3</v>
      </c>
      <c r="AI568" s="30" t="str">
        <f>INDEX(Teacher_Master!$B$2:$B$16,MATCH(AF568,Teacher_Master!$D$2:$D$16,0))</f>
        <v>Prof. Vikram Gupta</v>
      </c>
    </row>
    <row r="569" spans="1:35" ht="14.25" customHeight="1" x14ac:dyDescent="0.3">
      <c r="A569" s="31" t="s">
        <v>1166</v>
      </c>
      <c r="B569" s="31" t="s">
        <v>1167</v>
      </c>
      <c r="C569" s="31" t="s">
        <v>2882</v>
      </c>
      <c r="D569" s="12">
        <f t="shared" ca="1" si="48"/>
        <v>21</v>
      </c>
      <c r="E569" s="12" t="str">
        <f ca="1">IF(Table1[[#This Row],[Age]]&lt;=22,"20-22",IF(Table1[[#This Row],[Age]]&lt;=25,"23-25",IF(Table1[[#This Row],[Age]]&lt;=28,"26-28","29-30")))</f>
        <v>20-22</v>
      </c>
      <c r="F569" s="12">
        <v>4.21</v>
      </c>
      <c r="G569" s="12">
        <v>3.55</v>
      </c>
      <c r="H569" s="12">
        <v>3.63</v>
      </c>
      <c r="I569" s="12">
        <v>3.92</v>
      </c>
      <c r="J569" s="12">
        <v>4.26</v>
      </c>
      <c r="K569" s="12">
        <v>4.18</v>
      </c>
      <c r="L569" s="12">
        <v>4.08</v>
      </c>
      <c r="M569" s="12" t="s">
        <v>211</v>
      </c>
      <c r="N569" s="12">
        <v>4</v>
      </c>
      <c r="O569" s="12">
        <v>4.09</v>
      </c>
      <c r="P569" s="12">
        <f t="shared" si="49"/>
        <v>3.9140000000000001</v>
      </c>
      <c r="Q569" s="12">
        <f t="shared" si="50"/>
        <v>3.91</v>
      </c>
      <c r="R569" s="12">
        <f t="shared" si="51"/>
        <v>4.0875000000000004</v>
      </c>
      <c r="S569" s="28">
        <f>IFERROR(INDEX('Clean Gamification Data'!$B:$B,MATCH($B569,'Clean Gamification Data'!$A:$A,0)),"Not Found")</f>
        <v>85.314783449999993</v>
      </c>
      <c r="T569" s="28">
        <f>IFERROR(INDEX('Clean Gamification Data'!$C:$C,MATCH($B569,'Clean Gamification Data'!$A:$A,0)),"Not Found")</f>
        <v>77.206941630000003</v>
      </c>
      <c r="U569" s="28">
        <f>IFERROR(INDEX('Clean Gamification Data'!$D:$D,MATCH($B569,'Clean Gamification Data'!$A:$A,0)),"Not Found")</f>
        <v>80.265474819999994</v>
      </c>
      <c r="V569" s="28">
        <f>IFERROR(INDEX('Clean Gamification Data'!$E:$E,MATCH($B569,'Clean Gamification Data'!$A:$A,0)),"Not Found")</f>
        <v>69.485486519999995</v>
      </c>
      <c r="W569" s="28">
        <f>IFERROR(INDEX('Clean Gamification Data'!$F:$F,MATCH($B569,'Clean Gamification Data'!$A:$A,0)),"Not Found")</f>
        <v>85.255201679999999</v>
      </c>
      <c r="X569" s="28">
        <f>IFERROR(INDEX('Clean Gamification Data'!$G:$G,MATCH($B569,'Clean Gamification Data'!$A:$A,0)),"Not Found")</f>
        <v>76.674626309999994</v>
      </c>
      <c r="Y569" s="28">
        <f>IFERROR(INDEX('Clean Gamification Data'!$H:$H,MATCH($B569,'Clean Gamification Data'!$A:$A,0)),"Not Found")</f>
        <v>66.304211039999998</v>
      </c>
      <c r="Z569" s="28">
        <f>IFERROR(INDEX('Clean Gamification Data'!$I:$I,MATCH($B569,'Clean Gamification Data'!$A:$A,0)),"Not Found")</f>
        <v>59.155505439999999</v>
      </c>
      <c r="AA569" s="28">
        <f>Table1[[#This Row],[Engagement (Gamification %)]]-Table1[[#This Row],[Engagement (Non-Gamification %)]]</f>
        <v>8.1078418199999902</v>
      </c>
      <c r="AB569" s="28">
        <f>Table1[[#This Row],[Motivation (Gamification %)]]-Table1[[#This Row],[Motivation (Non-Gamification %)]]</f>
        <v>10.779988299999999</v>
      </c>
      <c r="AC569" s="28">
        <f>Table1[[#This Row],[Participation (Gamification %)]]-Table1[[#This Row],[Participation (Non-Gamification %)]]</f>
        <v>8.5805753700000054</v>
      </c>
      <c r="AD569" s="28">
        <f>Table1[[#This Row],[Learning Outcomes (Gamification %)]]-Table1[[#This Row],[Learning Outcomes (Non-Gamification %)]]</f>
        <v>7.1487055999999995</v>
      </c>
      <c r="AE569" s="44" t="str">
        <f>IF(Table1[[#This Row],[Overall Effectiveness]]&lt;3.9,"Low",IF(Table1[[#This Row],[Overall Effectiveness]]&lt;4.2,"Medium","High"))</f>
        <v>Medium</v>
      </c>
      <c r="AF569" s="30" t="str">
        <f t="shared" si="52"/>
        <v>Online Tutorials</v>
      </c>
      <c r="AG569" s="30" t="str">
        <f t="shared" si="53"/>
        <v>Lectures</v>
      </c>
      <c r="AH569" s="27">
        <f>COUNTIF(Teacher_Master!$D$2:$D$16,AF569)</f>
        <v>3</v>
      </c>
      <c r="AI569" s="30" t="str">
        <f>INDEX(Teacher_Master!$B$2:$B$16,MATCH(AF569,Teacher_Master!$D$2:$D$16,0))</f>
        <v>Prof. Kavita Rao</v>
      </c>
    </row>
    <row r="570" spans="1:35" ht="14.25" customHeight="1" x14ac:dyDescent="0.3">
      <c r="A570" s="31" t="s">
        <v>1168</v>
      </c>
      <c r="B570" s="31" t="s">
        <v>1169</v>
      </c>
      <c r="C570" s="31" t="s">
        <v>2882</v>
      </c>
      <c r="D570" s="12">
        <f t="shared" ca="1" si="48"/>
        <v>22</v>
      </c>
      <c r="E570" s="12" t="str">
        <f ca="1">IF(Table1[[#This Row],[Age]]&lt;=22,"20-22",IF(Table1[[#This Row],[Age]]&lt;=25,"23-25",IF(Table1[[#This Row],[Age]]&lt;=28,"26-28","29-30")))</f>
        <v>20-22</v>
      </c>
      <c r="F570" s="12">
        <v>3.93</v>
      </c>
      <c r="G570" s="12">
        <v>4.57</v>
      </c>
      <c r="H570" s="12">
        <v>3.96</v>
      </c>
      <c r="I570" s="12">
        <v>3.92</v>
      </c>
      <c r="J570" s="12">
        <v>3.71</v>
      </c>
      <c r="K570" s="12">
        <v>4.07</v>
      </c>
      <c r="L570" s="12">
        <v>4.1500000000000004</v>
      </c>
      <c r="M570" s="12">
        <v>3.79</v>
      </c>
      <c r="N570" s="12">
        <v>3.98</v>
      </c>
      <c r="O570" s="12">
        <v>3.89</v>
      </c>
      <c r="P570" s="12">
        <f t="shared" si="49"/>
        <v>4.0180000000000007</v>
      </c>
      <c r="Q570" s="12">
        <f t="shared" si="50"/>
        <v>4.0199999999999996</v>
      </c>
      <c r="R570" s="12">
        <f t="shared" si="51"/>
        <v>3.9760000000000004</v>
      </c>
      <c r="S570" s="28">
        <f>IFERROR(INDEX('Clean Gamification Data'!$B:$B,MATCH($B570,'Clean Gamification Data'!$A:$A,0)),"Not Found")</f>
        <v>90.121198410000005</v>
      </c>
      <c r="T570" s="28">
        <f>IFERROR(INDEX('Clean Gamification Data'!$C:$C,MATCH($B570,'Clean Gamification Data'!$A:$A,0)),"Not Found")</f>
        <v>69.008961459999995</v>
      </c>
      <c r="U570" s="28">
        <f>IFERROR(INDEX('Clean Gamification Data'!$D:$D,MATCH($B570,'Clean Gamification Data'!$A:$A,0)),"Not Found")</f>
        <v>78.381183579999998</v>
      </c>
      <c r="V570" s="28">
        <f>IFERROR(INDEX('Clean Gamification Data'!$E:$E,MATCH($B570,'Clean Gamification Data'!$A:$A,0)),"Not Found")</f>
        <v>73.927406059999996</v>
      </c>
      <c r="W570" s="28">
        <f>IFERROR(INDEX('Clean Gamification Data'!$F:$F,MATCH($B570,'Clean Gamification Data'!$A:$A,0)),"Not Found")</f>
        <v>87.012345229999994</v>
      </c>
      <c r="X570" s="28">
        <f>IFERROR(INDEX('Clean Gamification Data'!$G:$G,MATCH($B570,'Clean Gamification Data'!$A:$A,0)),"Not Found")</f>
        <v>77.537925360000003</v>
      </c>
      <c r="Y570" s="28">
        <f>IFERROR(INDEX('Clean Gamification Data'!$H:$H,MATCH($B570,'Clean Gamification Data'!$A:$A,0)),"Not Found")</f>
        <v>66.359660320000003</v>
      </c>
      <c r="Z570" s="28">
        <f>IFERROR(INDEX('Clean Gamification Data'!$I:$I,MATCH($B570,'Clean Gamification Data'!$A:$A,0)),"Not Found")</f>
        <v>62.28200811</v>
      </c>
      <c r="AA570" s="28">
        <f>Table1[[#This Row],[Engagement (Gamification %)]]-Table1[[#This Row],[Engagement (Non-Gamification %)]]</f>
        <v>21.11223695000001</v>
      </c>
      <c r="AB570" s="28">
        <f>Table1[[#This Row],[Motivation (Gamification %)]]-Table1[[#This Row],[Motivation (Non-Gamification %)]]</f>
        <v>4.4537775200000027</v>
      </c>
      <c r="AC570" s="28">
        <f>Table1[[#This Row],[Participation (Gamification %)]]-Table1[[#This Row],[Participation (Non-Gamification %)]]</f>
        <v>9.4744198699999913</v>
      </c>
      <c r="AD570" s="28">
        <f>Table1[[#This Row],[Learning Outcomes (Gamification %)]]-Table1[[#This Row],[Learning Outcomes (Non-Gamification %)]]</f>
        <v>4.0776522100000037</v>
      </c>
      <c r="AE570" s="44" t="str">
        <f>IF(Table1[[#This Row],[Overall Effectiveness]]&lt;3.9,"Low",IF(Table1[[#This Row],[Overall Effectiveness]]&lt;4.2,"Medium","High"))</f>
        <v>Medium</v>
      </c>
      <c r="AF570" s="30" t="str">
        <f t="shared" si="52"/>
        <v>Case Studies</v>
      </c>
      <c r="AG570" s="30" t="str">
        <f t="shared" si="53"/>
        <v>Case Studies</v>
      </c>
      <c r="AH570" s="27">
        <f>COUNTIF(Teacher_Master!$D$2:$D$16,AF570)</f>
        <v>3</v>
      </c>
      <c r="AI570" s="30" t="str">
        <f>INDEX(Teacher_Master!$B$2:$B$16,MATCH(AF570,Teacher_Master!$D$2:$D$16,0))</f>
        <v>Prof. Rajesh Mukherjee</v>
      </c>
    </row>
    <row r="571" spans="1:35" ht="14.25" customHeight="1" x14ac:dyDescent="0.3">
      <c r="A571" s="31" t="s">
        <v>1170</v>
      </c>
      <c r="B571" s="31" t="s">
        <v>1171</v>
      </c>
      <c r="C571" s="31" t="s">
        <v>2882</v>
      </c>
      <c r="D571" s="12">
        <f t="shared" ca="1" si="48"/>
        <v>20</v>
      </c>
      <c r="E571" s="12" t="str">
        <f ca="1">IF(Table1[[#This Row],[Age]]&lt;=22,"20-22",IF(Table1[[#This Row],[Age]]&lt;=25,"23-25",IF(Table1[[#This Row],[Age]]&lt;=28,"26-28","29-30")))</f>
        <v>20-22</v>
      </c>
      <c r="F571" s="12" t="s">
        <v>211</v>
      </c>
      <c r="G571" s="12">
        <v>4.0199999999999996</v>
      </c>
      <c r="H571" s="12">
        <v>4.32</v>
      </c>
      <c r="I571" s="12">
        <v>3.81</v>
      </c>
      <c r="J571" s="12">
        <v>3.74</v>
      </c>
      <c r="K571" s="12">
        <v>3.92</v>
      </c>
      <c r="L571" s="12">
        <v>4.07</v>
      </c>
      <c r="M571" s="12">
        <v>3.47</v>
      </c>
      <c r="N571" s="12">
        <v>3.79</v>
      </c>
      <c r="O571" s="12">
        <v>3.83</v>
      </c>
      <c r="P571" s="12">
        <f t="shared" si="49"/>
        <v>3.9725000000000001</v>
      </c>
      <c r="Q571" s="12">
        <f t="shared" si="50"/>
        <v>3.97</v>
      </c>
      <c r="R571" s="12">
        <f t="shared" si="51"/>
        <v>3.8159999999999998</v>
      </c>
      <c r="S571" s="28">
        <f>IFERROR(INDEX('Clean Gamification Data'!$B:$B,MATCH($B571,'Clean Gamification Data'!$A:$A,0)),"Not Found")</f>
        <v>89.758671449999994</v>
      </c>
      <c r="T571" s="28">
        <f>IFERROR(INDEX('Clean Gamification Data'!$C:$C,MATCH($B571,'Clean Gamification Data'!$A:$A,0)),"Not Found")</f>
        <v>70.957156690000005</v>
      </c>
      <c r="U571" s="28">
        <f>IFERROR(INDEX('Clean Gamification Data'!$D:$D,MATCH($B571,'Clean Gamification Data'!$A:$A,0)),"Not Found")</f>
        <v>79.63694495</v>
      </c>
      <c r="V571" s="28">
        <f>IFERROR(INDEX('Clean Gamification Data'!$E:$E,MATCH($B571,'Clean Gamification Data'!$A:$A,0)),"Not Found")</f>
        <v>65.492614810000006</v>
      </c>
      <c r="W571" s="28">
        <f>IFERROR(INDEX('Clean Gamification Data'!$F:$F,MATCH($B571,'Clean Gamification Data'!$A:$A,0)),"Not Found")</f>
        <v>90.219425509999994</v>
      </c>
      <c r="X571" s="28">
        <f>IFERROR(INDEX('Clean Gamification Data'!$G:$G,MATCH($B571,'Clean Gamification Data'!$A:$A,0)),"Not Found")</f>
        <v>75.838475419999995</v>
      </c>
      <c r="Y571" s="28">
        <f>IFERROR(INDEX('Clean Gamification Data'!$H:$H,MATCH($B571,'Clean Gamification Data'!$A:$A,0)),"Not Found")</f>
        <v>71.843980290000005</v>
      </c>
      <c r="Z571" s="28">
        <f>IFERROR(INDEX('Clean Gamification Data'!$I:$I,MATCH($B571,'Clean Gamification Data'!$A:$A,0)),"Not Found")</f>
        <v>69.782999860000004</v>
      </c>
      <c r="AA571" s="28">
        <f>Table1[[#This Row],[Engagement (Gamification %)]]-Table1[[#This Row],[Engagement (Non-Gamification %)]]</f>
        <v>18.801514759999989</v>
      </c>
      <c r="AB571" s="28">
        <f>Table1[[#This Row],[Motivation (Gamification %)]]-Table1[[#This Row],[Motivation (Non-Gamification %)]]</f>
        <v>14.144330139999994</v>
      </c>
      <c r="AC571" s="28">
        <f>Table1[[#This Row],[Participation (Gamification %)]]-Table1[[#This Row],[Participation (Non-Gamification %)]]</f>
        <v>14.380950089999999</v>
      </c>
      <c r="AD571" s="28">
        <f>Table1[[#This Row],[Learning Outcomes (Gamification %)]]-Table1[[#This Row],[Learning Outcomes (Non-Gamification %)]]</f>
        <v>2.0609804300000008</v>
      </c>
      <c r="AE571" s="44" t="str">
        <f>IF(Table1[[#This Row],[Overall Effectiveness]]&lt;3.9,"Low",IF(Table1[[#This Row],[Overall Effectiveness]]&lt;4.2,"Medium","High"))</f>
        <v>Medium</v>
      </c>
      <c r="AF571" s="30" t="str">
        <f t="shared" si="52"/>
        <v>Group Projects</v>
      </c>
      <c r="AG571" s="30" t="str">
        <f t="shared" si="53"/>
        <v>Case Studies</v>
      </c>
      <c r="AH571" s="27">
        <f>COUNTIF(Teacher_Master!$D$2:$D$16,AF571)</f>
        <v>3</v>
      </c>
      <c r="AI571" s="30" t="str">
        <f>INDEX(Teacher_Master!$B$2:$B$16,MATCH(AF571,Teacher_Master!$D$2:$D$16,0))</f>
        <v>Dr. Rohan Dutta</v>
      </c>
    </row>
    <row r="572" spans="1:35" ht="14.25" customHeight="1" x14ac:dyDescent="0.3">
      <c r="A572" s="31" t="s">
        <v>1172</v>
      </c>
      <c r="B572" s="31" t="s">
        <v>1173</v>
      </c>
      <c r="C572" s="31" t="s">
        <v>2881</v>
      </c>
      <c r="D572" s="12">
        <f t="shared" ca="1" si="48"/>
        <v>27</v>
      </c>
      <c r="E572" s="12" t="str">
        <f ca="1">IF(Table1[[#This Row],[Age]]&lt;=22,"20-22",IF(Table1[[#This Row],[Age]]&lt;=25,"23-25",IF(Table1[[#This Row],[Age]]&lt;=28,"26-28","29-30")))</f>
        <v>26-28</v>
      </c>
      <c r="F572" s="12">
        <v>4.33</v>
      </c>
      <c r="G572" s="12">
        <v>4.12</v>
      </c>
      <c r="H572" s="12">
        <v>3.83</v>
      </c>
      <c r="I572" s="12">
        <v>4.0999999999999996</v>
      </c>
      <c r="J572" s="12">
        <v>3.98</v>
      </c>
      <c r="K572" s="12">
        <v>3.88</v>
      </c>
      <c r="L572" s="12">
        <v>3.6</v>
      </c>
      <c r="M572" s="12">
        <v>4.0599999999999996</v>
      </c>
      <c r="N572" s="12">
        <v>3.79</v>
      </c>
      <c r="O572" s="12">
        <v>4.01</v>
      </c>
      <c r="P572" s="12">
        <f t="shared" si="49"/>
        <v>4.0720000000000001</v>
      </c>
      <c r="Q572" s="12">
        <f t="shared" si="50"/>
        <v>4.07</v>
      </c>
      <c r="R572" s="12">
        <f t="shared" si="51"/>
        <v>3.8679999999999994</v>
      </c>
      <c r="S572" s="28">
        <f>IFERROR(INDEX('Clean Gamification Data'!$B:$B,MATCH($B572,'Clean Gamification Data'!$A:$A,0)),"Not Found")</f>
        <v>89.993669359999998</v>
      </c>
      <c r="T572" s="28">
        <f>IFERROR(INDEX('Clean Gamification Data'!$C:$C,MATCH($B572,'Clean Gamification Data'!$A:$A,0)),"Not Found")</f>
        <v>70.790866059999999</v>
      </c>
      <c r="U572" s="28">
        <f>IFERROR(INDEX('Clean Gamification Data'!$D:$D,MATCH($B572,'Clean Gamification Data'!$A:$A,0)),"Not Found")</f>
        <v>73.31089781</v>
      </c>
      <c r="V572" s="28">
        <f>IFERROR(INDEX('Clean Gamification Data'!$E:$E,MATCH($B572,'Clean Gamification Data'!$A:$A,0)),"Not Found")</f>
        <v>66.761751959999998</v>
      </c>
      <c r="W572" s="28">
        <f>IFERROR(INDEX('Clean Gamification Data'!$F:$F,MATCH($B572,'Clean Gamification Data'!$A:$A,0)),"Not Found")</f>
        <v>97.769119349999997</v>
      </c>
      <c r="X572" s="28">
        <f>IFERROR(INDEX('Clean Gamification Data'!$G:$G,MATCH($B572,'Clean Gamification Data'!$A:$A,0)),"Not Found")</f>
        <v>79.741105529999999</v>
      </c>
      <c r="Y572" s="28">
        <f>IFERROR(INDEX('Clean Gamification Data'!$H:$H,MATCH($B572,'Clean Gamification Data'!$A:$A,0)),"Not Found")</f>
        <v>74.219788030000004</v>
      </c>
      <c r="Z572" s="28">
        <f>IFERROR(INDEX('Clean Gamification Data'!$I:$I,MATCH($B572,'Clean Gamification Data'!$A:$A,0)),"Not Found")</f>
        <v>59.150497809999997</v>
      </c>
      <c r="AA572" s="28">
        <f>Table1[[#This Row],[Engagement (Gamification %)]]-Table1[[#This Row],[Engagement (Non-Gamification %)]]</f>
        <v>19.202803299999999</v>
      </c>
      <c r="AB572" s="28">
        <f>Table1[[#This Row],[Motivation (Gamification %)]]-Table1[[#This Row],[Motivation (Non-Gamification %)]]</f>
        <v>6.5491458500000022</v>
      </c>
      <c r="AC572" s="28">
        <f>Table1[[#This Row],[Participation (Gamification %)]]-Table1[[#This Row],[Participation (Non-Gamification %)]]</f>
        <v>18.028013819999998</v>
      </c>
      <c r="AD572" s="28">
        <f>Table1[[#This Row],[Learning Outcomes (Gamification %)]]-Table1[[#This Row],[Learning Outcomes (Non-Gamification %)]]</f>
        <v>15.069290220000006</v>
      </c>
      <c r="AE572" s="44" t="str">
        <f>IF(Table1[[#This Row],[Overall Effectiveness]]&lt;3.9,"Low",IF(Table1[[#This Row],[Overall Effectiveness]]&lt;4.2,"Medium","High"))</f>
        <v>Medium</v>
      </c>
      <c r="AF572" s="30" t="str">
        <f t="shared" si="52"/>
        <v>Lectures</v>
      </c>
      <c r="AG572" s="30" t="str">
        <f t="shared" si="53"/>
        <v>Group Projects</v>
      </c>
      <c r="AH572" s="27">
        <f>COUNTIF(Teacher_Master!$D$2:$D$16,AF572)</f>
        <v>3</v>
      </c>
      <c r="AI572" s="30" t="str">
        <f>INDEX(Teacher_Master!$B$2:$B$16,MATCH(AF572,Teacher_Master!$D$2:$D$16,0))</f>
        <v>Prof. Vikram Gupta</v>
      </c>
    </row>
    <row r="573" spans="1:35" ht="14.25" customHeight="1" x14ac:dyDescent="0.3">
      <c r="A573" s="31" t="s">
        <v>1174</v>
      </c>
      <c r="B573" s="31" t="s">
        <v>1175</v>
      </c>
      <c r="C573" s="31" t="s">
        <v>2881</v>
      </c>
      <c r="D573" s="12">
        <f t="shared" ca="1" si="48"/>
        <v>25</v>
      </c>
      <c r="E573" s="12" t="str">
        <f ca="1">IF(Table1[[#This Row],[Age]]&lt;=22,"20-22",IF(Table1[[#This Row],[Age]]&lt;=25,"23-25",IF(Table1[[#This Row],[Age]]&lt;=28,"26-28","29-30")))</f>
        <v>23-25</v>
      </c>
      <c r="F573" s="12">
        <v>4.3499999999999996</v>
      </c>
      <c r="G573" s="12">
        <v>3.85</v>
      </c>
      <c r="H573" s="12">
        <v>4.1500000000000004</v>
      </c>
      <c r="I573" s="12">
        <v>4.18</v>
      </c>
      <c r="J573" s="12">
        <v>4.55</v>
      </c>
      <c r="K573" s="12">
        <v>3.7</v>
      </c>
      <c r="L573" s="12">
        <v>3.78</v>
      </c>
      <c r="M573" s="12">
        <v>4.01</v>
      </c>
      <c r="N573" s="12">
        <v>4.17</v>
      </c>
      <c r="O573" s="12">
        <v>4.09</v>
      </c>
      <c r="P573" s="12">
        <f t="shared" si="49"/>
        <v>4.2160000000000002</v>
      </c>
      <c r="Q573" s="12">
        <f t="shared" si="50"/>
        <v>4.22</v>
      </c>
      <c r="R573" s="12">
        <f t="shared" si="51"/>
        <v>3.95</v>
      </c>
      <c r="S573" s="28">
        <f>IFERROR(INDEX('Clean Gamification Data'!$B:$B,MATCH($B573,'Clean Gamification Data'!$A:$A,0)),"Not Found")</f>
        <v>87.332103880000005</v>
      </c>
      <c r="T573" s="28">
        <f>IFERROR(INDEX('Clean Gamification Data'!$C:$C,MATCH($B573,'Clean Gamification Data'!$A:$A,0)),"Not Found")</f>
        <v>73.928977369999998</v>
      </c>
      <c r="U573" s="28">
        <f>IFERROR(INDEX('Clean Gamification Data'!$D:$D,MATCH($B573,'Clean Gamification Data'!$A:$A,0)),"Not Found")</f>
        <v>85.842384519999996</v>
      </c>
      <c r="V573" s="28">
        <f>IFERROR(INDEX('Clean Gamification Data'!$E:$E,MATCH($B573,'Clean Gamification Data'!$A:$A,0)),"Not Found")</f>
        <v>75</v>
      </c>
      <c r="W573" s="28">
        <f>IFERROR(INDEX('Clean Gamification Data'!$F:$F,MATCH($B573,'Clean Gamification Data'!$A:$A,0)),"Not Found")</f>
        <v>80.408042760000001</v>
      </c>
      <c r="X573" s="28">
        <f>IFERROR(INDEX('Clean Gamification Data'!$G:$G,MATCH($B573,'Clean Gamification Data'!$A:$A,0)),"Not Found")</f>
        <v>85</v>
      </c>
      <c r="Y573" s="28">
        <f>IFERROR(INDEX('Clean Gamification Data'!$H:$H,MATCH($B573,'Clean Gamification Data'!$A:$A,0)),"Not Found")</f>
        <v>80.229850029999994</v>
      </c>
      <c r="Z573" s="28">
        <f>IFERROR(INDEX('Clean Gamification Data'!$I:$I,MATCH($B573,'Clean Gamification Data'!$A:$A,0)),"Not Found")</f>
        <v>59.268763380000003</v>
      </c>
      <c r="AA573" s="28">
        <f>Table1[[#This Row],[Engagement (Gamification %)]]-Table1[[#This Row],[Engagement (Non-Gamification %)]]</f>
        <v>13.403126510000007</v>
      </c>
      <c r="AB573" s="28">
        <f>Table1[[#This Row],[Motivation (Gamification %)]]-Table1[[#This Row],[Motivation (Non-Gamification %)]]</f>
        <v>10.842384519999996</v>
      </c>
      <c r="AC573" s="28">
        <f>Table1[[#This Row],[Participation (Gamification %)]]-Table1[[#This Row],[Participation (Non-Gamification %)]]</f>
        <v>-4.5919572399999993</v>
      </c>
      <c r="AD573" s="28">
        <f>Table1[[#This Row],[Learning Outcomes (Gamification %)]]-Table1[[#This Row],[Learning Outcomes (Non-Gamification %)]]</f>
        <v>20.961086649999991</v>
      </c>
      <c r="AE573" s="44" t="str">
        <f>IF(Table1[[#This Row],[Overall Effectiveness]]&lt;3.9,"Low",IF(Table1[[#This Row],[Overall Effectiveness]]&lt;4.2,"Medium","High"))</f>
        <v>High</v>
      </c>
      <c r="AF573" s="30" t="str">
        <f t="shared" si="52"/>
        <v>Online Tutorials</v>
      </c>
      <c r="AG573" s="30" t="str">
        <f t="shared" si="53"/>
        <v>Experiments</v>
      </c>
      <c r="AH573" s="27">
        <f>COUNTIF(Teacher_Master!$D$2:$D$16,AF573)</f>
        <v>3</v>
      </c>
      <c r="AI573" s="30" t="str">
        <f>INDEX(Teacher_Master!$B$2:$B$16,MATCH(AF573,Teacher_Master!$D$2:$D$16,0))</f>
        <v>Prof. Kavita Rao</v>
      </c>
    </row>
    <row r="574" spans="1:35" ht="14.25" customHeight="1" x14ac:dyDescent="0.3">
      <c r="A574" s="31" t="s">
        <v>1176</v>
      </c>
      <c r="B574" s="31" t="s">
        <v>1177</v>
      </c>
      <c r="C574" s="31" t="s">
        <v>2881</v>
      </c>
      <c r="D574" s="12">
        <f t="shared" ca="1" si="48"/>
        <v>25</v>
      </c>
      <c r="E574" s="12" t="str">
        <f ca="1">IF(Table1[[#This Row],[Age]]&lt;=22,"20-22",IF(Table1[[#This Row],[Age]]&lt;=25,"23-25",IF(Table1[[#This Row],[Age]]&lt;=28,"26-28","29-30")))</f>
        <v>23-25</v>
      </c>
      <c r="F574" s="12">
        <v>4.3099999999999996</v>
      </c>
      <c r="G574" s="12">
        <v>4.26</v>
      </c>
      <c r="H574" s="12">
        <v>4.4400000000000004</v>
      </c>
      <c r="I574" s="12">
        <v>4.3099999999999996</v>
      </c>
      <c r="J574" s="12">
        <v>3.83</v>
      </c>
      <c r="K574" s="12">
        <v>3.95</v>
      </c>
      <c r="L574" s="12">
        <v>4.05</v>
      </c>
      <c r="M574" s="12">
        <v>4.18</v>
      </c>
      <c r="N574" s="12">
        <v>3.89</v>
      </c>
      <c r="O574" s="12">
        <v>4.05</v>
      </c>
      <c r="P574" s="12">
        <f t="shared" si="49"/>
        <v>4.2299999999999995</v>
      </c>
      <c r="Q574" s="12">
        <f t="shared" si="50"/>
        <v>4.2300000000000004</v>
      </c>
      <c r="R574" s="12">
        <f t="shared" si="51"/>
        <v>4.024</v>
      </c>
      <c r="S574" s="28">
        <f>IFERROR(INDEX('Clean Gamification Data'!$B:$B,MATCH($B574,'Clean Gamification Data'!$A:$A,0)),"Not Found")</f>
        <v>90.518223469999995</v>
      </c>
      <c r="T574" s="28">
        <f>IFERROR(INDEX('Clean Gamification Data'!$C:$C,MATCH($B574,'Clean Gamification Data'!$A:$A,0)),"Not Found")</f>
        <v>71.115847869999996</v>
      </c>
      <c r="U574" s="28">
        <f>IFERROR(INDEX('Clean Gamification Data'!$D:$D,MATCH($B574,'Clean Gamification Data'!$A:$A,0)),"Not Found")</f>
        <v>75.788834870000002</v>
      </c>
      <c r="V574" s="28">
        <f>IFERROR(INDEX('Clean Gamification Data'!$E:$E,MATCH($B574,'Clean Gamification Data'!$A:$A,0)),"Not Found")</f>
        <v>63.086770229999999</v>
      </c>
      <c r="W574" s="28">
        <f>IFERROR(INDEX('Clean Gamification Data'!$F:$F,MATCH($B574,'Clean Gamification Data'!$A:$A,0)),"Not Found")</f>
        <v>89.636423199999996</v>
      </c>
      <c r="X574" s="28">
        <f>IFERROR(INDEX('Clean Gamification Data'!$G:$G,MATCH($B574,'Clean Gamification Data'!$A:$A,0)),"Not Found")</f>
        <v>77.70828487</v>
      </c>
      <c r="Y574" s="28">
        <f>IFERROR(INDEX('Clean Gamification Data'!$H:$H,MATCH($B574,'Clean Gamification Data'!$A:$A,0)),"Not Found")</f>
        <v>74.374679369999996</v>
      </c>
      <c r="Z574" s="28">
        <f>IFERROR(INDEX('Clean Gamification Data'!$I:$I,MATCH($B574,'Clean Gamification Data'!$A:$A,0)),"Not Found")</f>
        <v>68.978408959999996</v>
      </c>
      <c r="AA574" s="28">
        <f>Table1[[#This Row],[Engagement (Gamification %)]]-Table1[[#This Row],[Engagement (Non-Gamification %)]]</f>
        <v>19.402375599999999</v>
      </c>
      <c r="AB574" s="28">
        <f>Table1[[#This Row],[Motivation (Gamification %)]]-Table1[[#This Row],[Motivation (Non-Gamification %)]]</f>
        <v>12.702064640000003</v>
      </c>
      <c r="AC574" s="28">
        <f>Table1[[#This Row],[Participation (Gamification %)]]-Table1[[#This Row],[Participation (Non-Gamification %)]]</f>
        <v>11.928138329999996</v>
      </c>
      <c r="AD574" s="28">
        <f>Table1[[#This Row],[Learning Outcomes (Gamification %)]]-Table1[[#This Row],[Learning Outcomes (Non-Gamification %)]]</f>
        <v>5.3962704099999996</v>
      </c>
      <c r="AE574" s="44" t="str">
        <f>IF(Table1[[#This Row],[Overall Effectiveness]]&lt;3.9,"Low",IF(Table1[[#This Row],[Overall Effectiveness]]&lt;4.2,"Medium","High"))</f>
        <v>High</v>
      </c>
      <c r="AF574" s="30" t="str">
        <f t="shared" si="52"/>
        <v>Group Projects</v>
      </c>
      <c r="AG574" s="30" t="str">
        <f t="shared" si="53"/>
        <v>Group Projects</v>
      </c>
      <c r="AH574" s="27">
        <f>COUNTIF(Teacher_Master!$D$2:$D$16,AF574)</f>
        <v>3</v>
      </c>
      <c r="AI574" s="30" t="str">
        <f>INDEX(Teacher_Master!$B$2:$B$16,MATCH(AF574,Teacher_Master!$D$2:$D$16,0))</f>
        <v>Dr. Rohan Dutta</v>
      </c>
    </row>
    <row r="575" spans="1:35" ht="14.25" customHeight="1" x14ac:dyDescent="0.3">
      <c r="A575" s="31" t="s">
        <v>1178</v>
      </c>
      <c r="B575" s="31" t="s">
        <v>2485</v>
      </c>
      <c r="C575" s="31" t="s">
        <v>2881</v>
      </c>
      <c r="D575" s="12">
        <f t="shared" ca="1" si="48"/>
        <v>22</v>
      </c>
      <c r="E575" s="12" t="str">
        <f ca="1">IF(Table1[[#This Row],[Age]]&lt;=22,"20-22",IF(Table1[[#This Row],[Age]]&lt;=25,"23-25",IF(Table1[[#This Row],[Age]]&lt;=28,"26-28","29-30")))</f>
        <v>20-22</v>
      </c>
      <c r="F575" s="12">
        <v>4.1900000000000004</v>
      </c>
      <c r="G575" s="12">
        <v>3.45</v>
      </c>
      <c r="H575" s="12">
        <v>4.37</v>
      </c>
      <c r="I575" s="12">
        <v>4.1399999999999997</v>
      </c>
      <c r="J575" s="12">
        <v>3.97</v>
      </c>
      <c r="K575" s="12">
        <v>3.78</v>
      </c>
      <c r="L575" s="12">
        <v>3.96</v>
      </c>
      <c r="M575" s="12">
        <v>3.52</v>
      </c>
      <c r="N575" s="12">
        <v>3.5</v>
      </c>
      <c r="O575" s="12">
        <v>4.2300000000000004</v>
      </c>
      <c r="P575" s="12">
        <f t="shared" si="49"/>
        <v>4.024</v>
      </c>
      <c r="Q575" s="12">
        <f t="shared" si="50"/>
        <v>4.0199999999999996</v>
      </c>
      <c r="R575" s="12">
        <f t="shared" si="51"/>
        <v>3.7980000000000005</v>
      </c>
      <c r="S575" s="28">
        <f>IFERROR(INDEX('Clean Gamification Data'!$B:$B,MATCH($B575,'Clean Gamification Data'!$A:$A,0)),"Not Found")</f>
        <v>82.832323619999997</v>
      </c>
      <c r="T575" s="28">
        <f>IFERROR(INDEX('Clean Gamification Data'!$C:$C,MATCH($B575,'Clean Gamification Data'!$A:$A,0)),"Not Found")</f>
        <v>71.301178059999998</v>
      </c>
      <c r="U575" s="28">
        <f>IFERROR(INDEX('Clean Gamification Data'!$D:$D,MATCH($B575,'Clean Gamification Data'!$A:$A,0)),"Not Found")</f>
        <v>90</v>
      </c>
      <c r="V575" s="28">
        <f>IFERROR(INDEX('Clean Gamification Data'!$E:$E,MATCH($B575,'Clean Gamification Data'!$A:$A,0)),"Not Found")</f>
        <v>68.558110540000001</v>
      </c>
      <c r="W575" s="28">
        <f>IFERROR(INDEX('Clean Gamification Data'!$F:$F,MATCH($B575,'Clean Gamification Data'!$A:$A,0)),"Not Found")</f>
        <v>93.076998939999996</v>
      </c>
      <c r="X575" s="28">
        <f>IFERROR(INDEX('Clean Gamification Data'!$G:$G,MATCH($B575,'Clean Gamification Data'!$A:$A,0)),"Not Found")</f>
        <v>78.997120429999995</v>
      </c>
      <c r="Y575" s="28">
        <f>IFERROR(INDEX('Clean Gamification Data'!$H:$H,MATCH($B575,'Clean Gamification Data'!$A:$A,0)),"Not Found")</f>
        <v>71.200384690000007</v>
      </c>
      <c r="Z575" s="28">
        <f>IFERROR(INDEX('Clean Gamification Data'!$I:$I,MATCH($B575,'Clean Gamification Data'!$A:$A,0)),"Not Found")</f>
        <v>53.91280484</v>
      </c>
      <c r="AA575" s="28">
        <f>Table1[[#This Row],[Engagement (Gamification %)]]-Table1[[#This Row],[Engagement (Non-Gamification %)]]</f>
        <v>11.531145559999999</v>
      </c>
      <c r="AB575" s="28">
        <f>Table1[[#This Row],[Motivation (Gamification %)]]-Table1[[#This Row],[Motivation (Non-Gamification %)]]</f>
        <v>21.441889459999999</v>
      </c>
      <c r="AC575" s="28">
        <f>Table1[[#This Row],[Participation (Gamification %)]]-Table1[[#This Row],[Participation (Non-Gamification %)]]</f>
        <v>14.07987851</v>
      </c>
      <c r="AD575" s="28">
        <f>Table1[[#This Row],[Learning Outcomes (Gamification %)]]-Table1[[#This Row],[Learning Outcomes (Non-Gamification %)]]</f>
        <v>17.287579850000007</v>
      </c>
      <c r="AE575" s="44" t="str">
        <f>IF(Table1[[#This Row],[Overall Effectiveness]]&lt;3.9,"Low",IF(Table1[[#This Row],[Overall Effectiveness]]&lt;4.2,"Medium","High"))</f>
        <v>Medium</v>
      </c>
      <c r="AF575" s="30" t="str">
        <f t="shared" si="52"/>
        <v>Group Projects</v>
      </c>
      <c r="AG575" s="30" t="str">
        <f t="shared" si="53"/>
        <v>Online Tutorials</v>
      </c>
      <c r="AH575" s="27">
        <f>COUNTIF(Teacher_Master!$D$2:$D$16,AF575)</f>
        <v>3</v>
      </c>
      <c r="AI575" s="30" t="str">
        <f>INDEX(Teacher_Master!$B$2:$B$16,MATCH(AF575,Teacher_Master!$D$2:$D$16,0))</f>
        <v>Dr. Rohan Dutta</v>
      </c>
    </row>
    <row r="576" spans="1:35" ht="14.25" customHeight="1" x14ac:dyDescent="0.3">
      <c r="A576" s="31" t="s">
        <v>1180</v>
      </c>
      <c r="B576" s="31" t="s">
        <v>1181</v>
      </c>
      <c r="C576" s="31" t="s">
        <v>2882</v>
      </c>
      <c r="D576" s="12">
        <f t="shared" ca="1" si="48"/>
        <v>25</v>
      </c>
      <c r="E576" s="12" t="str">
        <f ca="1">IF(Table1[[#This Row],[Age]]&lt;=22,"20-22",IF(Table1[[#This Row],[Age]]&lt;=25,"23-25",IF(Table1[[#This Row],[Age]]&lt;=28,"26-28","29-30")))</f>
        <v>23-25</v>
      </c>
      <c r="F576" s="12">
        <v>4.08</v>
      </c>
      <c r="G576" s="12">
        <v>4.18</v>
      </c>
      <c r="H576" s="12">
        <v>4.3</v>
      </c>
      <c r="I576" s="12">
        <v>4.0199999999999996</v>
      </c>
      <c r="J576" s="12">
        <v>3.89</v>
      </c>
      <c r="K576" s="12">
        <v>3.75</v>
      </c>
      <c r="L576" s="12">
        <v>4.37</v>
      </c>
      <c r="M576" s="12">
        <v>4.09</v>
      </c>
      <c r="N576" s="12">
        <v>4.5199999999999996</v>
      </c>
      <c r="O576" s="12">
        <v>4.09</v>
      </c>
      <c r="P576" s="12">
        <f t="shared" si="49"/>
        <v>4.0939999999999994</v>
      </c>
      <c r="Q576" s="12">
        <f t="shared" si="50"/>
        <v>4.09</v>
      </c>
      <c r="R576" s="12">
        <f t="shared" si="51"/>
        <v>4.1639999999999997</v>
      </c>
      <c r="S576" s="28">
        <f>IFERROR(INDEX('Clean Gamification Data'!$B:$B,MATCH($B576,'Clean Gamification Data'!$A:$A,0)),"Not Found")</f>
        <v>86.589023670000003</v>
      </c>
      <c r="T576" s="28">
        <f>IFERROR(INDEX('Clean Gamification Data'!$C:$C,MATCH($B576,'Clean Gamification Data'!$A:$A,0)),"Not Found")</f>
        <v>69.05489292</v>
      </c>
      <c r="U576" s="28">
        <f>IFERROR(INDEX('Clean Gamification Data'!$D:$D,MATCH($B576,'Clean Gamification Data'!$A:$A,0)),"Not Found")</f>
        <v>70.225835880000005</v>
      </c>
      <c r="V576" s="28">
        <f>IFERROR(INDEX('Clean Gamification Data'!$E:$E,MATCH($B576,'Clean Gamification Data'!$A:$A,0)),"Not Found")</f>
        <v>68.161335710000003</v>
      </c>
      <c r="W576" s="28">
        <f>IFERROR(INDEX('Clean Gamification Data'!$F:$F,MATCH($B576,'Clean Gamification Data'!$A:$A,0)),"Not Found")</f>
        <v>99.9</v>
      </c>
      <c r="X576" s="28">
        <f>IFERROR(INDEX('Clean Gamification Data'!$G:$G,MATCH($B576,'Clean Gamification Data'!$A:$A,0)),"Not Found")</f>
        <v>75.222585440000003</v>
      </c>
      <c r="Y576" s="28">
        <f>IFERROR(INDEX('Clean Gamification Data'!$H:$H,MATCH($B576,'Clean Gamification Data'!$A:$A,0)),"Not Found")</f>
        <v>74.264975399999997</v>
      </c>
      <c r="Z576" s="28">
        <f>IFERROR(INDEX('Clean Gamification Data'!$I:$I,MATCH($B576,'Clean Gamification Data'!$A:$A,0)),"Not Found")</f>
        <v>55.241875690000001</v>
      </c>
      <c r="AA576" s="28">
        <f>Table1[[#This Row],[Engagement (Gamification %)]]-Table1[[#This Row],[Engagement (Non-Gamification %)]]</f>
        <v>17.534130750000003</v>
      </c>
      <c r="AB576" s="28">
        <f>Table1[[#This Row],[Motivation (Gamification %)]]-Table1[[#This Row],[Motivation (Non-Gamification %)]]</f>
        <v>2.0645001700000023</v>
      </c>
      <c r="AC576" s="28">
        <f>Table1[[#This Row],[Participation (Gamification %)]]-Table1[[#This Row],[Participation (Non-Gamification %)]]</f>
        <v>24.677414560000003</v>
      </c>
      <c r="AD576" s="28">
        <f>Table1[[#This Row],[Learning Outcomes (Gamification %)]]-Table1[[#This Row],[Learning Outcomes (Non-Gamification %)]]</f>
        <v>19.023099709999997</v>
      </c>
      <c r="AE576" s="44" t="str">
        <f>IF(Table1[[#This Row],[Overall Effectiveness]]&lt;3.9,"Low",IF(Table1[[#This Row],[Overall Effectiveness]]&lt;4.2,"Medium","High"))</f>
        <v>Medium</v>
      </c>
      <c r="AF576" s="30" t="str">
        <f t="shared" si="52"/>
        <v>Group Projects</v>
      </c>
      <c r="AG576" s="30" t="str">
        <f t="shared" si="53"/>
        <v>Experiments</v>
      </c>
      <c r="AH576" s="27">
        <f>COUNTIF(Teacher_Master!$D$2:$D$16,AF576)</f>
        <v>3</v>
      </c>
      <c r="AI576" s="30" t="str">
        <f>INDEX(Teacher_Master!$B$2:$B$16,MATCH(AF576,Teacher_Master!$D$2:$D$16,0))</f>
        <v>Dr. Rohan Dutta</v>
      </c>
    </row>
    <row r="577" spans="1:35" ht="14.25" customHeight="1" x14ac:dyDescent="0.3">
      <c r="A577" s="31" t="s">
        <v>1182</v>
      </c>
      <c r="B577" s="31" t="s">
        <v>1183</v>
      </c>
      <c r="C577" s="31" t="s">
        <v>2881</v>
      </c>
      <c r="D577" s="12">
        <f t="shared" ca="1" si="48"/>
        <v>24</v>
      </c>
      <c r="E577" s="12" t="str">
        <f ca="1">IF(Table1[[#This Row],[Age]]&lt;=22,"20-22",IF(Table1[[#This Row],[Age]]&lt;=25,"23-25",IF(Table1[[#This Row],[Age]]&lt;=28,"26-28","29-30")))</f>
        <v>23-25</v>
      </c>
      <c r="F577" s="12" t="s">
        <v>211</v>
      </c>
      <c r="G577" s="12">
        <v>3.44</v>
      </c>
      <c r="H577" s="12">
        <v>3.75</v>
      </c>
      <c r="I577" s="12">
        <v>3.83</v>
      </c>
      <c r="J577" s="12">
        <v>3.41</v>
      </c>
      <c r="K577" s="12">
        <v>3.46</v>
      </c>
      <c r="L577" s="12">
        <v>3.74</v>
      </c>
      <c r="M577" s="12">
        <v>4.42</v>
      </c>
      <c r="N577" s="12">
        <v>3.93</v>
      </c>
      <c r="O577" s="12">
        <v>3.75</v>
      </c>
      <c r="P577" s="12">
        <f t="shared" si="49"/>
        <v>3.6074999999999999</v>
      </c>
      <c r="Q577" s="12">
        <f t="shared" si="50"/>
        <v>3.61</v>
      </c>
      <c r="R577" s="12">
        <f t="shared" si="51"/>
        <v>3.8600000000000003</v>
      </c>
      <c r="S577" s="28">
        <f>IFERROR(INDEX('Clean Gamification Data'!$B:$B,MATCH($B577,'Clean Gamification Data'!$A:$A,0)),"Not Found")</f>
        <v>81.361386699999997</v>
      </c>
      <c r="T577" s="28">
        <f>IFERROR(INDEX('Clean Gamification Data'!$C:$C,MATCH($B577,'Clean Gamification Data'!$A:$A,0)),"Not Found")</f>
        <v>65.003545619999997</v>
      </c>
      <c r="U577" s="28">
        <f>IFERROR(INDEX('Clean Gamification Data'!$D:$D,MATCH($B577,'Clean Gamification Data'!$A:$A,0)),"Not Found")</f>
        <v>85.23359284</v>
      </c>
      <c r="V577" s="28">
        <f>IFERROR(INDEX('Clean Gamification Data'!$E:$E,MATCH($B577,'Clean Gamification Data'!$A:$A,0)),"Not Found")</f>
        <v>60.187321830000002</v>
      </c>
      <c r="W577" s="28">
        <f>IFERROR(INDEX('Clean Gamification Data'!$F:$F,MATCH($B577,'Clean Gamification Data'!$A:$A,0)),"Not Found")</f>
        <v>93.963260419999997</v>
      </c>
      <c r="X577" s="28">
        <f>IFERROR(INDEX('Clean Gamification Data'!$G:$G,MATCH($B577,'Clean Gamification Data'!$A:$A,0)),"Not Found")</f>
        <v>78.686155889999995</v>
      </c>
      <c r="Y577" s="28">
        <f>IFERROR(INDEX('Clean Gamification Data'!$H:$H,MATCH($B577,'Clean Gamification Data'!$A:$A,0)),"Not Found")</f>
        <v>72.414246790000007</v>
      </c>
      <c r="Z577" s="28">
        <f>IFERROR(INDEX('Clean Gamification Data'!$I:$I,MATCH($B577,'Clean Gamification Data'!$A:$A,0)),"Not Found")</f>
        <v>60.219568600000002</v>
      </c>
      <c r="AA577" s="28">
        <f>Table1[[#This Row],[Engagement (Gamification %)]]-Table1[[#This Row],[Engagement (Non-Gamification %)]]</f>
        <v>16.35784108</v>
      </c>
      <c r="AB577" s="28">
        <f>Table1[[#This Row],[Motivation (Gamification %)]]-Table1[[#This Row],[Motivation (Non-Gamification %)]]</f>
        <v>25.046271009999998</v>
      </c>
      <c r="AC577" s="28">
        <f>Table1[[#This Row],[Participation (Gamification %)]]-Table1[[#This Row],[Participation (Non-Gamification %)]]</f>
        <v>15.277104530000003</v>
      </c>
      <c r="AD577" s="28">
        <f>Table1[[#This Row],[Learning Outcomes (Gamification %)]]-Table1[[#This Row],[Learning Outcomes (Non-Gamification %)]]</f>
        <v>12.194678190000005</v>
      </c>
      <c r="AE577" s="44" t="str">
        <f>IF(Table1[[#This Row],[Overall Effectiveness]]&lt;3.9,"Low",IF(Table1[[#This Row],[Overall Effectiveness]]&lt;4.2,"Medium","High"))</f>
        <v>Low</v>
      </c>
      <c r="AF577" s="30" t="str">
        <f t="shared" si="52"/>
        <v>Experiments</v>
      </c>
      <c r="AG577" s="30" t="str">
        <f t="shared" si="53"/>
        <v>Group Projects</v>
      </c>
      <c r="AH577" s="27">
        <f>COUNTIF(Teacher_Master!$D$2:$D$16,AF577)</f>
        <v>3</v>
      </c>
      <c r="AI577" s="30" t="str">
        <f>INDEX(Teacher_Master!$B$2:$B$16,MATCH(AF577,Teacher_Master!$D$2:$D$16,0))</f>
        <v>Prof. Rahul Singh</v>
      </c>
    </row>
    <row r="578" spans="1:35" ht="14.25" customHeight="1" x14ac:dyDescent="0.3">
      <c r="A578" s="31" t="s">
        <v>1184</v>
      </c>
      <c r="B578" s="31" t="s">
        <v>1185</v>
      </c>
      <c r="C578" s="31" t="s">
        <v>2882</v>
      </c>
      <c r="D578" s="12">
        <f t="shared" ref="D578:D641" ca="1" si="54">RANDBETWEEN(20,30)</f>
        <v>25</v>
      </c>
      <c r="E578" s="12" t="str">
        <f ca="1">IF(Table1[[#This Row],[Age]]&lt;=22,"20-22",IF(Table1[[#This Row],[Age]]&lt;=25,"23-25",IF(Table1[[#This Row],[Age]]&lt;=28,"26-28","29-30")))</f>
        <v>23-25</v>
      </c>
      <c r="F578" s="12">
        <v>4.09</v>
      </c>
      <c r="G578" s="12">
        <v>4.09</v>
      </c>
      <c r="H578" s="12">
        <v>4.09</v>
      </c>
      <c r="I578" s="12">
        <v>4.09</v>
      </c>
      <c r="J578" s="12">
        <v>4.67</v>
      </c>
      <c r="K578" s="12">
        <v>3.93</v>
      </c>
      <c r="L578" s="12">
        <v>4.17</v>
      </c>
      <c r="M578" s="12">
        <v>4.5</v>
      </c>
      <c r="N578" s="12">
        <v>3.85</v>
      </c>
      <c r="O578" s="12">
        <v>3.77</v>
      </c>
      <c r="P578" s="12">
        <f t="shared" ref="P578:P641" si="55">AVERAGE(F578:J578)</f>
        <v>4.2060000000000004</v>
      </c>
      <c r="Q578" s="12">
        <f t="shared" ref="Q578:Q641" si="56">ROUND(P578,2)</f>
        <v>4.21</v>
      </c>
      <c r="R578" s="12">
        <f t="shared" ref="R578:R641" si="57">AVERAGE(K578:O578)</f>
        <v>4.0439999999999996</v>
      </c>
      <c r="S578" s="28">
        <f>IFERROR(INDEX('Clean Gamification Data'!$B:$B,MATCH($B578,'Clean Gamification Data'!$A:$A,0)),"Not Found")</f>
        <v>84.864291600000001</v>
      </c>
      <c r="T578" s="28">
        <f>IFERROR(INDEX('Clean Gamification Data'!$C:$C,MATCH($B578,'Clean Gamification Data'!$A:$A,0)),"Not Found")</f>
        <v>60</v>
      </c>
      <c r="U578" s="28">
        <f>IFERROR(INDEX('Clean Gamification Data'!$D:$D,MATCH($B578,'Clean Gamification Data'!$A:$A,0)),"Not Found")</f>
        <v>76.864386249999995</v>
      </c>
      <c r="V578" s="28">
        <f>IFERROR(INDEX('Clean Gamification Data'!$E:$E,MATCH($B578,'Clean Gamification Data'!$A:$A,0)),"Not Found")</f>
        <v>61.499338539999997</v>
      </c>
      <c r="W578" s="28">
        <f>IFERROR(INDEX('Clean Gamification Data'!$F:$F,MATCH($B578,'Clean Gamification Data'!$A:$A,0)),"Not Found")</f>
        <v>97.550631969999998</v>
      </c>
      <c r="X578" s="28">
        <f>IFERROR(INDEX('Clean Gamification Data'!$G:$G,MATCH($B578,'Clean Gamification Data'!$A:$A,0)),"Not Found")</f>
        <v>75.897352470000001</v>
      </c>
      <c r="Y578" s="28">
        <f>IFERROR(INDEX('Clean Gamification Data'!$H:$H,MATCH($B578,'Clean Gamification Data'!$A:$A,0)),"Not Found")</f>
        <v>68.759290399999998</v>
      </c>
      <c r="Z578" s="28">
        <f>IFERROR(INDEX('Clean Gamification Data'!$I:$I,MATCH($B578,'Clean Gamification Data'!$A:$A,0)),"Not Found")</f>
        <v>59.388194990000002</v>
      </c>
      <c r="AA578" s="28">
        <f>Table1[[#This Row],[Engagement (Gamification %)]]-Table1[[#This Row],[Engagement (Non-Gamification %)]]</f>
        <v>24.864291600000001</v>
      </c>
      <c r="AB578" s="28">
        <f>Table1[[#This Row],[Motivation (Gamification %)]]-Table1[[#This Row],[Motivation (Non-Gamification %)]]</f>
        <v>15.365047709999999</v>
      </c>
      <c r="AC578" s="28">
        <f>Table1[[#This Row],[Participation (Gamification %)]]-Table1[[#This Row],[Participation (Non-Gamification %)]]</f>
        <v>21.653279499999996</v>
      </c>
      <c r="AD578" s="28">
        <f>Table1[[#This Row],[Learning Outcomes (Gamification %)]]-Table1[[#This Row],[Learning Outcomes (Non-Gamification %)]]</f>
        <v>9.3710954099999952</v>
      </c>
      <c r="AE578" s="44" t="str">
        <f>IF(Table1[[#This Row],[Overall Effectiveness]]&lt;3.9,"Low",IF(Table1[[#This Row],[Overall Effectiveness]]&lt;4.2,"Medium","High"))</f>
        <v>High</v>
      </c>
      <c r="AF578" s="30" t="str">
        <f t="shared" ref="AF578:AF641" si="58">CHOOSE(MATCH(MAX(F578:J578),F578:J578,0),"Lectures","Case Studies","Group Projects","Experiments","Online Tutorials")</f>
        <v>Online Tutorials</v>
      </c>
      <c r="AG578" s="30" t="str">
        <f t="shared" ref="AG578:AG641" si="59">CHOOSE(MATCH(MAX(K578:O578),K578:O578,0),"Lectures","Case Studies","Group Projects","Experiments","Online Tutorials")</f>
        <v>Group Projects</v>
      </c>
      <c r="AH578" s="27">
        <f>COUNTIF(Teacher_Master!$D$2:$D$16,AF578)</f>
        <v>3</v>
      </c>
      <c r="AI578" s="30" t="str">
        <f>INDEX(Teacher_Master!$B$2:$B$16,MATCH(AF578,Teacher_Master!$D$2:$D$16,0))</f>
        <v>Prof. Kavita Rao</v>
      </c>
    </row>
    <row r="579" spans="1:35" ht="14.25" customHeight="1" x14ac:dyDescent="0.3">
      <c r="A579" s="31" t="s">
        <v>1186</v>
      </c>
      <c r="B579" s="31" t="s">
        <v>2486</v>
      </c>
      <c r="C579" s="31" t="s">
        <v>2881</v>
      </c>
      <c r="D579" s="12">
        <f t="shared" ca="1" si="54"/>
        <v>27</v>
      </c>
      <c r="E579" s="12" t="str">
        <f ca="1">IF(Table1[[#This Row],[Age]]&lt;=22,"20-22",IF(Table1[[#This Row],[Age]]&lt;=25,"23-25",IF(Table1[[#This Row],[Age]]&lt;=28,"26-28","29-30")))</f>
        <v>26-28</v>
      </c>
      <c r="F579" s="12" t="s">
        <v>211</v>
      </c>
      <c r="G579" s="12">
        <v>4.33</v>
      </c>
      <c r="H579" s="12">
        <v>4.25</v>
      </c>
      <c r="I579" s="12">
        <v>4.32</v>
      </c>
      <c r="J579" s="12">
        <v>4.5599999999999996</v>
      </c>
      <c r="K579" s="12">
        <v>4.51</v>
      </c>
      <c r="L579" s="12">
        <v>4.03</v>
      </c>
      <c r="M579" s="12">
        <v>3.7</v>
      </c>
      <c r="N579" s="12">
        <v>3.99</v>
      </c>
      <c r="O579" s="12">
        <v>4.0599999999999996</v>
      </c>
      <c r="P579" s="12">
        <f t="shared" si="55"/>
        <v>4.3650000000000002</v>
      </c>
      <c r="Q579" s="12">
        <f t="shared" si="56"/>
        <v>4.37</v>
      </c>
      <c r="R579" s="12">
        <f t="shared" si="57"/>
        <v>4.0579999999999989</v>
      </c>
      <c r="S579" s="28">
        <f>IFERROR(INDEX('Clean Gamification Data'!$B:$B,MATCH($B579,'Clean Gamification Data'!$A:$A,0)),"Not Found")</f>
        <v>88.102559580000005</v>
      </c>
      <c r="T579" s="28">
        <f>IFERROR(INDEX('Clean Gamification Data'!$C:$C,MATCH($B579,'Clean Gamification Data'!$A:$A,0)),"Not Found")</f>
        <v>69.448064909999999</v>
      </c>
      <c r="U579" s="28">
        <f>IFERROR(INDEX('Clean Gamification Data'!$D:$D,MATCH($B579,'Clean Gamification Data'!$A:$A,0)),"Not Found")</f>
        <v>70</v>
      </c>
      <c r="V579" s="28">
        <f>IFERROR(INDEX('Clean Gamification Data'!$E:$E,MATCH($B579,'Clean Gamification Data'!$A:$A,0)),"Not Found")</f>
        <v>68.091638529999997</v>
      </c>
      <c r="W579" s="28">
        <f>IFERROR(INDEX('Clean Gamification Data'!$F:$F,MATCH($B579,'Clean Gamification Data'!$A:$A,0)),"Not Found")</f>
        <v>80</v>
      </c>
      <c r="X579" s="28">
        <f>IFERROR(INDEX('Clean Gamification Data'!$G:$G,MATCH($B579,'Clean Gamification Data'!$A:$A,0)),"Not Found")</f>
        <v>84.145757070000002</v>
      </c>
      <c r="Y579" s="28">
        <f>IFERROR(INDEX('Clean Gamification Data'!$H:$H,MATCH($B579,'Clean Gamification Data'!$A:$A,0)),"Not Found")</f>
        <v>77.512908800000005</v>
      </c>
      <c r="Z579" s="28">
        <f>IFERROR(INDEX('Clean Gamification Data'!$I:$I,MATCH($B579,'Clean Gamification Data'!$A:$A,0)),"Not Found")</f>
        <v>59.444667940000002</v>
      </c>
      <c r="AA579" s="28">
        <f>Table1[[#This Row],[Engagement (Gamification %)]]-Table1[[#This Row],[Engagement (Non-Gamification %)]]</f>
        <v>18.654494670000005</v>
      </c>
      <c r="AB579" s="28">
        <f>Table1[[#This Row],[Motivation (Gamification %)]]-Table1[[#This Row],[Motivation (Non-Gamification %)]]</f>
        <v>1.9083614700000027</v>
      </c>
      <c r="AC579" s="28">
        <f>Table1[[#This Row],[Participation (Gamification %)]]-Table1[[#This Row],[Participation (Non-Gamification %)]]</f>
        <v>-4.1457570700000019</v>
      </c>
      <c r="AD579" s="28">
        <f>Table1[[#This Row],[Learning Outcomes (Gamification %)]]-Table1[[#This Row],[Learning Outcomes (Non-Gamification %)]]</f>
        <v>18.068240860000003</v>
      </c>
      <c r="AE579" s="44" t="str">
        <f>IF(Table1[[#This Row],[Overall Effectiveness]]&lt;3.9,"Low",IF(Table1[[#This Row],[Overall Effectiveness]]&lt;4.2,"Medium","High"))</f>
        <v>High</v>
      </c>
      <c r="AF579" s="30" t="str">
        <f t="shared" si="58"/>
        <v>Online Tutorials</v>
      </c>
      <c r="AG579" s="30" t="str">
        <f t="shared" si="59"/>
        <v>Lectures</v>
      </c>
      <c r="AH579" s="27">
        <f>COUNTIF(Teacher_Master!$D$2:$D$16,AF579)</f>
        <v>3</v>
      </c>
      <c r="AI579" s="30" t="str">
        <f>INDEX(Teacher_Master!$B$2:$B$16,MATCH(AF579,Teacher_Master!$D$2:$D$16,0))</f>
        <v>Prof. Kavita Rao</v>
      </c>
    </row>
    <row r="580" spans="1:35" ht="14.25" customHeight="1" x14ac:dyDescent="0.3">
      <c r="A580" s="31" t="s">
        <v>1188</v>
      </c>
      <c r="B580" s="31" t="s">
        <v>2487</v>
      </c>
      <c r="C580" s="31" t="s">
        <v>2881</v>
      </c>
      <c r="D580" s="12">
        <f t="shared" ca="1" si="54"/>
        <v>26</v>
      </c>
      <c r="E580" s="12" t="str">
        <f ca="1">IF(Table1[[#This Row],[Age]]&lt;=22,"20-22",IF(Table1[[#This Row],[Age]]&lt;=25,"23-25",IF(Table1[[#This Row],[Age]]&lt;=28,"26-28","29-30")))</f>
        <v>26-28</v>
      </c>
      <c r="F580" s="12">
        <v>4.18</v>
      </c>
      <c r="G580" s="12">
        <v>4.45</v>
      </c>
      <c r="H580" s="12">
        <v>4.0999999999999996</v>
      </c>
      <c r="I580" s="12">
        <v>3.96</v>
      </c>
      <c r="J580" s="12">
        <v>4.5</v>
      </c>
      <c r="K580" s="12">
        <v>4.07</v>
      </c>
      <c r="L580" s="12">
        <v>3.84</v>
      </c>
      <c r="M580" s="12">
        <v>3.18</v>
      </c>
      <c r="N580" s="12">
        <v>4.3499999999999996</v>
      </c>
      <c r="O580" s="12">
        <v>3.62</v>
      </c>
      <c r="P580" s="12">
        <f t="shared" si="55"/>
        <v>4.2379999999999995</v>
      </c>
      <c r="Q580" s="12">
        <f t="shared" si="56"/>
        <v>4.24</v>
      </c>
      <c r="R580" s="12">
        <f t="shared" si="57"/>
        <v>3.8119999999999998</v>
      </c>
      <c r="S580" s="28">
        <f>IFERROR(INDEX('Clean Gamification Data'!$B:$B,MATCH($B580,'Clean Gamification Data'!$A:$A,0)),"Not Found")</f>
        <v>95.385353100000003</v>
      </c>
      <c r="T580" s="28">
        <f>IFERROR(INDEX('Clean Gamification Data'!$C:$C,MATCH($B580,'Clean Gamification Data'!$A:$A,0)),"Not Found")</f>
        <v>60</v>
      </c>
      <c r="U580" s="28">
        <f>IFERROR(INDEX('Clean Gamification Data'!$D:$D,MATCH($B580,'Clean Gamification Data'!$A:$A,0)),"Not Found")</f>
        <v>70</v>
      </c>
      <c r="V580" s="28">
        <f>IFERROR(INDEX('Clean Gamification Data'!$E:$E,MATCH($B580,'Clean Gamification Data'!$A:$A,0)),"Not Found")</f>
        <v>69.594264260000003</v>
      </c>
      <c r="W580" s="28">
        <f>IFERROR(INDEX('Clean Gamification Data'!$F:$F,MATCH($B580,'Clean Gamification Data'!$A:$A,0)),"Not Found")</f>
        <v>87.432773269999998</v>
      </c>
      <c r="X580" s="28">
        <f>IFERROR(INDEX('Clean Gamification Data'!$G:$G,MATCH($B580,'Clean Gamification Data'!$A:$A,0)),"Not Found")</f>
        <v>72.517104369999998</v>
      </c>
      <c r="Y580" s="28">
        <f>IFERROR(INDEX('Clean Gamification Data'!$H:$H,MATCH($B580,'Clean Gamification Data'!$A:$A,0)),"Not Found")</f>
        <v>71.327319320000001</v>
      </c>
      <c r="Z580" s="28">
        <f>IFERROR(INDEX('Clean Gamification Data'!$I:$I,MATCH($B580,'Clean Gamification Data'!$A:$A,0)),"Not Found")</f>
        <v>57.318864099999999</v>
      </c>
      <c r="AA580" s="28">
        <f>Table1[[#This Row],[Engagement (Gamification %)]]-Table1[[#This Row],[Engagement (Non-Gamification %)]]</f>
        <v>35.385353100000003</v>
      </c>
      <c r="AB580" s="28">
        <f>Table1[[#This Row],[Motivation (Gamification %)]]-Table1[[#This Row],[Motivation (Non-Gamification %)]]</f>
        <v>0.40573573999999724</v>
      </c>
      <c r="AC580" s="28">
        <f>Table1[[#This Row],[Participation (Gamification %)]]-Table1[[#This Row],[Participation (Non-Gamification %)]]</f>
        <v>14.9156689</v>
      </c>
      <c r="AD580" s="28">
        <f>Table1[[#This Row],[Learning Outcomes (Gamification %)]]-Table1[[#This Row],[Learning Outcomes (Non-Gamification %)]]</f>
        <v>14.008455220000002</v>
      </c>
      <c r="AE580" s="44" t="str">
        <f>IF(Table1[[#This Row],[Overall Effectiveness]]&lt;3.9,"Low",IF(Table1[[#This Row],[Overall Effectiveness]]&lt;4.2,"Medium","High"))</f>
        <v>High</v>
      </c>
      <c r="AF580" s="30" t="str">
        <f t="shared" si="58"/>
        <v>Online Tutorials</v>
      </c>
      <c r="AG580" s="30" t="str">
        <f t="shared" si="59"/>
        <v>Experiments</v>
      </c>
      <c r="AH580" s="27">
        <f>COUNTIF(Teacher_Master!$D$2:$D$16,AF580)</f>
        <v>3</v>
      </c>
      <c r="AI580" s="30" t="str">
        <f>INDEX(Teacher_Master!$B$2:$B$16,MATCH(AF580,Teacher_Master!$D$2:$D$16,0))</f>
        <v>Prof. Kavita Rao</v>
      </c>
    </row>
    <row r="581" spans="1:35" ht="14.25" customHeight="1" x14ac:dyDescent="0.3">
      <c r="A581" s="31" t="s">
        <v>1190</v>
      </c>
      <c r="B581" s="31" t="s">
        <v>2488</v>
      </c>
      <c r="C581" s="31" t="s">
        <v>2881</v>
      </c>
      <c r="D581" s="12">
        <f t="shared" ca="1" si="54"/>
        <v>24</v>
      </c>
      <c r="E581" s="12" t="str">
        <f ca="1">IF(Table1[[#This Row],[Age]]&lt;=22,"20-22",IF(Table1[[#This Row],[Age]]&lt;=25,"23-25",IF(Table1[[#This Row],[Age]]&lt;=28,"26-28","29-30")))</f>
        <v>23-25</v>
      </c>
      <c r="F581" s="12">
        <v>4.3600000000000003</v>
      </c>
      <c r="G581" s="12">
        <v>4.12</v>
      </c>
      <c r="H581" s="12">
        <v>3.54</v>
      </c>
      <c r="I581" s="12">
        <v>4.01</v>
      </c>
      <c r="J581" s="12">
        <v>4.6900000000000004</v>
      </c>
      <c r="K581" s="12">
        <v>3.78</v>
      </c>
      <c r="L581" s="12">
        <v>4.21</v>
      </c>
      <c r="M581" s="12">
        <v>3.88</v>
      </c>
      <c r="N581" s="12">
        <v>4.1100000000000003</v>
      </c>
      <c r="O581" s="12">
        <v>4.07</v>
      </c>
      <c r="P581" s="12">
        <f t="shared" si="55"/>
        <v>4.1440000000000001</v>
      </c>
      <c r="Q581" s="12">
        <f t="shared" si="56"/>
        <v>4.1399999999999997</v>
      </c>
      <c r="R581" s="12">
        <f t="shared" si="57"/>
        <v>4.01</v>
      </c>
      <c r="S581" s="28">
        <f>IFERROR(INDEX('Clean Gamification Data'!$B:$B,MATCH($B581,'Clean Gamification Data'!$A:$A,0)),"Not Found")</f>
        <v>90.619884170000006</v>
      </c>
      <c r="T581" s="28">
        <f>IFERROR(INDEX('Clean Gamification Data'!$C:$C,MATCH($B581,'Clean Gamification Data'!$A:$A,0)),"Not Found")</f>
        <v>61.959934830000002</v>
      </c>
      <c r="U581" s="28">
        <f>IFERROR(INDEX('Clean Gamification Data'!$D:$D,MATCH($B581,'Clean Gamification Data'!$A:$A,0)),"Not Found")</f>
        <v>79.119813179999994</v>
      </c>
      <c r="V581" s="28">
        <f>IFERROR(INDEX('Clean Gamification Data'!$E:$E,MATCH($B581,'Clean Gamification Data'!$A:$A,0)),"Not Found")</f>
        <v>61.392885759999999</v>
      </c>
      <c r="W581" s="28">
        <f>IFERROR(INDEX('Clean Gamification Data'!$F:$F,MATCH($B581,'Clean Gamification Data'!$A:$A,0)),"Not Found")</f>
        <v>87.771203650000004</v>
      </c>
      <c r="X581" s="28">
        <f>IFERROR(INDEX('Clean Gamification Data'!$G:$G,MATCH($B581,'Clean Gamification Data'!$A:$A,0)),"Not Found")</f>
        <v>75.336814959999998</v>
      </c>
      <c r="Y581" s="28">
        <f>IFERROR(INDEX('Clean Gamification Data'!$H:$H,MATCH($B581,'Clean Gamification Data'!$A:$A,0)),"Not Found")</f>
        <v>70.34819401</v>
      </c>
      <c r="Z581" s="28">
        <f>IFERROR(INDEX('Clean Gamification Data'!$I:$I,MATCH($B581,'Clean Gamification Data'!$A:$A,0)),"Not Found")</f>
        <v>50</v>
      </c>
      <c r="AA581" s="28">
        <f>Table1[[#This Row],[Engagement (Gamification %)]]-Table1[[#This Row],[Engagement (Non-Gamification %)]]</f>
        <v>28.659949340000004</v>
      </c>
      <c r="AB581" s="28">
        <f>Table1[[#This Row],[Motivation (Gamification %)]]-Table1[[#This Row],[Motivation (Non-Gamification %)]]</f>
        <v>17.726927419999996</v>
      </c>
      <c r="AC581" s="28">
        <f>Table1[[#This Row],[Participation (Gamification %)]]-Table1[[#This Row],[Participation (Non-Gamification %)]]</f>
        <v>12.434388690000006</v>
      </c>
      <c r="AD581" s="28">
        <f>Table1[[#This Row],[Learning Outcomes (Gamification %)]]-Table1[[#This Row],[Learning Outcomes (Non-Gamification %)]]</f>
        <v>20.34819401</v>
      </c>
      <c r="AE581" s="44" t="str">
        <f>IF(Table1[[#This Row],[Overall Effectiveness]]&lt;3.9,"Low",IF(Table1[[#This Row],[Overall Effectiveness]]&lt;4.2,"Medium","High"))</f>
        <v>Medium</v>
      </c>
      <c r="AF581" s="30" t="str">
        <f t="shared" si="58"/>
        <v>Online Tutorials</v>
      </c>
      <c r="AG581" s="30" t="str">
        <f t="shared" si="59"/>
        <v>Case Studies</v>
      </c>
      <c r="AH581" s="27">
        <f>COUNTIF(Teacher_Master!$D$2:$D$16,AF581)</f>
        <v>3</v>
      </c>
      <c r="AI581" s="30" t="str">
        <f>INDEX(Teacher_Master!$B$2:$B$16,MATCH(AF581,Teacher_Master!$D$2:$D$16,0))</f>
        <v>Prof. Kavita Rao</v>
      </c>
    </row>
    <row r="582" spans="1:35" ht="14.25" customHeight="1" x14ac:dyDescent="0.3">
      <c r="A582" s="31" t="s">
        <v>1192</v>
      </c>
      <c r="B582" s="31" t="s">
        <v>2489</v>
      </c>
      <c r="C582" s="31" t="s">
        <v>2882</v>
      </c>
      <c r="D582" s="12">
        <f t="shared" ca="1" si="54"/>
        <v>26</v>
      </c>
      <c r="E582" s="12" t="str">
        <f ca="1">IF(Table1[[#This Row],[Age]]&lt;=22,"20-22",IF(Table1[[#This Row],[Age]]&lt;=25,"23-25",IF(Table1[[#This Row],[Age]]&lt;=28,"26-28","29-30")))</f>
        <v>26-28</v>
      </c>
      <c r="F582" s="12">
        <v>3.81</v>
      </c>
      <c r="G582" s="12">
        <v>3.97</v>
      </c>
      <c r="H582" s="12" t="s">
        <v>211</v>
      </c>
      <c r="I582" s="12">
        <v>3.51</v>
      </c>
      <c r="J582" s="12">
        <v>4.38</v>
      </c>
      <c r="K582" s="12">
        <v>4.3499999999999996</v>
      </c>
      <c r="L582" s="12">
        <v>3.84</v>
      </c>
      <c r="M582" s="12">
        <v>3.77</v>
      </c>
      <c r="N582" s="12">
        <v>3.88</v>
      </c>
      <c r="O582" s="12">
        <v>4.12</v>
      </c>
      <c r="P582" s="12">
        <f t="shared" si="55"/>
        <v>3.9174999999999995</v>
      </c>
      <c r="Q582" s="12">
        <f t="shared" si="56"/>
        <v>3.92</v>
      </c>
      <c r="R582" s="12">
        <f t="shared" si="57"/>
        <v>3.992</v>
      </c>
      <c r="S582" s="28">
        <f>IFERROR(INDEX('Clean Gamification Data'!$B:$B,MATCH($B582,'Clean Gamification Data'!$A:$A,0)),"Not Found")</f>
        <v>82.800622050000001</v>
      </c>
      <c r="T582" s="28">
        <f>IFERROR(INDEX('Clean Gamification Data'!$C:$C,MATCH($B582,'Clean Gamification Data'!$A:$A,0)),"Not Found")</f>
        <v>66.247109809999998</v>
      </c>
      <c r="U582" s="28">
        <f>IFERROR(INDEX('Clean Gamification Data'!$D:$D,MATCH($B582,'Clean Gamification Data'!$A:$A,0)),"Not Found")</f>
        <v>81.261534190000006</v>
      </c>
      <c r="V582" s="28">
        <f>IFERROR(INDEX('Clean Gamification Data'!$E:$E,MATCH($B582,'Clean Gamification Data'!$A:$A,0)),"Not Found")</f>
        <v>67.772317869999995</v>
      </c>
      <c r="W582" s="28">
        <f>IFERROR(INDEX('Clean Gamification Data'!$F:$F,MATCH($B582,'Clean Gamification Data'!$A:$A,0)),"Not Found")</f>
        <v>92.284317790000003</v>
      </c>
      <c r="X582" s="28">
        <f>IFERROR(INDEX('Clean Gamification Data'!$G:$G,MATCH($B582,'Clean Gamification Data'!$A:$A,0)),"Not Found")</f>
        <v>79.725623130000002</v>
      </c>
      <c r="Y582" s="28">
        <f>IFERROR(INDEX('Clean Gamification Data'!$H:$H,MATCH($B582,'Clean Gamification Data'!$A:$A,0)),"Not Found")</f>
        <v>70.300176469999997</v>
      </c>
      <c r="Z582" s="28">
        <f>IFERROR(INDEX('Clean Gamification Data'!$I:$I,MATCH($B582,'Clean Gamification Data'!$A:$A,0)),"Not Found")</f>
        <v>56.517515779999997</v>
      </c>
      <c r="AA582" s="28">
        <f>Table1[[#This Row],[Engagement (Gamification %)]]-Table1[[#This Row],[Engagement (Non-Gamification %)]]</f>
        <v>16.553512240000003</v>
      </c>
      <c r="AB582" s="28">
        <f>Table1[[#This Row],[Motivation (Gamification %)]]-Table1[[#This Row],[Motivation (Non-Gamification %)]]</f>
        <v>13.489216320000011</v>
      </c>
      <c r="AC582" s="28">
        <f>Table1[[#This Row],[Participation (Gamification %)]]-Table1[[#This Row],[Participation (Non-Gamification %)]]</f>
        <v>12.55869466</v>
      </c>
      <c r="AD582" s="28">
        <f>Table1[[#This Row],[Learning Outcomes (Gamification %)]]-Table1[[#This Row],[Learning Outcomes (Non-Gamification %)]]</f>
        <v>13.78266069</v>
      </c>
      <c r="AE582" s="44" t="str">
        <f>IF(Table1[[#This Row],[Overall Effectiveness]]&lt;3.9,"Low",IF(Table1[[#This Row],[Overall Effectiveness]]&lt;4.2,"Medium","High"))</f>
        <v>Medium</v>
      </c>
      <c r="AF582" s="30" t="str">
        <f t="shared" si="58"/>
        <v>Online Tutorials</v>
      </c>
      <c r="AG582" s="30" t="str">
        <f t="shared" si="59"/>
        <v>Lectures</v>
      </c>
      <c r="AH582" s="27">
        <f>COUNTIF(Teacher_Master!$D$2:$D$16,AF582)</f>
        <v>3</v>
      </c>
      <c r="AI582" s="30" t="str">
        <f>INDEX(Teacher_Master!$B$2:$B$16,MATCH(AF582,Teacher_Master!$D$2:$D$16,0))</f>
        <v>Prof. Kavita Rao</v>
      </c>
    </row>
    <row r="583" spans="1:35" ht="14.25" customHeight="1" x14ac:dyDescent="0.3">
      <c r="A583" s="31" t="s">
        <v>1194</v>
      </c>
      <c r="B583" s="31" t="s">
        <v>2490</v>
      </c>
      <c r="C583" s="31" t="s">
        <v>2882</v>
      </c>
      <c r="D583" s="12">
        <f t="shared" ca="1" si="54"/>
        <v>21</v>
      </c>
      <c r="E583" s="12" t="str">
        <f ca="1">IF(Table1[[#This Row],[Age]]&lt;=22,"20-22",IF(Table1[[#This Row],[Age]]&lt;=25,"23-25",IF(Table1[[#This Row],[Age]]&lt;=28,"26-28","29-30")))</f>
        <v>20-22</v>
      </c>
      <c r="F583" s="12">
        <v>3.92</v>
      </c>
      <c r="G583" s="12">
        <v>4.24</v>
      </c>
      <c r="H583" s="12">
        <v>4.18</v>
      </c>
      <c r="I583" s="12">
        <v>4.74</v>
      </c>
      <c r="J583" s="12">
        <v>3.82</v>
      </c>
      <c r="K583" s="12">
        <v>4.42</v>
      </c>
      <c r="L583" s="12">
        <v>4.3099999999999996</v>
      </c>
      <c r="M583" s="12">
        <v>3.66</v>
      </c>
      <c r="N583" s="12">
        <v>4.2300000000000004</v>
      </c>
      <c r="O583" s="12">
        <v>4.25</v>
      </c>
      <c r="P583" s="12">
        <f t="shared" si="55"/>
        <v>4.18</v>
      </c>
      <c r="Q583" s="12">
        <f t="shared" si="56"/>
        <v>4.18</v>
      </c>
      <c r="R583" s="12">
        <f t="shared" si="57"/>
        <v>4.1740000000000004</v>
      </c>
      <c r="S583" s="28">
        <f>IFERROR(INDEX('Clean Gamification Data'!$B:$B,MATCH($B583,'Clean Gamification Data'!$A:$A,0)),"Not Found")</f>
        <v>82.678891770000007</v>
      </c>
      <c r="T583" s="28">
        <f>IFERROR(INDEX('Clean Gamification Data'!$C:$C,MATCH($B583,'Clean Gamification Data'!$A:$A,0)),"Not Found")</f>
        <v>67.050978409999999</v>
      </c>
      <c r="U583" s="28">
        <f>IFERROR(INDEX('Clean Gamification Data'!$D:$D,MATCH($B583,'Clean Gamification Data'!$A:$A,0)),"Not Found")</f>
        <v>85.302387670000002</v>
      </c>
      <c r="V583" s="28">
        <f>IFERROR(INDEX('Clean Gamification Data'!$E:$E,MATCH($B583,'Clean Gamification Data'!$A:$A,0)),"Not Found")</f>
        <v>66.151520950000005</v>
      </c>
      <c r="W583" s="28">
        <f>IFERROR(INDEX('Clean Gamification Data'!$F:$F,MATCH($B583,'Clean Gamification Data'!$A:$A,0)),"Not Found")</f>
        <v>93.339247169999993</v>
      </c>
      <c r="X583" s="28">
        <f>IFERROR(INDEX('Clean Gamification Data'!$G:$G,MATCH($B583,'Clean Gamification Data'!$A:$A,0)),"Not Found")</f>
        <v>71.440041989999997</v>
      </c>
      <c r="Y583" s="28">
        <f>IFERROR(INDEX('Clean Gamification Data'!$H:$H,MATCH($B583,'Clean Gamification Data'!$A:$A,0)),"Not Found")</f>
        <v>68.767715569999993</v>
      </c>
      <c r="Z583" s="28">
        <f>IFERROR(INDEX('Clean Gamification Data'!$I:$I,MATCH($B583,'Clean Gamification Data'!$A:$A,0)),"Not Found")</f>
        <v>62.098756170000001</v>
      </c>
      <c r="AA583" s="28">
        <f>Table1[[#This Row],[Engagement (Gamification %)]]-Table1[[#This Row],[Engagement (Non-Gamification %)]]</f>
        <v>15.627913360000008</v>
      </c>
      <c r="AB583" s="28">
        <f>Table1[[#This Row],[Motivation (Gamification %)]]-Table1[[#This Row],[Motivation (Non-Gamification %)]]</f>
        <v>19.150866719999996</v>
      </c>
      <c r="AC583" s="28">
        <f>Table1[[#This Row],[Participation (Gamification %)]]-Table1[[#This Row],[Participation (Non-Gamification %)]]</f>
        <v>21.899205179999996</v>
      </c>
      <c r="AD583" s="28">
        <f>Table1[[#This Row],[Learning Outcomes (Gamification %)]]-Table1[[#This Row],[Learning Outcomes (Non-Gamification %)]]</f>
        <v>6.6689593999999914</v>
      </c>
      <c r="AE583" s="44" t="str">
        <f>IF(Table1[[#This Row],[Overall Effectiveness]]&lt;3.9,"Low",IF(Table1[[#This Row],[Overall Effectiveness]]&lt;4.2,"Medium","High"))</f>
        <v>Medium</v>
      </c>
      <c r="AF583" s="30" t="str">
        <f t="shared" si="58"/>
        <v>Experiments</v>
      </c>
      <c r="AG583" s="30" t="str">
        <f t="shared" si="59"/>
        <v>Lectures</v>
      </c>
      <c r="AH583" s="27">
        <f>COUNTIF(Teacher_Master!$D$2:$D$16,AF583)</f>
        <v>3</v>
      </c>
      <c r="AI583" s="30" t="str">
        <f>INDEX(Teacher_Master!$B$2:$B$16,MATCH(AF583,Teacher_Master!$D$2:$D$16,0))</f>
        <v>Prof. Rahul Singh</v>
      </c>
    </row>
    <row r="584" spans="1:35" ht="14.25" customHeight="1" x14ac:dyDescent="0.3">
      <c r="A584" s="31" t="s">
        <v>1196</v>
      </c>
      <c r="B584" s="31" t="s">
        <v>2491</v>
      </c>
      <c r="C584" s="31" t="s">
        <v>2882</v>
      </c>
      <c r="D584" s="12">
        <f t="shared" ca="1" si="54"/>
        <v>30</v>
      </c>
      <c r="E584" s="12" t="str">
        <f ca="1">IF(Table1[[#This Row],[Age]]&lt;=22,"20-22",IF(Table1[[#This Row],[Age]]&lt;=25,"23-25",IF(Table1[[#This Row],[Age]]&lt;=28,"26-28","29-30")))</f>
        <v>29-30</v>
      </c>
      <c r="F584" s="12">
        <v>4.29</v>
      </c>
      <c r="G584" s="12">
        <v>3.64</v>
      </c>
      <c r="H584" s="12">
        <v>3.99</v>
      </c>
      <c r="I584" s="12">
        <v>3.48</v>
      </c>
      <c r="J584" s="12">
        <v>4.24</v>
      </c>
      <c r="K584" s="12">
        <v>3.46</v>
      </c>
      <c r="L584" s="12">
        <v>3.86</v>
      </c>
      <c r="M584" s="12">
        <v>3.87</v>
      </c>
      <c r="N584" s="12">
        <v>4.05</v>
      </c>
      <c r="O584" s="12">
        <v>3.58</v>
      </c>
      <c r="P584" s="12">
        <f t="shared" si="55"/>
        <v>3.9279999999999999</v>
      </c>
      <c r="Q584" s="12">
        <f t="shared" si="56"/>
        <v>3.93</v>
      </c>
      <c r="R584" s="12">
        <f t="shared" si="57"/>
        <v>3.7640000000000002</v>
      </c>
      <c r="S584" s="28">
        <f>IFERROR(INDEX('Clean Gamification Data'!$B:$B,MATCH($B584,'Clean Gamification Data'!$A:$A,0)),"Not Found")</f>
        <v>82.056578180000002</v>
      </c>
      <c r="T584" s="28">
        <f>IFERROR(INDEX('Clean Gamification Data'!$C:$C,MATCH($B584,'Clean Gamification Data'!$A:$A,0)),"Not Found")</f>
        <v>60</v>
      </c>
      <c r="U584" s="28">
        <f>IFERROR(INDEX('Clean Gamification Data'!$D:$D,MATCH($B584,'Clean Gamification Data'!$A:$A,0)),"Not Found")</f>
        <v>77.138269820000005</v>
      </c>
      <c r="V584" s="28">
        <f>IFERROR(INDEX('Clean Gamification Data'!$E:$E,MATCH($B584,'Clean Gamification Data'!$A:$A,0)),"Not Found")</f>
        <v>67.431116650000007</v>
      </c>
      <c r="W584" s="28">
        <f>IFERROR(INDEX('Clean Gamification Data'!$F:$F,MATCH($B584,'Clean Gamification Data'!$A:$A,0)),"Not Found")</f>
        <v>80.893392689999999</v>
      </c>
      <c r="X584" s="28">
        <f>IFERROR(INDEX('Clean Gamification Data'!$G:$G,MATCH($B584,'Clean Gamification Data'!$A:$A,0)),"Not Found")</f>
        <v>83.884732679999999</v>
      </c>
      <c r="Y584" s="28">
        <f>IFERROR(INDEX('Clean Gamification Data'!$H:$H,MATCH($B584,'Clean Gamification Data'!$A:$A,0)),"Not Found")</f>
        <v>67.001962390000003</v>
      </c>
      <c r="Z584" s="28">
        <f>IFERROR(INDEX('Clean Gamification Data'!$I:$I,MATCH($B584,'Clean Gamification Data'!$A:$A,0)),"Not Found")</f>
        <v>57.435367110000001</v>
      </c>
      <c r="AA584" s="28">
        <f>Table1[[#This Row],[Engagement (Gamification %)]]-Table1[[#This Row],[Engagement (Non-Gamification %)]]</f>
        <v>22.056578180000002</v>
      </c>
      <c r="AB584" s="28">
        <f>Table1[[#This Row],[Motivation (Gamification %)]]-Table1[[#This Row],[Motivation (Non-Gamification %)]]</f>
        <v>9.707153169999998</v>
      </c>
      <c r="AC584" s="28">
        <f>Table1[[#This Row],[Participation (Gamification %)]]-Table1[[#This Row],[Participation (Non-Gamification %)]]</f>
        <v>-2.9913399900000002</v>
      </c>
      <c r="AD584" s="28">
        <f>Table1[[#This Row],[Learning Outcomes (Gamification %)]]-Table1[[#This Row],[Learning Outcomes (Non-Gamification %)]]</f>
        <v>9.5665952800000014</v>
      </c>
      <c r="AE584" s="44" t="str">
        <f>IF(Table1[[#This Row],[Overall Effectiveness]]&lt;3.9,"Low",IF(Table1[[#This Row],[Overall Effectiveness]]&lt;4.2,"Medium","High"))</f>
        <v>Medium</v>
      </c>
      <c r="AF584" s="30" t="str">
        <f t="shared" si="58"/>
        <v>Lectures</v>
      </c>
      <c r="AG584" s="30" t="str">
        <f t="shared" si="59"/>
        <v>Experiments</v>
      </c>
      <c r="AH584" s="27">
        <f>COUNTIF(Teacher_Master!$D$2:$D$16,AF584)</f>
        <v>3</v>
      </c>
      <c r="AI584" s="30" t="str">
        <f>INDEX(Teacher_Master!$B$2:$B$16,MATCH(AF584,Teacher_Master!$D$2:$D$16,0))</f>
        <v>Prof. Vikram Gupta</v>
      </c>
    </row>
    <row r="585" spans="1:35" ht="14.25" customHeight="1" x14ac:dyDescent="0.3">
      <c r="A585" s="31" t="s">
        <v>1198</v>
      </c>
      <c r="B585" s="31" t="s">
        <v>2492</v>
      </c>
      <c r="C585" s="31" t="s">
        <v>2881</v>
      </c>
      <c r="D585" s="12">
        <f t="shared" ca="1" si="54"/>
        <v>20</v>
      </c>
      <c r="E585" s="12" t="str">
        <f ca="1">IF(Table1[[#This Row],[Age]]&lt;=22,"20-22",IF(Table1[[#This Row],[Age]]&lt;=25,"23-25",IF(Table1[[#This Row],[Age]]&lt;=28,"26-28","29-30")))</f>
        <v>20-22</v>
      </c>
      <c r="F585" s="12">
        <v>4.1900000000000004</v>
      </c>
      <c r="G585" s="12">
        <v>4.46</v>
      </c>
      <c r="H585" s="12">
        <v>4.32</v>
      </c>
      <c r="I585" s="12">
        <v>4.25</v>
      </c>
      <c r="J585" s="12">
        <v>4.32</v>
      </c>
      <c r="K585" s="12">
        <v>4.04</v>
      </c>
      <c r="L585" s="12">
        <v>4.08</v>
      </c>
      <c r="M585" s="12">
        <v>4.1500000000000004</v>
      </c>
      <c r="N585" s="12">
        <v>4.71</v>
      </c>
      <c r="O585" s="12">
        <v>4.13</v>
      </c>
      <c r="P585" s="12">
        <f t="shared" si="55"/>
        <v>4.3079999999999998</v>
      </c>
      <c r="Q585" s="12">
        <f t="shared" si="56"/>
        <v>4.3099999999999996</v>
      </c>
      <c r="R585" s="12">
        <f t="shared" si="57"/>
        <v>4.2219999999999995</v>
      </c>
      <c r="S585" s="28">
        <f>IFERROR(INDEX('Clean Gamification Data'!$B:$B,MATCH($B585,'Clean Gamification Data'!$A:$A,0)),"Not Found")</f>
        <v>84.016517230000005</v>
      </c>
      <c r="T585" s="28">
        <f>IFERROR(INDEX('Clean Gamification Data'!$C:$C,MATCH($B585,'Clean Gamification Data'!$A:$A,0)),"Not Found")</f>
        <v>69.628771959999995</v>
      </c>
      <c r="U585" s="28">
        <f>IFERROR(INDEX('Clean Gamification Data'!$D:$D,MATCH($B585,'Clean Gamification Data'!$A:$A,0)),"Not Found")</f>
        <v>73.12569139</v>
      </c>
      <c r="V585" s="28">
        <f>IFERROR(INDEX('Clean Gamification Data'!$E:$E,MATCH($B585,'Clean Gamification Data'!$A:$A,0)),"Not Found")</f>
        <v>69.278262889999993</v>
      </c>
      <c r="W585" s="28">
        <f>IFERROR(INDEX('Clean Gamification Data'!$F:$F,MATCH($B585,'Clean Gamification Data'!$A:$A,0)),"Not Found")</f>
        <v>91.431101979999994</v>
      </c>
      <c r="X585" s="28">
        <f>IFERROR(INDEX('Clean Gamification Data'!$G:$G,MATCH($B585,'Clean Gamification Data'!$A:$A,0)),"Not Found")</f>
        <v>85</v>
      </c>
      <c r="Y585" s="28">
        <f>IFERROR(INDEX('Clean Gamification Data'!$H:$H,MATCH($B585,'Clean Gamification Data'!$A:$A,0)),"Not Found")</f>
        <v>74.94639488</v>
      </c>
      <c r="Z585" s="28">
        <f>IFERROR(INDEX('Clean Gamification Data'!$I:$I,MATCH($B585,'Clean Gamification Data'!$A:$A,0)),"Not Found")</f>
        <v>59.208924549999999</v>
      </c>
      <c r="AA585" s="28">
        <f>Table1[[#This Row],[Engagement (Gamification %)]]-Table1[[#This Row],[Engagement (Non-Gamification %)]]</f>
        <v>14.387745270000011</v>
      </c>
      <c r="AB585" s="28">
        <f>Table1[[#This Row],[Motivation (Gamification %)]]-Table1[[#This Row],[Motivation (Non-Gamification %)]]</f>
        <v>3.8474285000000066</v>
      </c>
      <c r="AC585" s="28">
        <f>Table1[[#This Row],[Participation (Gamification %)]]-Table1[[#This Row],[Participation (Non-Gamification %)]]</f>
        <v>6.431101979999994</v>
      </c>
      <c r="AD585" s="28">
        <f>Table1[[#This Row],[Learning Outcomes (Gamification %)]]-Table1[[#This Row],[Learning Outcomes (Non-Gamification %)]]</f>
        <v>15.737470330000001</v>
      </c>
      <c r="AE585" s="44" t="str">
        <f>IF(Table1[[#This Row],[Overall Effectiveness]]&lt;3.9,"Low",IF(Table1[[#This Row],[Overall Effectiveness]]&lt;4.2,"Medium","High"))</f>
        <v>High</v>
      </c>
      <c r="AF585" s="30" t="str">
        <f t="shared" si="58"/>
        <v>Case Studies</v>
      </c>
      <c r="AG585" s="30" t="str">
        <f t="shared" si="59"/>
        <v>Experiments</v>
      </c>
      <c r="AH585" s="27">
        <f>COUNTIF(Teacher_Master!$D$2:$D$16,AF585)</f>
        <v>3</v>
      </c>
      <c r="AI585" s="30" t="str">
        <f>INDEX(Teacher_Master!$B$2:$B$16,MATCH(AF585,Teacher_Master!$D$2:$D$16,0))</f>
        <v>Prof. Rajesh Mukherjee</v>
      </c>
    </row>
    <row r="586" spans="1:35" ht="14.25" customHeight="1" x14ac:dyDescent="0.3">
      <c r="A586" s="31" t="s">
        <v>1200</v>
      </c>
      <c r="B586" s="31" t="s">
        <v>2493</v>
      </c>
      <c r="C586" s="31" t="s">
        <v>2882</v>
      </c>
      <c r="D586" s="12">
        <f t="shared" ca="1" si="54"/>
        <v>20</v>
      </c>
      <c r="E586" s="12" t="str">
        <f ca="1">IF(Table1[[#This Row],[Age]]&lt;=22,"20-22",IF(Table1[[#This Row],[Age]]&lt;=25,"23-25",IF(Table1[[#This Row],[Age]]&lt;=28,"26-28","29-30")))</f>
        <v>20-22</v>
      </c>
      <c r="F586" s="12">
        <v>4.34</v>
      </c>
      <c r="G586" s="12">
        <v>4.6100000000000003</v>
      </c>
      <c r="H586" s="12">
        <v>3.47</v>
      </c>
      <c r="I586" s="12" t="s">
        <v>211</v>
      </c>
      <c r="J586" s="12">
        <v>3.97</v>
      </c>
      <c r="K586" s="12">
        <v>4.18</v>
      </c>
      <c r="L586" s="12">
        <v>4.1100000000000003</v>
      </c>
      <c r="M586" s="12" t="s">
        <v>211</v>
      </c>
      <c r="N586" s="12">
        <v>3.04</v>
      </c>
      <c r="O586" s="12">
        <v>4.1399999999999997</v>
      </c>
      <c r="P586" s="12">
        <f t="shared" si="55"/>
        <v>4.0975000000000001</v>
      </c>
      <c r="Q586" s="12">
        <f t="shared" si="56"/>
        <v>4.0999999999999996</v>
      </c>
      <c r="R586" s="12">
        <f t="shared" si="57"/>
        <v>3.8674999999999997</v>
      </c>
      <c r="S586" s="28">
        <f>IFERROR(INDEX('Clean Gamification Data'!$B:$B,MATCH($B586,'Clean Gamification Data'!$A:$A,0)),"Not Found")</f>
        <v>86.986428059999994</v>
      </c>
      <c r="T586" s="28">
        <f>IFERROR(INDEX('Clean Gamification Data'!$C:$C,MATCH($B586,'Clean Gamification Data'!$A:$A,0)),"Not Found")</f>
        <v>69.690771040000001</v>
      </c>
      <c r="U586" s="28">
        <f>IFERROR(INDEX('Clean Gamification Data'!$D:$D,MATCH($B586,'Clean Gamification Data'!$A:$A,0)),"Not Found")</f>
        <v>76.113369219999996</v>
      </c>
      <c r="V586" s="28">
        <f>IFERROR(INDEX('Clean Gamification Data'!$E:$E,MATCH($B586,'Clean Gamification Data'!$A:$A,0)),"Not Found")</f>
        <v>67.942811289999995</v>
      </c>
      <c r="W586" s="28">
        <f>IFERROR(INDEX('Clean Gamification Data'!$F:$F,MATCH($B586,'Clean Gamification Data'!$A:$A,0)),"Not Found")</f>
        <v>86.935738560000004</v>
      </c>
      <c r="X586" s="28">
        <f>IFERROR(INDEX('Clean Gamification Data'!$G:$G,MATCH($B586,'Clean Gamification Data'!$A:$A,0)),"Not Found")</f>
        <v>74.992102770000002</v>
      </c>
      <c r="Y586" s="28">
        <f>IFERROR(INDEX('Clean Gamification Data'!$H:$H,MATCH($B586,'Clean Gamification Data'!$A:$A,0)),"Not Found")</f>
        <v>70.610910939999997</v>
      </c>
      <c r="Z586" s="28">
        <f>IFERROR(INDEX('Clean Gamification Data'!$I:$I,MATCH($B586,'Clean Gamification Data'!$A:$A,0)),"Not Found")</f>
        <v>55.268082</v>
      </c>
      <c r="AA586" s="28">
        <f>Table1[[#This Row],[Engagement (Gamification %)]]-Table1[[#This Row],[Engagement (Non-Gamification %)]]</f>
        <v>17.295657019999993</v>
      </c>
      <c r="AB586" s="28">
        <f>Table1[[#This Row],[Motivation (Gamification %)]]-Table1[[#This Row],[Motivation (Non-Gamification %)]]</f>
        <v>8.1705579300000011</v>
      </c>
      <c r="AC586" s="28">
        <f>Table1[[#This Row],[Participation (Gamification %)]]-Table1[[#This Row],[Participation (Non-Gamification %)]]</f>
        <v>11.943635790000002</v>
      </c>
      <c r="AD586" s="28">
        <f>Table1[[#This Row],[Learning Outcomes (Gamification %)]]-Table1[[#This Row],[Learning Outcomes (Non-Gamification %)]]</f>
        <v>15.342828939999997</v>
      </c>
      <c r="AE586" s="44" t="str">
        <f>IF(Table1[[#This Row],[Overall Effectiveness]]&lt;3.9,"Low",IF(Table1[[#This Row],[Overall Effectiveness]]&lt;4.2,"Medium","High"))</f>
        <v>Medium</v>
      </c>
      <c r="AF586" s="30" t="str">
        <f t="shared" si="58"/>
        <v>Case Studies</v>
      </c>
      <c r="AG586" s="30" t="str">
        <f t="shared" si="59"/>
        <v>Lectures</v>
      </c>
      <c r="AH586" s="27">
        <f>COUNTIF(Teacher_Master!$D$2:$D$16,AF586)</f>
        <v>3</v>
      </c>
      <c r="AI586" s="30" t="str">
        <f>INDEX(Teacher_Master!$B$2:$B$16,MATCH(AF586,Teacher_Master!$D$2:$D$16,0))</f>
        <v>Prof. Rajesh Mukherjee</v>
      </c>
    </row>
    <row r="587" spans="1:35" ht="14.25" customHeight="1" x14ac:dyDescent="0.3">
      <c r="A587" s="31" t="s">
        <v>1202</v>
      </c>
      <c r="B587" s="31" t="s">
        <v>1203</v>
      </c>
      <c r="C587" s="31" t="s">
        <v>2881</v>
      </c>
      <c r="D587" s="12">
        <f t="shared" ca="1" si="54"/>
        <v>23</v>
      </c>
      <c r="E587" s="12" t="str">
        <f ca="1">IF(Table1[[#This Row],[Age]]&lt;=22,"20-22",IF(Table1[[#This Row],[Age]]&lt;=25,"23-25",IF(Table1[[#This Row],[Age]]&lt;=28,"26-28","29-30")))</f>
        <v>23-25</v>
      </c>
      <c r="F587" s="12">
        <v>4.0999999999999996</v>
      </c>
      <c r="G587" s="12">
        <v>3.64</v>
      </c>
      <c r="H587" s="12">
        <v>4.55</v>
      </c>
      <c r="I587" s="12">
        <v>3.67</v>
      </c>
      <c r="J587" s="12">
        <v>4.3600000000000003</v>
      </c>
      <c r="K587" s="12">
        <v>3.74</v>
      </c>
      <c r="L587" s="12">
        <v>4.13</v>
      </c>
      <c r="M587" s="12">
        <v>4.1100000000000003</v>
      </c>
      <c r="N587" s="12">
        <v>4.59</v>
      </c>
      <c r="O587" s="12">
        <v>3.86</v>
      </c>
      <c r="P587" s="12">
        <f t="shared" si="55"/>
        <v>4.0640000000000001</v>
      </c>
      <c r="Q587" s="12">
        <f t="shared" si="56"/>
        <v>4.0599999999999996</v>
      </c>
      <c r="R587" s="12">
        <f t="shared" si="57"/>
        <v>4.0860000000000003</v>
      </c>
      <c r="S587" s="28">
        <f>IFERROR(INDEX('Clean Gamification Data'!$B:$B,MATCH($B587,'Clean Gamification Data'!$A:$A,0)),"Not Found")</f>
        <v>90.992760529999998</v>
      </c>
      <c r="T587" s="28">
        <f>IFERROR(INDEX('Clean Gamification Data'!$C:$C,MATCH($B587,'Clean Gamification Data'!$A:$A,0)),"Not Found")</f>
        <v>60.961046580000001</v>
      </c>
      <c r="U587" s="28">
        <f>IFERROR(INDEX('Clean Gamification Data'!$D:$D,MATCH($B587,'Clean Gamification Data'!$A:$A,0)),"Not Found")</f>
        <v>79.331656010000003</v>
      </c>
      <c r="V587" s="28">
        <f>IFERROR(INDEX('Clean Gamification Data'!$E:$E,MATCH($B587,'Clean Gamification Data'!$A:$A,0)),"Not Found")</f>
        <v>57.217056679999999</v>
      </c>
      <c r="W587" s="28">
        <f>IFERROR(INDEX('Clean Gamification Data'!$F:$F,MATCH($B587,'Clean Gamification Data'!$A:$A,0)),"Not Found")</f>
        <v>94.908529669999993</v>
      </c>
      <c r="X587" s="28">
        <f>IFERROR(INDEX('Clean Gamification Data'!$G:$G,MATCH($B587,'Clean Gamification Data'!$A:$A,0)),"Not Found")</f>
        <v>73.836602690000007</v>
      </c>
      <c r="Y587" s="28">
        <f>IFERROR(INDEX('Clean Gamification Data'!$H:$H,MATCH($B587,'Clean Gamification Data'!$A:$A,0)),"Not Found")</f>
        <v>69.594888859999998</v>
      </c>
      <c r="Z587" s="28">
        <f>IFERROR(INDEX('Clean Gamification Data'!$I:$I,MATCH($B587,'Clean Gamification Data'!$A:$A,0)),"Not Found")</f>
        <v>59.099715060000001</v>
      </c>
      <c r="AA587" s="28">
        <f>Table1[[#This Row],[Engagement (Gamification %)]]-Table1[[#This Row],[Engagement (Non-Gamification %)]]</f>
        <v>30.031713949999997</v>
      </c>
      <c r="AB587" s="28">
        <f>Table1[[#This Row],[Motivation (Gamification %)]]-Table1[[#This Row],[Motivation (Non-Gamification %)]]</f>
        <v>22.114599330000004</v>
      </c>
      <c r="AC587" s="28">
        <f>Table1[[#This Row],[Participation (Gamification %)]]-Table1[[#This Row],[Participation (Non-Gamification %)]]</f>
        <v>21.071926979999986</v>
      </c>
      <c r="AD587" s="28">
        <f>Table1[[#This Row],[Learning Outcomes (Gamification %)]]-Table1[[#This Row],[Learning Outcomes (Non-Gamification %)]]</f>
        <v>10.495173799999996</v>
      </c>
      <c r="AE587" s="44" t="str">
        <f>IF(Table1[[#This Row],[Overall Effectiveness]]&lt;3.9,"Low",IF(Table1[[#This Row],[Overall Effectiveness]]&lt;4.2,"Medium","High"))</f>
        <v>Medium</v>
      </c>
      <c r="AF587" s="30" t="str">
        <f t="shared" si="58"/>
        <v>Group Projects</v>
      </c>
      <c r="AG587" s="30" t="str">
        <f t="shared" si="59"/>
        <v>Experiments</v>
      </c>
      <c r="AH587" s="27">
        <f>COUNTIF(Teacher_Master!$D$2:$D$16,AF587)</f>
        <v>3</v>
      </c>
      <c r="AI587" s="30" t="str">
        <f>INDEX(Teacher_Master!$B$2:$B$16,MATCH(AF587,Teacher_Master!$D$2:$D$16,0))</f>
        <v>Dr. Rohan Dutta</v>
      </c>
    </row>
    <row r="588" spans="1:35" ht="14.25" customHeight="1" x14ac:dyDescent="0.3">
      <c r="A588" s="31" t="s">
        <v>1204</v>
      </c>
      <c r="B588" s="31" t="s">
        <v>2494</v>
      </c>
      <c r="C588" s="31" t="s">
        <v>2881</v>
      </c>
      <c r="D588" s="12">
        <f t="shared" ca="1" si="54"/>
        <v>20</v>
      </c>
      <c r="E588" s="12" t="str">
        <f ca="1">IF(Table1[[#This Row],[Age]]&lt;=22,"20-22",IF(Table1[[#This Row],[Age]]&lt;=25,"23-25",IF(Table1[[#This Row],[Age]]&lt;=28,"26-28","29-30")))</f>
        <v>20-22</v>
      </c>
      <c r="F588" s="12">
        <v>4.1399999999999997</v>
      </c>
      <c r="G588" s="12">
        <v>3.62</v>
      </c>
      <c r="H588" s="12">
        <v>4.1399999999999997</v>
      </c>
      <c r="I588" s="12">
        <v>3.93</v>
      </c>
      <c r="J588" s="12">
        <v>3.7</v>
      </c>
      <c r="K588" s="12" t="s">
        <v>211</v>
      </c>
      <c r="L588" s="12">
        <v>4.13</v>
      </c>
      <c r="M588" s="12">
        <v>4.1900000000000004</v>
      </c>
      <c r="N588" s="12">
        <v>4.13</v>
      </c>
      <c r="O588" s="12">
        <v>4.34</v>
      </c>
      <c r="P588" s="12">
        <f t="shared" si="55"/>
        <v>3.9059999999999997</v>
      </c>
      <c r="Q588" s="12">
        <f t="shared" si="56"/>
        <v>3.91</v>
      </c>
      <c r="R588" s="12">
        <f t="shared" si="57"/>
        <v>4.1974999999999998</v>
      </c>
      <c r="S588" s="28">
        <f>IFERROR(INDEX('Clean Gamification Data'!$B:$B,MATCH($B588,'Clean Gamification Data'!$A:$A,0)),"Not Found")</f>
        <v>80.570733799999999</v>
      </c>
      <c r="T588" s="28">
        <f>IFERROR(INDEX('Clean Gamification Data'!$C:$C,MATCH($B588,'Clean Gamification Data'!$A:$A,0)),"Not Found")</f>
        <v>75.148923890000006</v>
      </c>
      <c r="U588" s="28">
        <f>IFERROR(INDEX('Clean Gamification Data'!$D:$D,MATCH($B588,'Clean Gamification Data'!$A:$A,0)),"Not Found")</f>
        <v>85.591719010000006</v>
      </c>
      <c r="V588" s="28">
        <f>IFERROR(INDEX('Clean Gamification Data'!$E:$E,MATCH($B588,'Clean Gamification Data'!$A:$A,0)),"Not Found")</f>
        <v>56.495318439999998</v>
      </c>
      <c r="W588" s="28">
        <f>IFERROR(INDEX('Clean Gamification Data'!$F:$F,MATCH($B588,'Clean Gamification Data'!$A:$A,0)),"Not Found")</f>
        <v>93.593187909999997</v>
      </c>
      <c r="X588" s="28">
        <f>IFERROR(INDEX('Clean Gamification Data'!$G:$G,MATCH($B588,'Clean Gamification Data'!$A:$A,0)),"Not Found")</f>
        <v>69.614704900000007</v>
      </c>
      <c r="Y588" s="28">
        <f>IFERROR(INDEX('Clean Gamification Data'!$H:$H,MATCH($B588,'Clean Gamification Data'!$A:$A,0)),"Not Found")</f>
        <v>77.188893759999999</v>
      </c>
      <c r="Z588" s="28">
        <f>IFERROR(INDEX('Clean Gamification Data'!$I:$I,MATCH($B588,'Clean Gamification Data'!$A:$A,0)),"Not Found")</f>
        <v>50</v>
      </c>
      <c r="AA588" s="28">
        <f>Table1[[#This Row],[Engagement (Gamification %)]]-Table1[[#This Row],[Engagement (Non-Gamification %)]]</f>
        <v>5.4218099099999932</v>
      </c>
      <c r="AB588" s="28">
        <f>Table1[[#This Row],[Motivation (Gamification %)]]-Table1[[#This Row],[Motivation (Non-Gamification %)]]</f>
        <v>29.096400570000007</v>
      </c>
      <c r="AC588" s="28">
        <f>Table1[[#This Row],[Participation (Gamification %)]]-Table1[[#This Row],[Participation (Non-Gamification %)]]</f>
        <v>23.978483009999991</v>
      </c>
      <c r="AD588" s="28">
        <f>Table1[[#This Row],[Learning Outcomes (Gamification %)]]-Table1[[#This Row],[Learning Outcomes (Non-Gamification %)]]</f>
        <v>27.188893759999999</v>
      </c>
      <c r="AE588" s="44" t="str">
        <f>IF(Table1[[#This Row],[Overall Effectiveness]]&lt;3.9,"Low",IF(Table1[[#This Row],[Overall Effectiveness]]&lt;4.2,"Medium","High"))</f>
        <v>Medium</v>
      </c>
      <c r="AF588" s="30" t="str">
        <f t="shared" si="58"/>
        <v>Lectures</v>
      </c>
      <c r="AG588" s="30" t="str">
        <f t="shared" si="59"/>
        <v>Online Tutorials</v>
      </c>
      <c r="AH588" s="27">
        <f>COUNTIF(Teacher_Master!$D$2:$D$16,AF588)</f>
        <v>3</v>
      </c>
      <c r="AI588" s="30" t="str">
        <f>INDEX(Teacher_Master!$B$2:$B$16,MATCH(AF588,Teacher_Master!$D$2:$D$16,0))</f>
        <v>Prof. Vikram Gupta</v>
      </c>
    </row>
    <row r="589" spans="1:35" ht="14.25" customHeight="1" x14ac:dyDescent="0.3">
      <c r="A589" s="31" t="s">
        <v>1206</v>
      </c>
      <c r="B589" s="31" t="s">
        <v>2495</v>
      </c>
      <c r="C589" s="31" t="s">
        <v>2881</v>
      </c>
      <c r="D589" s="12">
        <f t="shared" ca="1" si="54"/>
        <v>26</v>
      </c>
      <c r="E589" s="12" t="str">
        <f ca="1">IF(Table1[[#This Row],[Age]]&lt;=22,"20-22",IF(Table1[[#This Row],[Age]]&lt;=25,"23-25",IF(Table1[[#This Row],[Age]]&lt;=28,"26-28","29-30")))</f>
        <v>26-28</v>
      </c>
      <c r="F589" s="12">
        <v>4.08</v>
      </c>
      <c r="G589" s="12">
        <v>3.68</v>
      </c>
      <c r="H589" s="12">
        <v>4.18</v>
      </c>
      <c r="I589" s="12">
        <v>3.92</v>
      </c>
      <c r="J589" s="12">
        <v>3.66</v>
      </c>
      <c r="K589" s="12">
        <v>4.5</v>
      </c>
      <c r="L589" s="12">
        <v>4.2</v>
      </c>
      <c r="M589" s="12">
        <v>4.2</v>
      </c>
      <c r="N589" s="12">
        <v>4.59</v>
      </c>
      <c r="O589" s="12">
        <v>3.95</v>
      </c>
      <c r="P589" s="12">
        <f t="shared" si="55"/>
        <v>3.9039999999999999</v>
      </c>
      <c r="Q589" s="12">
        <f t="shared" si="56"/>
        <v>3.9</v>
      </c>
      <c r="R589" s="12">
        <f t="shared" si="57"/>
        <v>4.2879999999999994</v>
      </c>
      <c r="S589" s="28">
        <f>IFERROR(INDEX('Clean Gamification Data'!$B:$B,MATCH($B589,'Clean Gamification Data'!$A:$A,0)),"Not Found")</f>
        <v>82.738527619999999</v>
      </c>
      <c r="T589" s="28">
        <f>IFERROR(INDEX('Clean Gamification Data'!$C:$C,MATCH($B589,'Clean Gamification Data'!$A:$A,0)),"Not Found")</f>
        <v>65.451935180000007</v>
      </c>
      <c r="U589" s="28">
        <f>IFERROR(INDEX('Clean Gamification Data'!$D:$D,MATCH($B589,'Clean Gamification Data'!$A:$A,0)),"Not Found")</f>
        <v>70</v>
      </c>
      <c r="V589" s="28">
        <f>IFERROR(INDEX('Clean Gamification Data'!$E:$E,MATCH($B589,'Clean Gamification Data'!$A:$A,0)),"Not Found")</f>
        <v>74.393444180000003</v>
      </c>
      <c r="W589" s="28">
        <f>IFERROR(INDEX('Clean Gamification Data'!$F:$F,MATCH($B589,'Clean Gamification Data'!$A:$A,0)),"Not Found")</f>
        <v>80</v>
      </c>
      <c r="X589" s="28">
        <f>IFERROR(INDEX('Clean Gamification Data'!$G:$G,MATCH($B589,'Clean Gamification Data'!$A:$A,0)),"Not Found")</f>
        <v>82.550023060000001</v>
      </c>
      <c r="Y589" s="28">
        <f>IFERROR(INDEX('Clean Gamification Data'!$H:$H,MATCH($B589,'Clean Gamification Data'!$A:$A,0)),"Not Found")</f>
        <v>66.652168360000005</v>
      </c>
      <c r="Z589" s="28">
        <f>IFERROR(INDEX('Clean Gamification Data'!$I:$I,MATCH($B589,'Clean Gamification Data'!$A:$A,0)),"Not Found")</f>
        <v>50</v>
      </c>
      <c r="AA589" s="28">
        <f>Table1[[#This Row],[Engagement (Gamification %)]]-Table1[[#This Row],[Engagement (Non-Gamification %)]]</f>
        <v>17.286592439999993</v>
      </c>
      <c r="AB589" s="28">
        <f>Table1[[#This Row],[Motivation (Gamification %)]]-Table1[[#This Row],[Motivation (Non-Gamification %)]]</f>
        <v>-4.393444180000003</v>
      </c>
      <c r="AC589" s="28">
        <f>Table1[[#This Row],[Participation (Gamification %)]]-Table1[[#This Row],[Participation (Non-Gamification %)]]</f>
        <v>-2.5500230600000009</v>
      </c>
      <c r="AD589" s="28">
        <f>Table1[[#This Row],[Learning Outcomes (Gamification %)]]-Table1[[#This Row],[Learning Outcomes (Non-Gamification %)]]</f>
        <v>16.652168360000005</v>
      </c>
      <c r="AE589" s="44" t="str">
        <f>IF(Table1[[#This Row],[Overall Effectiveness]]&lt;3.9,"Low",IF(Table1[[#This Row],[Overall Effectiveness]]&lt;4.2,"Medium","High"))</f>
        <v>Medium</v>
      </c>
      <c r="AF589" s="30" t="str">
        <f t="shared" si="58"/>
        <v>Group Projects</v>
      </c>
      <c r="AG589" s="30" t="str">
        <f t="shared" si="59"/>
        <v>Experiments</v>
      </c>
      <c r="AH589" s="27">
        <f>COUNTIF(Teacher_Master!$D$2:$D$16,AF589)</f>
        <v>3</v>
      </c>
      <c r="AI589" s="30" t="str">
        <f>INDEX(Teacher_Master!$B$2:$B$16,MATCH(AF589,Teacher_Master!$D$2:$D$16,0))</f>
        <v>Dr. Rohan Dutta</v>
      </c>
    </row>
    <row r="590" spans="1:35" ht="14.25" customHeight="1" x14ac:dyDescent="0.3">
      <c r="A590" s="31" t="s">
        <v>1208</v>
      </c>
      <c r="B590" s="31" t="s">
        <v>1209</v>
      </c>
      <c r="C590" s="31" t="s">
        <v>2882</v>
      </c>
      <c r="D590" s="12">
        <f t="shared" ca="1" si="54"/>
        <v>20</v>
      </c>
      <c r="E590" s="12" t="str">
        <f ca="1">IF(Table1[[#This Row],[Age]]&lt;=22,"20-22",IF(Table1[[#This Row],[Age]]&lt;=25,"23-25",IF(Table1[[#This Row],[Age]]&lt;=28,"26-28","29-30")))</f>
        <v>20-22</v>
      </c>
      <c r="F590" s="12">
        <v>4.2300000000000004</v>
      </c>
      <c r="G590" s="12">
        <v>3.74</v>
      </c>
      <c r="H590" s="12">
        <v>4.01</v>
      </c>
      <c r="I590" s="12">
        <v>4.24</v>
      </c>
      <c r="J590" s="12">
        <v>4</v>
      </c>
      <c r="K590" s="12">
        <v>4.55</v>
      </c>
      <c r="L590" s="12">
        <v>3.66</v>
      </c>
      <c r="M590" s="12">
        <v>4.28</v>
      </c>
      <c r="N590" s="12">
        <v>4.07</v>
      </c>
      <c r="O590" s="12">
        <v>4.59</v>
      </c>
      <c r="P590" s="12">
        <f t="shared" si="55"/>
        <v>4.0439999999999996</v>
      </c>
      <c r="Q590" s="12">
        <f t="shared" si="56"/>
        <v>4.04</v>
      </c>
      <c r="R590" s="12">
        <f t="shared" si="57"/>
        <v>4.2300000000000004</v>
      </c>
      <c r="S590" s="28">
        <f>IFERROR(INDEX('Clean Gamification Data'!$B:$B,MATCH($B590,'Clean Gamification Data'!$A:$A,0)),"Not Found")</f>
        <v>80.566292820000001</v>
      </c>
      <c r="T590" s="28">
        <f>IFERROR(INDEX('Clean Gamification Data'!$C:$C,MATCH($B590,'Clean Gamification Data'!$A:$A,0)),"Not Found")</f>
        <v>67.267009060000007</v>
      </c>
      <c r="U590" s="28">
        <f>IFERROR(INDEX('Clean Gamification Data'!$D:$D,MATCH($B590,'Clean Gamification Data'!$A:$A,0)),"Not Found")</f>
        <v>78.198616920000006</v>
      </c>
      <c r="V590" s="28">
        <f>IFERROR(INDEX('Clean Gamification Data'!$E:$E,MATCH($B590,'Clean Gamification Data'!$A:$A,0)),"Not Found")</f>
        <v>63.680312200000003</v>
      </c>
      <c r="W590" s="28">
        <f>IFERROR(INDEX('Clean Gamification Data'!$F:$F,MATCH($B590,'Clean Gamification Data'!$A:$A,0)),"Not Found")</f>
        <v>82.346492220000002</v>
      </c>
      <c r="X590" s="28">
        <f>IFERROR(INDEX('Clean Gamification Data'!$G:$G,MATCH($B590,'Clean Gamification Data'!$A:$A,0)),"Not Found")</f>
        <v>84.066721279999996</v>
      </c>
      <c r="Y590" s="28">
        <f>IFERROR(INDEX('Clean Gamification Data'!$H:$H,MATCH($B590,'Clean Gamification Data'!$A:$A,0)),"Not Found")</f>
        <v>65.841065869999994</v>
      </c>
      <c r="Z590" s="28">
        <f>IFERROR(INDEX('Clean Gamification Data'!$I:$I,MATCH($B590,'Clean Gamification Data'!$A:$A,0)),"Not Found")</f>
        <v>58.28599672</v>
      </c>
      <c r="AA590" s="28">
        <f>Table1[[#This Row],[Engagement (Gamification %)]]-Table1[[#This Row],[Engagement (Non-Gamification %)]]</f>
        <v>13.299283759999994</v>
      </c>
      <c r="AB590" s="28">
        <f>Table1[[#This Row],[Motivation (Gamification %)]]-Table1[[#This Row],[Motivation (Non-Gamification %)]]</f>
        <v>14.518304720000003</v>
      </c>
      <c r="AC590" s="28">
        <f>Table1[[#This Row],[Participation (Gamification %)]]-Table1[[#This Row],[Participation (Non-Gamification %)]]</f>
        <v>-1.7202290599999941</v>
      </c>
      <c r="AD590" s="28">
        <f>Table1[[#This Row],[Learning Outcomes (Gamification %)]]-Table1[[#This Row],[Learning Outcomes (Non-Gamification %)]]</f>
        <v>7.5550691499999942</v>
      </c>
      <c r="AE590" s="44" t="str">
        <f>IF(Table1[[#This Row],[Overall Effectiveness]]&lt;3.9,"Low",IF(Table1[[#This Row],[Overall Effectiveness]]&lt;4.2,"Medium","High"))</f>
        <v>Medium</v>
      </c>
      <c r="AF590" s="30" t="str">
        <f t="shared" si="58"/>
        <v>Experiments</v>
      </c>
      <c r="AG590" s="30" t="str">
        <f t="shared" si="59"/>
        <v>Online Tutorials</v>
      </c>
      <c r="AH590" s="27">
        <f>COUNTIF(Teacher_Master!$D$2:$D$16,AF590)</f>
        <v>3</v>
      </c>
      <c r="AI590" s="30" t="str">
        <f>INDEX(Teacher_Master!$B$2:$B$16,MATCH(AF590,Teacher_Master!$D$2:$D$16,0))</f>
        <v>Prof. Rahul Singh</v>
      </c>
    </row>
    <row r="591" spans="1:35" ht="14.25" customHeight="1" x14ac:dyDescent="0.3">
      <c r="A591" s="31" t="s">
        <v>1210</v>
      </c>
      <c r="B591" s="31" t="s">
        <v>2496</v>
      </c>
      <c r="C591" s="31" t="s">
        <v>2881</v>
      </c>
      <c r="D591" s="12">
        <f t="shared" ca="1" si="54"/>
        <v>26</v>
      </c>
      <c r="E591" s="12" t="str">
        <f ca="1">IF(Table1[[#This Row],[Age]]&lt;=22,"20-22",IF(Table1[[#This Row],[Age]]&lt;=25,"23-25",IF(Table1[[#This Row],[Age]]&lt;=28,"26-28","29-30")))</f>
        <v>26-28</v>
      </c>
      <c r="F591" s="12">
        <v>4.09</v>
      </c>
      <c r="G591" s="12">
        <v>3.88</v>
      </c>
      <c r="H591" s="12">
        <v>3.4</v>
      </c>
      <c r="I591" s="12">
        <v>4.3600000000000003</v>
      </c>
      <c r="J591" s="12">
        <v>4.68</v>
      </c>
      <c r="K591" s="12">
        <v>3.58</v>
      </c>
      <c r="L591" s="12">
        <v>3.57</v>
      </c>
      <c r="M591" s="12">
        <v>4</v>
      </c>
      <c r="N591" s="12">
        <v>4.37</v>
      </c>
      <c r="O591" s="12">
        <v>3.93</v>
      </c>
      <c r="P591" s="12">
        <f t="shared" si="55"/>
        <v>4.0819999999999999</v>
      </c>
      <c r="Q591" s="12">
        <f t="shared" si="56"/>
        <v>4.08</v>
      </c>
      <c r="R591" s="12">
        <f t="shared" si="57"/>
        <v>3.8899999999999997</v>
      </c>
      <c r="S591" s="28">
        <f>IFERROR(INDEX('Clean Gamification Data'!$B:$B,MATCH($B591,'Clean Gamification Data'!$A:$A,0)),"Not Found")</f>
        <v>89.826577540000002</v>
      </c>
      <c r="T591" s="28">
        <f>IFERROR(INDEX('Clean Gamification Data'!$C:$C,MATCH($B591,'Clean Gamification Data'!$A:$A,0)),"Not Found")</f>
        <v>70.272994789999998</v>
      </c>
      <c r="U591" s="28">
        <f>IFERROR(INDEX('Clean Gamification Data'!$D:$D,MATCH($B591,'Clean Gamification Data'!$A:$A,0)),"Not Found")</f>
        <v>80.313426579999998</v>
      </c>
      <c r="V591" s="28">
        <f>IFERROR(INDEX('Clean Gamification Data'!$E:$E,MATCH($B591,'Clean Gamification Data'!$A:$A,0)),"Not Found")</f>
        <v>66.189662549999994</v>
      </c>
      <c r="W591" s="28">
        <f>IFERROR(INDEX('Clean Gamification Data'!$F:$F,MATCH($B591,'Clean Gamification Data'!$A:$A,0)),"Not Found")</f>
        <v>80</v>
      </c>
      <c r="X591" s="28">
        <f>IFERROR(INDEX('Clean Gamification Data'!$G:$G,MATCH($B591,'Clean Gamification Data'!$A:$A,0)),"Not Found")</f>
        <v>81.798608819999998</v>
      </c>
      <c r="Y591" s="28">
        <f>IFERROR(INDEX('Clean Gamification Data'!$H:$H,MATCH($B591,'Clean Gamification Data'!$A:$A,0)),"Not Found")</f>
        <v>72.101341770000005</v>
      </c>
      <c r="Z591" s="28">
        <f>IFERROR(INDEX('Clean Gamification Data'!$I:$I,MATCH($B591,'Clean Gamification Data'!$A:$A,0)),"Not Found")</f>
        <v>50</v>
      </c>
      <c r="AA591" s="28">
        <f>Table1[[#This Row],[Engagement (Gamification %)]]-Table1[[#This Row],[Engagement (Non-Gamification %)]]</f>
        <v>19.553582750000004</v>
      </c>
      <c r="AB591" s="28">
        <f>Table1[[#This Row],[Motivation (Gamification %)]]-Table1[[#This Row],[Motivation (Non-Gamification %)]]</f>
        <v>14.123764030000004</v>
      </c>
      <c r="AC591" s="28">
        <f>Table1[[#This Row],[Participation (Gamification %)]]-Table1[[#This Row],[Participation (Non-Gamification %)]]</f>
        <v>-1.7986088199999983</v>
      </c>
      <c r="AD591" s="28">
        <f>Table1[[#This Row],[Learning Outcomes (Gamification %)]]-Table1[[#This Row],[Learning Outcomes (Non-Gamification %)]]</f>
        <v>22.101341770000005</v>
      </c>
      <c r="AE591" s="44" t="str">
        <f>IF(Table1[[#This Row],[Overall Effectiveness]]&lt;3.9,"Low",IF(Table1[[#This Row],[Overall Effectiveness]]&lt;4.2,"Medium","High"))</f>
        <v>Medium</v>
      </c>
      <c r="AF591" s="30" t="str">
        <f t="shared" si="58"/>
        <v>Online Tutorials</v>
      </c>
      <c r="AG591" s="30" t="str">
        <f t="shared" si="59"/>
        <v>Experiments</v>
      </c>
      <c r="AH591" s="27">
        <f>COUNTIF(Teacher_Master!$D$2:$D$16,AF591)</f>
        <v>3</v>
      </c>
      <c r="AI591" s="30" t="str">
        <f>INDEX(Teacher_Master!$B$2:$B$16,MATCH(AF591,Teacher_Master!$D$2:$D$16,0))</f>
        <v>Prof. Kavita Rao</v>
      </c>
    </row>
    <row r="592" spans="1:35" ht="14.25" customHeight="1" x14ac:dyDescent="0.3">
      <c r="A592" s="31" t="s">
        <v>1212</v>
      </c>
      <c r="B592" s="31" t="s">
        <v>2497</v>
      </c>
      <c r="C592" s="31" t="s">
        <v>2882</v>
      </c>
      <c r="D592" s="12">
        <f t="shared" ca="1" si="54"/>
        <v>25</v>
      </c>
      <c r="E592" s="12" t="str">
        <f ca="1">IF(Table1[[#This Row],[Age]]&lt;=22,"20-22",IF(Table1[[#This Row],[Age]]&lt;=25,"23-25",IF(Table1[[#This Row],[Age]]&lt;=28,"26-28","29-30")))</f>
        <v>23-25</v>
      </c>
      <c r="F592" s="12">
        <v>4.18</v>
      </c>
      <c r="G592" s="12">
        <v>4</v>
      </c>
      <c r="H592" s="12">
        <v>3.69</v>
      </c>
      <c r="I592" s="12">
        <v>4.88</v>
      </c>
      <c r="J592" s="12">
        <v>4.1100000000000003</v>
      </c>
      <c r="K592" s="12">
        <v>4.1500000000000004</v>
      </c>
      <c r="L592" s="12">
        <v>4.08</v>
      </c>
      <c r="M592" s="12">
        <v>3.58</v>
      </c>
      <c r="N592" s="12">
        <v>3.61</v>
      </c>
      <c r="O592" s="12" t="s">
        <v>211</v>
      </c>
      <c r="P592" s="12">
        <f t="shared" si="55"/>
        <v>4.1719999999999997</v>
      </c>
      <c r="Q592" s="12">
        <f t="shared" si="56"/>
        <v>4.17</v>
      </c>
      <c r="R592" s="12">
        <f t="shared" si="57"/>
        <v>3.855</v>
      </c>
      <c r="S592" s="28">
        <f>IFERROR(INDEX('Clean Gamification Data'!$B:$B,MATCH($B592,'Clean Gamification Data'!$A:$A,0)),"Not Found")</f>
        <v>99.9</v>
      </c>
      <c r="T592" s="28">
        <f>IFERROR(INDEX('Clean Gamification Data'!$C:$C,MATCH($B592,'Clean Gamification Data'!$A:$A,0)),"Not Found")</f>
        <v>72.395225920000001</v>
      </c>
      <c r="U592" s="28">
        <f>IFERROR(INDEX('Clean Gamification Data'!$D:$D,MATCH($B592,'Clean Gamification Data'!$A:$A,0)),"Not Found")</f>
        <v>77.585769010000007</v>
      </c>
      <c r="V592" s="28">
        <f>IFERROR(INDEX('Clean Gamification Data'!$E:$E,MATCH($B592,'Clean Gamification Data'!$A:$A,0)),"Not Found")</f>
        <v>63.955755629999999</v>
      </c>
      <c r="W592" s="28">
        <f>IFERROR(INDEX('Clean Gamification Data'!$F:$F,MATCH($B592,'Clean Gamification Data'!$A:$A,0)),"Not Found")</f>
        <v>80</v>
      </c>
      <c r="X592" s="28">
        <f>IFERROR(INDEX('Clean Gamification Data'!$G:$G,MATCH($B592,'Clean Gamification Data'!$A:$A,0)),"Not Found")</f>
        <v>82.127671960000001</v>
      </c>
      <c r="Y592" s="28">
        <f>IFERROR(INDEX('Clean Gamification Data'!$H:$H,MATCH($B592,'Clean Gamification Data'!$A:$A,0)),"Not Found")</f>
        <v>66.865788420000001</v>
      </c>
      <c r="Z592" s="28">
        <f>IFERROR(INDEX('Clean Gamification Data'!$I:$I,MATCH($B592,'Clean Gamification Data'!$A:$A,0)),"Not Found")</f>
        <v>58.269610020000002</v>
      </c>
      <c r="AA592" s="28">
        <f>Table1[[#This Row],[Engagement (Gamification %)]]-Table1[[#This Row],[Engagement (Non-Gamification %)]]</f>
        <v>27.504774080000004</v>
      </c>
      <c r="AB592" s="28">
        <f>Table1[[#This Row],[Motivation (Gamification %)]]-Table1[[#This Row],[Motivation (Non-Gamification %)]]</f>
        <v>13.630013380000008</v>
      </c>
      <c r="AC592" s="28">
        <f>Table1[[#This Row],[Participation (Gamification %)]]-Table1[[#This Row],[Participation (Non-Gamification %)]]</f>
        <v>-2.1276719600000007</v>
      </c>
      <c r="AD592" s="28">
        <f>Table1[[#This Row],[Learning Outcomes (Gamification %)]]-Table1[[#This Row],[Learning Outcomes (Non-Gamification %)]]</f>
        <v>8.5961783999999994</v>
      </c>
      <c r="AE592" s="44" t="str">
        <f>IF(Table1[[#This Row],[Overall Effectiveness]]&lt;3.9,"Low",IF(Table1[[#This Row],[Overall Effectiveness]]&lt;4.2,"Medium","High"))</f>
        <v>Medium</v>
      </c>
      <c r="AF592" s="30" t="str">
        <f t="shared" si="58"/>
        <v>Experiments</v>
      </c>
      <c r="AG592" s="30" t="str">
        <f t="shared" si="59"/>
        <v>Lectures</v>
      </c>
      <c r="AH592" s="27">
        <f>COUNTIF(Teacher_Master!$D$2:$D$16,AF592)</f>
        <v>3</v>
      </c>
      <c r="AI592" s="30" t="str">
        <f>INDEX(Teacher_Master!$B$2:$B$16,MATCH(AF592,Teacher_Master!$D$2:$D$16,0))</f>
        <v>Prof. Rahul Singh</v>
      </c>
    </row>
    <row r="593" spans="1:35" ht="14.25" customHeight="1" x14ac:dyDescent="0.3">
      <c r="A593" s="31" t="s">
        <v>1214</v>
      </c>
      <c r="B593" s="31" t="s">
        <v>1215</v>
      </c>
      <c r="C593" s="31" t="s">
        <v>2882</v>
      </c>
      <c r="D593" s="12">
        <f t="shared" ca="1" si="54"/>
        <v>26</v>
      </c>
      <c r="E593" s="12" t="str">
        <f ca="1">IF(Table1[[#This Row],[Age]]&lt;=22,"20-22",IF(Table1[[#This Row],[Age]]&lt;=25,"23-25",IF(Table1[[#This Row],[Age]]&lt;=28,"26-28","29-30")))</f>
        <v>26-28</v>
      </c>
      <c r="F593" s="12">
        <v>4.38</v>
      </c>
      <c r="G593" s="12">
        <v>3.99</v>
      </c>
      <c r="H593" s="12" t="s">
        <v>1216</v>
      </c>
      <c r="I593" s="12">
        <v>3.72</v>
      </c>
      <c r="J593" s="12">
        <v>4.41</v>
      </c>
      <c r="K593" s="12">
        <v>3.68</v>
      </c>
      <c r="L593" s="12">
        <v>3.94</v>
      </c>
      <c r="M593" s="12">
        <v>4.32</v>
      </c>
      <c r="N593" s="12">
        <v>4.37</v>
      </c>
      <c r="O593" s="12">
        <v>3.44</v>
      </c>
      <c r="P593" s="12">
        <f t="shared" si="55"/>
        <v>4.125</v>
      </c>
      <c r="Q593" s="12">
        <f t="shared" si="56"/>
        <v>4.13</v>
      </c>
      <c r="R593" s="12">
        <f t="shared" si="57"/>
        <v>3.9500000000000006</v>
      </c>
      <c r="S593" s="28">
        <f>IFERROR(INDEX('Clean Gamification Data'!$B:$B,MATCH($B593,'Clean Gamification Data'!$A:$A,0)),"Not Found")</f>
        <v>81.661933989999994</v>
      </c>
      <c r="T593" s="28">
        <f>IFERROR(INDEX('Clean Gamification Data'!$C:$C,MATCH($B593,'Clean Gamification Data'!$A:$A,0)),"Not Found")</f>
        <v>62.456975370000002</v>
      </c>
      <c r="U593" s="28">
        <f>IFERROR(INDEX('Clean Gamification Data'!$D:$D,MATCH($B593,'Clean Gamification Data'!$A:$A,0)),"Not Found")</f>
        <v>79.387603380000002</v>
      </c>
      <c r="V593" s="28">
        <f>IFERROR(INDEX('Clean Gamification Data'!$E:$E,MATCH($B593,'Clean Gamification Data'!$A:$A,0)),"Not Found")</f>
        <v>66.231890759999999</v>
      </c>
      <c r="W593" s="28">
        <f>IFERROR(INDEX('Clean Gamification Data'!$F:$F,MATCH($B593,'Clean Gamification Data'!$A:$A,0)),"Not Found")</f>
        <v>94.923927190000001</v>
      </c>
      <c r="X593" s="28">
        <f>IFERROR(INDEX('Clean Gamification Data'!$G:$G,MATCH($B593,'Clean Gamification Data'!$A:$A,0)),"Not Found")</f>
        <v>71.001072449999995</v>
      </c>
      <c r="Y593" s="28">
        <f>IFERROR(INDEX('Clean Gamification Data'!$H:$H,MATCH($B593,'Clean Gamification Data'!$A:$A,0)),"Not Found")</f>
        <v>70.388879410000001</v>
      </c>
      <c r="Z593" s="28">
        <f>IFERROR(INDEX('Clean Gamification Data'!$I:$I,MATCH($B593,'Clean Gamification Data'!$A:$A,0)),"Not Found")</f>
        <v>58.302831519999998</v>
      </c>
      <c r="AA593" s="28">
        <f>Table1[[#This Row],[Engagement (Gamification %)]]-Table1[[#This Row],[Engagement (Non-Gamification %)]]</f>
        <v>19.204958619999992</v>
      </c>
      <c r="AB593" s="28">
        <f>Table1[[#This Row],[Motivation (Gamification %)]]-Table1[[#This Row],[Motivation (Non-Gamification %)]]</f>
        <v>13.155712620000003</v>
      </c>
      <c r="AC593" s="28">
        <f>Table1[[#This Row],[Participation (Gamification %)]]-Table1[[#This Row],[Participation (Non-Gamification %)]]</f>
        <v>23.922854740000005</v>
      </c>
      <c r="AD593" s="28">
        <f>Table1[[#This Row],[Learning Outcomes (Gamification %)]]-Table1[[#This Row],[Learning Outcomes (Non-Gamification %)]]</f>
        <v>12.086047890000003</v>
      </c>
      <c r="AE593" s="44" t="str">
        <f>IF(Table1[[#This Row],[Overall Effectiveness]]&lt;3.9,"Low",IF(Table1[[#This Row],[Overall Effectiveness]]&lt;4.2,"Medium","High"))</f>
        <v>Medium</v>
      </c>
      <c r="AF593" s="30" t="str">
        <f t="shared" si="58"/>
        <v>Online Tutorials</v>
      </c>
      <c r="AG593" s="30" t="str">
        <f t="shared" si="59"/>
        <v>Experiments</v>
      </c>
      <c r="AH593" s="27">
        <f>COUNTIF(Teacher_Master!$D$2:$D$16,AF593)</f>
        <v>3</v>
      </c>
      <c r="AI593" s="30" t="str">
        <f>INDEX(Teacher_Master!$B$2:$B$16,MATCH(AF593,Teacher_Master!$D$2:$D$16,0))</f>
        <v>Prof. Kavita Rao</v>
      </c>
    </row>
    <row r="594" spans="1:35" ht="14.25" customHeight="1" x14ac:dyDescent="0.3">
      <c r="A594" s="31" t="s">
        <v>1217</v>
      </c>
      <c r="B594" s="31" t="s">
        <v>2498</v>
      </c>
      <c r="C594" s="31" t="s">
        <v>2881</v>
      </c>
      <c r="D594" s="12">
        <f t="shared" ca="1" si="54"/>
        <v>23</v>
      </c>
      <c r="E594" s="12" t="str">
        <f ca="1">IF(Table1[[#This Row],[Age]]&lt;=22,"20-22",IF(Table1[[#This Row],[Age]]&lt;=25,"23-25",IF(Table1[[#This Row],[Age]]&lt;=28,"26-28","29-30")))</f>
        <v>23-25</v>
      </c>
      <c r="F594" s="12">
        <v>3.94</v>
      </c>
      <c r="G594" s="12">
        <v>3.72</v>
      </c>
      <c r="H594" s="12">
        <v>4.16</v>
      </c>
      <c r="I594" s="12">
        <v>4.4400000000000004</v>
      </c>
      <c r="J594" s="12">
        <v>4.16</v>
      </c>
      <c r="K594" s="12">
        <v>3.6</v>
      </c>
      <c r="L594" s="12">
        <v>3.83</v>
      </c>
      <c r="M594" s="12">
        <v>3.42</v>
      </c>
      <c r="N594" s="12">
        <v>4.1100000000000003</v>
      </c>
      <c r="O594" s="12">
        <v>3.73</v>
      </c>
      <c r="P594" s="12">
        <f t="shared" si="55"/>
        <v>4.0840000000000005</v>
      </c>
      <c r="Q594" s="12">
        <f t="shared" si="56"/>
        <v>4.08</v>
      </c>
      <c r="R594" s="12">
        <f t="shared" si="57"/>
        <v>3.7380000000000004</v>
      </c>
      <c r="S594" s="28">
        <f>IFERROR(INDEX('Clean Gamification Data'!$B:$B,MATCH($B594,'Clean Gamification Data'!$A:$A,0)),"Not Found")</f>
        <v>79.817987270000003</v>
      </c>
      <c r="T594" s="28">
        <f>IFERROR(INDEX('Clean Gamification Data'!$C:$C,MATCH($B594,'Clean Gamification Data'!$A:$A,0)),"Not Found")</f>
        <v>70.161339299999995</v>
      </c>
      <c r="U594" s="28">
        <f>IFERROR(INDEX('Clean Gamification Data'!$D:$D,MATCH($B594,'Clean Gamification Data'!$A:$A,0)),"Not Found")</f>
        <v>89.289406110000002</v>
      </c>
      <c r="V594" s="28">
        <f>IFERROR(INDEX('Clean Gamification Data'!$E:$E,MATCH($B594,'Clean Gamification Data'!$A:$A,0)),"Not Found")</f>
        <v>62.381207719999999</v>
      </c>
      <c r="W594" s="28">
        <f>IFERROR(INDEX('Clean Gamification Data'!$F:$F,MATCH($B594,'Clean Gamification Data'!$A:$A,0)),"Not Found")</f>
        <v>97.689431560000003</v>
      </c>
      <c r="X594" s="28">
        <f>IFERROR(INDEX('Clean Gamification Data'!$G:$G,MATCH($B594,'Clean Gamification Data'!$A:$A,0)),"Not Found")</f>
        <v>85</v>
      </c>
      <c r="Y594" s="28">
        <f>IFERROR(INDEX('Clean Gamification Data'!$H:$H,MATCH($B594,'Clean Gamification Data'!$A:$A,0)),"Not Found")</f>
        <v>72.180300399999993</v>
      </c>
      <c r="Z594" s="28">
        <f>IFERROR(INDEX('Clean Gamification Data'!$I:$I,MATCH($B594,'Clean Gamification Data'!$A:$A,0)),"Not Found")</f>
        <v>68.08882448</v>
      </c>
      <c r="AA594" s="28">
        <f>Table1[[#This Row],[Engagement (Gamification %)]]-Table1[[#This Row],[Engagement (Non-Gamification %)]]</f>
        <v>9.6566479700000087</v>
      </c>
      <c r="AB594" s="28">
        <f>Table1[[#This Row],[Motivation (Gamification %)]]-Table1[[#This Row],[Motivation (Non-Gamification %)]]</f>
        <v>26.908198390000003</v>
      </c>
      <c r="AC594" s="28">
        <f>Table1[[#This Row],[Participation (Gamification %)]]-Table1[[#This Row],[Participation (Non-Gamification %)]]</f>
        <v>12.689431560000003</v>
      </c>
      <c r="AD594" s="28">
        <f>Table1[[#This Row],[Learning Outcomes (Gamification %)]]-Table1[[#This Row],[Learning Outcomes (Non-Gamification %)]]</f>
        <v>4.0914759199999935</v>
      </c>
      <c r="AE594" s="44" t="str">
        <f>IF(Table1[[#This Row],[Overall Effectiveness]]&lt;3.9,"Low",IF(Table1[[#This Row],[Overall Effectiveness]]&lt;4.2,"Medium","High"))</f>
        <v>Medium</v>
      </c>
      <c r="AF594" s="30" t="str">
        <f t="shared" si="58"/>
        <v>Experiments</v>
      </c>
      <c r="AG594" s="30" t="str">
        <f t="shared" si="59"/>
        <v>Experiments</v>
      </c>
      <c r="AH594" s="27">
        <f>COUNTIF(Teacher_Master!$D$2:$D$16,AF594)</f>
        <v>3</v>
      </c>
      <c r="AI594" s="30" t="str">
        <f>INDEX(Teacher_Master!$B$2:$B$16,MATCH(AF594,Teacher_Master!$D$2:$D$16,0))</f>
        <v>Prof. Rahul Singh</v>
      </c>
    </row>
    <row r="595" spans="1:35" ht="14.25" customHeight="1" x14ac:dyDescent="0.3">
      <c r="A595" s="31" t="s">
        <v>1219</v>
      </c>
      <c r="B595" s="31" t="s">
        <v>2499</v>
      </c>
      <c r="C595" s="31" t="s">
        <v>2882</v>
      </c>
      <c r="D595" s="12">
        <f t="shared" ca="1" si="54"/>
        <v>20</v>
      </c>
      <c r="E595" s="12" t="str">
        <f ca="1">IF(Table1[[#This Row],[Age]]&lt;=22,"20-22",IF(Table1[[#This Row],[Age]]&lt;=25,"23-25",IF(Table1[[#This Row],[Age]]&lt;=28,"26-28","29-30")))</f>
        <v>20-22</v>
      </c>
      <c r="F595" s="12">
        <v>4.3899999999999997</v>
      </c>
      <c r="G595" s="12">
        <v>4.25</v>
      </c>
      <c r="H595" s="12">
        <v>3.66</v>
      </c>
      <c r="I595" s="12">
        <v>4.37</v>
      </c>
      <c r="J595" s="12">
        <v>4.33</v>
      </c>
      <c r="K595" s="12">
        <v>3.78</v>
      </c>
      <c r="L595" s="12">
        <v>3.84</v>
      </c>
      <c r="M595" s="12" t="s">
        <v>211</v>
      </c>
      <c r="N595" s="12">
        <v>3.77</v>
      </c>
      <c r="O595" s="12">
        <v>4.03</v>
      </c>
      <c r="P595" s="12">
        <f t="shared" si="55"/>
        <v>4.2</v>
      </c>
      <c r="Q595" s="12">
        <f t="shared" si="56"/>
        <v>4.2</v>
      </c>
      <c r="R595" s="12">
        <f t="shared" si="57"/>
        <v>3.8549999999999995</v>
      </c>
      <c r="S595" s="28">
        <f>IFERROR(INDEX('Clean Gamification Data'!$B:$B,MATCH($B595,'Clean Gamification Data'!$A:$A,0)),"Not Found")</f>
        <v>76.176176690000005</v>
      </c>
      <c r="T595" s="28">
        <f>IFERROR(INDEX('Clean Gamification Data'!$C:$C,MATCH($B595,'Clean Gamification Data'!$A:$A,0)),"Not Found")</f>
        <v>60.818097190000003</v>
      </c>
      <c r="U595" s="28">
        <f>IFERROR(INDEX('Clean Gamification Data'!$D:$D,MATCH($B595,'Clean Gamification Data'!$A:$A,0)),"Not Found")</f>
        <v>75.362819439999996</v>
      </c>
      <c r="V595" s="28">
        <f>IFERROR(INDEX('Clean Gamification Data'!$E:$E,MATCH($B595,'Clean Gamification Data'!$A:$A,0)),"Not Found")</f>
        <v>66.687002860000007</v>
      </c>
      <c r="W595" s="28">
        <f>IFERROR(INDEX('Clean Gamification Data'!$F:$F,MATCH($B595,'Clean Gamification Data'!$A:$A,0)),"Not Found")</f>
        <v>84.683327890000001</v>
      </c>
      <c r="X595" s="28">
        <f>IFERROR(INDEX('Clean Gamification Data'!$G:$G,MATCH($B595,'Clean Gamification Data'!$A:$A,0)),"Not Found")</f>
        <v>77.975440039999995</v>
      </c>
      <c r="Y595" s="28">
        <f>IFERROR(INDEX('Clean Gamification Data'!$H:$H,MATCH($B595,'Clean Gamification Data'!$A:$A,0)),"Not Found")</f>
        <v>65</v>
      </c>
      <c r="Z595" s="28">
        <f>IFERROR(INDEX('Clean Gamification Data'!$I:$I,MATCH($B595,'Clean Gamification Data'!$A:$A,0)),"Not Found")</f>
        <v>60.233531720000002</v>
      </c>
      <c r="AA595" s="28">
        <f>Table1[[#This Row],[Engagement (Gamification %)]]-Table1[[#This Row],[Engagement (Non-Gamification %)]]</f>
        <v>15.358079500000002</v>
      </c>
      <c r="AB595" s="28">
        <f>Table1[[#This Row],[Motivation (Gamification %)]]-Table1[[#This Row],[Motivation (Non-Gamification %)]]</f>
        <v>8.6758165799999887</v>
      </c>
      <c r="AC595" s="28">
        <f>Table1[[#This Row],[Participation (Gamification %)]]-Table1[[#This Row],[Participation (Non-Gamification %)]]</f>
        <v>6.7078878500000059</v>
      </c>
      <c r="AD595" s="28">
        <f>Table1[[#This Row],[Learning Outcomes (Gamification %)]]-Table1[[#This Row],[Learning Outcomes (Non-Gamification %)]]</f>
        <v>4.766468279999998</v>
      </c>
      <c r="AE595" s="44" t="str">
        <f>IF(Table1[[#This Row],[Overall Effectiveness]]&lt;3.9,"Low",IF(Table1[[#This Row],[Overall Effectiveness]]&lt;4.2,"Medium","High"))</f>
        <v>High</v>
      </c>
      <c r="AF595" s="30" t="str">
        <f t="shared" si="58"/>
        <v>Lectures</v>
      </c>
      <c r="AG595" s="30" t="str">
        <f t="shared" si="59"/>
        <v>Online Tutorials</v>
      </c>
      <c r="AH595" s="27">
        <f>COUNTIF(Teacher_Master!$D$2:$D$16,AF595)</f>
        <v>3</v>
      </c>
      <c r="AI595" s="30" t="str">
        <f>INDEX(Teacher_Master!$B$2:$B$16,MATCH(AF595,Teacher_Master!$D$2:$D$16,0))</f>
        <v>Prof. Vikram Gupta</v>
      </c>
    </row>
    <row r="596" spans="1:35" ht="14.25" customHeight="1" x14ac:dyDescent="0.3">
      <c r="A596" s="31" t="s">
        <v>1221</v>
      </c>
      <c r="B596" s="31" t="s">
        <v>2500</v>
      </c>
      <c r="C596" s="31" t="s">
        <v>2882</v>
      </c>
      <c r="D596" s="12">
        <f t="shared" ca="1" si="54"/>
        <v>22</v>
      </c>
      <c r="E596" s="12" t="str">
        <f ca="1">IF(Table1[[#This Row],[Age]]&lt;=22,"20-22",IF(Table1[[#This Row],[Age]]&lt;=25,"23-25",IF(Table1[[#This Row],[Age]]&lt;=28,"26-28","29-30")))</f>
        <v>20-22</v>
      </c>
      <c r="F596" s="12">
        <v>4.72</v>
      </c>
      <c r="G596" s="12">
        <v>4.1500000000000004</v>
      </c>
      <c r="H596" s="12">
        <v>3.81</v>
      </c>
      <c r="I596" s="12">
        <v>3.99</v>
      </c>
      <c r="J596" s="12">
        <v>4.18</v>
      </c>
      <c r="K596" s="12">
        <v>3.81</v>
      </c>
      <c r="L596" s="12">
        <v>3.71</v>
      </c>
      <c r="M596" s="12">
        <v>4.2300000000000004</v>
      </c>
      <c r="N596" s="12">
        <v>3.98</v>
      </c>
      <c r="O596" s="12">
        <v>3.44</v>
      </c>
      <c r="P596" s="12">
        <f t="shared" si="55"/>
        <v>4.17</v>
      </c>
      <c r="Q596" s="12">
        <f t="shared" si="56"/>
        <v>4.17</v>
      </c>
      <c r="R596" s="12">
        <f t="shared" si="57"/>
        <v>3.8340000000000005</v>
      </c>
      <c r="S596" s="28">
        <f>IFERROR(INDEX('Clean Gamification Data'!$B:$B,MATCH($B596,'Clean Gamification Data'!$A:$A,0)),"Not Found")</f>
        <v>80.748899219999998</v>
      </c>
      <c r="T596" s="28">
        <f>IFERROR(INDEX('Clean Gamification Data'!$C:$C,MATCH($B596,'Clean Gamification Data'!$A:$A,0)),"Not Found")</f>
        <v>71.035643300000004</v>
      </c>
      <c r="U596" s="28">
        <f>IFERROR(INDEX('Clean Gamification Data'!$D:$D,MATCH($B596,'Clean Gamification Data'!$A:$A,0)),"Not Found")</f>
        <v>80.016785979999995</v>
      </c>
      <c r="V596" s="28">
        <f>IFERROR(INDEX('Clean Gamification Data'!$E:$E,MATCH($B596,'Clean Gamification Data'!$A:$A,0)),"Not Found")</f>
        <v>60.6735063</v>
      </c>
      <c r="W596" s="28">
        <f>IFERROR(INDEX('Clean Gamification Data'!$F:$F,MATCH($B596,'Clean Gamification Data'!$A:$A,0)),"Not Found")</f>
        <v>92.980723069999996</v>
      </c>
      <c r="X596" s="28">
        <f>IFERROR(INDEX('Clean Gamification Data'!$G:$G,MATCH($B596,'Clean Gamification Data'!$A:$A,0)),"Not Found")</f>
        <v>74.972645369999995</v>
      </c>
      <c r="Y596" s="28">
        <f>IFERROR(INDEX('Clean Gamification Data'!$H:$H,MATCH($B596,'Clean Gamification Data'!$A:$A,0)),"Not Found")</f>
        <v>68.537731750000006</v>
      </c>
      <c r="Z596" s="28">
        <f>IFERROR(INDEX('Clean Gamification Data'!$I:$I,MATCH($B596,'Clean Gamification Data'!$A:$A,0)),"Not Found")</f>
        <v>61.866349190000001</v>
      </c>
      <c r="AA596" s="28">
        <f>Table1[[#This Row],[Engagement (Gamification %)]]-Table1[[#This Row],[Engagement (Non-Gamification %)]]</f>
        <v>9.7132559199999946</v>
      </c>
      <c r="AB596" s="28">
        <f>Table1[[#This Row],[Motivation (Gamification %)]]-Table1[[#This Row],[Motivation (Non-Gamification %)]]</f>
        <v>19.343279679999995</v>
      </c>
      <c r="AC596" s="28">
        <f>Table1[[#This Row],[Participation (Gamification %)]]-Table1[[#This Row],[Participation (Non-Gamification %)]]</f>
        <v>18.008077700000001</v>
      </c>
      <c r="AD596" s="28">
        <f>Table1[[#This Row],[Learning Outcomes (Gamification %)]]-Table1[[#This Row],[Learning Outcomes (Non-Gamification %)]]</f>
        <v>6.671382560000005</v>
      </c>
      <c r="AE596" s="44" t="str">
        <f>IF(Table1[[#This Row],[Overall Effectiveness]]&lt;3.9,"Low",IF(Table1[[#This Row],[Overall Effectiveness]]&lt;4.2,"Medium","High"))</f>
        <v>Medium</v>
      </c>
      <c r="AF596" s="30" t="str">
        <f t="shared" si="58"/>
        <v>Lectures</v>
      </c>
      <c r="AG596" s="30" t="str">
        <f t="shared" si="59"/>
        <v>Group Projects</v>
      </c>
      <c r="AH596" s="27">
        <f>COUNTIF(Teacher_Master!$D$2:$D$16,AF596)</f>
        <v>3</v>
      </c>
      <c r="AI596" s="30" t="str">
        <f>INDEX(Teacher_Master!$B$2:$B$16,MATCH(AF596,Teacher_Master!$D$2:$D$16,0))</f>
        <v>Prof. Vikram Gupta</v>
      </c>
    </row>
    <row r="597" spans="1:35" ht="14.25" customHeight="1" x14ac:dyDescent="0.3">
      <c r="A597" s="31" t="s">
        <v>1223</v>
      </c>
      <c r="B597" s="31" t="s">
        <v>2501</v>
      </c>
      <c r="C597" s="31" t="s">
        <v>2882</v>
      </c>
      <c r="D597" s="12">
        <f t="shared" ca="1" si="54"/>
        <v>30</v>
      </c>
      <c r="E597" s="12" t="str">
        <f ca="1">IF(Table1[[#This Row],[Age]]&lt;=22,"20-22",IF(Table1[[#This Row],[Age]]&lt;=25,"23-25",IF(Table1[[#This Row],[Age]]&lt;=28,"26-28","29-30")))</f>
        <v>29-30</v>
      </c>
      <c r="F597" s="12">
        <v>3.99</v>
      </c>
      <c r="G597" s="12">
        <v>4.13</v>
      </c>
      <c r="H597" s="12">
        <v>3.95</v>
      </c>
      <c r="I597" s="12">
        <v>3.92</v>
      </c>
      <c r="J597" s="12">
        <v>3.89</v>
      </c>
      <c r="K597" s="12">
        <v>4.55</v>
      </c>
      <c r="L597" s="12">
        <v>3.18</v>
      </c>
      <c r="M597" s="12">
        <v>4.3099999999999996</v>
      </c>
      <c r="N597" s="12">
        <v>4.38</v>
      </c>
      <c r="O597" s="12">
        <v>3.15</v>
      </c>
      <c r="P597" s="12">
        <f t="shared" si="55"/>
        <v>3.976</v>
      </c>
      <c r="Q597" s="12">
        <f t="shared" si="56"/>
        <v>3.98</v>
      </c>
      <c r="R597" s="12">
        <f t="shared" si="57"/>
        <v>3.9139999999999993</v>
      </c>
      <c r="S597" s="28">
        <f>IFERROR(INDEX('Clean Gamification Data'!$B:$B,MATCH($B597,'Clean Gamification Data'!$A:$A,0)),"Not Found")</f>
        <v>79.318871040000005</v>
      </c>
      <c r="T597" s="28">
        <f>IFERROR(INDEX('Clean Gamification Data'!$C:$C,MATCH($B597,'Clean Gamification Data'!$A:$A,0)),"Not Found")</f>
        <v>60</v>
      </c>
      <c r="U597" s="28">
        <f>IFERROR(INDEX('Clean Gamification Data'!$D:$D,MATCH($B597,'Clean Gamification Data'!$A:$A,0)),"Not Found")</f>
        <v>90</v>
      </c>
      <c r="V597" s="28">
        <f>IFERROR(INDEX('Clean Gamification Data'!$E:$E,MATCH($B597,'Clean Gamification Data'!$A:$A,0)),"Not Found")</f>
        <v>61.084401190000001</v>
      </c>
      <c r="W597" s="28">
        <f>IFERROR(INDEX('Clean Gamification Data'!$F:$F,MATCH($B597,'Clean Gamification Data'!$A:$A,0)),"Not Found")</f>
        <v>96.25352006</v>
      </c>
      <c r="X597" s="28">
        <f>IFERROR(INDEX('Clean Gamification Data'!$G:$G,MATCH($B597,'Clean Gamification Data'!$A:$A,0)),"Not Found")</f>
        <v>75.941749139999999</v>
      </c>
      <c r="Y597" s="28">
        <f>IFERROR(INDEX('Clean Gamification Data'!$H:$H,MATCH($B597,'Clean Gamification Data'!$A:$A,0)),"Not Found")</f>
        <v>73.201967080000003</v>
      </c>
      <c r="Z597" s="28">
        <f>IFERROR(INDEX('Clean Gamification Data'!$I:$I,MATCH($B597,'Clean Gamification Data'!$A:$A,0)),"Not Found")</f>
        <v>70</v>
      </c>
      <c r="AA597" s="28">
        <f>Table1[[#This Row],[Engagement (Gamification %)]]-Table1[[#This Row],[Engagement (Non-Gamification %)]]</f>
        <v>19.318871040000005</v>
      </c>
      <c r="AB597" s="28">
        <f>Table1[[#This Row],[Motivation (Gamification %)]]-Table1[[#This Row],[Motivation (Non-Gamification %)]]</f>
        <v>28.915598809999999</v>
      </c>
      <c r="AC597" s="28">
        <f>Table1[[#This Row],[Participation (Gamification %)]]-Table1[[#This Row],[Participation (Non-Gamification %)]]</f>
        <v>20.311770920000001</v>
      </c>
      <c r="AD597" s="28">
        <f>Table1[[#This Row],[Learning Outcomes (Gamification %)]]-Table1[[#This Row],[Learning Outcomes (Non-Gamification %)]]</f>
        <v>3.2019670800000029</v>
      </c>
      <c r="AE597" s="44" t="str">
        <f>IF(Table1[[#This Row],[Overall Effectiveness]]&lt;3.9,"Low",IF(Table1[[#This Row],[Overall Effectiveness]]&lt;4.2,"Medium","High"))</f>
        <v>Medium</v>
      </c>
      <c r="AF597" s="30" t="str">
        <f t="shared" si="58"/>
        <v>Case Studies</v>
      </c>
      <c r="AG597" s="30" t="str">
        <f t="shared" si="59"/>
        <v>Lectures</v>
      </c>
      <c r="AH597" s="27">
        <f>COUNTIF(Teacher_Master!$D$2:$D$16,AF597)</f>
        <v>3</v>
      </c>
      <c r="AI597" s="30" t="str">
        <f>INDEX(Teacher_Master!$B$2:$B$16,MATCH(AF597,Teacher_Master!$D$2:$D$16,0))</f>
        <v>Prof. Rajesh Mukherjee</v>
      </c>
    </row>
    <row r="598" spans="1:35" ht="14.25" customHeight="1" x14ac:dyDescent="0.3">
      <c r="A598" s="31" t="s">
        <v>1225</v>
      </c>
      <c r="B598" s="31" t="s">
        <v>1226</v>
      </c>
      <c r="C598" s="31" t="s">
        <v>2882</v>
      </c>
      <c r="D598" s="12">
        <f t="shared" ca="1" si="54"/>
        <v>28</v>
      </c>
      <c r="E598" s="12" t="str">
        <f ca="1">IF(Table1[[#This Row],[Age]]&lt;=22,"20-22",IF(Table1[[#This Row],[Age]]&lt;=25,"23-25",IF(Table1[[#This Row],[Age]]&lt;=28,"26-28","29-30")))</f>
        <v>26-28</v>
      </c>
      <c r="F598" s="12" t="s">
        <v>211</v>
      </c>
      <c r="G598" s="12">
        <v>3.86</v>
      </c>
      <c r="H598" s="12">
        <v>3.91</v>
      </c>
      <c r="I598" s="12">
        <v>4.5</v>
      </c>
      <c r="J598" s="12">
        <v>4.22</v>
      </c>
      <c r="K598" s="12">
        <v>3.67</v>
      </c>
      <c r="L598" s="12">
        <v>4.25</v>
      </c>
      <c r="M598" s="12">
        <v>4.29</v>
      </c>
      <c r="N598" s="12">
        <v>4.04</v>
      </c>
      <c r="O598" s="12">
        <v>3.9</v>
      </c>
      <c r="P598" s="12">
        <f t="shared" si="55"/>
        <v>4.1224999999999996</v>
      </c>
      <c r="Q598" s="12">
        <f t="shared" si="56"/>
        <v>4.12</v>
      </c>
      <c r="R598" s="12">
        <f t="shared" si="57"/>
        <v>4.0299999999999994</v>
      </c>
      <c r="S598" s="28">
        <f>IFERROR(INDEX('Clean Gamification Data'!$B:$B,MATCH($B598,'Clean Gamification Data'!$A:$A,0)),"Not Found")</f>
        <v>77.648862550000004</v>
      </c>
      <c r="T598" s="28">
        <f>IFERROR(INDEX('Clean Gamification Data'!$C:$C,MATCH($B598,'Clean Gamification Data'!$A:$A,0)),"Not Found")</f>
        <v>72.463916510000004</v>
      </c>
      <c r="U598" s="28">
        <f>IFERROR(INDEX('Clean Gamification Data'!$D:$D,MATCH($B598,'Clean Gamification Data'!$A:$A,0)),"Not Found")</f>
        <v>70</v>
      </c>
      <c r="V598" s="28">
        <f>IFERROR(INDEX('Clean Gamification Data'!$E:$E,MATCH($B598,'Clean Gamification Data'!$A:$A,0)),"Not Found")</f>
        <v>56.58577107</v>
      </c>
      <c r="W598" s="28">
        <f>IFERROR(INDEX('Clean Gamification Data'!$F:$F,MATCH($B598,'Clean Gamification Data'!$A:$A,0)),"Not Found")</f>
        <v>83.874404760000004</v>
      </c>
      <c r="X598" s="28">
        <f>IFERROR(INDEX('Clean Gamification Data'!$G:$G,MATCH($B598,'Clean Gamification Data'!$A:$A,0)),"Not Found")</f>
        <v>81.767779540000006</v>
      </c>
      <c r="Y598" s="28">
        <f>IFERROR(INDEX('Clean Gamification Data'!$H:$H,MATCH($B598,'Clean Gamification Data'!$A:$A,0)),"Not Found")</f>
        <v>73.093586799999997</v>
      </c>
      <c r="Z598" s="28">
        <f>IFERROR(INDEX('Clean Gamification Data'!$I:$I,MATCH($B598,'Clean Gamification Data'!$A:$A,0)),"Not Found")</f>
        <v>68.24984791</v>
      </c>
      <c r="AA598" s="28">
        <f>Table1[[#This Row],[Engagement (Gamification %)]]-Table1[[#This Row],[Engagement (Non-Gamification %)]]</f>
        <v>5.1849460399999998</v>
      </c>
      <c r="AB598" s="28">
        <f>Table1[[#This Row],[Motivation (Gamification %)]]-Table1[[#This Row],[Motivation (Non-Gamification %)]]</f>
        <v>13.41422893</v>
      </c>
      <c r="AC598" s="28">
        <f>Table1[[#This Row],[Participation (Gamification %)]]-Table1[[#This Row],[Participation (Non-Gamification %)]]</f>
        <v>2.106625219999998</v>
      </c>
      <c r="AD598" s="28">
        <f>Table1[[#This Row],[Learning Outcomes (Gamification %)]]-Table1[[#This Row],[Learning Outcomes (Non-Gamification %)]]</f>
        <v>4.8437388899999974</v>
      </c>
      <c r="AE598" s="44" t="str">
        <f>IF(Table1[[#This Row],[Overall Effectiveness]]&lt;3.9,"Low",IF(Table1[[#This Row],[Overall Effectiveness]]&lt;4.2,"Medium","High"))</f>
        <v>Medium</v>
      </c>
      <c r="AF598" s="30" t="str">
        <f t="shared" si="58"/>
        <v>Experiments</v>
      </c>
      <c r="AG598" s="30" t="str">
        <f t="shared" si="59"/>
        <v>Group Projects</v>
      </c>
      <c r="AH598" s="27">
        <f>COUNTIF(Teacher_Master!$D$2:$D$16,AF598)</f>
        <v>3</v>
      </c>
      <c r="AI598" s="30" t="str">
        <f>INDEX(Teacher_Master!$B$2:$B$16,MATCH(AF598,Teacher_Master!$D$2:$D$16,0))</f>
        <v>Prof. Rahul Singh</v>
      </c>
    </row>
    <row r="599" spans="1:35" ht="14.25" customHeight="1" x14ac:dyDescent="0.3">
      <c r="A599" s="31" t="s">
        <v>1227</v>
      </c>
      <c r="B599" s="31" t="s">
        <v>2502</v>
      </c>
      <c r="C599" s="31" t="s">
        <v>2881</v>
      </c>
      <c r="D599" s="12">
        <f t="shared" ca="1" si="54"/>
        <v>25</v>
      </c>
      <c r="E599" s="12" t="str">
        <f ca="1">IF(Table1[[#This Row],[Age]]&lt;=22,"20-22",IF(Table1[[#This Row],[Age]]&lt;=25,"23-25",IF(Table1[[#This Row],[Age]]&lt;=28,"26-28","29-30")))</f>
        <v>23-25</v>
      </c>
      <c r="F599" s="12">
        <v>4.18</v>
      </c>
      <c r="G599" s="12">
        <v>3.78</v>
      </c>
      <c r="H599" s="12">
        <v>4.46</v>
      </c>
      <c r="I599" s="12">
        <v>4.34</v>
      </c>
      <c r="J599" s="12">
        <v>4.1100000000000003</v>
      </c>
      <c r="K599" s="12">
        <v>3.93</v>
      </c>
      <c r="L599" s="12">
        <v>4.67</v>
      </c>
      <c r="M599" s="12">
        <v>4.3099999999999996</v>
      </c>
      <c r="N599" s="12">
        <v>3.71</v>
      </c>
      <c r="O599" s="12">
        <v>4.0999999999999996</v>
      </c>
      <c r="P599" s="12">
        <f t="shared" si="55"/>
        <v>4.1739999999999995</v>
      </c>
      <c r="Q599" s="12">
        <f t="shared" si="56"/>
        <v>4.17</v>
      </c>
      <c r="R599" s="12">
        <f t="shared" si="57"/>
        <v>4.1440000000000001</v>
      </c>
      <c r="S599" s="28">
        <f>IFERROR(INDEX('Clean Gamification Data'!$B:$B,MATCH($B599,'Clean Gamification Data'!$A:$A,0)),"Not Found")</f>
        <v>86.519742789999995</v>
      </c>
      <c r="T599" s="28">
        <f>IFERROR(INDEX('Clean Gamification Data'!$C:$C,MATCH($B599,'Clean Gamification Data'!$A:$A,0)),"Not Found")</f>
        <v>70.384178820000002</v>
      </c>
      <c r="U599" s="28">
        <f>IFERROR(INDEX('Clean Gamification Data'!$D:$D,MATCH($B599,'Clean Gamification Data'!$A:$A,0)),"Not Found")</f>
        <v>70</v>
      </c>
      <c r="V599" s="28">
        <f>IFERROR(INDEX('Clean Gamification Data'!$E:$E,MATCH($B599,'Clean Gamification Data'!$A:$A,0)),"Not Found")</f>
        <v>74.850271739999997</v>
      </c>
      <c r="W599" s="28">
        <f>IFERROR(INDEX('Clean Gamification Data'!$F:$F,MATCH($B599,'Clean Gamification Data'!$A:$A,0)),"Not Found")</f>
        <v>90.593910140000006</v>
      </c>
      <c r="X599" s="28">
        <f>IFERROR(INDEX('Clean Gamification Data'!$G:$G,MATCH($B599,'Clean Gamification Data'!$A:$A,0)),"Not Found")</f>
        <v>75.311415830000001</v>
      </c>
      <c r="Y599" s="28">
        <f>IFERROR(INDEX('Clean Gamification Data'!$H:$H,MATCH($B599,'Clean Gamification Data'!$A:$A,0)),"Not Found")</f>
        <v>72.226955349999997</v>
      </c>
      <c r="Z599" s="28">
        <f>IFERROR(INDEX('Clean Gamification Data'!$I:$I,MATCH($B599,'Clean Gamification Data'!$A:$A,0)),"Not Found")</f>
        <v>57.757728909999997</v>
      </c>
      <c r="AA599" s="28">
        <f>Table1[[#This Row],[Engagement (Gamification %)]]-Table1[[#This Row],[Engagement (Non-Gamification %)]]</f>
        <v>16.135563969999993</v>
      </c>
      <c r="AB599" s="28">
        <f>Table1[[#This Row],[Motivation (Gamification %)]]-Table1[[#This Row],[Motivation (Non-Gamification %)]]</f>
        <v>-4.8502717399999966</v>
      </c>
      <c r="AC599" s="28">
        <f>Table1[[#This Row],[Participation (Gamification %)]]-Table1[[#This Row],[Participation (Non-Gamification %)]]</f>
        <v>15.282494310000004</v>
      </c>
      <c r="AD599" s="28">
        <f>Table1[[#This Row],[Learning Outcomes (Gamification %)]]-Table1[[#This Row],[Learning Outcomes (Non-Gamification %)]]</f>
        <v>14.46922644</v>
      </c>
      <c r="AE599" s="44" t="str">
        <f>IF(Table1[[#This Row],[Overall Effectiveness]]&lt;3.9,"Low",IF(Table1[[#This Row],[Overall Effectiveness]]&lt;4.2,"Medium","High"))</f>
        <v>Medium</v>
      </c>
      <c r="AF599" s="30" t="str">
        <f t="shared" si="58"/>
        <v>Group Projects</v>
      </c>
      <c r="AG599" s="30" t="str">
        <f t="shared" si="59"/>
        <v>Case Studies</v>
      </c>
      <c r="AH599" s="27">
        <f>COUNTIF(Teacher_Master!$D$2:$D$16,AF599)</f>
        <v>3</v>
      </c>
      <c r="AI599" s="30" t="str">
        <f>INDEX(Teacher_Master!$B$2:$B$16,MATCH(AF599,Teacher_Master!$D$2:$D$16,0))</f>
        <v>Dr. Rohan Dutta</v>
      </c>
    </row>
    <row r="600" spans="1:35" ht="14.25" customHeight="1" x14ac:dyDescent="0.3">
      <c r="A600" s="31" t="s">
        <v>1229</v>
      </c>
      <c r="B600" s="31" t="s">
        <v>1230</v>
      </c>
      <c r="C600" s="31" t="s">
        <v>2882</v>
      </c>
      <c r="D600" s="12">
        <f t="shared" ca="1" si="54"/>
        <v>24</v>
      </c>
      <c r="E600" s="12" t="str">
        <f ca="1">IF(Table1[[#This Row],[Age]]&lt;=22,"20-22",IF(Table1[[#This Row],[Age]]&lt;=25,"23-25",IF(Table1[[#This Row],[Age]]&lt;=28,"26-28","29-30")))</f>
        <v>23-25</v>
      </c>
      <c r="F600" s="12">
        <v>3.71</v>
      </c>
      <c r="G600" s="12">
        <v>4.28</v>
      </c>
      <c r="H600" s="12">
        <v>4.17</v>
      </c>
      <c r="I600" s="12">
        <v>3.41</v>
      </c>
      <c r="J600" s="12">
        <v>3.66</v>
      </c>
      <c r="K600" s="12">
        <v>3.82</v>
      </c>
      <c r="L600" s="12">
        <v>4.54</v>
      </c>
      <c r="M600" s="12">
        <v>4.04</v>
      </c>
      <c r="N600" s="12">
        <v>4.54</v>
      </c>
      <c r="O600" s="12">
        <v>3.88</v>
      </c>
      <c r="P600" s="12">
        <f t="shared" si="55"/>
        <v>3.8460000000000001</v>
      </c>
      <c r="Q600" s="12">
        <f t="shared" si="56"/>
        <v>3.85</v>
      </c>
      <c r="R600" s="12">
        <f t="shared" si="57"/>
        <v>4.1639999999999997</v>
      </c>
      <c r="S600" s="28">
        <f>IFERROR(INDEX('Clean Gamification Data'!$B:$B,MATCH($B600,'Clean Gamification Data'!$A:$A,0)),"Not Found")</f>
        <v>80.665195209999993</v>
      </c>
      <c r="T600" s="28">
        <f>IFERROR(INDEX('Clean Gamification Data'!$C:$C,MATCH($B600,'Clean Gamification Data'!$A:$A,0)),"Not Found")</f>
        <v>63.242241909999997</v>
      </c>
      <c r="U600" s="28">
        <f>IFERROR(INDEX('Clean Gamification Data'!$D:$D,MATCH($B600,'Clean Gamification Data'!$A:$A,0)),"Not Found")</f>
        <v>74.748246960000003</v>
      </c>
      <c r="V600" s="28">
        <f>IFERROR(INDEX('Clean Gamification Data'!$E:$E,MATCH($B600,'Clean Gamification Data'!$A:$A,0)),"Not Found")</f>
        <v>57.424708940000002</v>
      </c>
      <c r="W600" s="28">
        <f>IFERROR(INDEX('Clean Gamification Data'!$F:$F,MATCH($B600,'Clean Gamification Data'!$A:$A,0)),"Not Found")</f>
        <v>92.940899860000002</v>
      </c>
      <c r="X600" s="28">
        <f>IFERROR(INDEX('Clean Gamification Data'!$G:$G,MATCH($B600,'Clean Gamification Data'!$A:$A,0)),"Not Found")</f>
        <v>82.449386360000005</v>
      </c>
      <c r="Y600" s="28">
        <f>IFERROR(INDEX('Clean Gamification Data'!$H:$H,MATCH($B600,'Clean Gamification Data'!$A:$A,0)),"Not Found")</f>
        <v>74.879069090000002</v>
      </c>
      <c r="Z600" s="28">
        <f>IFERROR(INDEX('Clean Gamification Data'!$I:$I,MATCH($B600,'Clean Gamification Data'!$A:$A,0)),"Not Found")</f>
        <v>51.200967689999999</v>
      </c>
      <c r="AA600" s="28">
        <f>Table1[[#This Row],[Engagement (Gamification %)]]-Table1[[#This Row],[Engagement (Non-Gamification %)]]</f>
        <v>17.422953299999996</v>
      </c>
      <c r="AB600" s="28">
        <f>Table1[[#This Row],[Motivation (Gamification %)]]-Table1[[#This Row],[Motivation (Non-Gamification %)]]</f>
        <v>17.323538020000001</v>
      </c>
      <c r="AC600" s="28">
        <f>Table1[[#This Row],[Participation (Gamification %)]]-Table1[[#This Row],[Participation (Non-Gamification %)]]</f>
        <v>10.491513499999996</v>
      </c>
      <c r="AD600" s="28">
        <f>Table1[[#This Row],[Learning Outcomes (Gamification %)]]-Table1[[#This Row],[Learning Outcomes (Non-Gamification %)]]</f>
        <v>23.678101400000003</v>
      </c>
      <c r="AE600" s="44" t="str">
        <f>IF(Table1[[#This Row],[Overall Effectiveness]]&lt;3.9,"Low",IF(Table1[[#This Row],[Overall Effectiveness]]&lt;4.2,"Medium","High"))</f>
        <v>Low</v>
      </c>
      <c r="AF600" s="30" t="str">
        <f t="shared" si="58"/>
        <v>Case Studies</v>
      </c>
      <c r="AG600" s="30" t="str">
        <f t="shared" si="59"/>
        <v>Case Studies</v>
      </c>
      <c r="AH600" s="27">
        <f>COUNTIF(Teacher_Master!$D$2:$D$16,AF600)</f>
        <v>3</v>
      </c>
      <c r="AI600" s="30" t="str">
        <f>INDEX(Teacher_Master!$B$2:$B$16,MATCH(AF600,Teacher_Master!$D$2:$D$16,0))</f>
        <v>Prof. Rajesh Mukherjee</v>
      </c>
    </row>
    <row r="601" spans="1:35" ht="14.25" customHeight="1" x14ac:dyDescent="0.3">
      <c r="A601" s="31" t="s">
        <v>1231</v>
      </c>
      <c r="B601" s="31" t="s">
        <v>2503</v>
      </c>
      <c r="C601" s="31" t="s">
        <v>2882</v>
      </c>
      <c r="D601" s="12">
        <f t="shared" ca="1" si="54"/>
        <v>22</v>
      </c>
      <c r="E601" s="12" t="str">
        <f ca="1">IF(Table1[[#This Row],[Age]]&lt;=22,"20-22",IF(Table1[[#This Row],[Age]]&lt;=25,"23-25",IF(Table1[[#This Row],[Age]]&lt;=28,"26-28","29-30")))</f>
        <v>20-22</v>
      </c>
      <c r="F601" s="12">
        <v>4.1500000000000004</v>
      </c>
      <c r="G601" s="12">
        <v>4.18</v>
      </c>
      <c r="H601" s="12">
        <v>4.01</v>
      </c>
      <c r="I601" s="12">
        <v>3.89</v>
      </c>
      <c r="J601" s="12">
        <v>3.87</v>
      </c>
      <c r="K601" s="12">
        <v>3.44</v>
      </c>
      <c r="L601" s="12">
        <v>4.21</v>
      </c>
      <c r="M601" s="12">
        <v>4.2</v>
      </c>
      <c r="N601" s="12">
        <v>3.53</v>
      </c>
      <c r="O601" s="12">
        <v>4.1399999999999997</v>
      </c>
      <c r="P601" s="12">
        <f t="shared" si="55"/>
        <v>4.0200000000000005</v>
      </c>
      <c r="Q601" s="12">
        <f t="shared" si="56"/>
        <v>4.0199999999999996</v>
      </c>
      <c r="R601" s="12">
        <f t="shared" si="57"/>
        <v>3.9039999999999999</v>
      </c>
      <c r="S601" s="28">
        <f>IFERROR(INDEX('Clean Gamification Data'!$B:$B,MATCH($B601,'Clean Gamification Data'!$A:$A,0)),"Not Found")</f>
        <v>80.068250660000004</v>
      </c>
      <c r="T601" s="28">
        <f>IFERROR(INDEX('Clean Gamification Data'!$C:$C,MATCH($B601,'Clean Gamification Data'!$A:$A,0)),"Not Found")</f>
        <v>71.887084729999998</v>
      </c>
      <c r="U601" s="28">
        <f>IFERROR(INDEX('Clean Gamification Data'!$D:$D,MATCH($B601,'Clean Gamification Data'!$A:$A,0)),"Not Found")</f>
        <v>81.130717149999995</v>
      </c>
      <c r="V601" s="28">
        <f>IFERROR(INDEX('Clean Gamification Data'!$E:$E,MATCH($B601,'Clean Gamification Data'!$A:$A,0)),"Not Found")</f>
        <v>58.50478493</v>
      </c>
      <c r="W601" s="28">
        <f>IFERROR(INDEX('Clean Gamification Data'!$F:$F,MATCH($B601,'Clean Gamification Data'!$A:$A,0)),"Not Found")</f>
        <v>94.382838079999999</v>
      </c>
      <c r="X601" s="28">
        <f>IFERROR(INDEX('Clean Gamification Data'!$G:$G,MATCH($B601,'Clean Gamification Data'!$A:$A,0)),"Not Found")</f>
        <v>71.096318139999994</v>
      </c>
      <c r="Y601" s="28">
        <f>IFERROR(INDEX('Clean Gamification Data'!$H:$H,MATCH($B601,'Clean Gamification Data'!$A:$A,0)),"Not Found")</f>
        <v>73.096926999999994</v>
      </c>
      <c r="Z601" s="28">
        <f>IFERROR(INDEX('Clean Gamification Data'!$I:$I,MATCH($B601,'Clean Gamification Data'!$A:$A,0)),"Not Found")</f>
        <v>59.556323720000002</v>
      </c>
      <c r="AA601" s="28">
        <f>Table1[[#This Row],[Engagement (Gamification %)]]-Table1[[#This Row],[Engagement (Non-Gamification %)]]</f>
        <v>8.1811659300000059</v>
      </c>
      <c r="AB601" s="28">
        <f>Table1[[#This Row],[Motivation (Gamification %)]]-Table1[[#This Row],[Motivation (Non-Gamification %)]]</f>
        <v>22.625932219999996</v>
      </c>
      <c r="AC601" s="28">
        <f>Table1[[#This Row],[Participation (Gamification %)]]-Table1[[#This Row],[Participation (Non-Gamification %)]]</f>
        <v>23.286519940000005</v>
      </c>
      <c r="AD601" s="28">
        <f>Table1[[#This Row],[Learning Outcomes (Gamification %)]]-Table1[[#This Row],[Learning Outcomes (Non-Gamification %)]]</f>
        <v>13.540603279999992</v>
      </c>
      <c r="AE601" s="44" t="str">
        <f>IF(Table1[[#This Row],[Overall Effectiveness]]&lt;3.9,"Low",IF(Table1[[#This Row],[Overall Effectiveness]]&lt;4.2,"Medium","High"))</f>
        <v>Medium</v>
      </c>
      <c r="AF601" s="30" t="str">
        <f t="shared" si="58"/>
        <v>Case Studies</v>
      </c>
      <c r="AG601" s="30" t="str">
        <f t="shared" si="59"/>
        <v>Case Studies</v>
      </c>
      <c r="AH601" s="27">
        <f>COUNTIF(Teacher_Master!$D$2:$D$16,AF601)</f>
        <v>3</v>
      </c>
      <c r="AI601" s="30" t="str">
        <f>INDEX(Teacher_Master!$B$2:$B$16,MATCH(AF601,Teacher_Master!$D$2:$D$16,0))</f>
        <v>Prof. Rajesh Mukherjee</v>
      </c>
    </row>
    <row r="602" spans="1:35" ht="14.25" customHeight="1" x14ac:dyDescent="0.3">
      <c r="A602" s="31" t="s">
        <v>1233</v>
      </c>
      <c r="B602" s="31" t="s">
        <v>2504</v>
      </c>
      <c r="C602" s="31" t="s">
        <v>2882</v>
      </c>
      <c r="D602" s="12">
        <f t="shared" ca="1" si="54"/>
        <v>27</v>
      </c>
      <c r="E602" s="12" t="str">
        <f ca="1">IF(Table1[[#This Row],[Age]]&lt;=22,"20-22",IF(Table1[[#This Row],[Age]]&lt;=25,"23-25",IF(Table1[[#This Row],[Age]]&lt;=28,"26-28","29-30")))</f>
        <v>26-28</v>
      </c>
      <c r="F602" s="12">
        <v>4.1900000000000004</v>
      </c>
      <c r="G602" s="12">
        <v>3.97</v>
      </c>
      <c r="H602" s="12">
        <v>4.1399999999999997</v>
      </c>
      <c r="I602" s="12">
        <v>3.93</v>
      </c>
      <c r="J602" s="12">
        <v>3.87</v>
      </c>
      <c r="K602" s="12">
        <v>4.24</v>
      </c>
      <c r="L602" s="12">
        <v>3.89</v>
      </c>
      <c r="M602" s="12">
        <v>4.03</v>
      </c>
      <c r="N602" s="12">
        <v>3.95</v>
      </c>
      <c r="O602" s="12">
        <v>4.34</v>
      </c>
      <c r="P602" s="12">
        <f t="shared" si="55"/>
        <v>4.0200000000000005</v>
      </c>
      <c r="Q602" s="12">
        <f t="shared" si="56"/>
        <v>4.0199999999999996</v>
      </c>
      <c r="R602" s="12">
        <f t="shared" si="57"/>
        <v>4.09</v>
      </c>
      <c r="S602" s="28">
        <f>IFERROR(INDEX('Clean Gamification Data'!$B:$B,MATCH($B602,'Clean Gamification Data'!$A:$A,0)),"Not Found")</f>
        <v>90.274363089999994</v>
      </c>
      <c r="T602" s="28">
        <f>IFERROR(INDEX('Clean Gamification Data'!$C:$C,MATCH($B602,'Clean Gamification Data'!$A:$A,0)),"Not Found")</f>
        <v>61.503619239999999</v>
      </c>
      <c r="U602" s="28">
        <f>IFERROR(INDEX('Clean Gamification Data'!$D:$D,MATCH($B602,'Clean Gamification Data'!$A:$A,0)),"Not Found")</f>
        <v>82.440516830000007</v>
      </c>
      <c r="V602" s="28">
        <f>IFERROR(INDEX('Clean Gamification Data'!$E:$E,MATCH($B602,'Clean Gamification Data'!$A:$A,0)),"Not Found")</f>
        <v>66.254414920000002</v>
      </c>
      <c r="W602" s="28">
        <f>IFERROR(INDEX('Clean Gamification Data'!$F:$F,MATCH($B602,'Clean Gamification Data'!$A:$A,0)),"Not Found")</f>
        <v>99.9</v>
      </c>
      <c r="X602" s="28">
        <f>IFERROR(INDEX('Clean Gamification Data'!$G:$G,MATCH($B602,'Clean Gamification Data'!$A:$A,0)),"Not Found")</f>
        <v>85</v>
      </c>
      <c r="Y602" s="28">
        <f>IFERROR(INDEX('Clean Gamification Data'!$H:$H,MATCH($B602,'Clean Gamification Data'!$A:$A,0)),"Not Found")</f>
        <v>71.424807189999996</v>
      </c>
      <c r="Z602" s="28">
        <f>IFERROR(INDEX('Clean Gamification Data'!$I:$I,MATCH($B602,'Clean Gamification Data'!$A:$A,0)),"Not Found")</f>
        <v>58.14892639</v>
      </c>
      <c r="AA602" s="28">
        <f>Table1[[#This Row],[Engagement (Gamification %)]]-Table1[[#This Row],[Engagement (Non-Gamification %)]]</f>
        <v>28.770743849999995</v>
      </c>
      <c r="AB602" s="28">
        <f>Table1[[#This Row],[Motivation (Gamification %)]]-Table1[[#This Row],[Motivation (Non-Gamification %)]]</f>
        <v>16.186101910000005</v>
      </c>
      <c r="AC602" s="28">
        <f>Table1[[#This Row],[Participation (Gamification %)]]-Table1[[#This Row],[Participation (Non-Gamification %)]]</f>
        <v>14.900000000000006</v>
      </c>
      <c r="AD602" s="28">
        <f>Table1[[#This Row],[Learning Outcomes (Gamification %)]]-Table1[[#This Row],[Learning Outcomes (Non-Gamification %)]]</f>
        <v>13.275880799999996</v>
      </c>
      <c r="AE602" s="44" t="str">
        <f>IF(Table1[[#This Row],[Overall Effectiveness]]&lt;3.9,"Low",IF(Table1[[#This Row],[Overall Effectiveness]]&lt;4.2,"Medium","High"))</f>
        <v>Medium</v>
      </c>
      <c r="AF602" s="30" t="str">
        <f t="shared" si="58"/>
        <v>Lectures</v>
      </c>
      <c r="AG602" s="30" t="str">
        <f t="shared" si="59"/>
        <v>Online Tutorials</v>
      </c>
      <c r="AH602" s="27">
        <f>COUNTIF(Teacher_Master!$D$2:$D$16,AF602)</f>
        <v>3</v>
      </c>
      <c r="AI602" s="30" t="str">
        <f>INDEX(Teacher_Master!$B$2:$B$16,MATCH(AF602,Teacher_Master!$D$2:$D$16,0))</f>
        <v>Prof. Vikram Gupta</v>
      </c>
    </row>
    <row r="603" spans="1:35" ht="14.25" customHeight="1" x14ac:dyDescent="0.3">
      <c r="A603" s="31" t="s">
        <v>1235</v>
      </c>
      <c r="B603" s="31" t="s">
        <v>2505</v>
      </c>
      <c r="C603" s="31" t="s">
        <v>2882</v>
      </c>
      <c r="D603" s="12">
        <f t="shared" ca="1" si="54"/>
        <v>25</v>
      </c>
      <c r="E603" s="12" t="str">
        <f ca="1">IF(Table1[[#This Row],[Age]]&lt;=22,"20-22",IF(Table1[[#This Row],[Age]]&lt;=25,"23-25",IF(Table1[[#This Row],[Age]]&lt;=28,"26-28","29-30")))</f>
        <v>23-25</v>
      </c>
      <c r="F603" s="12">
        <v>4.22</v>
      </c>
      <c r="G603" s="12">
        <v>4.08</v>
      </c>
      <c r="H603" s="12">
        <v>4.12</v>
      </c>
      <c r="I603" s="12">
        <v>3.72</v>
      </c>
      <c r="J603" s="12">
        <v>4.3</v>
      </c>
      <c r="K603" s="12">
        <v>3.94</v>
      </c>
      <c r="L603" s="12">
        <v>4.01</v>
      </c>
      <c r="M603" s="12">
        <v>4.25</v>
      </c>
      <c r="N603" s="12">
        <v>4.05</v>
      </c>
      <c r="O603" s="12">
        <v>4.03</v>
      </c>
      <c r="P603" s="12">
        <f t="shared" si="55"/>
        <v>4.0880000000000001</v>
      </c>
      <c r="Q603" s="12">
        <f t="shared" si="56"/>
        <v>4.09</v>
      </c>
      <c r="R603" s="12">
        <f t="shared" si="57"/>
        <v>4.056</v>
      </c>
      <c r="S603" s="28">
        <f>IFERROR(INDEX('Clean Gamification Data'!$B:$B,MATCH($B603,'Clean Gamification Data'!$A:$A,0)),"Not Found")</f>
        <v>89.784629269999996</v>
      </c>
      <c r="T603" s="28">
        <f>IFERROR(INDEX('Clean Gamification Data'!$C:$C,MATCH($B603,'Clean Gamification Data'!$A:$A,0)),"Not Found")</f>
        <v>67.494555039999995</v>
      </c>
      <c r="U603" s="28">
        <f>IFERROR(INDEX('Clean Gamification Data'!$D:$D,MATCH($B603,'Clean Gamification Data'!$A:$A,0)),"Not Found")</f>
        <v>77.869172230000004</v>
      </c>
      <c r="V603" s="28">
        <f>IFERROR(INDEX('Clean Gamification Data'!$E:$E,MATCH($B603,'Clean Gamification Data'!$A:$A,0)),"Not Found")</f>
        <v>62.69548219</v>
      </c>
      <c r="W603" s="28">
        <f>IFERROR(INDEX('Clean Gamification Data'!$F:$F,MATCH($B603,'Clean Gamification Data'!$A:$A,0)),"Not Found")</f>
        <v>80</v>
      </c>
      <c r="X603" s="28">
        <f>IFERROR(INDEX('Clean Gamification Data'!$G:$G,MATCH($B603,'Clean Gamification Data'!$A:$A,0)),"Not Found")</f>
        <v>80.737652440000005</v>
      </c>
      <c r="Y603" s="28">
        <f>IFERROR(INDEX('Clean Gamification Data'!$H:$H,MATCH($B603,'Clean Gamification Data'!$A:$A,0)),"Not Found")</f>
        <v>69.914825140000005</v>
      </c>
      <c r="Z603" s="28">
        <f>IFERROR(INDEX('Clean Gamification Data'!$I:$I,MATCH($B603,'Clean Gamification Data'!$A:$A,0)),"Not Found")</f>
        <v>61.340275490000003</v>
      </c>
      <c r="AA603" s="28">
        <f>Table1[[#This Row],[Engagement (Gamification %)]]-Table1[[#This Row],[Engagement (Non-Gamification %)]]</f>
        <v>22.290074230000002</v>
      </c>
      <c r="AB603" s="28">
        <f>Table1[[#This Row],[Motivation (Gamification %)]]-Table1[[#This Row],[Motivation (Non-Gamification %)]]</f>
        <v>15.173690040000004</v>
      </c>
      <c r="AC603" s="28">
        <f>Table1[[#This Row],[Participation (Gamification %)]]-Table1[[#This Row],[Participation (Non-Gamification %)]]</f>
        <v>-0.73765244000000507</v>
      </c>
      <c r="AD603" s="28">
        <f>Table1[[#This Row],[Learning Outcomes (Gamification %)]]-Table1[[#This Row],[Learning Outcomes (Non-Gamification %)]]</f>
        <v>8.5745496500000016</v>
      </c>
      <c r="AE603" s="44" t="str">
        <f>IF(Table1[[#This Row],[Overall Effectiveness]]&lt;3.9,"Low",IF(Table1[[#This Row],[Overall Effectiveness]]&lt;4.2,"Medium","High"))</f>
        <v>Medium</v>
      </c>
      <c r="AF603" s="30" t="str">
        <f t="shared" si="58"/>
        <v>Online Tutorials</v>
      </c>
      <c r="AG603" s="30" t="str">
        <f t="shared" si="59"/>
        <v>Group Projects</v>
      </c>
      <c r="AH603" s="27">
        <f>COUNTIF(Teacher_Master!$D$2:$D$16,AF603)</f>
        <v>3</v>
      </c>
      <c r="AI603" s="30" t="str">
        <f>INDEX(Teacher_Master!$B$2:$B$16,MATCH(AF603,Teacher_Master!$D$2:$D$16,0))</f>
        <v>Prof. Kavita Rao</v>
      </c>
    </row>
    <row r="604" spans="1:35" ht="14.25" customHeight="1" x14ac:dyDescent="0.3">
      <c r="A604" s="31" t="s">
        <v>1237</v>
      </c>
      <c r="B604" s="31" t="s">
        <v>2506</v>
      </c>
      <c r="C604" s="31" t="s">
        <v>2882</v>
      </c>
      <c r="D604" s="12">
        <f t="shared" ca="1" si="54"/>
        <v>20</v>
      </c>
      <c r="E604" s="12" t="str">
        <f ca="1">IF(Table1[[#This Row],[Age]]&lt;=22,"20-22",IF(Table1[[#This Row],[Age]]&lt;=25,"23-25",IF(Table1[[#This Row],[Age]]&lt;=28,"26-28","29-30")))</f>
        <v>20-22</v>
      </c>
      <c r="F604" s="12">
        <v>4.1399999999999997</v>
      </c>
      <c r="G604" s="12">
        <v>4.09</v>
      </c>
      <c r="H604" s="12">
        <v>3.78</v>
      </c>
      <c r="I604" s="12">
        <v>4.08</v>
      </c>
      <c r="J604" s="12">
        <v>3.77</v>
      </c>
      <c r="K604" s="12">
        <v>4.1399999999999997</v>
      </c>
      <c r="L604" s="12">
        <v>3.61</v>
      </c>
      <c r="M604" s="12">
        <v>4.47</v>
      </c>
      <c r="N604" s="12">
        <v>4.1399999999999997</v>
      </c>
      <c r="O604" s="12">
        <v>3.9</v>
      </c>
      <c r="P604" s="12">
        <f t="shared" si="55"/>
        <v>3.972</v>
      </c>
      <c r="Q604" s="12">
        <f t="shared" si="56"/>
        <v>3.97</v>
      </c>
      <c r="R604" s="12">
        <f t="shared" si="57"/>
        <v>4.0519999999999996</v>
      </c>
      <c r="S604" s="28">
        <f>IFERROR(INDEX('Clean Gamification Data'!$B:$B,MATCH($B604,'Clean Gamification Data'!$A:$A,0)),"Not Found")</f>
        <v>79.601846280000004</v>
      </c>
      <c r="T604" s="28">
        <f>IFERROR(INDEX('Clean Gamification Data'!$C:$C,MATCH($B604,'Clean Gamification Data'!$A:$A,0)),"Not Found")</f>
        <v>68.95847612</v>
      </c>
      <c r="U604" s="28">
        <f>IFERROR(INDEX('Clean Gamification Data'!$D:$D,MATCH($B604,'Clean Gamification Data'!$A:$A,0)),"Not Found")</f>
        <v>84.819068549999997</v>
      </c>
      <c r="V604" s="28">
        <f>IFERROR(INDEX('Clean Gamification Data'!$E:$E,MATCH($B604,'Clean Gamification Data'!$A:$A,0)),"Not Found")</f>
        <v>65.301335960000003</v>
      </c>
      <c r="W604" s="28">
        <f>IFERROR(INDEX('Clean Gamification Data'!$F:$F,MATCH($B604,'Clean Gamification Data'!$A:$A,0)),"Not Found")</f>
        <v>82.100820970000001</v>
      </c>
      <c r="X604" s="28">
        <f>IFERROR(INDEX('Clean Gamification Data'!$G:$G,MATCH($B604,'Clean Gamification Data'!$A:$A,0)),"Not Found")</f>
        <v>81.159432280000004</v>
      </c>
      <c r="Y604" s="28">
        <f>IFERROR(INDEX('Clean Gamification Data'!$H:$H,MATCH($B604,'Clean Gamification Data'!$A:$A,0)),"Not Found")</f>
        <v>71.260860410000006</v>
      </c>
      <c r="Z604" s="28">
        <f>IFERROR(INDEX('Clean Gamification Data'!$I:$I,MATCH($B604,'Clean Gamification Data'!$A:$A,0)),"Not Found")</f>
        <v>52.92358969</v>
      </c>
      <c r="AA604" s="28">
        <f>Table1[[#This Row],[Engagement (Gamification %)]]-Table1[[#This Row],[Engagement (Non-Gamification %)]]</f>
        <v>10.643370160000003</v>
      </c>
      <c r="AB604" s="28">
        <f>Table1[[#This Row],[Motivation (Gamification %)]]-Table1[[#This Row],[Motivation (Non-Gamification %)]]</f>
        <v>19.517732589999994</v>
      </c>
      <c r="AC604" s="28">
        <f>Table1[[#This Row],[Participation (Gamification %)]]-Table1[[#This Row],[Participation (Non-Gamification %)]]</f>
        <v>0.94138868999999659</v>
      </c>
      <c r="AD604" s="28">
        <f>Table1[[#This Row],[Learning Outcomes (Gamification %)]]-Table1[[#This Row],[Learning Outcomes (Non-Gamification %)]]</f>
        <v>18.337270720000006</v>
      </c>
      <c r="AE604" s="44" t="str">
        <f>IF(Table1[[#This Row],[Overall Effectiveness]]&lt;3.9,"Low",IF(Table1[[#This Row],[Overall Effectiveness]]&lt;4.2,"Medium","High"))</f>
        <v>Medium</v>
      </c>
      <c r="AF604" s="30" t="str">
        <f t="shared" si="58"/>
        <v>Lectures</v>
      </c>
      <c r="AG604" s="30" t="str">
        <f t="shared" si="59"/>
        <v>Group Projects</v>
      </c>
      <c r="AH604" s="27">
        <f>COUNTIF(Teacher_Master!$D$2:$D$16,AF604)</f>
        <v>3</v>
      </c>
      <c r="AI604" s="30" t="str">
        <f>INDEX(Teacher_Master!$B$2:$B$16,MATCH(AF604,Teacher_Master!$D$2:$D$16,0))</f>
        <v>Prof. Vikram Gupta</v>
      </c>
    </row>
    <row r="605" spans="1:35" ht="14.25" customHeight="1" x14ac:dyDescent="0.3">
      <c r="A605" s="31" t="s">
        <v>1239</v>
      </c>
      <c r="B605" s="31" t="s">
        <v>2507</v>
      </c>
      <c r="C605" s="31" t="s">
        <v>2882</v>
      </c>
      <c r="D605" s="12">
        <f t="shared" ca="1" si="54"/>
        <v>23</v>
      </c>
      <c r="E605" s="12" t="str">
        <f ca="1">IF(Table1[[#This Row],[Age]]&lt;=22,"20-22",IF(Table1[[#This Row],[Age]]&lt;=25,"23-25",IF(Table1[[#This Row],[Age]]&lt;=28,"26-28","29-30")))</f>
        <v>23-25</v>
      </c>
      <c r="F605" s="12">
        <v>3.7</v>
      </c>
      <c r="G605" s="12">
        <v>3.64</v>
      </c>
      <c r="H605" s="12">
        <v>3.96</v>
      </c>
      <c r="I605" s="12">
        <v>3.89</v>
      </c>
      <c r="J605" s="12">
        <v>4.03</v>
      </c>
      <c r="K605" s="12">
        <v>3.91</v>
      </c>
      <c r="L605" s="12">
        <v>3.73</v>
      </c>
      <c r="M605" s="12">
        <v>3.73</v>
      </c>
      <c r="N605" s="12">
        <v>3.53</v>
      </c>
      <c r="O605" s="12">
        <v>4.5</v>
      </c>
      <c r="P605" s="12">
        <f t="shared" si="55"/>
        <v>3.8440000000000003</v>
      </c>
      <c r="Q605" s="12">
        <f t="shared" si="56"/>
        <v>3.84</v>
      </c>
      <c r="R605" s="12">
        <f t="shared" si="57"/>
        <v>3.88</v>
      </c>
      <c r="S605" s="28">
        <f>IFERROR(INDEX('Clean Gamification Data'!$B:$B,MATCH($B605,'Clean Gamification Data'!$A:$A,0)),"Not Found")</f>
        <v>89.011808239999993</v>
      </c>
      <c r="T605" s="28">
        <f>IFERROR(INDEX('Clean Gamification Data'!$C:$C,MATCH($B605,'Clean Gamification Data'!$A:$A,0)),"Not Found")</f>
        <v>79.791636550000007</v>
      </c>
      <c r="U605" s="28">
        <f>IFERROR(INDEX('Clean Gamification Data'!$D:$D,MATCH($B605,'Clean Gamification Data'!$A:$A,0)),"Not Found")</f>
        <v>75.001778189999996</v>
      </c>
      <c r="V605" s="28">
        <f>IFERROR(INDEX('Clean Gamification Data'!$E:$E,MATCH($B605,'Clean Gamification Data'!$A:$A,0)),"Not Found")</f>
        <v>62.140997130000002</v>
      </c>
      <c r="W605" s="28">
        <f>IFERROR(INDEX('Clean Gamification Data'!$F:$F,MATCH($B605,'Clean Gamification Data'!$A:$A,0)),"Not Found")</f>
        <v>90.664605280000004</v>
      </c>
      <c r="X605" s="28">
        <f>IFERROR(INDEX('Clean Gamification Data'!$G:$G,MATCH($B605,'Clean Gamification Data'!$A:$A,0)),"Not Found")</f>
        <v>74.734549490000006</v>
      </c>
      <c r="Y605" s="28">
        <f>IFERROR(INDEX('Clean Gamification Data'!$H:$H,MATCH($B605,'Clean Gamification Data'!$A:$A,0)),"Not Found")</f>
        <v>67.613085350000006</v>
      </c>
      <c r="Z605" s="28">
        <f>IFERROR(INDEX('Clean Gamification Data'!$I:$I,MATCH($B605,'Clean Gamification Data'!$A:$A,0)),"Not Found")</f>
        <v>58.47252889</v>
      </c>
      <c r="AA605" s="28">
        <f>Table1[[#This Row],[Engagement (Gamification %)]]-Table1[[#This Row],[Engagement (Non-Gamification %)]]</f>
        <v>9.2201716899999866</v>
      </c>
      <c r="AB605" s="28">
        <f>Table1[[#This Row],[Motivation (Gamification %)]]-Table1[[#This Row],[Motivation (Non-Gamification %)]]</f>
        <v>12.860781059999994</v>
      </c>
      <c r="AC605" s="28">
        <f>Table1[[#This Row],[Participation (Gamification %)]]-Table1[[#This Row],[Participation (Non-Gamification %)]]</f>
        <v>15.930055789999997</v>
      </c>
      <c r="AD605" s="28">
        <f>Table1[[#This Row],[Learning Outcomes (Gamification %)]]-Table1[[#This Row],[Learning Outcomes (Non-Gamification %)]]</f>
        <v>9.1405564600000062</v>
      </c>
      <c r="AE605" s="44" t="str">
        <f>IF(Table1[[#This Row],[Overall Effectiveness]]&lt;3.9,"Low",IF(Table1[[#This Row],[Overall Effectiveness]]&lt;4.2,"Medium","High"))</f>
        <v>Low</v>
      </c>
      <c r="AF605" s="30" t="str">
        <f t="shared" si="58"/>
        <v>Online Tutorials</v>
      </c>
      <c r="AG605" s="30" t="str">
        <f t="shared" si="59"/>
        <v>Online Tutorials</v>
      </c>
      <c r="AH605" s="27">
        <f>COUNTIF(Teacher_Master!$D$2:$D$16,AF605)</f>
        <v>3</v>
      </c>
      <c r="AI605" s="30" t="str">
        <f>INDEX(Teacher_Master!$B$2:$B$16,MATCH(AF605,Teacher_Master!$D$2:$D$16,0))</f>
        <v>Prof. Kavita Rao</v>
      </c>
    </row>
    <row r="606" spans="1:35" ht="14.25" customHeight="1" x14ac:dyDescent="0.3">
      <c r="A606" s="31" t="s">
        <v>1241</v>
      </c>
      <c r="B606" s="31" t="s">
        <v>2508</v>
      </c>
      <c r="C606" s="31" t="s">
        <v>2881</v>
      </c>
      <c r="D606" s="12">
        <f t="shared" ca="1" si="54"/>
        <v>25</v>
      </c>
      <c r="E606" s="12" t="str">
        <f ca="1">IF(Table1[[#This Row],[Age]]&lt;=22,"20-22",IF(Table1[[#This Row],[Age]]&lt;=25,"23-25",IF(Table1[[#This Row],[Age]]&lt;=28,"26-28","29-30")))</f>
        <v>23-25</v>
      </c>
      <c r="F606" s="12">
        <v>4.51</v>
      </c>
      <c r="G606" s="12">
        <v>4.1900000000000004</v>
      </c>
      <c r="H606" s="12">
        <v>3.81</v>
      </c>
      <c r="I606" s="12">
        <v>4.1399999999999997</v>
      </c>
      <c r="J606" s="12">
        <v>4.21</v>
      </c>
      <c r="K606" s="12">
        <v>4.1500000000000004</v>
      </c>
      <c r="L606" s="12">
        <v>4.5</v>
      </c>
      <c r="M606" s="12" t="s">
        <v>211</v>
      </c>
      <c r="N606" s="12">
        <v>4.09</v>
      </c>
      <c r="O606" s="12">
        <v>3.78</v>
      </c>
      <c r="P606" s="12">
        <f t="shared" si="55"/>
        <v>4.1719999999999997</v>
      </c>
      <c r="Q606" s="12">
        <f t="shared" si="56"/>
        <v>4.17</v>
      </c>
      <c r="R606" s="12">
        <f t="shared" si="57"/>
        <v>4.13</v>
      </c>
      <c r="S606" s="28">
        <f>IFERROR(INDEX('Clean Gamification Data'!$B:$B,MATCH($B606,'Clean Gamification Data'!$A:$A,0)),"Not Found")</f>
        <v>91.706107689999996</v>
      </c>
      <c r="T606" s="28">
        <f>IFERROR(INDEX('Clean Gamification Data'!$C:$C,MATCH($B606,'Clean Gamification Data'!$A:$A,0)),"Not Found")</f>
        <v>69.347316860000006</v>
      </c>
      <c r="U606" s="28">
        <f>IFERROR(INDEX('Clean Gamification Data'!$D:$D,MATCH($B606,'Clean Gamification Data'!$A:$A,0)),"Not Found")</f>
        <v>80.252383960000003</v>
      </c>
      <c r="V606" s="28">
        <f>IFERROR(INDEX('Clean Gamification Data'!$E:$E,MATCH($B606,'Clean Gamification Data'!$A:$A,0)),"Not Found")</f>
        <v>64.896472130000006</v>
      </c>
      <c r="W606" s="28">
        <f>IFERROR(INDEX('Clean Gamification Data'!$F:$F,MATCH($B606,'Clean Gamification Data'!$A:$A,0)),"Not Found")</f>
        <v>93.33428868</v>
      </c>
      <c r="X606" s="28">
        <f>IFERROR(INDEX('Clean Gamification Data'!$G:$G,MATCH($B606,'Clean Gamification Data'!$A:$A,0)),"Not Found")</f>
        <v>75.61528783</v>
      </c>
      <c r="Y606" s="28">
        <f>IFERROR(INDEX('Clean Gamification Data'!$H:$H,MATCH($B606,'Clean Gamification Data'!$A:$A,0)),"Not Found")</f>
        <v>68.418703300000004</v>
      </c>
      <c r="Z606" s="28">
        <f>IFERROR(INDEX('Clean Gamification Data'!$I:$I,MATCH($B606,'Clean Gamification Data'!$A:$A,0)),"Not Found")</f>
        <v>55.383196130000002</v>
      </c>
      <c r="AA606" s="28">
        <f>Table1[[#This Row],[Engagement (Gamification %)]]-Table1[[#This Row],[Engagement (Non-Gamification %)]]</f>
        <v>22.35879082999999</v>
      </c>
      <c r="AB606" s="28">
        <f>Table1[[#This Row],[Motivation (Gamification %)]]-Table1[[#This Row],[Motivation (Non-Gamification %)]]</f>
        <v>15.355911829999997</v>
      </c>
      <c r="AC606" s="28">
        <f>Table1[[#This Row],[Participation (Gamification %)]]-Table1[[#This Row],[Participation (Non-Gamification %)]]</f>
        <v>17.71900085</v>
      </c>
      <c r="AD606" s="28">
        <f>Table1[[#This Row],[Learning Outcomes (Gamification %)]]-Table1[[#This Row],[Learning Outcomes (Non-Gamification %)]]</f>
        <v>13.035507170000002</v>
      </c>
      <c r="AE606" s="44" t="str">
        <f>IF(Table1[[#This Row],[Overall Effectiveness]]&lt;3.9,"Low",IF(Table1[[#This Row],[Overall Effectiveness]]&lt;4.2,"Medium","High"))</f>
        <v>Medium</v>
      </c>
      <c r="AF606" s="30" t="str">
        <f t="shared" si="58"/>
        <v>Lectures</v>
      </c>
      <c r="AG606" s="30" t="str">
        <f t="shared" si="59"/>
        <v>Case Studies</v>
      </c>
      <c r="AH606" s="27">
        <f>COUNTIF(Teacher_Master!$D$2:$D$16,AF606)</f>
        <v>3</v>
      </c>
      <c r="AI606" s="30" t="str">
        <f>INDEX(Teacher_Master!$B$2:$B$16,MATCH(AF606,Teacher_Master!$D$2:$D$16,0))</f>
        <v>Prof. Vikram Gupta</v>
      </c>
    </row>
    <row r="607" spans="1:35" ht="14.25" customHeight="1" x14ac:dyDescent="0.3">
      <c r="A607" s="31" t="s">
        <v>1243</v>
      </c>
      <c r="B607" s="31" t="s">
        <v>1244</v>
      </c>
      <c r="C607" s="31" t="s">
        <v>2882</v>
      </c>
      <c r="D607" s="12">
        <f t="shared" ca="1" si="54"/>
        <v>20</v>
      </c>
      <c r="E607" s="12" t="str">
        <f ca="1">IF(Table1[[#This Row],[Age]]&lt;=22,"20-22",IF(Table1[[#This Row],[Age]]&lt;=25,"23-25",IF(Table1[[#This Row],[Age]]&lt;=28,"26-28","29-30")))</f>
        <v>20-22</v>
      </c>
      <c r="F607" s="12">
        <v>4.21</v>
      </c>
      <c r="G607" s="12">
        <v>4.47</v>
      </c>
      <c r="H607" s="12">
        <v>3.96</v>
      </c>
      <c r="I607" s="12">
        <v>4</v>
      </c>
      <c r="J607" s="12">
        <v>3.86</v>
      </c>
      <c r="K607" s="12">
        <v>3.96</v>
      </c>
      <c r="L607" s="12">
        <v>3.38</v>
      </c>
      <c r="M607" s="12">
        <v>4.1500000000000004</v>
      </c>
      <c r="N607" s="12">
        <v>4.5999999999999996</v>
      </c>
      <c r="O607" s="12">
        <v>4.5599999999999996</v>
      </c>
      <c r="P607" s="12">
        <f t="shared" si="55"/>
        <v>4.0999999999999996</v>
      </c>
      <c r="Q607" s="12">
        <f t="shared" si="56"/>
        <v>4.0999999999999996</v>
      </c>
      <c r="R607" s="12">
        <f t="shared" si="57"/>
        <v>4.13</v>
      </c>
      <c r="S607" s="28">
        <f>IFERROR(INDEX('Clean Gamification Data'!$B:$B,MATCH($B607,'Clean Gamification Data'!$A:$A,0)),"Not Found")</f>
        <v>99.335466819999994</v>
      </c>
      <c r="T607" s="28">
        <f>IFERROR(INDEX('Clean Gamification Data'!$C:$C,MATCH($B607,'Clean Gamification Data'!$A:$A,0)),"Not Found")</f>
        <v>67.080187929999994</v>
      </c>
      <c r="U607" s="28">
        <f>IFERROR(INDEX('Clean Gamification Data'!$D:$D,MATCH($B607,'Clean Gamification Data'!$A:$A,0)),"Not Found")</f>
        <v>89.913190209999996</v>
      </c>
      <c r="V607" s="28">
        <f>IFERROR(INDEX('Clean Gamification Data'!$E:$E,MATCH($B607,'Clean Gamification Data'!$A:$A,0)),"Not Found")</f>
        <v>61.888786840000002</v>
      </c>
      <c r="W607" s="28">
        <f>IFERROR(INDEX('Clean Gamification Data'!$F:$F,MATCH($B607,'Clean Gamification Data'!$A:$A,0)),"Not Found")</f>
        <v>93.358540849999997</v>
      </c>
      <c r="X607" s="28">
        <f>IFERROR(INDEX('Clean Gamification Data'!$G:$G,MATCH($B607,'Clean Gamification Data'!$A:$A,0)),"Not Found")</f>
        <v>75.466448749999998</v>
      </c>
      <c r="Y607" s="28">
        <f>IFERROR(INDEX('Clean Gamification Data'!$H:$H,MATCH($B607,'Clean Gamification Data'!$A:$A,0)),"Not Found")</f>
        <v>65</v>
      </c>
      <c r="Z607" s="28">
        <f>IFERROR(INDEX('Clean Gamification Data'!$I:$I,MATCH($B607,'Clean Gamification Data'!$A:$A,0)),"Not Found")</f>
        <v>70</v>
      </c>
      <c r="AA607" s="28">
        <f>Table1[[#This Row],[Engagement (Gamification %)]]-Table1[[#This Row],[Engagement (Non-Gamification %)]]</f>
        <v>32.25527889</v>
      </c>
      <c r="AB607" s="28">
        <f>Table1[[#This Row],[Motivation (Gamification %)]]-Table1[[#This Row],[Motivation (Non-Gamification %)]]</f>
        <v>28.024403369999995</v>
      </c>
      <c r="AC607" s="28">
        <f>Table1[[#This Row],[Participation (Gamification %)]]-Table1[[#This Row],[Participation (Non-Gamification %)]]</f>
        <v>17.892092099999999</v>
      </c>
      <c r="AD607" s="28">
        <f>Table1[[#This Row],[Learning Outcomes (Gamification %)]]-Table1[[#This Row],[Learning Outcomes (Non-Gamification %)]]</f>
        <v>-5</v>
      </c>
      <c r="AE607" s="44" t="str">
        <f>IF(Table1[[#This Row],[Overall Effectiveness]]&lt;3.9,"Low",IF(Table1[[#This Row],[Overall Effectiveness]]&lt;4.2,"Medium","High"))</f>
        <v>Medium</v>
      </c>
      <c r="AF607" s="30" t="str">
        <f t="shared" si="58"/>
        <v>Case Studies</v>
      </c>
      <c r="AG607" s="30" t="str">
        <f t="shared" si="59"/>
        <v>Experiments</v>
      </c>
      <c r="AH607" s="27">
        <f>COUNTIF(Teacher_Master!$D$2:$D$16,AF607)</f>
        <v>3</v>
      </c>
      <c r="AI607" s="30" t="str">
        <f>INDEX(Teacher_Master!$B$2:$B$16,MATCH(AF607,Teacher_Master!$D$2:$D$16,0))</f>
        <v>Prof. Rajesh Mukherjee</v>
      </c>
    </row>
    <row r="608" spans="1:35" ht="14.25" customHeight="1" x14ac:dyDescent="0.3">
      <c r="A608" s="31" t="s">
        <v>1245</v>
      </c>
      <c r="B608" s="31" t="s">
        <v>2509</v>
      </c>
      <c r="C608" s="31" t="s">
        <v>2882</v>
      </c>
      <c r="D608" s="12">
        <f t="shared" ca="1" si="54"/>
        <v>30</v>
      </c>
      <c r="E608" s="12" t="str">
        <f ca="1">IF(Table1[[#This Row],[Age]]&lt;=22,"20-22",IF(Table1[[#This Row],[Age]]&lt;=25,"23-25",IF(Table1[[#This Row],[Age]]&lt;=28,"26-28","29-30")))</f>
        <v>29-30</v>
      </c>
      <c r="F608" s="12">
        <v>4.0199999999999996</v>
      </c>
      <c r="G608" s="12">
        <v>4.26</v>
      </c>
      <c r="H608" s="12">
        <v>4.34</v>
      </c>
      <c r="I608" s="12">
        <v>3.51</v>
      </c>
      <c r="J608" s="12">
        <v>3.93</v>
      </c>
      <c r="K608" s="12" t="s">
        <v>1247</v>
      </c>
      <c r="L608" s="12">
        <v>3.77</v>
      </c>
      <c r="M608" s="12">
        <v>3.99</v>
      </c>
      <c r="N608" s="12">
        <v>3.73</v>
      </c>
      <c r="O608" s="12">
        <v>3.85</v>
      </c>
      <c r="P608" s="12">
        <f t="shared" si="55"/>
        <v>4.0119999999999996</v>
      </c>
      <c r="Q608" s="12">
        <f t="shared" si="56"/>
        <v>4.01</v>
      </c>
      <c r="R608" s="12">
        <f t="shared" si="57"/>
        <v>3.835</v>
      </c>
      <c r="S608" s="28">
        <f>IFERROR(INDEX('Clean Gamification Data'!$B:$B,MATCH($B608,'Clean Gamification Data'!$A:$A,0)),"Not Found")</f>
        <v>76.478022910000007</v>
      </c>
      <c r="T608" s="28">
        <f>IFERROR(INDEX('Clean Gamification Data'!$C:$C,MATCH($B608,'Clean Gamification Data'!$A:$A,0)),"Not Found")</f>
        <v>69.004313109999998</v>
      </c>
      <c r="U608" s="28">
        <f>IFERROR(INDEX('Clean Gamification Data'!$D:$D,MATCH($B608,'Clean Gamification Data'!$A:$A,0)),"Not Found")</f>
        <v>81.202738429999997</v>
      </c>
      <c r="V608" s="28">
        <f>IFERROR(INDEX('Clean Gamification Data'!$E:$E,MATCH($B608,'Clean Gamification Data'!$A:$A,0)),"Not Found")</f>
        <v>63.673269089999998</v>
      </c>
      <c r="W608" s="28">
        <f>IFERROR(INDEX('Clean Gamification Data'!$F:$F,MATCH($B608,'Clean Gamification Data'!$A:$A,0)),"Not Found")</f>
        <v>86.045893219999996</v>
      </c>
      <c r="X608" s="28">
        <f>IFERROR(INDEX('Clean Gamification Data'!$G:$G,MATCH($B608,'Clean Gamification Data'!$A:$A,0)),"Not Found")</f>
        <v>76.110170350000004</v>
      </c>
      <c r="Y608" s="28">
        <f>IFERROR(INDEX('Clean Gamification Data'!$H:$H,MATCH($B608,'Clean Gamification Data'!$A:$A,0)),"Not Found")</f>
        <v>68.727009210000006</v>
      </c>
      <c r="Z608" s="28">
        <f>IFERROR(INDEX('Clean Gamification Data'!$I:$I,MATCH($B608,'Clean Gamification Data'!$A:$A,0)),"Not Found")</f>
        <v>58.770664910000001</v>
      </c>
      <c r="AA608" s="28">
        <f>Table1[[#This Row],[Engagement (Gamification %)]]-Table1[[#This Row],[Engagement (Non-Gamification %)]]</f>
        <v>7.4737098000000088</v>
      </c>
      <c r="AB608" s="28">
        <f>Table1[[#This Row],[Motivation (Gamification %)]]-Table1[[#This Row],[Motivation (Non-Gamification %)]]</f>
        <v>17.529469339999999</v>
      </c>
      <c r="AC608" s="28">
        <f>Table1[[#This Row],[Participation (Gamification %)]]-Table1[[#This Row],[Participation (Non-Gamification %)]]</f>
        <v>9.9357228699999922</v>
      </c>
      <c r="AD608" s="28">
        <f>Table1[[#This Row],[Learning Outcomes (Gamification %)]]-Table1[[#This Row],[Learning Outcomes (Non-Gamification %)]]</f>
        <v>9.9563443000000049</v>
      </c>
      <c r="AE608" s="44" t="str">
        <f>IF(Table1[[#This Row],[Overall Effectiveness]]&lt;3.9,"Low",IF(Table1[[#This Row],[Overall Effectiveness]]&lt;4.2,"Medium","High"))</f>
        <v>Medium</v>
      </c>
      <c r="AF608" s="30" t="str">
        <f t="shared" si="58"/>
        <v>Group Projects</v>
      </c>
      <c r="AG608" s="30" t="str">
        <f t="shared" si="59"/>
        <v>Group Projects</v>
      </c>
      <c r="AH608" s="27">
        <f>COUNTIF(Teacher_Master!$D$2:$D$16,AF608)</f>
        <v>3</v>
      </c>
      <c r="AI608" s="30" t="str">
        <f>INDEX(Teacher_Master!$B$2:$B$16,MATCH(AF608,Teacher_Master!$D$2:$D$16,0))</f>
        <v>Dr. Rohan Dutta</v>
      </c>
    </row>
    <row r="609" spans="1:35" ht="14.25" customHeight="1" x14ac:dyDescent="0.3">
      <c r="A609" s="31" t="s">
        <v>1248</v>
      </c>
      <c r="B609" s="31" t="s">
        <v>1249</v>
      </c>
      <c r="C609" s="31" t="s">
        <v>2881</v>
      </c>
      <c r="D609" s="12">
        <f t="shared" ca="1" si="54"/>
        <v>26</v>
      </c>
      <c r="E609" s="12" t="str">
        <f ca="1">IF(Table1[[#This Row],[Age]]&lt;=22,"20-22",IF(Table1[[#This Row],[Age]]&lt;=25,"23-25",IF(Table1[[#This Row],[Age]]&lt;=28,"26-28","29-30")))</f>
        <v>26-28</v>
      </c>
      <c r="F609" s="12">
        <v>3.74</v>
      </c>
      <c r="G609" s="12">
        <v>4.18</v>
      </c>
      <c r="H609" s="12">
        <v>4.2300000000000004</v>
      </c>
      <c r="I609" s="12">
        <v>3.83</v>
      </c>
      <c r="J609" s="12">
        <v>4.04</v>
      </c>
      <c r="K609" s="12">
        <v>4.21</v>
      </c>
      <c r="L609" s="12">
        <v>4.21</v>
      </c>
      <c r="M609" s="12">
        <v>4.16</v>
      </c>
      <c r="N609" s="12">
        <v>4.2</v>
      </c>
      <c r="O609" s="12">
        <v>4.24</v>
      </c>
      <c r="P609" s="12">
        <f t="shared" si="55"/>
        <v>4.0039999999999996</v>
      </c>
      <c r="Q609" s="12">
        <f t="shared" si="56"/>
        <v>4</v>
      </c>
      <c r="R609" s="12">
        <f t="shared" si="57"/>
        <v>4.2040000000000006</v>
      </c>
      <c r="S609" s="28">
        <f>IFERROR(INDEX('Clean Gamification Data'!$B:$B,MATCH($B609,'Clean Gamification Data'!$A:$A,0)),"Not Found")</f>
        <v>89.290701709999993</v>
      </c>
      <c r="T609" s="28">
        <f>IFERROR(INDEX('Clean Gamification Data'!$C:$C,MATCH($B609,'Clean Gamification Data'!$A:$A,0)),"Not Found")</f>
        <v>79.36391922</v>
      </c>
      <c r="U609" s="28">
        <f>IFERROR(INDEX('Clean Gamification Data'!$D:$D,MATCH($B609,'Clean Gamification Data'!$A:$A,0)),"Not Found")</f>
        <v>76.453302280000003</v>
      </c>
      <c r="V609" s="28">
        <f>IFERROR(INDEX('Clean Gamification Data'!$E:$E,MATCH($B609,'Clean Gamification Data'!$A:$A,0)),"Not Found")</f>
        <v>65.785495929999996</v>
      </c>
      <c r="W609" s="28">
        <f>IFERROR(INDEX('Clean Gamification Data'!$F:$F,MATCH($B609,'Clean Gamification Data'!$A:$A,0)),"Not Found")</f>
        <v>89.917054649999997</v>
      </c>
      <c r="X609" s="28">
        <f>IFERROR(INDEX('Clean Gamification Data'!$G:$G,MATCH($B609,'Clean Gamification Data'!$A:$A,0)),"Not Found")</f>
        <v>85</v>
      </c>
      <c r="Y609" s="28">
        <f>IFERROR(INDEX('Clean Gamification Data'!$H:$H,MATCH($B609,'Clean Gamification Data'!$A:$A,0)),"Not Found")</f>
        <v>68.002650220000007</v>
      </c>
      <c r="Z609" s="28">
        <f>IFERROR(INDEX('Clean Gamification Data'!$I:$I,MATCH($B609,'Clean Gamification Data'!$A:$A,0)),"Not Found")</f>
        <v>59.719026460000002</v>
      </c>
      <c r="AA609" s="28">
        <f>Table1[[#This Row],[Engagement (Gamification %)]]-Table1[[#This Row],[Engagement (Non-Gamification %)]]</f>
        <v>9.9267824899999937</v>
      </c>
      <c r="AB609" s="28">
        <f>Table1[[#This Row],[Motivation (Gamification %)]]-Table1[[#This Row],[Motivation (Non-Gamification %)]]</f>
        <v>10.667806350000006</v>
      </c>
      <c r="AC609" s="28">
        <f>Table1[[#This Row],[Participation (Gamification %)]]-Table1[[#This Row],[Participation (Non-Gamification %)]]</f>
        <v>4.9170546499999972</v>
      </c>
      <c r="AD609" s="28">
        <f>Table1[[#This Row],[Learning Outcomes (Gamification %)]]-Table1[[#This Row],[Learning Outcomes (Non-Gamification %)]]</f>
        <v>8.2836237600000047</v>
      </c>
      <c r="AE609" s="44" t="str">
        <f>IF(Table1[[#This Row],[Overall Effectiveness]]&lt;3.9,"Low",IF(Table1[[#This Row],[Overall Effectiveness]]&lt;4.2,"Medium","High"))</f>
        <v>Medium</v>
      </c>
      <c r="AF609" s="30" t="str">
        <f t="shared" si="58"/>
        <v>Group Projects</v>
      </c>
      <c r="AG609" s="30" t="str">
        <f t="shared" si="59"/>
        <v>Online Tutorials</v>
      </c>
      <c r="AH609" s="27">
        <f>COUNTIF(Teacher_Master!$D$2:$D$16,AF609)</f>
        <v>3</v>
      </c>
      <c r="AI609" s="30" t="str">
        <f>INDEX(Teacher_Master!$B$2:$B$16,MATCH(AF609,Teacher_Master!$D$2:$D$16,0))</f>
        <v>Dr. Rohan Dutta</v>
      </c>
    </row>
    <row r="610" spans="1:35" ht="14.25" customHeight="1" x14ac:dyDescent="0.3">
      <c r="A610" s="31" t="s">
        <v>1250</v>
      </c>
      <c r="B610" s="31" t="s">
        <v>2510</v>
      </c>
      <c r="C610" s="31" t="s">
        <v>2881</v>
      </c>
      <c r="D610" s="12">
        <f t="shared" ca="1" si="54"/>
        <v>20</v>
      </c>
      <c r="E610" s="12" t="str">
        <f ca="1">IF(Table1[[#This Row],[Age]]&lt;=22,"20-22",IF(Table1[[#This Row],[Age]]&lt;=25,"23-25",IF(Table1[[#This Row],[Age]]&lt;=28,"26-28","29-30")))</f>
        <v>20-22</v>
      </c>
      <c r="F610" s="12">
        <v>3.94</v>
      </c>
      <c r="G610" s="12">
        <v>4.3600000000000003</v>
      </c>
      <c r="H610" s="12">
        <v>4.26</v>
      </c>
      <c r="I610" s="12">
        <v>4.4400000000000004</v>
      </c>
      <c r="J610" s="12">
        <v>4.0199999999999996</v>
      </c>
      <c r="K610" s="12">
        <v>4.12</v>
      </c>
      <c r="L610" s="12">
        <v>4.3499999999999996</v>
      </c>
      <c r="M610" s="12" t="s">
        <v>211</v>
      </c>
      <c r="N610" s="12">
        <v>3.91</v>
      </c>
      <c r="O610" s="12">
        <v>4.3499999999999996</v>
      </c>
      <c r="P610" s="12">
        <f t="shared" si="55"/>
        <v>4.2039999999999997</v>
      </c>
      <c r="Q610" s="12">
        <f t="shared" si="56"/>
        <v>4.2</v>
      </c>
      <c r="R610" s="12">
        <f t="shared" si="57"/>
        <v>4.1824999999999992</v>
      </c>
      <c r="S610" s="28">
        <f>IFERROR(INDEX('Clean Gamification Data'!$B:$B,MATCH($B610,'Clean Gamification Data'!$A:$A,0)),"Not Found")</f>
        <v>82.254094929999994</v>
      </c>
      <c r="T610" s="28">
        <f>IFERROR(INDEX('Clean Gamification Data'!$C:$C,MATCH($B610,'Clean Gamification Data'!$A:$A,0)),"Not Found")</f>
        <v>64.705906159999998</v>
      </c>
      <c r="U610" s="28">
        <f>IFERROR(INDEX('Clean Gamification Data'!$D:$D,MATCH($B610,'Clean Gamification Data'!$A:$A,0)),"Not Found")</f>
        <v>79.498361209999999</v>
      </c>
      <c r="V610" s="28">
        <f>IFERROR(INDEX('Clean Gamification Data'!$E:$E,MATCH($B610,'Clean Gamification Data'!$A:$A,0)),"Not Found")</f>
        <v>68.660389199999997</v>
      </c>
      <c r="W610" s="28">
        <f>IFERROR(INDEX('Clean Gamification Data'!$F:$F,MATCH($B610,'Clean Gamification Data'!$A:$A,0)),"Not Found")</f>
        <v>80</v>
      </c>
      <c r="X610" s="28">
        <f>IFERROR(INDEX('Clean Gamification Data'!$G:$G,MATCH($B610,'Clean Gamification Data'!$A:$A,0)),"Not Found")</f>
        <v>81.566141259999995</v>
      </c>
      <c r="Y610" s="28">
        <f>IFERROR(INDEX('Clean Gamification Data'!$H:$H,MATCH($B610,'Clean Gamification Data'!$A:$A,0)),"Not Found")</f>
        <v>65</v>
      </c>
      <c r="Z610" s="28">
        <f>IFERROR(INDEX('Clean Gamification Data'!$I:$I,MATCH($B610,'Clean Gamification Data'!$A:$A,0)),"Not Found")</f>
        <v>50</v>
      </c>
      <c r="AA610" s="28">
        <f>Table1[[#This Row],[Engagement (Gamification %)]]-Table1[[#This Row],[Engagement (Non-Gamification %)]]</f>
        <v>17.548188769999996</v>
      </c>
      <c r="AB610" s="28">
        <f>Table1[[#This Row],[Motivation (Gamification %)]]-Table1[[#This Row],[Motivation (Non-Gamification %)]]</f>
        <v>10.837972010000001</v>
      </c>
      <c r="AC610" s="28">
        <f>Table1[[#This Row],[Participation (Gamification %)]]-Table1[[#This Row],[Participation (Non-Gamification %)]]</f>
        <v>-1.5661412599999949</v>
      </c>
      <c r="AD610" s="28">
        <f>Table1[[#This Row],[Learning Outcomes (Gamification %)]]-Table1[[#This Row],[Learning Outcomes (Non-Gamification %)]]</f>
        <v>15</v>
      </c>
      <c r="AE610" s="44" t="str">
        <f>IF(Table1[[#This Row],[Overall Effectiveness]]&lt;3.9,"Low",IF(Table1[[#This Row],[Overall Effectiveness]]&lt;4.2,"Medium","High"))</f>
        <v>High</v>
      </c>
      <c r="AF610" s="30" t="str">
        <f t="shared" si="58"/>
        <v>Experiments</v>
      </c>
      <c r="AG610" s="30" t="str">
        <f t="shared" si="59"/>
        <v>Case Studies</v>
      </c>
      <c r="AH610" s="27">
        <f>COUNTIF(Teacher_Master!$D$2:$D$16,AF610)</f>
        <v>3</v>
      </c>
      <c r="AI610" s="30" t="str">
        <f>INDEX(Teacher_Master!$B$2:$B$16,MATCH(AF610,Teacher_Master!$D$2:$D$16,0))</f>
        <v>Prof. Rahul Singh</v>
      </c>
    </row>
    <row r="611" spans="1:35" ht="14.25" customHeight="1" x14ac:dyDescent="0.3">
      <c r="A611" s="31" t="s">
        <v>1252</v>
      </c>
      <c r="B611" s="31" t="s">
        <v>2511</v>
      </c>
      <c r="C611" s="31" t="s">
        <v>2882</v>
      </c>
      <c r="D611" s="12">
        <f t="shared" ca="1" si="54"/>
        <v>30</v>
      </c>
      <c r="E611" s="12" t="str">
        <f ca="1">IF(Table1[[#This Row],[Age]]&lt;=22,"20-22",IF(Table1[[#This Row],[Age]]&lt;=25,"23-25",IF(Table1[[#This Row],[Age]]&lt;=28,"26-28","29-30")))</f>
        <v>29-30</v>
      </c>
      <c r="F611" s="12">
        <v>3.62</v>
      </c>
      <c r="G611" s="12">
        <v>4.47</v>
      </c>
      <c r="H611" s="12">
        <v>4.21</v>
      </c>
      <c r="I611" s="12">
        <v>4.2</v>
      </c>
      <c r="J611" s="12">
        <v>4.0599999999999996</v>
      </c>
      <c r="K611" s="12">
        <v>3.63</v>
      </c>
      <c r="L611" s="12">
        <v>3.52</v>
      </c>
      <c r="M611" s="12">
        <v>4.07</v>
      </c>
      <c r="N611" s="12">
        <v>3.93</v>
      </c>
      <c r="O611" s="12">
        <v>4.1500000000000004</v>
      </c>
      <c r="P611" s="12">
        <f t="shared" si="55"/>
        <v>4.1120000000000001</v>
      </c>
      <c r="Q611" s="12">
        <f t="shared" si="56"/>
        <v>4.1100000000000003</v>
      </c>
      <c r="R611" s="12">
        <f t="shared" si="57"/>
        <v>3.8600000000000003</v>
      </c>
      <c r="S611" s="28">
        <f>IFERROR(INDEX('Clean Gamification Data'!$B:$B,MATCH($B611,'Clean Gamification Data'!$A:$A,0)),"Not Found")</f>
        <v>94.256781329999995</v>
      </c>
      <c r="T611" s="28">
        <f>IFERROR(INDEX('Clean Gamification Data'!$C:$C,MATCH($B611,'Clean Gamification Data'!$A:$A,0)),"Not Found")</f>
        <v>66.628974479999997</v>
      </c>
      <c r="U611" s="28">
        <f>IFERROR(INDEX('Clean Gamification Data'!$D:$D,MATCH($B611,'Clean Gamification Data'!$A:$A,0)),"Not Found")</f>
        <v>77.744428990000003</v>
      </c>
      <c r="V611" s="28">
        <f>IFERROR(INDEX('Clean Gamification Data'!$E:$E,MATCH($B611,'Clean Gamification Data'!$A:$A,0)),"Not Found")</f>
        <v>62.616282579999996</v>
      </c>
      <c r="W611" s="28">
        <f>IFERROR(INDEX('Clean Gamification Data'!$F:$F,MATCH($B611,'Clean Gamification Data'!$A:$A,0)),"Not Found")</f>
        <v>93.161923380000005</v>
      </c>
      <c r="X611" s="28">
        <f>IFERROR(INDEX('Clean Gamification Data'!$G:$G,MATCH($B611,'Clean Gamification Data'!$A:$A,0)),"Not Found")</f>
        <v>75.194031260000003</v>
      </c>
      <c r="Y611" s="28">
        <f>IFERROR(INDEX('Clean Gamification Data'!$H:$H,MATCH($B611,'Clean Gamification Data'!$A:$A,0)),"Not Found")</f>
        <v>76.21364595</v>
      </c>
      <c r="Z611" s="28">
        <f>IFERROR(INDEX('Clean Gamification Data'!$I:$I,MATCH($B611,'Clean Gamification Data'!$A:$A,0)),"Not Found")</f>
        <v>50</v>
      </c>
      <c r="AA611" s="28">
        <f>Table1[[#This Row],[Engagement (Gamification %)]]-Table1[[#This Row],[Engagement (Non-Gamification %)]]</f>
        <v>27.627806849999999</v>
      </c>
      <c r="AB611" s="28">
        <f>Table1[[#This Row],[Motivation (Gamification %)]]-Table1[[#This Row],[Motivation (Non-Gamification %)]]</f>
        <v>15.128146410000006</v>
      </c>
      <c r="AC611" s="28">
        <f>Table1[[#This Row],[Participation (Gamification %)]]-Table1[[#This Row],[Participation (Non-Gamification %)]]</f>
        <v>17.967892120000002</v>
      </c>
      <c r="AD611" s="28">
        <f>Table1[[#This Row],[Learning Outcomes (Gamification %)]]-Table1[[#This Row],[Learning Outcomes (Non-Gamification %)]]</f>
        <v>26.21364595</v>
      </c>
      <c r="AE611" s="44" t="str">
        <f>IF(Table1[[#This Row],[Overall Effectiveness]]&lt;3.9,"Low",IF(Table1[[#This Row],[Overall Effectiveness]]&lt;4.2,"Medium","High"))</f>
        <v>Medium</v>
      </c>
      <c r="AF611" s="30" t="str">
        <f t="shared" si="58"/>
        <v>Case Studies</v>
      </c>
      <c r="AG611" s="30" t="str">
        <f t="shared" si="59"/>
        <v>Online Tutorials</v>
      </c>
      <c r="AH611" s="27">
        <f>COUNTIF(Teacher_Master!$D$2:$D$16,AF611)</f>
        <v>3</v>
      </c>
      <c r="AI611" s="30" t="str">
        <f>INDEX(Teacher_Master!$B$2:$B$16,MATCH(AF611,Teacher_Master!$D$2:$D$16,0))</f>
        <v>Prof. Rajesh Mukherjee</v>
      </c>
    </row>
    <row r="612" spans="1:35" ht="14.25" customHeight="1" x14ac:dyDescent="0.3">
      <c r="A612" s="31" t="s">
        <v>1254</v>
      </c>
      <c r="B612" s="31" t="s">
        <v>2512</v>
      </c>
      <c r="C612" s="31" t="s">
        <v>2881</v>
      </c>
      <c r="D612" s="12">
        <f t="shared" ca="1" si="54"/>
        <v>26</v>
      </c>
      <c r="E612" s="12" t="str">
        <f ca="1">IF(Table1[[#This Row],[Age]]&lt;=22,"20-22",IF(Table1[[#This Row],[Age]]&lt;=25,"23-25",IF(Table1[[#This Row],[Age]]&lt;=28,"26-28","29-30")))</f>
        <v>26-28</v>
      </c>
      <c r="F612" s="12">
        <v>3.73</v>
      </c>
      <c r="G612" s="12">
        <v>4.12</v>
      </c>
      <c r="H612" s="12">
        <v>3.72</v>
      </c>
      <c r="I612" s="12">
        <v>4.08</v>
      </c>
      <c r="J612" s="12">
        <v>4.12</v>
      </c>
      <c r="K612" s="12">
        <v>4.71</v>
      </c>
      <c r="L612" s="12">
        <v>3.95</v>
      </c>
      <c r="M612" s="12">
        <v>4.87</v>
      </c>
      <c r="N612" s="12">
        <v>3.94</v>
      </c>
      <c r="O612" s="12">
        <v>3.84</v>
      </c>
      <c r="P612" s="12">
        <f t="shared" si="55"/>
        <v>3.9539999999999997</v>
      </c>
      <c r="Q612" s="12">
        <f t="shared" si="56"/>
        <v>3.95</v>
      </c>
      <c r="R612" s="12">
        <f t="shared" si="57"/>
        <v>4.2620000000000005</v>
      </c>
      <c r="S612" s="28">
        <f>IFERROR(INDEX('Clean Gamification Data'!$B:$B,MATCH($B612,'Clean Gamification Data'!$A:$A,0)),"Not Found")</f>
        <v>77.924409130000001</v>
      </c>
      <c r="T612" s="28">
        <f>IFERROR(INDEX('Clean Gamification Data'!$C:$C,MATCH($B612,'Clean Gamification Data'!$A:$A,0)),"Not Found")</f>
        <v>60.317731010000003</v>
      </c>
      <c r="U612" s="28">
        <f>IFERROR(INDEX('Clean Gamification Data'!$D:$D,MATCH($B612,'Clean Gamification Data'!$A:$A,0)),"Not Found")</f>
        <v>77.159173300000006</v>
      </c>
      <c r="V612" s="28">
        <f>IFERROR(INDEX('Clean Gamification Data'!$E:$E,MATCH($B612,'Clean Gamification Data'!$A:$A,0)),"Not Found")</f>
        <v>65.921703699999995</v>
      </c>
      <c r="W612" s="28">
        <f>IFERROR(INDEX('Clean Gamification Data'!$F:$F,MATCH($B612,'Clean Gamification Data'!$A:$A,0)),"Not Found")</f>
        <v>88.793326269999994</v>
      </c>
      <c r="X612" s="28">
        <f>IFERROR(INDEX('Clean Gamification Data'!$G:$G,MATCH($B612,'Clean Gamification Data'!$A:$A,0)),"Not Found")</f>
        <v>77.70810041</v>
      </c>
      <c r="Y612" s="28">
        <f>IFERROR(INDEX('Clean Gamification Data'!$H:$H,MATCH($B612,'Clean Gamification Data'!$A:$A,0)),"Not Found")</f>
        <v>66.136937700000004</v>
      </c>
      <c r="Z612" s="28">
        <f>IFERROR(INDEX('Clean Gamification Data'!$I:$I,MATCH($B612,'Clean Gamification Data'!$A:$A,0)),"Not Found")</f>
        <v>56.832852750000001</v>
      </c>
      <c r="AA612" s="28">
        <f>Table1[[#This Row],[Engagement (Gamification %)]]-Table1[[#This Row],[Engagement (Non-Gamification %)]]</f>
        <v>17.606678119999998</v>
      </c>
      <c r="AB612" s="28">
        <f>Table1[[#This Row],[Motivation (Gamification %)]]-Table1[[#This Row],[Motivation (Non-Gamification %)]]</f>
        <v>11.237469600000011</v>
      </c>
      <c r="AC612" s="28">
        <f>Table1[[#This Row],[Participation (Gamification %)]]-Table1[[#This Row],[Participation (Non-Gamification %)]]</f>
        <v>11.085225859999994</v>
      </c>
      <c r="AD612" s="28">
        <f>Table1[[#This Row],[Learning Outcomes (Gamification %)]]-Table1[[#This Row],[Learning Outcomes (Non-Gamification %)]]</f>
        <v>9.3040849500000036</v>
      </c>
      <c r="AE612" s="44" t="str">
        <f>IF(Table1[[#This Row],[Overall Effectiveness]]&lt;3.9,"Low",IF(Table1[[#This Row],[Overall Effectiveness]]&lt;4.2,"Medium","High"))</f>
        <v>Medium</v>
      </c>
      <c r="AF612" s="30" t="str">
        <f t="shared" si="58"/>
        <v>Case Studies</v>
      </c>
      <c r="AG612" s="30" t="str">
        <f t="shared" si="59"/>
        <v>Group Projects</v>
      </c>
      <c r="AH612" s="27">
        <f>COUNTIF(Teacher_Master!$D$2:$D$16,AF612)</f>
        <v>3</v>
      </c>
      <c r="AI612" s="30" t="str">
        <f>INDEX(Teacher_Master!$B$2:$B$16,MATCH(AF612,Teacher_Master!$D$2:$D$16,0))</f>
        <v>Prof. Rajesh Mukherjee</v>
      </c>
    </row>
    <row r="613" spans="1:35" ht="14.25" customHeight="1" x14ac:dyDescent="0.3">
      <c r="A613" s="31" t="s">
        <v>1256</v>
      </c>
      <c r="B613" s="31" t="s">
        <v>2513</v>
      </c>
      <c r="C613" s="31" t="s">
        <v>2882</v>
      </c>
      <c r="D613" s="12">
        <f t="shared" ca="1" si="54"/>
        <v>28</v>
      </c>
      <c r="E613" s="12" t="str">
        <f ca="1">IF(Table1[[#This Row],[Age]]&lt;=22,"20-22",IF(Table1[[#This Row],[Age]]&lt;=25,"23-25",IF(Table1[[#This Row],[Age]]&lt;=28,"26-28","29-30")))</f>
        <v>26-28</v>
      </c>
      <c r="F613" s="12">
        <v>3.94</v>
      </c>
      <c r="G613" s="12">
        <v>4.3600000000000003</v>
      </c>
      <c r="H613" s="12">
        <v>4.4400000000000004</v>
      </c>
      <c r="I613" s="12">
        <v>4.28</v>
      </c>
      <c r="J613" s="12">
        <v>4.29</v>
      </c>
      <c r="K613" s="12">
        <v>4.8499999999999996</v>
      </c>
      <c r="L613" s="12">
        <v>3.4</v>
      </c>
      <c r="M613" s="12">
        <v>4.71</v>
      </c>
      <c r="N613" s="12">
        <v>4.13</v>
      </c>
      <c r="O613" s="12">
        <v>3.66</v>
      </c>
      <c r="P613" s="12">
        <f t="shared" si="55"/>
        <v>4.2620000000000005</v>
      </c>
      <c r="Q613" s="12">
        <f t="shared" si="56"/>
        <v>4.26</v>
      </c>
      <c r="R613" s="12">
        <f t="shared" si="57"/>
        <v>4.1500000000000004</v>
      </c>
      <c r="S613" s="28">
        <f>IFERROR(INDEX('Clean Gamification Data'!$B:$B,MATCH($B613,'Clean Gamification Data'!$A:$A,0)),"Not Found")</f>
        <v>75</v>
      </c>
      <c r="T613" s="28">
        <f>IFERROR(INDEX('Clean Gamification Data'!$C:$C,MATCH($B613,'Clean Gamification Data'!$A:$A,0)),"Not Found")</f>
        <v>67.004567249999994</v>
      </c>
      <c r="U613" s="28">
        <f>IFERROR(INDEX('Clean Gamification Data'!$D:$D,MATCH($B613,'Clean Gamification Data'!$A:$A,0)),"Not Found")</f>
        <v>90</v>
      </c>
      <c r="V613" s="28">
        <f>IFERROR(INDEX('Clean Gamification Data'!$E:$E,MATCH($B613,'Clean Gamification Data'!$A:$A,0)),"Not Found")</f>
        <v>71.510594870000006</v>
      </c>
      <c r="W613" s="28">
        <f>IFERROR(INDEX('Clean Gamification Data'!$F:$F,MATCH($B613,'Clean Gamification Data'!$A:$A,0)),"Not Found")</f>
        <v>81.734066159999998</v>
      </c>
      <c r="X613" s="28">
        <f>IFERROR(INDEX('Clean Gamification Data'!$G:$G,MATCH($B613,'Clean Gamification Data'!$A:$A,0)),"Not Found")</f>
        <v>80.724251269999996</v>
      </c>
      <c r="Y613" s="28">
        <f>IFERROR(INDEX('Clean Gamification Data'!$H:$H,MATCH($B613,'Clean Gamification Data'!$A:$A,0)),"Not Found")</f>
        <v>65.999117369999993</v>
      </c>
      <c r="Z613" s="28">
        <f>IFERROR(INDEX('Clean Gamification Data'!$I:$I,MATCH($B613,'Clean Gamification Data'!$A:$A,0)),"Not Found")</f>
        <v>58.819425840000001</v>
      </c>
      <c r="AA613" s="28">
        <f>Table1[[#This Row],[Engagement (Gamification %)]]-Table1[[#This Row],[Engagement (Non-Gamification %)]]</f>
        <v>7.9954327500000062</v>
      </c>
      <c r="AB613" s="28">
        <f>Table1[[#This Row],[Motivation (Gamification %)]]-Table1[[#This Row],[Motivation (Non-Gamification %)]]</f>
        <v>18.489405129999994</v>
      </c>
      <c r="AC613" s="28">
        <f>Table1[[#This Row],[Participation (Gamification %)]]-Table1[[#This Row],[Participation (Non-Gamification %)]]</f>
        <v>1.0098148900000012</v>
      </c>
      <c r="AD613" s="28">
        <f>Table1[[#This Row],[Learning Outcomes (Gamification %)]]-Table1[[#This Row],[Learning Outcomes (Non-Gamification %)]]</f>
        <v>7.1796915299999924</v>
      </c>
      <c r="AE613" s="44" t="str">
        <f>IF(Table1[[#This Row],[Overall Effectiveness]]&lt;3.9,"Low",IF(Table1[[#This Row],[Overall Effectiveness]]&lt;4.2,"Medium","High"))</f>
        <v>High</v>
      </c>
      <c r="AF613" s="30" t="str">
        <f t="shared" si="58"/>
        <v>Group Projects</v>
      </c>
      <c r="AG613" s="30" t="str">
        <f t="shared" si="59"/>
        <v>Lectures</v>
      </c>
      <c r="AH613" s="27">
        <f>COUNTIF(Teacher_Master!$D$2:$D$16,AF613)</f>
        <v>3</v>
      </c>
      <c r="AI613" s="30" t="str">
        <f>INDEX(Teacher_Master!$B$2:$B$16,MATCH(AF613,Teacher_Master!$D$2:$D$16,0))</f>
        <v>Dr. Rohan Dutta</v>
      </c>
    </row>
    <row r="614" spans="1:35" ht="14.25" customHeight="1" x14ac:dyDescent="0.3">
      <c r="A614" s="31" t="s">
        <v>1258</v>
      </c>
      <c r="B614" s="31" t="s">
        <v>2514</v>
      </c>
      <c r="C614" s="31" t="s">
        <v>2882</v>
      </c>
      <c r="D614" s="12">
        <f t="shared" ca="1" si="54"/>
        <v>28</v>
      </c>
      <c r="E614" s="12" t="str">
        <f ca="1">IF(Table1[[#This Row],[Age]]&lt;=22,"20-22",IF(Table1[[#This Row],[Age]]&lt;=25,"23-25",IF(Table1[[#This Row],[Age]]&lt;=28,"26-28","29-30")))</f>
        <v>26-28</v>
      </c>
      <c r="F614" s="12">
        <v>4.62</v>
      </c>
      <c r="G614" s="12">
        <v>4.2</v>
      </c>
      <c r="H614" s="12">
        <v>4.4800000000000004</v>
      </c>
      <c r="I614" s="12">
        <v>3.94</v>
      </c>
      <c r="J614" s="12">
        <v>3.94</v>
      </c>
      <c r="K614" s="12">
        <v>3.89</v>
      </c>
      <c r="L614" s="12">
        <v>4.72</v>
      </c>
      <c r="M614" s="12">
        <v>4.32</v>
      </c>
      <c r="N614" s="12">
        <v>4.01</v>
      </c>
      <c r="O614" s="12">
        <v>4.29</v>
      </c>
      <c r="P614" s="12">
        <f t="shared" si="55"/>
        <v>4.2360000000000007</v>
      </c>
      <c r="Q614" s="12">
        <f t="shared" si="56"/>
        <v>4.24</v>
      </c>
      <c r="R614" s="12">
        <f t="shared" si="57"/>
        <v>4.2459999999999996</v>
      </c>
      <c r="S614" s="28">
        <f>IFERROR(INDEX('Clean Gamification Data'!$B:$B,MATCH($B614,'Clean Gamification Data'!$A:$A,0)),"Not Found")</f>
        <v>93.89240006</v>
      </c>
      <c r="T614" s="28">
        <f>IFERROR(INDEX('Clean Gamification Data'!$C:$C,MATCH($B614,'Clean Gamification Data'!$A:$A,0)),"Not Found")</f>
        <v>68.007750740000006</v>
      </c>
      <c r="U614" s="28">
        <f>IFERROR(INDEX('Clean Gamification Data'!$D:$D,MATCH($B614,'Clean Gamification Data'!$A:$A,0)),"Not Found")</f>
        <v>81.603392380000003</v>
      </c>
      <c r="V614" s="28">
        <f>IFERROR(INDEX('Clean Gamification Data'!$E:$E,MATCH($B614,'Clean Gamification Data'!$A:$A,0)),"Not Found")</f>
        <v>59.181275200000002</v>
      </c>
      <c r="W614" s="28">
        <f>IFERROR(INDEX('Clean Gamification Data'!$F:$F,MATCH($B614,'Clean Gamification Data'!$A:$A,0)),"Not Found")</f>
        <v>84.766961660000007</v>
      </c>
      <c r="X614" s="28">
        <f>IFERROR(INDEX('Clean Gamification Data'!$G:$G,MATCH($B614,'Clean Gamification Data'!$A:$A,0)),"Not Found")</f>
        <v>76.278688829999993</v>
      </c>
      <c r="Y614" s="28">
        <f>IFERROR(INDEX('Clean Gamification Data'!$H:$H,MATCH($B614,'Clean Gamification Data'!$A:$A,0)),"Not Found")</f>
        <v>70.218462049999999</v>
      </c>
      <c r="Z614" s="28">
        <f>IFERROR(INDEX('Clean Gamification Data'!$I:$I,MATCH($B614,'Clean Gamification Data'!$A:$A,0)),"Not Found")</f>
        <v>57.540703399999998</v>
      </c>
      <c r="AA614" s="28">
        <f>Table1[[#This Row],[Engagement (Gamification %)]]-Table1[[#This Row],[Engagement (Non-Gamification %)]]</f>
        <v>25.884649319999994</v>
      </c>
      <c r="AB614" s="28">
        <f>Table1[[#This Row],[Motivation (Gamification %)]]-Table1[[#This Row],[Motivation (Non-Gamification %)]]</f>
        <v>22.422117180000001</v>
      </c>
      <c r="AC614" s="28">
        <f>Table1[[#This Row],[Participation (Gamification %)]]-Table1[[#This Row],[Participation (Non-Gamification %)]]</f>
        <v>8.4882728300000139</v>
      </c>
      <c r="AD614" s="28">
        <f>Table1[[#This Row],[Learning Outcomes (Gamification %)]]-Table1[[#This Row],[Learning Outcomes (Non-Gamification %)]]</f>
        <v>12.677758650000001</v>
      </c>
      <c r="AE614" s="44" t="str">
        <f>IF(Table1[[#This Row],[Overall Effectiveness]]&lt;3.9,"Low",IF(Table1[[#This Row],[Overall Effectiveness]]&lt;4.2,"Medium","High"))</f>
        <v>High</v>
      </c>
      <c r="AF614" s="30" t="str">
        <f t="shared" si="58"/>
        <v>Lectures</v>
      </c>
      <c r="AG614" s="30" t="str">
        <f t="shared" si="59"/>
        <v>Case Studies</v>
      </c>
      <c r="AH614" s="27">
        <f>COUNTIF(Teacher_Master!$D$2:$D$16,AF614)</f>
        <v>3</v>
      </c>
      <c r="AI614" s="30" t="str">
        <f>INDEX(Teacher_Master!$B$2:$B$16,MATCH(AF614,Teacher_Master!$D$2:$D$16,0))</f>
        <v>Prof. Vikram Gupta</v>
      </c>
    </row>
    <row r="615" spans="1:35" ht="14.25" customHeight="1" x14ac:dyDescent="0.3">
      <c r="A615" s="31" t="s">
        <v>1260</v>
      </c>
      <c r="B615" s="31" t="s">
        <v>2515</v>
      </c>
      <c r="C615" s="31" t="s">
        <v>2881</v>
      </c>
      <c r="D615" s="12">
        <f t="shared" ca="1" si="54"/>
        <v>23</v>
      </c>
      <c r="E615" s="12" t="str">
        <f ca="1">IF(Table1[[#This Row],[Age]]&lt;=22,"20-22",IF(Table1[[#This Row],[Age]]&lt;=25,"23-25",IF(Table1[[#This Row],[Age]]&lt;=28,"26-28","29-30")))</f>
        <v>23-25</v>
      </c>
      <c r="F615" s="12">
        <v>4.17</v>
      </c>
      <c r="G615" s="12">
        <v>3.86</v>
      </c>
      <c r="H615" s="12">
        <v>4.1900000000000004</v>
      </c>
      <c r="I615" s="12">
        <v>3.83</v>
      </c>
      <c r="J615" s="12">
        <v>4.26</v>
      </c>
      <c r="K615" s="12">
        <v>4.3899999999999997</v>
      </c>
      <c r="L615" s="12">
        <v>4.18</v>
      </c>
      <c r="M615" s="12">
        <v>4.1100000000000003</v>
      </c>
      <c r="N615" s="12">
        <v>3.86</v>
      </c>
      <c r="O615" s="12">
        <v>3.48</v>
      </c>
      <c r="P615" s="12">
        <f t="shared" si="55"/>
        <v>4.0619999999999994</v>
      </c>
      <c r="Q615" s="12">
        <f t="shared" si="56"/>
        <v>4.0599999999999996</v>
      </c>
      <c r="R615" s="12">
        <f t="shared" si="57"/>
        <v>4.0039999999999996</v>
      </c>
      <c r="S615" s="28">
        <f>IFERROR(INDEX('Clean Gamification Data'!$B:$B,MATCH($B615,'Clean Gamification Data'!$A:$A,0)),"Not Found")</f>
        <v>92.385015210000006</v>
      </c>
      <c r="T615" s="28">
        <f>IFERROR(INDEX('Clean Gamification Data'!$C:$C,MATCH($B615,'Clean Gamification Data'!$A:$A,0)),"Not Found")</f>
        <v>71.279780959999997</v>
      </c>
      <c r="U615" s="28">
        <f>IFERROR(INDEX('Clean Gamification Data'!$D:$D,MATCH($B615,'Clean Gamification Data'!$A:$A,0)),"Not Found")</f>
        <v>74.206953530000007</v>
      </c>
      <c r="V615" s="28">
        <f>IFERROR(INDEX('Clean Gamification Data'!$E:$E,MATCH($B615,'Clean Gamification Data'!$A:$A,0)),"Not Found")</f>
        <v>63.98690972</v>
      </c>
      <c r="W615" s="28">
        <f>IFERROR(INDEX('Clean Gamification Data'!$F:$F,MATCH($B615,'Clean Gamification Data'!$A:$A,0)),"Not Found")</f>
        <v>81.346347629999997</v>
      </c>
      <c r="X615" s="28">
        <f>IFERROR(INDEX('Clean Gamification Data'!$G:$G,MATCH($B615,'Clean Gamification Data'!$A:$A,0)),"Not Found")</f>
        <v>80.575139660000005</v>
      </c>
      <c r="Y615" s="28">
        <f>IFERROR(INDEX('Clean Gamification Data'!$H:$H,MATCH($B615,'Clean Gamification Data'!$A:$A,0)),"Not Found")</f>
        <v>68.976289750000007</v>
      </c>
      <c r="Z615" s="28">
        <f>IFERROR(INDEX('Clean Gamification Data'!$I:$I,MATCH($B615,'Clean Gamification Data'!$A:$A,0)),"Not Found")</f>
        <v>54.062306700000001</v>
      </c>
      <c r="AA615" s="28">
        <f>Table1[[#This Row],[Engagement (Gamification %)]]-Table1[[#This Row],[Engagement (Non-Gamification %)]]</f>
        <v>21.105234250000009</v>
      </c>
      <c r="AB615" s="28">
        <f>Table1[[#This Row],[Motivation (Gamification %)]]-Table1[[#This Row],[Motivation (Non-Gamification %)]]</f>
        <v>10.220043810000007</v>
      </c>
      <c r="AC615" s="28">
        <f>Table1[[#This Row],[Participation (Gamification %)]]-Table1[[#This Row],[Participation (Non-Gamification %)]]</f>
        <v>0.77120796999999186</v>
      </c>
      <c r="AD615" s="28">
        <f>Table1[[#This Row],[Learning Outcomes (Gamification %)]]-Table1[[#This Row],[Learning Outcomes (Non-Gamification %)]]</f>
        <v>14.913983050000006</v>
      </c>
      <c r="AE615" s="44" t="str">
        <f>IF(Table1[[#This Row],[Overall Effectiveness]]&lt;3.9,"Low",IF(Table1[[#This Row],[Overall Effectiveness]]&lt;4.2,"Medium","High"))</f>
        <v>Medium</v>
      </c>
      <c r="AF615" s="30" t="str">
        <f t="shared" si="58"/>
        <v>Online Tutorials</v>
      </c>
      <c r="AG615" s="30" t="str">
        <f t="shared" si="59"/>
        <v>Lectures</v>
      </c>
      <c r="AH615" s="27">
        <f>COUNTIF(Teacher_Master!$D$2:$D$16,AF615)</f>
        <v>3</v>
      </c>
      <c r="AI615" s="30" t="str">
        <f>INDEX(Teacher_Master!$B$2:$B$16,MATCH(AF615,Teacher_Master!$D$2:$D$16,0))</f>
        <v>Prof. Kavita Rao</v>
      </c>
    </row>
    <row r="616" spans="1:35" ht="14.25" customHeight="1" x14ac:dyDescent="0.3">
      <c r="A616" s="31" t="s">
        <v>1262</v>
      </c>
      <c r="B616" s="31" t="s">
        <v>2516</v>
      </c>
      <c r="C616" s="31" t="s">
        <v>2881</v>
      </c>
      <c r="D616" s="12">
        <f t="shared" ca="1" si="54"/>
        <v>22</v>
      </c>
      <c r="E616" s="12" t="str">
        <f ca="1">IF(Table1[[#This Row],[Age]]&lt;=22,"20-22",IF(Table1[[#This Row],[Age]]&lt;=25,"23-25",IF(Table1[[#This Row],[Age]]&lt;=28,"26-28","29-30")))</f>
        <v>20-22</v>
      </c>
      <c r="F616" s="12">
        <v>3.43</v>
      </c>
      <c r="G616" s="12">
        <v>3.54</v>
      </c>
      <c r="H616" s="12">
        <v>3.85</v>
      </c>
      <c r="I616" s="12">
        <v>4.49</v>
      </c>
      <c r="J616" s="12">
        <v>3.91</v>
      </c>
      <c r="K616" s="12">
        <v>4.26</v>
      </c>
      <c r="L616" s="12">
        <v>4.0599999999999996</v>
      </c>
      <c r="M616" s="12">
        <v>3.7</v>
      </c>
      <c r="N616" s="12">
        <v>4.07</v>
      </c>
      <c r="O616" s="12">
        <v>4.96</v>
      </c>
      <c r="P616" s="12">
        <f t="shared" si="55"/>
        <v>3.8439999999999999</v>
      </c>
      <c r="Q616" s="12">
        <f t="shared" si="56"/>
        <v>3.84</v>
      </c>
      <c r="R616" s="12">
        <f t="shared" si="57"/>
        <v>4.21</v>
      </c>
      <c r="S616" s="28">
        <f>IFERROR(INDEX('Clean Gamification Data'!$B:$B,MATCH($B616,'Clean Gamification Data'!$A:$A,0)),"Not Found")</f>
        <v>91.150250229999997</v>
      </c>
      <c r="T616" s="28">
        <f>IFERROR(INDEX('Clean Gamification Data'!$C:$C,MATCH($B616,'Clean Gamification Data'!$A:$A,0)),"Not Found")</f>
        <v>70.733805450000006</v>
      </c>
      <c r="U616" s="28">
        <f>IFERROR(INDEX('Clean Gamification Data'!$D:$D,MATCH($B616,'Clean Gamification Data'!$A:$A,0)),"Not Found")</f>
        <v>70.715718929999994</v>
      </c>
      <c r="V616" s="28">
        <f>IFERROR(INDEX('Clean Gamification Data'!$E:$E,MATCH($B616,'Clean Gamification Data'!$A:$A,0)),"Not Found")</f>
        <v>63.110335040000002</v>
      </c>
      <c r="W616" s="28">
        <f>IFERROR(INDEX('Clean Gamification Data'!$F:$F,MATCH($B616,'Clean Gamification Data'!$A:$A,0)),"Not Found")</f>
        <v>85.593639929999995</v>
      </c>
      <c r="X616" s="28">
        <f>IFERROR(INDEX('Clean Gamification Data'!$G:$G,MATCH($B616,'Clean Gamification Data'!$A:$A,0)),"Not Found")</f>
        <v>72.956560530000004</v>
      </c>
      <c r="Y616" s="28">
        <f>IFERROR(INDEX('Clean Gamification Data'!$H:$H,MATCH($B616,'Clean Gamification Data'!$A:$A,0)),"Not Found")</f>
        <v>66.763017970000007</v>
      </c>
      <c r="Z616" s="28">
        <f>IFERROR(INDEX('Clean Gamification Data'!$I:$I,MATCH($B616,'Clean Gamification Data'!$A:$A,0)),"Not Found")</f>
        <v>50</v>
      </c>
      <c r="AA616" s="28">
        <f>Table1[[#This Row],[Engagement (Gamification %)]]-Table1[[#This Row],[Engagement (Non-Gamification %)]]</f>
        <v>20.416444779999992</v>
      </c>
      <c r="AB616" s="28">
        <f>Table1[[#This Row],[Motivation (Gamification %)]]-Table1[[#This Row],[Motivation (Non-Gamification %)]]</f>
        <v>7.6053838899999917</v>
      </c>
      <c r="AC616" s="28">
        <f>Table1[[#This Row],[Participation (Gamification %)]]-Table1[[#This Row],[Participation (Non-Gamification %)]]</f>
        <v>12.63707939999999</v>
      </c>
      <c r="AD616" s="28">
        <f>Table1[[#This Row],[Learning Outcomes (Gamification %)]]-Table1[[#This Row],[Learning Outcomes (Non-Gamification %)]]</f>
        <v>16.763017970000007</v>
      </c>
      <c r="AE616" s="44" t="str">
        <f>IF(Table1[[#This Row],[Overall Effectiveness]]&lt;3.9,"Low",IF(Table1[[#This Row],[Overall Effectiveness]]&lt;4.2,"Medium","High"))</f>
        <v>Low</v>
      </c>
      <c r="AF616" s="30" t="str">
        <f t="shared" si="58"/>
        <v>Experiments</v>
      </c>
      <c r="AG616" s="30" t="str">
        <f t="shared" si="59"/>
        <v>Online Tutorials</v>
      </c>
      <c r="AH616" s="27">
        <f>COUNTIF(Teacher_Master!$D$2:$D$16,AF616)</f>
        <v>3</v>
      </c>
      <c r="AI616" s="30" t="str">
        <f>INDEX(Teacher_Master!$B$2:$B$16,MATCH(AF616,Teacher_Master!$D$2:$D$16,0))</f>
        <v>Prof. Rahul Singh</v>
      </c>
    </row>
    <row r="617" spans="1:35" ht="14.25" customHeight="1" x14ac:dyDescent="0.3">
      <c r="A617" s="31" t="s">
        <v>1264</v>
      </c>
      <c r="B617" s="31" t="s">
        <v>2517</v>
      </c>
      <c r="C617" s="31" t="s">
        <v>2882</v>
      </c>
      <c r="D617" s="12">
        <f t="shared" ca="1" si="54"/>
        <v>30</v>
      </c>
      <c r="E617" s="12" t="str">
        <f ca="1">IF(Table1[[#This Row],[Age]]&lt;=22,"20-22",IF(Table1[[#This Row],[Age]]&lt;=25,"23-25",IF(Table1[[#This Row],[Age]]&lt;=28,"26-28","29-30")))</f>
        <v>29-30</v>
      </c>
      <c r="F617" s="12" t="s">
        <v>211</v>
      </c>
      <c r="G617" s="12">
        <v>4.16</v>
      </c>
      <c r="H617" s="12">
        <v>4.54</v>
      </c>
      <c r="I617" s="12">
        <v>4.0999999999999996</v>
      </c>
      <c r="J617" s="12">
        <v>4.04</v>
      </c>
      <c r="K617" s="12">
        <v>4.03</v>
      </c>
      <c r="L617" s="12">
        <v>3.37</v>
      </c>
      <c r="M617" s="12">
        <v>4.1500000000000004</v>
      </c>
      <c r="N617" s="12">
        <v>3.9</v>
      </c>
      <c r="O617" s="12">
        <v>3.76</v>
      </c>
      <c r="P617" s="12">
        <f t="shared" si="55"/>
        <v>4.21</v>
      </c>
      <c r="Q617" s="12">
        <f t="shared" si="56"/>
        <v>4.21</v>
      </c>
      <c r="R617" s="12">
        <f t="shared" si="57"/>
        <v>3.8420000000000001</v>
      </c>
      <c r="S617" s="28">
        <f>IFERROR(INDEX('Clean Gamification Data'!$B:$B,MATCH($B617,'Clean Gamification Data'!$A:$A,0)),"Not Found")</f>
        <v>75</v>
      </c>
      <c r="T617" s="28">
        <f>IFERROR(INDEX('Clean Gamification Data'!$C:$C,MATCH($B617,'Clean Gamification Data'!$A:$A,0)),"Not Found")</f>
        <v>63.743477640000002</v>
      </c>
      <c r="U617" s="28">
        <f>IFERROR(INDEX('Clean Gamification Data'!$D:$D,MATCH($B617,'Clean Gamification Data'!$A:$A,0)),"Not Found")</f>
        <v>75.00544592</v>
      </c>
      <c r="V617" s="28">
        <f>IFERROR(INDEX('Clean Gamification Data'!$E:$E,MATCH($B617,'Clean Gamification Data'!$A:$A,0)),"Not Found")</f>
        <v>69.130580089999995</v>
      </c>
      <c r="W617" s="28">
        <f>IFERROR(INDEX('Clean Gamification Data'!$F:$F,MATCH($B617,'Clean Gamification Data'!$A:$A,0)),"Not Found")</f>
        <v>82.552360370000002</v>
      </c>
      <c r="X617" s="28">
        <f>IFERROR(INDEX('Clean Gamification Data'!$G:$G,MATCH($B617,'Clean Gamification Data'!$A:$A,0)),"Not Found")</f>
        <v>80.78147294</v>
      </c>
      <c r="Y617" s="28">
        <f>IFERROR(INDEX('Clean Gamification Data'!$H:$H,MATCH($B617,'Clean Gamification Data'!$A:$A,0)),"Not Found")</f>
        <v>69.623979419999998</v>
      </c>
      <c r="Z617" s="28">
        <f>IFERROR(INDEX('Clean Gamification Data'!$I:$I,MATCH($B617,'Clean Gamification Data'!$A:$A,0)),"Not Found")</f>
        <v>65.778773150000006</v>
      </c>
      <c r="AA617" s="28">
        <f>Table1[[#This Row],[Engagement (Gamification %)]]-Table1[[#This Row],[Engagement (Non-Gamification %)]]</f>
        <v>11.256522359999998</v>
      </c>
      <c r="AB617" s="28">
        <f>Table1[[#This Row],[Motivation (Gamification %)]]-Table1[[#This Row],[Motivation (Non-Gamification %)]]</f>
        <v>5.8748658300000045</v>
      </c>
      <c r="AC617" s="28">
        <f>Table1[[#This Row],[Participation (Gamification %)]]-Table1[[#This Row],[Participation (Non-Gamification %)]]</f>
        <v>1.7708874300000019</v>
      </c>
      <c r="AD617" s="28">
        <f>Table1[[#This Row],[Learning Outcomes (Gamification %)]]-Table1[[#This Row],[Learning Outcomes (Non-Gamification %)]]</f>
        <v>3.8452062699999914</v>
      </c>
      <c r="AE617" s="44" t="str">
        <f>IF(Table1[[#This Row],[Overall Effectiveness]]&lt;3.9,"Low",IF(Table1[[#This Row],[Overall Effectiveness]]&lt;4.2,"Medium","High"))</f>
        <v>High</v>
      </c>
      <c r="AF617" s="30" t="str">
        <f t="shared" si="58"/>
        <v>Group Projects</v>
      </c>
      <c r="AG617" s="30" t="str">
        <f t="shared" si="59"/>
        <v>Group Projects</v>
      </c>
      <c r="AH617" s="27">
        <f>COUNTIF(Teacher_Master!$D$2:$D$16,AF617)</f>
        <v>3</v>
      </c>
      <c r="AI617" s="30" t="str">
        <f>INDEX(Teacher_Master!$B$2:$B$16,MATCH(AF617,Teacher_Master!$D$2:$D$16,0))</f>
        <v>Dr. Rohan Dutta</v>
      </c>
    </row>
    <row r="618" spans="1:35" ht="14.25" customHeight="1" x14ac:dyDescent="0.3">
      <c r="A618" s="31" t="s">
        <v>1266</v>
      </c>
      <c r="B618" s="31" t="s">
        <v>1267</v>
      </c>
      <c r="C618" s="31" t="s">
        <v>2882</v>
      </c>
      <c r="D618" s="12">
        <f t="shared" ca="1" si="54"/>
        <v>22</v>
      </c>
      <c r="E618" s="12" t="str">
        <f ca="1">IF(Table1[[#This Row],[Age]]&lt;=22,"20-22",IF(Table1[[#This Row],[Age]]&lt;=25,"23-25",IF(Table1[[#This Row],[Age]]&lt;=28,"26-28","29-30")))</f>
        <v>20-22</v>
      </c>
      <c r="F618" s="12">
        <v>3.5</v>
      </c>
      <c r="G618" s="12">
        <v>3.92</v>
      </c>
      <c r="H618" s="12">
        <v>3.97</v>
      </c>
      <c r="I618" s="12">
        <v>3.95</v>
      </c>
      <c r="J618" s="12">
        <v>4.6399999999999997</v>
      </c>
      <c r="K618" s="12" t="s">
        <v>211</v>
      </c>
      <c r="L618" s="12">
        <v>3.82</v>
      </c>
      <c r="M618" s="12">
        <v>3.63</v>
      </c>
      <c r="N618" s="12">
        <v>3.7</v>
      </c>
      <c r="O618" s="12">
        <v>4.5199999999999996</v>
      </c>
      <c r="P618" s="12">
        <f t="shared" si="55"/>
        <v>3.996</v>
      </c>
      <c r="Q618" s="12">
        <f t="shared" si="56"/>
        <v>4</v>
      </c>
      <c r="R618" s="12">
        <f t="shared" si="57"/>
        <v>3.9174999999999995</v>
      </c>
      <c r="S618" s="28">
        <f>IFERROR(INDEX('Clean Gamification Data'!$B:$B,MATCH($B618,'Clean Gamification Data'!$A:$A,0)),"Not Found")</f>
        <v>82.919446019999995</v>
      </c>
      <c r="T618" s="28">
        <f>IFERROR(INDEX('Clean Gamification Data'!$C:$C,MATCH($B618,'Clean Gamification Data'!$A:$A,0)),"Not Found")</f>
        <v>80</v>
      </c>
      <c r="U618" s="28">
        <f>IFERROR(INDEX('Clean Gamification Data'!$D:$D,MATCH($B618,'Clean Gamification Data'!$A:$A,0)),"Not Found")</f>
        <v>72.470706289999995</v>
      </c>
      <c r="V618" s="28">
        <f>IFERROR(INDEX('Clean Gamification Data'!$E:$E,MATCH($B618,'Clean Gamification Data'!$A:$A,0)),"Not Found")</f>
        <v>75</v>
      </c>
      <c r="W618" s="28">
        <f>IFERROR(INDEX('Clean Gamification Data'!$F:$F,MATCH($B618,'Clean Gamification Data'!$A:$A,0)),"Not Found")</f>
        <v>82.184743089999998</v>
      </c>
      <c r="X618" s="28">
        <f>IFERROR(INDEX('Clean Gamification Data'!$G:$G,MATCH($B618,'Clean Gamification Data'!$A:$A,0)),"Not Found")</f>
        <v>80.324608830000003</v>
      </c>
      <c r="Y618" s="28">
        <f>IFERROR(INDEX('Clean Gamification Data'!$H:$H,MATCH($B618,'Clean Gamification Data'!$A:$A,0)),"Not Found")</f>
        <v>72.906938569999994</v>
      </c>
      <c r="Z618" s="28">
        <f>IFERROR(INDEX('Clean Gamification Data'!$I:$I,MATCH($B618,'Clean Gamification Data'!$A:$A,0)),"Not Found")</f>
        <v>55.980632010000001</v>
      </c>
      <c r="AA618" s="28">
        <f>Table1[[#This Row],[Engagement (Gamification %)]]-Table1[[#This Row],[Engagement (Non-Gamification %)]]</f>
        <v>2.9194460199999952</v>
      </c>
      <c r="AB618" s="28">
        <f>Table1[[#This Row],[Motivation (Gamification %)]]-Table1[[#This Row],[Motivation (Non-Gamification %)]]</f>
        <v>-2.5292937100000046</v>
      </c>
      <c r="AC618" s="28">
        <f>Table1[[#This Row],[Participation (Gamification %)]]-Table1[[#This Row],[Participation (Non-Gamification %)]]</f>
        <v>1.8601342599999953</v>
      </c>
      <c r="AD618" s="28">
        <f>Table1[[#This Row],[Learning Outcomes (Gamification %)]]-Table1[[#This Row],[Learning Outcomes (Non-Gamification %)]]</f>
        <v>16.926306559999993</v>
      </c>
      <c r="AE618" s="44" t="str">
        <f>IF(Table1[[#This Row],[Overall Effectiveness]]&lt;3.9,"Low",IF(Table1[[#This Row],[Overall Effectiveness]]&lt;4.2,"Medium","High"))</f>
        <v>Medium</v>
      </c>
      <c r="AF618" s="30" t="str">
        <f t="shared" si="58"/>
        <v>Online Tutorials</v>
      </c>
      <c r="AG618" s="30" t="str">
        <f t="shared" si="59"/>
        <v>Online Tutorials</v>
      </c>
      <c r="AH618" s="27">
        <f>COUNTIF(Teacher_Master!$D$2:$D$16,AF618)</f>
        <v>3</v>
      </c>
      <c r="AI618" s="30" t="str">
        <f>INDEX(Teacher_Master!$B$2:$B$16,MATCH(AF618,Teacher_Master!$D$2:$D$16,0))</f>
        <v>Prof. Kavita Rao</v>
      </c>
    </row>
    <row r="619" spans="1:35" ht="14.25" customHeight="1" x14ac:dyDescent="0.3">
      <c r="A619" s="31" t="s">
        <v>1268</v>
      </c>
      <c r="B619" s="31" t="s">
        <v>2518</v>
      </c>
      <c r="C619" s="31" t="s">
        <v>2881</v>
      </c>
      <c r="D619" s="12">
        <f t="shared" ca="1" si="54"/>
        <v>25</v>
      </c>
      <c r="E619" s="12" t="str">
        <f ca="1">IF(Table1[[#This Row],[Age]]&lt;=22,"20-22",IF(Table1[[#This Row],[Age]]&lt;=25,"23-25",IF(Table1[[#This Row],[Age]]&lt;=28,"26-28","29-30")))</f>
        <v>23-25</v>
      </c>
      <c r="F619" s="12">
        <v>3.59</v>
      </c>
      <c r="G619" s="12">
        <v>4.45</v>
      </c>
      <c r="H619" s="12">
        <v>4.4000000000000004</v>
      </c>
      <c r="I619" s="12">
        <v>3.2</v>
      </c>
      <c r="J619" s="12">
        <v>4.2699999999999996</v>
      </c>
      <c r="K619" s="12">
        <v>4.2699999999999996</v>
      </c>
      <c r="L619" s="12">
        <v>4.07</v>
      </c>
      <c r="M619" s="12">
        <v>4.09</v>
      </c>
      <c r="N619" s="12">
        <v>4.03</v>
      </c>
      <c r="O619" s="12">
        <v>3.51</v>
      </c>
      <c r="P619" s="12">
        <f t="shared" si="55"/>
        <v>3.9820000000000002</v>
      </c>
      <c r="Q619" s="12">
        <f t="shared" si="56"/>
        <v>3.98</v>
      </c>
      <c r="R619" s="12">
        <f t="shared" si="57"/>
        <v>3.9939999999999998</v>
      </c>
      <c r="S619" s="28">
        <f>IFERROR(INDEX('Clean Gamification Data'!$B:$B,MATCH($B619,'Clean Gamification Data'!$A:$A,0)),"Not Found")</f>
        <v>83.601716260000003</v>
      </c>
      <c r="T619" s="28">
        <f>IFERROR(INDEX('Clean Gamification Data'!$C:$C,MATCH($B619,'Clean Gamification Data'!$A:$A,0)),"Not Found")</f>
        <v>69.106952710000002</v>
      </c>
      <c r="U619" s="28">
        <f>IFERROR(INDEX('Clean Gamification Data'!$D:$D,MATCH($B619,'Clean Gamification Data'!$A:$A,0)),"Not Found")</f>
        <v>74.790942000000001</v>
      </c>
      <c r="V619" s="28">
        <f>IFERROR(INDEX('Clean Gamification Data'!$E:$E,MATCH($B619,'Clean Gamification Data'!$A:$A,0)),"Not Found")</f>
        <v>62.218161209999998</v>
      </c>
      <c r="W619" s="28">
        <f>IFERROR(INDEX('Clean Gamification Data'!$F:$F,MATCH($B619,'Clean Gamification Data'!$A:$A,0)),"Not Found")</f>
        <v>88.70094392</v>
      </c>
      <c r="X619" s="28">
        <f>IFERROR(INDEX('Clean Gamification Data'!$G:$G,MATCH($B619,'Clean Gamification Data'!$A:$A,0)),"Not Found")</f>
        <v>81.039823560000002</v>
      </c>
      <c r="Y619" s="28">
        <f>IFERROR(INDEX('Clean Gamification Data'!$H:$H,MATCH($B619,'Clean Gamification Data'!$A:$A,0)),"Not Found")</f>
        <v>71.122346429999993</v>
      </c>
      <c r="Z619" s="28">
        <f>IFERROR(INDEX('Clean Gamification Data'!$I:$I,MATCH($B619,'Clean Gamification Data'!$A:$A,0)),"Not Found")</f>
        <v>50</v>
      </c>
      <c r="AA619" s="28">
        <f>Table1[[#This Row],[Engagement (Gamification %)]]-Table1[[#This Row],[Engagement (Non-Gamification %)]]</f>
        <v>14.494763550000002</v>
      </c>
      <c r="AB619" s="28">
        <f>Table1[[#This Row],[Motivation (Gamification %)]]-Table1[[#This Row],[Motivation (Non-Gamification %)]]</f>
        <v>12.572780790000003</v>
      </c>
      <c r="AC619" s="28">
        <f>Table1[[#This Row],[Participation (Gamification %)]]-Table1[[#This Row],[Participation (Non-Gamification %)]]</f>
        <v>7.6611203599999982</v>
      </c>
      <c r="AD619" s="28">
        <f>Table1[[#This Row],[Learning Outcomes (Gamification %)]]-Table1[[#This Row],[Learning Outcomes (Non-Gamification %)]]</f>
        <v>21.122346429999993</v>
      </c>
      <c r="AE619" s="44" t="str">
        <f>IF(Table1[[#This Row],[Overall Effectiveness]]&lt;3.9,"Low",IF(Table1[[#This Row],[Overall Effectiveness]]&lt;4.2,"Medium","High"))</f>
        <v>Medium</v>
      </c>
      <c r="AF619" s="30" t="str">
        <f t="shared" si="58"/>
        <v>Case Studies</v>
      </c>
      <c r="AG619" s="30" t="str">
        <f t="shared" si="59"/>
        <v>Lectures</v>
      </c>
      <c r="AH619" s="27">
        <f>COUNTIF(Teacher_Master!$D$2:$D$16,AF619)</f>
        <v>3</v>
      </c>
      <c r="AI619" s="30" t="str">
        <f>INDEX(Teacher_Master!$B$2:$B$16,MATCH(AF619,Teacher_Master!$D$2:$D$16,0))</f>
        <v>Prof. Rajesh Mukherjee</v>
      </c>
    </row>
    <row r="620" spans="1:35" ht="14.25" customHeight="1" x14ac:dyDescent="0.3">
      <c r="A620" s="31" t="s">
        <v>1270</v>
      </c>
      <c r="B620" s="31" t="s">
        <v>2519</v>
      </c>
      <c r="C620" s="31" t="s">
        <v>2882</v>
      </c>
      <c r="D620" s="12">
        <f t="shared" ca="1" si="54"/>
        <v>25</v>
      </c>
      <c r="E620" s="12" t="str">
        <f ca="1">IF(Table1[[#This Row],[Age]]&lt;=22,"20-22",IF(Table1[[#This Row],[Age]]&lt;=25,"23-25",IF(Table1[[#This Row],[Age]]&lt;=28,"26-28","29-30")))</f>
        <v>23-25</v>
      </c>
      <c r="F620" s="12">
        <v>4.42</v>
      </c>
      <c r="G620" s="12">
        <v>4.29</v>
      </c>
      <c r="H620" s="12">
        <v>3.88</v>
      </c>
      <c r="I620" s="12">
        <v>4.53</v>
      </c>
      <c r="J620" s="12">
        <v>4.09</v>
      </c>
      <c r="K620" s="12">
        <v>4.42</v>
      </c>
      <c r="L620" s="12">
        <v>3.88</v>
      </c>
      <c r="M620" s="12">
        <v>4.25</v>
      </c>
      <c r="N620" s="12">
        <v>4.46</v>
      </c>
      <c r="O620" s="12">
        <v>3.77</v>
      </c>
      <c r="P620" s="12">
        <f t="shared" si="55"/>
        <v>4.242</v>
      </c>
      <c r="Q620" s="12">
        <f t="shared" si="56"/>
        <v>4.24</v>
      </c>
      <c r="R620" s="12">
        <f t="shared" si="57"/>
        <v>4.1560000000000006</v>
      </c>
      <c r="S620" s="28">
        <f>IFERROR(INDEX('Clean Gamification Data'!$B:$B,MATCH($B620,'Clean Gamification Data'!$A:$A,0)),"Not Found")</f>
        <v>85.970166759999998</v>
      </c>
      <c r="T620" s="28">
        <f>IFERROR(INDEX('Clean Gamification Data'!$C:$C,MATCH($B620,'Clean Gamification Data'!$A:$A,0)),"Not Found")</f>
        <v>68.829536399999995</v>
      </c>
      <c r="U620" s="28">
        <f>IFERROR(INDEX('Clean Gamification Data'!$D:$D,MATCH($B620,'Clean Gamification Data'!$A:$A,0)),"Not Found")</f>
        <v>70</v>
      </c>
      <c r="V620" s="28">
        <f>IFERROR(INDEX('Clean Gamification Data'!$E:$E,MATCH($B620,'Clean Gamification Data'!$A:$A,0)),"Not Found")</f>
        <v>61.589568550000003</v>
      </c>
      <c r="W620" s="28">
        <f>IFERROR(INDEX('Clean Gamification Data'!$F:$F,MATCH($B620,'Clean Gamification Data'!$A:$A,0)),"Not Found")</f>
        <v>80</v>
      </c>
      <c r="X620" s="28">
        <f>IFERROR(INDEX('Clean Gamification Data'!$G:$G,MATCH($B620,'Clean Gamification Data'!$A:$A,0)),"Not Found")</f>
        <v>77.500588469999997</v>
      </c>
      <c r="Y620" s="28">
        <f>IFERROR(INDEX('Clean Gamification Data'!$H:$H,MATCH($B620,'Clean Gamification Data'!$A:$A,0)),"Not Found")</f>
        <v>71.297451390000006</v>
      </c>
      <c r="Z620" s="28">
        <f>IFERROR(INDEX('Clean Gamification Data'!$I:$I,MATCH($B620,'Clean Gamification Data'!$A:$A,0)),"Not Found")</f>
        <v>69.7494145</v>
      </c>
      <c r="AA620" s="28">
        <f>Table1[[#This Row],[Engagement (Gamification %)]]-Table1[[#This Row],[Engagement (Non-Gamification %)]]</f>
        <v>17.140630360000003</v>
      </c>
      <c r="AB620" s="28">
        <f>Table1[[#This Row],[Motivation (Gamification %)]]-Table1[[#This Row],[Motivation (Non-Gamification %)]]</f>
        <v>8.4104314499999973</v>
      </c>
      <c r="AC620" s="28">
        <f>Table1[[#This Row],[Participation (Gamification %)]]-Table1[[#This Row],[Participation (Non-Gamification %)]]</f>
        <v>2.4994115300000033</v>
      </c>
      <c r="AD620" s="28">
        <f>Table1[[#This Row],[Learning Outcomes (Gamification %)]]-Table1[[#This Row],[Learning Outcomes (Non-Gamification %)]]</f>
        <v>1.5480368900000059</v>
      </c>
      <c r="AE620" s="44" t="str">
        <f>IF(Table1[[#This Row],[Overall Effectiveness]]&lt;3.9,"Low",IF(Table1[[#This Row],[Overall Effectiveness]]&lt;4.2,"Medium","High"))</f>
        <v>High</v>
      </c>
      <c r="AF620" s="30" t="str">
        <f t="shared" si="58"/>
        <v>Experiments</v>
      </c>
      <c r="AG620" s="30" t="str">
        <f t="shared" si="59"/>
        <v>Experiments</v>
      </c>
      <c r="AH620" s="27">
        <f>COUNTIF(Teacher_Master!$D$2:$D$16,AF620)</f>
        <v>3</v>
      </c>
      <c r="AI620" s="30" t="str">
        <f>INDEX(Teacher_Master!$B$2:$B$16,MATCH(AF620,Teacher_Master!$D$2:$D$16,0))</f>
        <v>Prof. Rahul Singh</v>
      </c>
    </row>
    <row r="621" spans="1:35" ht="14.25" customHeight="1" x14ac:dyDescent="0.3">
      <c r="A621" s="31" t="s">
        <v>1272</v>
      </c>
      <c r="B621" s="31" t="s">
        <v>2520</v>
      </c>
      <c r="C621" s="31" t="s">
        <v>2882</v>
      </c>
      <c r="D621" s="12">
        <f t="shared" ca="1" si="54"/>
        <v>26</v>
      </c>
      <c r="E621" s="12" t="str">
        <f ca="1">IF(Table1[[#This Row],[Age]]&lt;=22,"20-22",IF(Table1[[#This Row],[Age]]&lt;=25,"23-25",IF(Table1[[#This Row],[Age]]&lt;=28,"26-28","29-30")))</f>
        <v>26-28</v>
      </c>
      <c r="F621" s="12">
        <v>4.25</v>
      </c>
      <c r="G621" s="12">
        <v>4.6100000000000003</v>
      </c>
      <c r="H621" s="12">
        <v>3.54</v>
      </c>
      <c r="I621" s="12">
        <v>4.4400000000000004</v>
      </c>
      <c r="J621" s="12">
        <v>3.71</v>
      </c>
      <c r="K621" s="12">
        <v>3.89</v>
      </c>
      <c r="L621" s="12">
        <v>3.6</v>
      </c>
      <c r="M621" s="12">
        <v>3.9</v>
      </c>
      <c r="N621" s="12">
        <v>3.61</v>
      </c>
      <c r="O621" s="12">
        <v>3.86</v>
      </c>
      <c r="P621" s="12">
        <f t="shared" si="55"/>
        <v>4.1100000000000003</v>
      </c>
      <c r="Q621" s="12">
        <f t="shared" si="56"/>
        <v>4.1100000000000003</v>
      </c>
      <c r="R621" s="12">
        <f t="shared" si="57"/>
        <v>3.7719999999999998</v>
      </c>
      <c r="S621" s="28">
        <f>IFERROR(INDEX('Clean Gamification Data'!$B:$B,MATCH($B621,'Clean Gamification Data'!$A:$A,0)),"Not Found")</f>
        <v>84.626024909999998</v>
      </c>
      <c r="T621" s="28">
        <f>IFERROR(INDEX('Clean Gamification Data'!$C:$C,MATCH($B621,'Clean Gamification Data'!$A:$A,0)),"Not Found")</f>
        <v>62.343121529999998</v>
      </c>
      <c r="U621" s="28">
        <f>IFERROR(INDEX('Clean Gamification Data'!$D:$D,MATCH($B621,'Clean Gamification Data'!$A:$A,0)),"Not Found")</f>
        <v>79.652993570000007</v>
      </c>
      <c r="V621" s="28">
        <f>IFERROR(INDEX('Clean Gamification Data'!$E:$E,MATCH($B621,'Clean Gamification Data'!$A:$A,0)),"Not Found")</f>
        <v>66.253176330000002</v>
      </c>
      <c r="W621" s="28">
        <f>IFERROR(INDEX('Clean Gamification Data'!$F:$F,MATCH($B621,'Clean Gamification Data'!$A:$A,0)),"Not Found")</f>
        <v>94.572596779999998</v>
      </c>
      <c r="X621" s="28">
        <f>IFERROR(INDEX('Clean Gamification Data'!$G:$G,MATCH($B621,'Clean Gamification Data'!$A:$A,0)),"Not Found")</f>
        <v>76.639271429999994</v>
      </c>
      <c r="Y621" s="28">
        <f>IFERROR(INDEX('Clean Gamification Data'!$H:$H,MATCH($B621,'Clean Gamification Data'!$A:$A,0)),"Not Found")</f>
        <v>70.173894439999998</v>
      </c>
      <c r="Z621" s="28">
        <f>IFERROR(INDEX('Clean Gamification Data'!$I:$I,MATCH($B621,'Clean Gamification Data'!$A:$A,0)),"Not Found")</f>
        <v>63.818719270000003</v>
      </c>
      <c r="AA621" s="28">
        <f>Table1[[#This Row],[Engagement (Gamification %)]]-Table1[[#This Row],[Engagement (Non-Gamification %)]]</f>
        <v>22.28290338</v>
      </c>
      <c r="AB621" s="28">
        <f>Table1[[#This Row],[Motivation (Gamification %)]]-Table1[[#This Row],[Motivation (Non-Gamification %)]]</f>
        <v>13.399817240000004</v>
      </c>
      <c r="AC621" s="28">
        <f>Table1[[#This Row],[Participation (Gamification %)]]-Table1[[#This Row],[Participation (Non-Gamification %)]]</f>
        <v>17.933325350000004</v>
      </c>
      <c r="AD621" s="28">
        <f>Table1[[#This Row],[Learning Outcomes (Gamification %)]]-Table1[[#This Row],[Learning Outcomes (Non-Gamification %)]]</f>
        <v>6.3551751699999954</v>
      </c>
      <c r="AE621" s="44" t="str">
        <f>IF(Table1[[#This Row],[Overall Effectiveness]]&lt;3.9,"Low",IF(Table1[[#This Row],[Overall Effectiveness]]&lt;4.2,"Medium","High"))</f>
        <v>Medium</v>
      </c>
      <c r="AF621" s="30" t="str">
        <f t="shared" si="58"/>
        <v>Case Studies</v>
      </c>
      <c r="AG621" s="30" t="str">
        <f t="shared" si="59"/>
        <v>Group Projects</v>
      </c>
      <c r="AH621" s="27">
        <f>COUNTIF(Teacher_Master!$D$2:$D$16,AF621)</f>
        <v>3</v>
      </c>
      <c r="AI621" s="30" t="str">
        <f>INDEX(Teacher_Master!$B$2:$B$16,MATCH(AF621,Teacher_Master!$D$2:$D$16,0))</f>
        <v>Prof. Rajesh Mukherjee</v>
      </c>
    </row>
    <row r="622" spans="1:35" ht="14.25" customHeight="1" x14ac:dyDescent="0.3">
      <c r="A622" s="31" t="s">
        <v>1274</v>
      </c>
      <c r="B622" s="31" t="s">
        <v>2521</v>
      </c>
      <c r="C622" s="31" t="s">
        <v>2882</v>
      </c>
      <c r="D622" s="12">
        <f t="shared" ca="1" si="54"/>
        <v>24</v>
      </c>
      <c r="E622" s="12" t="str">
        <f ca="1">IF(Table1[[#This Row],[Age]]&lt;=22,"20-22",IF(Table1[[#This Row],[Age]]&lt;=25,"23-25",IF(Table1[[#This Row],[Age]]&lt;=28,"26-28","29-30")))</f>
        <v>23-25</v>
      </c>
      <c r="F622" s="12">
        <v>4.2</v>
      </c>
      <c r="G622" s="12">
        <v>4.12</v>
      </c>
      <c r="H622" s="12">
        <v>4.28</v>
      </c>
      <c r="I622" s="12">
        <v>4.1500000000000004</v>
      </c>
      <c r="J622" s="12">
        <v>3.84</v>
      </c>
      <c r="K622" s="12">
        <v>3.95</v>
      </c>
      <c r="L622" s="12">
        <v>3.5</v>
      </c>
      <c r="M622" s="12">
        <v>3.97</v>
      </c>
      <c r="N622" s="12" t="s">
        <v>211</v>
      </c>
      <c r="O622" s="12">
        <v>4.5</v>
      </c>
      <c r="P622" s="12">
        <f t="shared" si="55"/>
        <v>4.1180000000000003</v>
      </c>
      <c r="Q622" s="12">
        <f t="shared" si="56"/>
        <v>4.12</v>
      </c>
      <c r="R622" s="12">
        <f t="shared" si="57"/>
        <v>3.98</v>
      </c>
      <c r="S622" s="28">
        <f>IFERROR(INDEX('Clean Gamification Data'!$B:$B,MATCH($B622,'Clean Gamification Data'!$A:$A,0)),"Not Found")</f>
        <v>77.953466750000004</v>
      </c>
      <c r="T622" s="28">
        <f>IFERROR(INDEX('Clean Gamification Data'!$C:$C,MATCH($B622,'Clean Gamification Data'!$A:$A,0)),"Not Found")</f>
        <v>72.241316330000004</v>
      </c>
      <c r="U622" s="28">
        <f>IFERROR(INDEX('Clean Gamification Data'!$D:$D,MATCH($B622,'Clean Gamification Data'!$A:$A,0)),"Not Found")</f>
        <v>83.374518629999997</v>
      </c>
      <c r="V622" s="28">
        <f>IFERROR(INDEX('Clean Gamification Data'!$E:$E,MATCH($B622,'Clean Gamification Data'!$A:$A,0)),"Not Found")</f>
        <v>66.933579309999999</v>
      </c>
      <c r="W622" s="28">
        <f>IFERROR(INDEX('Clean Gamification Data'!$F:$F,MATCH($B622,'Clean Gamification Data'!$A:$A,0)),"Not Found")</f>
        <v>80</v>
      </c>
      <c r="X622" s="28">
        <f>IFERROR(INDEX('Clean Gamification Data'!$G:$G,MATCH($B622,'Clean Gamification Data'!$A:$A,0)),"Not Found")</f>
        <v>75.018694499999995</v>
      </c>
      <c r="Y622" s="28">
        <f>IFERROR(INDEX('Clean Gamification Data'!$H:$H,MATCH($B622,'Clean Gamification Data'!$A:$A,0)),"Not Found")</f>
        <v>73.251192529999997</v>
      </c>
      <c r="Z622" s="28">
        <f>IFERROR(INDEX('Clean Gamification Data'!$I:$I,MATCH($B622,'Clean Gamification Data'!$A:$A,0)),"Not Found")</f>
        <v>69.784887459999993</v>
      </c>
      <c r="AA622" s="28">
        <f>Table1[[#This Row],[Engagement (Gamification %)]]-Table1[[#This Row],[Engagement (Non-Gamification %)]]</f>
        <v>5.7121504200000004</v>
      </c>
      <c r="AB622" s="28">
        <f>Table1[[#This Row],[Motivation (Gamification %)]]-Table1[[#This Row],[Motivation (Non-Gamification %)]]</f>
        <v>16.440939319999998</v>
      </c>
      <c r="AC622" s="28">
        <f>Table1[[#This Row],[Participation (Gamification %)]]-Table1[[#This Row],[Participation (Non-Gamification %)]]</f>
        <v>4.9813055000000048</v>
      </c>
      <c r="AD622" s="28">
        <f>Table1[[#This Row],[Learning Outcomes (Gamification %)]]-Table1[[#This Row],[Learning Outcomes (Non-Gamification %)]]</f>
        <v>3.4663050700000042</v>
      </c>
      <c r="AE622" s="44" t="str">
        <f>IF(Table1[[#This Row],[Overall Effectiveness]]&lt;3.9,"Low",IF(Table1[[#This Row],[Overall Effectiveness]]&lt;4.2,"Medium","High"))</f>
        <v>Medium</v>
      </c>
      <c r="AF622" s="30" t="str">
        <f t="shared" si="58"/>
        <v>Group Projects</v>
      </c>
      <c r="AG622" s="30" t="str">
        <f t="shared" si="59"/>
        <v>Online Tutorials</v>
      </c>
      <c r="AH622" s="27">
        <f>COUNTIF(Teacher_Master!$D$2:$D$16,AF622)</f>
        <v>3</v>
      </c>
      <c r="AI622" s="30" t="str">
        <f>INDEX(Teacher_Master!$B$2:$B$16,MATCH(AF622,Teacher_Master!$D$2:$D$16,0))</f>
        <v>Dr. Rohan Dutta</v>
      </c>
    </row>
    <row r="623" spans="1:35" ht="14.25" customHeight="1" x14ac:dyDescent="0.3">
      <c r="A623" s="31" t="s">
        <v>1276</v>
      </c>
      <c r="B623" s="31" t="s">
        <v>1277</v>
      </c>
      <c r="C623" s="31" t="s">
        <v>2881</v>
      </c>
      <c r="D623" s="12">
        <f t="shared" ca="1" si="54"/>
        <v>28</v>
      </c>
      <c r="E623" s="12" t="str">
        <f ca="1">IF(Table1[[#This Row],[Age]]&lt;=22,"20-22",IF(Table1[[#This Row],[Age]]&lt;=25,"23-25",IF(Table1[[#This Row],[Age]]&lt;=28,"26-28","29-30")))</f>
        <v>26-28</v>
      </c>
      <c r="F623" s="12">
        <v>3.77</v>
      </c>
      <c r="G623" s="12">
        <v>3.45</v>
      </c>
      <c r="H623" s="12">
        <v>4.3899999999999997</v>
      </c>
      <c r="I623" s="12">
        <v>4.05</v>
      </c>
      <c r="J623" s="12">
        <v>3.83</v>
      </c>
      <c r="K623" s="12">
        <v>3.64</v>
      </c>
      <c r="L623" s="12">
        <v>4.22</v>
      </c>
      <c r="M623" s="12">
        <v>3.83</v>
      </c>
      <c r="N623" s="12">
        <v>4.2300000000000004</v>
      </c>
      <c r="O623" s="12">
        <v>3.78</v>
      </c>
      <c r="P623" s="12">
        <f t="shared" si="55"/>
        <v>3.8980000000000006</v>
      </c>
      <c r="Q623" s="12">
        <f t="shared" si="56"/>
        <v>3.9</v>
      </c>
      <c r="R623" s="12">
        <f t="shared" si="57"/>
        <v>3.94</v>
      </c>
      <c r="S623" s="28">
        <f>IFERROR(INDEX('Clean Gamification Data'!$B:$B,MATCH($B623,'Clean Gamification Data'!$A:$A,0)),"Not Found")</f>
        <v>88.853364020000001</v>
      </c>
      <c r="T623" s="28">
        <f>IFERROR(INDEX('Clean Gamification Data'!$C:$C,MATCH($B623,'Clean Gamification Data'!$A:$A,0)),"Not Found")</f>
        <v>73.460424669999995</v>
      </c>
      <c r="U623" s="28">
        <f>IFERROR(INDEX('Clean Gamification Data'!$D:$D,MATCH($B623,'Clean Gamification Data'!$A:$A,0)),"Not Found")</f>
        <v>80.044186519999997</v>
      </c>
      <c r="V623" s="28">
        <f>IFERROR(INDEX('Clean Gamification Data'!$E:$E,MATCH($B623,'Clean Gamification Data'!$A:$A,0)),"Not Found")</f>
        <v>58.608440700000003</v>
      </c>
      <c r="W623" s="28">
        <f>IFERROR(INDEX('Clean Gamification Data'!$F:$F,MATCH($B623,'Clean Gamification Data'!$A:$A,0)),"Not Found")</f>
        <v>89.034726300000003</v>
      </c>
      <c r="X623" s="28">
        <f>IFERROR(INDEX('Clean Gamification Data'!$G:$G,MATCH($B623,'Clean Gamification Data'!$A:$A,0)),"Not Found")</f>
        <v>73.553034210000007</v>
      </c>
      <c r="Y623" s="28">
        <f>IFERROR(INDEX('Clean Gamification Data'!$H:$H,MATCH($B623,'Clean Gamification Data'!$A:$A,0)),"Not Found")</f>
        <v>72.828366829999993</v>
      </c>
      <c r="Z623" s="28">
        <f>IFERROR(INDEX('Clean Gamification Data'!$I:$I,MATCH($B623,'Clean Gamification Data'!$A:$A,0)),"Not Found")</f>
        <v>57.75324071</v>
      </c>
      <c r="AA623" s="28">
        <f>Table1[[#This Row],[Engagement (Gamification %)]]-Table1[[#This Row],[Engagement (Non-Gamification %)]]</f>
        <v>15.392939350000006</v>
      </c>
      <c r="AB623" s="28">
        <f>Table1[[#This Row],[Motivation (Gamification %)]]-Table1[[#This Row],[Motivation (Non-Gamification %)]]</f>
        <v>21.435745819999994</v>
      </c>
      <c r="AC623" s="28">
        <f>Table1[[#This Row],[Participation (Gamification %)]]-Table1[[#This Row],[Participation (Non-Gamification %)]]</f>
        <v>15.481692089999996</v>
      </c>
      <c r="AD623" s="28">
        <f>Table1[[#This Row],[Learning Outcomes (Gamification %)]]-Table1[[#This Row],[Learning Outcomes (Non-Gamification %)]]</f>
        <v>15.075126119999993</v>
      </c>
      <c r="AE623" s="44" t="str">
        <f>IF(Table1[[#This Row],[Overall Effectiveness]]&lt;3.9,"Low",IF(Table1[[#This Row],[Overall Effectiveness]]&lt;4.2,"Medium","High"))</f>
        <v>Low</v>
      </c>
      <c r="AF623" s="30" t="str">
        <f t="shared" si="58"/>
        <v>Group Projects</v>
      </c>
      <c r="AG623" s="30" t="str">
        <f t="shared" si="59"/>
        <v>Experiments</v>
      </c>
      <c r="AH623" s="27">
        <f>COUNTIF(Teacher_Master!$D$2:$D$16,AF623)</f>
        <v>3</v>
      </c>
      <c r="AI623" s="30" t="str">
        <f>INDEX(Teacher_Master!$B$2:$B$16,MATCH(AF623,Teacher_Master!$D$2:$D$16,0))</f>
        <v>Dr. Rohan Dutta</v>
      </c>
    </row>
    <row r="624" spans="1:35" ht="14.25" customHeight="1" x14ac:dyDescent="0.3">
      <c r="A624" s="31" t="s">
        <v>1278</v>
      </c>
      <c r="B624" s="31" t="s">
        <v>2522</v>
      </c>
      <c r="C624" s="31" t="s">
        <v>2882</v>
      </c>
      <c r="D624" s="12">
        <f t="shared" ca="1" si="54"/>
        <v>21</v>
      </c>
      <c r="E624" s="12" t="str">
        <f ca="1">IF(Table1[[#This Row],[Age]]&lt;=22,"20-22",IF(Table1[[#This Row],[Age]]&lt;=25,"23-25",IF(Table1[[#This Row],[Age]]&lt;=28,"26-28","29-30")))</f>
        <v>20-22</v>
      </c>
      <c r="F624" s="12">
        <v>3.75</v>
      </c>
      <c r="G624" s="12">
        <v>4.1100000000000003</v>
      </c>
      <c r="H624" s="12">
        <v>4.09</v>
      </c>
      <c r="I624" s="12">
        <v>3.39</v>
      </c>
      <c r="J624" s="12">
        <v>4.09</v>
      </c>
      <c r="K624" s="12">
        <v>4.3</v>
      </c>
      <c r="L624" s="12">
        <v>3.74</v>
      </c>
      <c r="M624" s="12">
        <v>4.22</v>
      </c>
      <c r="N624" s="12">
        <v>4.26</v>
      </c>
      <c r="O624" s="12">
        <v>4.0599999999999996</v>
      </c>
      <c r="P624" s="12">
        <f t="shared" si="55"/>
        <v>3.8860000000000001</v>
      </c>
      <c r="Q624" s="12">
        <f t="shared" si="56"/>
        <v>3.89</v>
      </c>
      <c r="R624" s="12">
        <f t="shared" si="57"/>
        <v>4.1159999999999988</v>
      </c>
      <c r="S624" s="28">
        <f>IFERROR(INDEX('Clean Gamification Data'!$B:$B,MATCH($B624,'Clean Gamification Data'!$A:$A,0)),"Not Found")</f>
        <v>87.430822750000004</v>
      </c>
      <c r="T624" s="28">
        <f>IFERROR(INDEX('Clean Gamification Data'!$C:$C,MATCH($B624,'Clean Gamification Data'!$A:$A,0)),"Not Found")</f>
        <v>61.954235240000003</v>
      </c>
      <c r="U624" s="28">
        <f>IFERROR(INDEX('Clean Gamification Data'!$D:$D,MATCH($B624,'Clean Gamification Data'!$A:$A,0)),"Not Found")</f>
        <v>79.692398179999998</v>
      </c>
      <c r="V624" s="28">
        <f>IFERROR(INDEX('Clean Gamification Data'!$E:$E,MATCH($B624,'Clean Gamification Data'!$A:$A,0)),"Not Found")</f>
        <v>65.021694319999995</v>
      </c>
      <c r="W624" s="28">
        <f>IFERROR(INDEX('Clean Gamification Data'!$F:$F,MATCH($B624,'Clean Gamification Data'!$A:$A,0)),"Not Found")</f>
        <v>81.112726910000006</v>
      </c>
      <c r="X624" s="28">
        <f>IFERROR(INDEX('Clean Gamification Data'!$G:$G,MATCH($B624,'Clean Gamification Data'!$A:$A,0)),"Not Found")</f>
        <v>72.870826620000003</v>
      </c>
      <c r="Y624" s="28">
        <f>IFERROR(INDEX('Clean Gamification Data'!$H:$H,MATCH($B624,'Clean Gamification Data'!$A:$A,0)),"Not Found")</f>
        <v>69.372384800000006</v>
      </c>
      <c r="Z624" s="28">
        <f>IFERROR(INDEX('Clean Gamification Data'!$I:$I,MATCH($B624,'Clean Gamification Data'!$A:$A,0)),"Not Found")</f>
        <v>58.070183069999999</v>
      </c>
      <c r="AA624" s="28">
        <f>Table1[[#This Row],[Engagement (Gamification %)]]-Table1[[#This Row],[Engagement (Non-Gamification %)]]</f>
        <v>25.476587510000002</v>
      </c>
      <c r="AB624" s="28">
        <f>Table1[[#This Row],[Motivation (Gamification %)]]-Table1[[#This Row],[Motivation (Non-Gamification %)]]</f>
        <v>14.670703860000003</v>
      </c>
      <c r="AC624" s="28">
        <f>Table1[[#This Row],[Participation (Gamification %)]]-Table1[[#This Row],[Participation (Non-Gamification %)]]</f>
        <v>8.2419002900000038</v>
      </c>
      <c r="AD624" s="28">
        <f>Table1[[#This Row],[Learning Outcomes (Gamification %)]]-Table1[[#This Row],[Learning Outcomes (Non-Gamification %)]]</f>
        <v>11.302201730000007</v>
      </c>
      <c r="AE624" s="44" t="str">
        <f>IF(Table1[[#This Row],[Overall Effectiveness]]&lt;3.9,"Low",IF(Table1[[#This Row],[Overall Effectiveness]]&lt;4.2,"Medium","High"))</f>
        <v>Low</v>
      </c>
      <c r="AF624" s="30" t="str">
        <f t="shared" si="58"/>
        <v>Case Studies</v>
      </c>
      <c r="AG624" s="30" t="str">
        <f t="shared" si="59"/>
        <v>Lectures</v>
      </c>
      <c r="AH624" s="27">
        <f>COUNTIF(Teacher_Master!$D$2:$D$16,AF624)</f>
        <v>3</v>
      </c>
      <c r="AI624" s="30" t="str">
        <f>INDEX(Teacher_Master!$B$2:$B$16,MATCH(AF624,Teacher_Master!$D$2:$D$16,0))</f>
        <v>Prof. Rajesh Mukherjee</v>
      </c>
    </row>
    <row r="625" spans="1:35" ht="14.25" customHeight="1" x14ac:dyDescent="0.3">
      <c r="A625" s="31" t="s">
        <v>1280</v>
      </c>
      <c r="B625" s="31" t="s">
        <v>2523</v>
      </c>
      <c r="C625" s="31" t="s">
        <v>2882</v>
      </c>
      <c r="D625" s="12">
        <f t="shared" ca="1" si="54"/>
        <v>20</v>
      </c>
      <c r="E625" s="12" t="str">
        <f ca="1">IF(Table1[[#This Row],[Age]]&lt;=22,"20-22",IF(Table1[[#This Row],[Age]]&lt;=25,"23-25",IF(Table1[[#This Row],[Age]]&lt;=28,"26-28","29-30")))</f>
        <v>20-22</v>
      </c>
      <c r="F625" s="12" t="s">
        <v>211</v>
      </c>
      <c r="G625" s="12">
        <v>4.04</v>
      </c>
      <c r="H625" s="12">
        <v>3.75</v>
      </c>
      <c r="I625" s="12">
        <v>3.3</v>
      </c>
      <c r="J625" s="12">
        <v>4.2300000000000004</v>
      </c>
      <c r="K625" s="12">
        <v>3.94</v>
      </c>
      <c r="L625" s="12">
        <v>3.99</v>
      </c>
      <c r="M625" s="12">
        <v>4.1500000000000004</v>
      </c>
      <c r="N625" s="12">
        <v>4</v>
      </c>
      <c r="O625" s="12">
        <v>4</v>
      </c>
      <c r="P625" s="12">
        <f t="shared" si="55"/>
        <v>3.83</v>
      </c>
      <c r="Q625" s="12">
        <f t="shared" si="56"/>
        <v>3.83</v>
      </c>
      <c r="R625" s="12">
        <f t="shared" si="57"/>
        <v>4.016</v>
      </c>
      <c r="S625" s="28">
        <f>IFERROR(INDEX('Clean Gamification Data'!$B:$B,MATCH($B625,'Clean Gamification Data'!$A:$A,0)),"Not Found")</f>
        <v>87.061986070000003</v>
      </c>
      <c r="T625" s="28">
        <f>IFERROR(INDEX('Clean Gamification Data'!$C:$C,MATCH($B625,'Clean Gamification Data'!$A:$A,0)),"Not Found")</f>
        <v>65.231164010000001</v>
      </c>
      <c r="U625" s="28">
        <f>IFERROR(INDEX('Clean Gamification Data'!$D:$D,MATCH($B625,'Clean Gamification Data'!$A:$A,0)),"Not Found")</f>
        <v>74.929546189999996</v>
      </c>
      <c r="V625" s="28">
        <f>IFERROR(INDEX('Clean Gamification Data'!$E:$E,MATCH($B625,'Clean Gamification Data'!$A:$A,0)),"Not Found")</f>
        <v>56.811763300000003</v>
      </c>
      <c r="W625" s="28">
        <f>IFERROR(INDEX('Clean Gamification Data'!$F:$F,MATCH($B625,'Clean Gamification Data'!$A:$A,0)),"Not Found")</f>
        <v>93.201448170000006</v>
      </c>
      <c r="X625" s="28">
        <f>IFERROR(INDEX('Clean Gamification Data'!$G:$G,MATCH($B625,'Clean Gamification Data'!$A:$A,0)),"Not Found")</f>
        <v>76.033900669999994</v>
      </c>
      <c r="Y625" s="28">
        <f>IFERROR(INDEX('Clean Gamification Data'!$H:$H,MATCH($B625,'Clean Gamification Data'!$A:$A,0)),"Not Found")</f>
        <v>65</v>
      </c>
      <c r="Z625" s="28">
        <f>IFERROR(INDEX('Clean Gamification Data'!$I:$I,MATCH($B625,'Clean Gamification Data'!$A:$A,0)),"Not Found")</f>
        <v>57.303746420000003</v>
      </c>
      <c r="AA625" s="28">
        <f>Table1[[#This Row],[Engagement (Gamification %)]]-Table1[[#This Row],[Engagement (Non-Gamification %)]]</f>
        <v>21.830822060000003</v>
      </c>
      <c r="AB625" s="28">
        <f>Table1[[#This Row],[Motivation (Gamification %)]]-Table1[[#This Row],[Motivation (Non-Gamification %)]]</f>
        <v>18.117782889999994</v>
      </c>
      <c r="AC625" s="28">
        <f>Table1[[#This Row],[Participation (Gamification %)]]-Table1[[#This Row],[Participation (Non-Gamification %)]]</f>
        <v>17.167547500000012</v>
      </c>
      <c r="AD625" s="28">
        <f>Table1[[#This Row],[Learning Outcomes (Gamification %)]]-Table1[[#This Row],[Learning Outcomes (Non-Gamification %)]]</f>
        <v>7.6962535799999969</v>
      </c>
      <c r="AE625" s="44" t="str">
        <f>IF(Table1[[#This Row],[Overall Effectiveness]]&lt;3.9,"Low",IF(Table1[[#This Row],[Overall Effectiveness]]&lt;4.2,"Medium","High"))</f>
        <v>Low</v>
      </c>
      <c r="AF625" s="30" t="str">
        <f t="shared" si="58"/>
        <v>Online Tutorials</v>
      </c>
      <c r="AG625" s="30" t="str">
        <f t="shared" si="59"/>
        <v>Group Projects</v>
      </c>
      <c r="AH625" s="27">
        <f>COUNTIF(Teacher_Master!$D$2:$D$16,AF625)</f>
        <v>3</v>
      </c>
      <c r="AI625" s="30" t="str">
        <f>INDEX(Teacher_Master!$B$2:$B$16,MATCH(AF625,Teacher_Master!$D$2:$D$16,0))</f>
        <v>Prof. Kavita Rao</v>
      </c>
    </row>
    <row r="626" spans="1:35" ht="14.25" customHeight="1" x14ac:dyDescent="0.3">
      <c r="A626" s="31" t="s">
        <v>1282</v>
      </c>
      <c r="B626" s="31" t="s">
        <v>2524</v>
      </c>
      <c r="C626" s="31" t="s">
        <v>2881</v>
      </c>
      <c r="D626" s="12">
        <f t="shared" ca="1" si="54"/>
        <v>29</v>
      </c>
      <c r="E626" s="12" t="str">
        <f ca="1">IF(Table1[[#This Row],[Age]]&lt;=22,"20-22",IF(Table1[[#This Row],[Age]]&lt;=25,"23-25",IF(Table1[[#This Row],[Age]]&lt;=28,"26-28","29-30")))</f>
        <v>29-30</v>
      </c>
      <c r="F626" s="12">
        <v>3.67</v>
      </c>
      <c r="G626" s="12">
        <v>3.8</v>
      </c>
      <c r="H626" s="12">
        <v>3.93</v>
      </c>
      <c r="I626" s="12">
        <v>4.26</v>
      </c>
      <c r="J626" s="12">
        <v>4.2300000000000004</v>
      </c>
      <c r="K626" s="12">
        <v>4.2</v>
      </c>
      <c r="L626" s="12">
        <v>3.99</v>
      </c>
      <c r="M626" s="12">
        <v>4.1399999999999997</v>
      </c>
      <c r="N626" s="12">
        <v>3.76</v>
      </c>
      <c r="O626" s="12" t="s">
        <v>211</v>
      </c>
      <c r="P626" s="12">
        <f t="shared" si="55"/>
        <v>3.9780000000000002</v>
      </c>
      <c r="Q626" s="12">
        <f t="shared" si="56"/>
        <v>3.98</v>
      </c>
      <c r="R626" s="12">
        <f t="shared" si="57"/>
        <v>4.0225000000000009</v>
      </c>
      <c r="S626" s="28">
        <f>IFERROR(INDEX('Clean Gamification Data'!$B:$B,MATCH($B626,'Clean Gamification Data'!$A:$A,0)),"Not Found")</f>
        <v>76.597172790000002</v>
      </c>
      <c r="T626" s="28">
        <f>IFERROR(INDEX('Clean Gamification Data'!$C:$C,MATCH($B626,'Clean Gamification Data'!$A:$A,0)),"Not Found")</f>
        <v>60</v>
      </c>
      <c r="U626" s="28">
        <f>IFERROR(INDEX('Clean Gamification Data'!$D:$D,MATCH($B626,'Clean Gamification Data'!$A:$A,0)),"Not Found")</f>
        <v>73.857756989999999</v>
      </c>
      <c r="V626" s="28">
        <f>IFERROR(INDEX('Clean Gamification Data'!$E:$E,MATCH($B626,'Clean Gamification Data'!$A:$A,0)),"Not Found")</f>
        <v>59.833630110000001</v>
      </c>
      <c r="W626" s="28">
        <f>IFERROR(INDEX('Clean Gamification Data'!$F:$F,MATCH($B626,'Clean Gamification Data'!$A:$A,0)),"Not Found")</f>
        <v>80</v>
      </c>
      <c r="X626" s="28">
        <f>IFERROR(INDEX('Clean Gamification Data'!$G:$G,MATCH($B626,'Clean Gamification Data'!$A:$A,0)),"Not Found")</f>
        <v>79.426389929999999</v>
      </c>
      <c r="Y626" s="28">
        <f>IFERROR(INDEX('Clean Gamification Data'!$H:$H,MATCH($B626,'Clean Gamification Data'!$A:$A,0)),"Not Found")</f>
        <v>76.391969450000005</v>
      </c>
      <c r="Z626" s="28">
        <f>IFERROR(INDEX('Clean Gamification Data'!$I:$I,MATCH($B626,'Clean Gamification Data'!$A:$A,0)),"Not Found")</f>
        <v>70</v>
      </c>
      <c r="AA626" s="28">
        <f>Table1[[#This Row],[Engagement (Gamification %)]]-Table1[[#This Row],[Engagement (Non-Gamification %)]]</f>
        <v>16.597172790000002</v>
      </c>
      <c r="AB626" s="28">
        <f>Table1[[#This Row],[Motivation (Gamification %)]]-Table1[[#This Row],[Motivation (Non-Gamification %)]]</f>
        <v>14.024126879999997</v>
      </c>
      <c r="AC626" s="28">
        <f>Table1[[#This Row],[Participation (Gamification %)]]-Table1[[#This Row],[Participation (Non-Gamification %)]]</f>
        <v>0.57361007000000086</v>
      </c>
      <c r="AD626" s="28">
        <f>Table1[[#This Row],[Learning Outcomes (Gamification %)]]-Table1[[#This Row],[Learning Outcomes (Non-Gamification %)]]</f>
        <v>6.3919694500000048</v>
      </c>
      <c r="AE626" s="44" t="str">
        <f>IF(Table1[[#This Row],[Overall Effectiveness]]&lt;3.9,"Low",IF(Table1[[#This Row],[Overall Effectiveness]]&lt;4.2,"Medium","High"))</f>
        <v>Medium</v>
      </c>
      <c r="AF626" s="30" t="str">
        <f t="shared" si="58"/>
        <v>Experiments</v>
      </c>
      <c r="AG626" s="30" t="str">
        <f t="shared" si="59"/>
        <v>Lectures</v>
      </c>
      <c r="AH626" s="27">
        <f>COUNTIF(Teacher_Master!$D$2:$D$16,AF626)</f>
        <v>3</v>
      </c>
      <c r="AI626" s="30" t="str">
        <f>INDEX(Teacher_Master!$B$2:$B$16,MATCH(AF626,Teacher_Master!$D$2:$D$16,0))</f>
        <v>Prof. Rahul Singh</v>
      </c>
    </row>
    <row r="627" spans="1:35" ht="14.25" customHeight="1" x14ac:dyDescent="0.3">
      <c r="A627" s="31" t="s">
        <v>1284</v>
      </c>
      <c r="B627" s="31" t="s">
        <v>2525</v>
      </c>
      <c r="C627" s="31" t="s">
        <v>2882</v>
      </c>
      <c r="D627" s="12">
        <f t="shared" ca="1" si="54"/>
        <v>20</v>
      </c>
      <c r="E627" s="12" t="str">
        <f ca="1">IF(Table1[[#This Row],[Age]]&lt;=22,"20-22",IF(Table1[[#This Row],[Age]]&lt;=25,"23-25",IF(Table1[[#This Row],[Age]]&lt;=28,"26-28","29-30")))</f>
        <v>20-22</v>
      </c>
      <c r="F627" s="12">
        <v>4.09</v>
      </c>
      <c r="G627" s="12" t="s">
        <v>211</v>
      </c>
      <c r="H627" s="12">
        <v>3.93</v>
      </c>
      <c r="I627" s="12">
        <v>3.99</v>
      </c>
      <c r="J627" s="12">
        <v>4.13</v>
      </c>
      <c r="K627" s="12">
        <v>4.08</v>
      </c>
      <c r="L627" s="12">
        <v>3.81</v>
      </c>
      <c r="M627" s="12">
        <v>4.62</v>
      </c>
      <c r="N627" s="12">
        <v>4.2</v>
      </c>
      <c r="O627" s="12">
        <v>4.12</v>
      </c>
      <c r="P627" s="12">
        <f t="shared" si="55"/>
        <v>4.0350000000000001</v>
      </c>
      <c r="Q627" s="12">
        <f t="shared" si="56"/>
        <v>4.04</v>
      </c>
      <c r="R627" s="12">
        <f t="shared" si="57"/>
        <v>4.1660000000000004</v>
      </c>
      <c r="S627" s="28">
        <f>IFERROR(INDEX('Clean Gamification Data'!$B:$B,MATCH($B627,'Clean Gamification Data'!$A:$A,0)),"Not Found")</f>
        <v>92.234465700000001</v>
      </c>
      <c r="T627" s="28">
        <f>IFERROR(INDEX('Clean Gamification Data'!$C:$C,MATCH($B627,'Clean Gamification Data'!$A:$A,0)),"Not Found")</f>
        <v>73.238530209999993</v>
      </c>
      <c r="U627" s="28">
        <f>IFERROR(INDEX('Clean Gamification Data'!$D:$D,MATCH($B627,'Clean Gamification Data'!$A:$A,0)),"Not Found")</f>
        <v>70.599627130000002</v>
      </c>
      <c r="V627" s="28">
        <f>IFERROR(INDEX('Clean Gamification Data'!$E:$E,MATCH($B627,'Clean Gamification Data'!$A:$A,0)),"Not Found")</f>
        <v>66.201689259999995</v>
      </c>
      <c r="W627" s="28">
        <f>IFERROR(INDEX('Clean Gamification Data'!$F:$F,MATCH($B627,'Clean Gamification Data'!$A:$A,0)),"Not Found")</f>
        <v>82.662383109999993</v>
      </c>
      <c r="X627" s="28">
        <f>IFERROR(INDEX('Clean Gamification Data'!$G:$G,MATCH($B627,'Clean Gamification Data'!$A:$A,0)),"Not Found")</f>
        <v>77.114322639999997</v>
      </c>
      <c r="Y627" s="28">
        <f>IFERROR(INDEX('Clean Gamification Data'!$H:$H,MATCH($B627,'Clean Gamification Data'!$A:$A,0)),"Not Found")</f>
        <v>71.548075100000005</v>
      </c>
      <c r="Z627" s="28">
        <f>IFERROR(INDEX('Clean Gamification Data'!$I:$I,MATCH($B627,'Clean Gamification Data'!$A:$A,0)),"Not Found")</f>
        <v>60.830015150000001</v>
      </c>
      <c r="AA627" s="28">
        <f>Table1[[#This Row],[Engagement (Gamification %)]]-Table1[[#This Row],[Engagement (Non-Gamification %)]]</f>
        <v>18.995935490000008</v>
      </c>
      <c r="AB627" s="28">
        <f>Table1[[#This Row],[Motivation (Gamification %)]]-Table1[[#This Row],[Motivation (Non-Gamification %)]]</f>
        <v>4.3979378700000069</v>
      </c>
      <c r="AC627" s="28">
        <f>Table1[[#This Row],[Participation (Gamification %)]]-Table1[[#This Row],[Participation (Non-Gamification %)]]</f>
        <v>5.5480604699999958</v>
      </c>
      <c r="AD627" s="28">
        <f>Table1[[#This Row],[Learning Outcomes (Gamification %)]]-Table1[[#This Row],[Learning Outcomes (Non-Gamification %)]]</f>
        <v>10.718059950000004</v>
      </c>
      <c r="AE627" s="44" t="str">
        <f>IF(Table1[[#This Row],[Overall Effectiveness]]&lt;3.9,"Low",IF(Table1[[#This Row],[Overall Effectiveness]]&lt;4.2,"Medium","High"))</f>
        <v>Medium</v>
      </c>
      <c r="AF627" s="30" t="str">
        <f t="shared" si="58"/>
        <v>Online Tutorials</v>
      </c>
      <c r="AG627" s="30" t="str">
        <f t="shared" si="59"/>
        <v>Group Projects</v>
      </c>
      <c r="AH627" s="27">
        <f>COUNTIF(Teacher_Master!$D$2:$D$16,AF627)</f>
        <v>3</v>
      </c>
      <c r="AI627" s="30" t="str">
        <f>INDEX(Teacher_Master!$B$2:$B$16,MATCH(AF627,Teacher_Master!$D$2:$D$16,0))</f>
        <v>Prof. Kavita Rao</v>
      </c>
    </row>
    <row r="628" spans="1:35" ht="14.25" customHeight="1" x14ac:dyDescent="0.3">
      <c r="A628" s="31" t="s">
        <v>1286</v>
      </c>
      <c r="B628" s="31" t="s">
        <v>2526</v>
      </c>
      <c r="C628" s="31" t="s">
        <v>2881</v>
      </c>
      <c r="D628" s="12">
        <f t="shared" ca="1" si="54"/>
        <v>21</v>
      </c>
      <c r="E628" s="12" t="str">
        <f ca="1">IF(Table1[[#This Row],[Age]]&lt;=22,"20-22",IF(Table1[[#This Row],[Age]]&lt;=25,"23-25",IF(Table1[[#This Row],[Age]]&lt;=28,"26-28","29-30")))</f>
        <v>20-22</v>
      </c>
      <c r="F628" s="12">
        <v>3.91</v>
      </c>
      <c r="G628" s="12">
        <v>4.4800000000000004</v>
      </c>
      <c r="H628" s="12">
        <v>4.49</v>
      </c>
      <c r="I628" s="12">
        <v>4.24</v>
      </c>
      <c r="J628" s="12">
        <v>3.8</v>
      </c>
      <c r="K628" s="12">
        <v>3.95</v>
      </c>
      <c r="L628" s="12">
        <v>3.94</v>
      </c>
      <c r="M628" s="12">
        <v>4.1500000000000004</v>
      </c>
      <c r="N628" s="12">
        <v>4.05</v>
      </c>
      <c r="O628" s="12" t="s">
        <v>211</v>
      </c>
      <c r="P628" s="12">
        <f t="shared" si="55"/>
        <v>4.1840000000000002</v>
      </c>
      <c r="Q628" s="12">
        <f t="shared" si="56"/>
        <v>4.18</v>
      </c>
      <c r="R628" s="12">
        <f t="shared" si="57"/>
        <v>4.0225</v>
      </c>
      <c r="S628" s="28">
        <f>IFERROR(INDEX('Clean Gamification Data'!$B:$B,MATCH($B628,'Clean Gamification Data'!$A:$A,0)),"Not Found")</f>
        <v>87.073630879999996</v>
      </c>
      <c r="T628" s="28">
        <f>IFERROR(INDEX('Clean Gamification Data'!$C:$C,MATCH($B628,'Clean Gamification Data'!$A:$A,0)),"Not Found")</f>
        <v>62.475011449999997</v>
      </c>
      <c r="U628" s="28">
        <f>IFERROR(INDEX('Clean Gamification Data'!$D:$D,MATCH($B628,'Clean Gamification Data'!$A:$A,0)),"Not Found")</f>
        <v>81.852977879999997</v>
      </c>
      <c r="V628" s="28">
        <f>IFERROR(INDEX('Clean Gamification Data'!$E:$E,MATCH($B628,'Clean Gamification Data'!$A:$A,0)),"Not Found")</f>
        <v>65.913929780000004</v>
      </c>
      <c r="W628" s="28">
        <f>IFERROR(INDEX('Clean Gamification Data'!$F:$F,MATCH($B628,'Clean Gamification Data'!$A:$A,0)),"Not Found")</f>
        <v>90.820006789999994</v>
      </c>
      <c r="X628" s="28">
        <f>IFERROR(INDEX('Clean Gamification Data'!$G:$G,MATCH($B628,'Clean Gamification Data'!$A:$A,0)),"Not Found")</f>
        <v>78.449546900000001</v>
      </c>
      <c r="Y628" s="28">
        <f>IFERROR(INDEX('Clean Gamification Data'!$H:$H,MATCH($B628,'Clean Gamification Data'!$A:$A,0)),"Not Found")</f>
        <v>77.808792909999994</v>
      </c>
      <c r="Z628" s="28">
        <f>IFERROR(INDEX('Clean Gamification Data'!$I:$I,MATCH($B628,'Clean Gamification Data'!$A:$A,0)),"Not Found")</f>
        <v>59.119043419999997</v>
      </c>
      <c r="AA628" s="28">
        <f>Table1[[#This Row],[Engagement (Gamification %)]]-Table1[[#This Row],[Engagement (Non-Gamification %)]]</f>
        <v>24.598619429999999</v>
      </c>
      <c r="AB628" s="28">
        <f>Table1[[#This Row],[Motivation (Gamification %)]]-Table1[[#This Row],[Motivation (Non-Gamification %)]]</f>
        <v>15.939048099999994</v>
      </c>
      <c r="AC628" s="28">
        <f>Table1[[#This Row],[Participation (Gamification %)]]-Table1[[#This Row],[Participation (Non-Gamification %)]]</f>
        <v>12.370459889999992</v>
      </c>
      <c r="AD628" s="28">
        <f>Table1[[#This Row],[Learning Outcomes (Gamification %)]]-Table1[[#This Row],[Learning Outcomes (Non-Gamification %)]]</f>
        <v>18.689749489999997</v>
      </c>
      <c r="AE628" s="44" t="str">
        <f>IF(Table1[[#This Row],[Overall Effectiveness]]&lt;3.9,"Low",IF(Table1[[#This Row],[Overall Effectiveness]]&lt;4.2,"Medium","High"))</f>
        <v>Medium</v>
      </c>
      <c r="AF628" s="30" t="str">
        <f t="shared" si="58"/>
        <v>Group Projects</v>
      </c>
      <c r="AG628" s="30" t="str">
        <f t="shared" si="59"/>
        <v>Group Projects</v>
      </c>
      <c r="AH628" s="27">
        <f>COUNTIF(Teacher_Master!$D$2:$D$16,AF628)</f>
        <v>3</v>
      </c>
      <c r="AI628" s="30" t="str">
        <f>INDEX(Teacher_Master!$B$2:$B$16,MATCH(AF628,Teacher_Master!$D$2:$D$16,0))</f>
        <v>Dr. Rohan Dutta</v>
      </c>
    </row>
    <row r="629" spans="1:35" ht="14.25" customHeight="1" x14ac:dyDescent="0.3">
      <c r="A629" s="31" t="s">
        <v>1288</v>
      </c>
      <c r="B629" s="31" t="s">
        <v>1289</v>
      </c>
      <c r="C629" s="31" t="s">
        <v>2881</v>
      </c>
      <c r="D629" s="12">
        <f t="shared" ca="1" si="54"/>
        <v>22</v>
      </c>
      <c r="E629" s="12" t="str">
        <f ca="1">IF(Table1[[#This Row],[Age]]&lt;=22,"20-22",IF(Table1[[#This Row],[Age]]&lt;=25,"23-25",IF(Table1[[#This Row],[Age]]&lt;=28,"26-28","29-30")))</f>
        <v>20-22</v>
      </c>
      <c r="F629" s="12">
        <v>3.72</v>
      </c>
      <c r="G629" s="12">
        <v>4.13</v>
      </c>
      <c r="H629" s="12">
        <v>3.94</v>
      </c>
      <c r="I629" s="12" t="s">
        <v>211</v>
      </c>
      <c r="J629" s="12">
        <v>3.77</v>
      </c>
      <c r="K629" s="12">
        <v>3.66</v>
      </c>
      <c r="L629" s="12">
        <v>4.43</v>
      </c>
      <c r="M629" s="12">
        <v>4.1100000000000003</v>
      </c>
      <c r="N629" s="12" t="s">
        <v>211</v>
      </c>
      <c r="O629" s="12">
        <v>3.97</v>
      </c>
      <c r="P629" s="12">
        <f t="shared" si="55"/>
        <v>3.8899999999999997</v>
      </c>
      <c r="Q629" s="12">
        <f t="shared" si="56"/>
        <v>3.89</v>
      </c>
      <c r="R629" s="12">
        <f t="shared" si="57"/>
        <v>4.0424999999999995</v>
      </c>
      <c r="S629" s="28">
        <f>IFERROR(INDEX('Clean Gamification Data'!$B:$B,MATCH($B629,'Clean Gamification Data'!$A:$A,0)),"Not Found")</f>
        <v>84.30194453</v>
      </c>
      <c r="T629" s="28">
        <f>IFERROR(INDEX('Clean Gamification Data'!$C:$C,MATCH($B629,'Clean Gamification Data'!$A:$A,0)),"Not Found")</f>
        <v>71.728955420000005</v>
      </c>
      <c r="U629" s="28">
        <f>IFERROR(INDEX('Clean Gamification Data'!$D:$D,MATCH($B629,'Clean Gamification Data'!$A:$A,0)),"Not Found")</f>
        <v>76.291064570000003</v>
      </c>
      <c r="V629" s="28">
        <f>IFERROR(INDEX('Clean Gamification Data'!$E:$E,MATCH($B629,'Clean Gamification Data'!$A:$A,0)),"Not Found")</f>
        <v>63.271172370000002</v>
      </c>
      <c r="W629" s="28">
        <f>IFERROR(INDEX('Clean Gamification Data'!$F:$F,MATCH($B629,'Clean Gamification Data'!$A:$A,0)),"Not Found")</f>
        <v>91.27808623</v>
      </c>
      <c r="X629" s="28">
        <f>IFERROR(INDEX('Clean Gamification Data'!$G:$G,MATCH($B629,'Clean Gamification Data'!$A:$A,0)),"Not Found")</f>
        <v>76.575272040000002</v>
      </c>
      <c r="Y629" s="28">
        <f>IFERROR(INDEX('Clean Gamification Data'!$H:$H,MATCH($B629,'Clean Gamification Data'!$A:$A,0)),"Not Found")</f>
        <v>67.344039260000002</v>
      </c>
      <c r="Z629" s="28">
        <f>IFERROR(INDEX('Clean Gamification Data'!$I:$I,MATCH($B629,'Clean Gamification Data'!$A:$A,0)),"Not Found")</f>
        <v>60.741604809999998</v>
      </c>
      <c r="AA629" s="28">
        <f>Table1[[#This Row],[Engagement (Gamification %)]]-Table1[[#This Row],[Engagement (Non-Gamification %)]]</f>
        <v>12.572989109999995</v>
      </c>
      <c r="AB629" s="28">
        <f>Table1[[#This Row],[Motivation (Gamification %)]]-Table1[[#This Row],[Motivation (Non-Gamification %)]]</f>
        <v>13.019892200000001</v>
      </c>
      <c r="AC629" s="28">
        <f>Table1[[#This Row],[Participation (Gamification %)]]-Table1[[#This Row],[Participation (Non-Gamification %)]]</f>
        <v>14.702814189999998</v>
      </c>
      <c r="AD629" s="28">
        <f>Table1[[#This Row],[Learning Outcomes (Gamification %)]]-Table1[[#This Row],[Learning Outcomes (Non-Gamification %)]]</f>
        <v>6.6024344500000041</v>
      </c>
      <c r="AE629" s="44" t="str">
        <f>IF(Table1[[#This Row],[Overall Effectiveness]]&lt;3.9,"Low",IF(Table1[[#This Row],[Overall Effectiveness]]&lt;4.2,"Medium","High"))</f>
        <v>Low</v>
      </c>
      <c r="AF629" s="30" t="str">
        <f t="shared" si="58"/>
        <v>Case Studies</v>
      </c>
      <c r="AG629" s="30" t="str">
        <f t="shared" si="59"/>
        <v>Case Studies</v>
      </c>
      <c r="AH629" s="27">
        <f>COUNTIF(Teacher_Master!$D$2:$D$16,AF629)</f>
        <v>3</v>
      </c>
      <c r="AI629" s="30" t="str">
        <f>INDEX(Teacher_Master!$B$2:$B$16,MATCH(AF629,Teacher_Master!$D$2:$D$16,0))</f>
        <v>Prof. Rajesh Mukherjee</v>
      </c>
    </row>
    <row r="630" spans="1:35" ht="14.25" customHeight="1" x14ac:dyDescent="0.3">
      <c r="A630" s="31" t="s">
        <v>1290</v>
      </c>
      <c r="B630" s="31" t="s">
        <v>1291</v>
      </c>
      <c r="C630" s="31" t="s">
        <v>2881</v>
      </c>
      <c r="D630" s="12">
        <f t="shared" ca="1" si="54"/>
        <v>29</v>
      </c>
      <c r="E630" s="12" t="str">
        <f ca="1">IF(Table1[[#This Row],[Age]]&lt;=22,"20-22",IF(Table1[[#This Row],[Age]]&lt;=25,"23-25",IF(Table1[[#This Row],[Age]]&lt;=28,"26-28","29-30")))</f>
        <v>29-30</v>
      </c>
      <c r="F630" s="12" t="s">
        <v>211</v>
      </c>
      <c r="G630" s="12">
        <v>3.71</v>
      </c>
      <c r="H630" s="12">
        <v>4.1900000000000004</v>
      </c>
      <c r="I630" s="12">
        <v>3.96</v>
      </c>
      <c r="J630" s="12">
        <v>3.75</v>
      </c>
      <c r="K630" s="12">
        <v>4.03</v>
      </c>
      <c r="L630" s="12" t="s">
        <v>211</v>
      </c>
      <c r="M630" s="12">
        <v>4.0999999999999996</v>
      </c>
      <c r="N630" s="12">
        <v>4.12</v>
      </c>
      <c r="O630" s="12">
        <v>4.21</v>
      </c>
      <c r="P630" s="12">
        <f t="shared" si="55"/>
        <v>3.9024999999999999</v>
      </c>
      <c r="Q630" s="12">
        <f t="shared" si="56"/>
        <v>3.9</v>
      </c>
      <c r="R630" s="12">
        <f t="shared" si="57"/>
        <v>4.1150000000000002</v>
      </c>
      <c r="S630" s="28">
        <f>IFERROR(INDEX('Clean Gamification Data'!$B:$B,MATCH($B630,'Clean Gamification Data'!$A:$A,0)),"Not Found")</f>
        <v>77.468405590000003</v>
      </c>
      <c r="T630" s="28">
        <f>IFERROR(INDEX('Clean Gamification Data'!$C:$C,MATCH($B630,'Clean Gamification Data'!$A:$A,0)),"Not Found")</f>
        <v>68.704825389999996</v>
      </c>
      <c r="U630" s="28">
        <f>IFERROR(INDEX('Clean Gamification Data'!$D:$D,MATCH($B630,'Clean Gamification Data'!$A:$A,0)),"Not Found")</f>
        <v>87.874317329999997</v>
      </c>
      <c r="V630" s="28">
        <f>IFERROR(INDEX('Clean Gamification Data'!$E:$E,MATCH($B630,'Clean Gamification Data'!$A:$A,0)),"Not Found")</f>
        <v>66.143977669999998</v>
      </c>
      <c r="W630" s="28">
        <f>IFERROR(INDEX('Clean Gamification Data'!$F:$F,MATCH($B630,'Clean Gamification Data'!$A:$A,0)),"Not Found")</f>
        <v>80</v>
      </c>
      <c r="X630" s="28">
        <f>IFERROR(INDEX('Clean Gamification Data'!$G:$G,MATCH($B630,'Clean Gamification Data'!$A:$A,0)),"Not Found")</f>
        <v>75.284441470000004</v>
      </c>
      <c r="Y630" s="28">
        <f>IFERROR(INDEX('Clean Gamification Data'!$H:$H,MATCH($B630,'Clean Gamification Data'!$A:$A,0)),"Not Found")</f>
        <v>72.015486190000004</v>
      </c>
      <c r="Z630" s="28">
        <f>IFERROR(INDEX('Clean Gamification Data'!$I:$I,MATCH($B630,'Clean Gamification Data'!$A:$A,0)),"Not Found")</f>
        <v>67.415446700000004</v>
      </c>
      <c r="AA630" s="28">
        <f>Table1[[#This Row],[Engagement (Gamification %)]]-Table1[[#This Row],[Engagement (Non-Gamification %)]]</f>
        <v>8.7635802000000069</v>
      </c>
      <c r="AB630" s="28">
        <f>Table1[[#This Row],[Motivation (Gamification %)]]-Table1[[#This Row],[Motivation (Non-Gamification %)]]</f>
        <v>21.730339659999999</v>
      </c>
      <c r="AC630" s="28">
        <f>Table1[[#This Row],[Participation (Gamification %)]]-Table1[[#This Row],[Participation (Non-Gamification %)]]</f>
        <v>4.7155585299999956</v>
      </c>
      <c r="AD630" s="28">
        <f>Table1[[#This Row],[Learning Outcomes (Gamification %)]]-Table1[[#This Row],[Learning Outcomes (Non-Gamification %)]]</f>
        <v>4.6000394900000003</v>
      </c>
      <c r="AE630" s="44" t="str">
        <f>IF(Table1[[#This Row],[Overall Effectiveness]]&lt;3.9,"Low",IF(Table1[[#This Row],[Overall Effectiveness]]&lt;4.2,"Medium","High"))</f>
        <v>Medium</v>
      </c>
      <c r="AF630" s="30" t="str">
        <f t="shared" si="58"/>
        <v>Group Projects</v>
      </c>
      <c r="AG630" s="30" t="str">
        <f t="shared" si="59"/>
        <v>Online Tutorials</v>
      </c>
      <c r="AH630" s="27">
        <f>COUNTIF(Teacher_Master!$D$2:$D$16,AF630)</f>
        <v>3</v>
      </c>
      <c r="AI630" s="30" t="str">
        <f>INDEX(Teacher_Master!$B$2:$B$16,MATCH(AF630,Teacher_Master!$D$2:$D$16,0))</f>
        <v>Dr. Rohan Dutta</v>
      </c>
    </row>
    <row r="631" spans="1:35" ht="14.25" customHeight="1" x14ac:dyDescent="0.3">
      <c r="A631" s="31" t="s">
        <v>1292</v>
      </c>
      <c r="B631" s="31" t="s">
        <v>2527</v>
      </c>
      <c r="C631" s="31" t="s">
        <v>2881</v>
      </c>
      <c r="D631" s="12">
        <f t="shared" ca="1" si="54"/>
        <v>26</v>
      </c>
      <c r="E631" s="12" t="str">
        <f ca="1">IF(Table1[[#This Row],[Age]]&lt;=22,"20-22",IF(Table1[[#This Row],[Age]]&lt;=25,"23-25",IF(Table1[[#This Row],[Age]]&lt;=28,"26-28","29-30")))</f>
        <v>26-28</v>
      </c>
      <c r="F631" s="12">
        <v>4.34</v>
      </c>
      <c r="G631" s="12">
        <v>4.3499999999999996</v>
      </c>
      <c r="H631" s="12">
        <v>3.59</v>
      </c>
      <c r="I631" s="12">
        <v>4.01</v>
      </c>
      <c r="J631" s="12">
        <v>3.78</v>
      </c>
      <c r="K631" s="12">
        <v>4.38</v>
      </c>
      <c r="L631" s="12">
        <v>3.88</v>
      </c>
      <c r="M631" s="12">
        <v>4</v>
      </c>
      <c r="N631" s="12">
        <v>3.62</v>
      </c>
      <c r="O631" s="12">
        <v>4.13</v>
      </c>
      <c r="P631" s="12">
        <f t="shared" si="55"/>
        <v>4.0140000000000002</v>
      </c>
      <c r="Q631" s="12">
        <f t="shared" si="56"/>
        <v>4.01</v>
      </c>
      <c r="R631" s="12">
        <f t="shared" si="57"/>
        <v>4.0019999999999998</v>
      </c>
      <c r="S631" s="28">
        <f>IFERROR(INDEX('Clean Gamification Data'!$B:$B,MATCH($B631,'Clean Gamification Data'!$A:$A,0)),"Not Found")</f>
        <v>79.915021530000004</v>
      </c>
      <c r="T631" s="28">
        <f>IFERROR(INDEX('Clean Gamification Data'!$C:$C,MATCH($B631,'Clean Gamification Data'!$A:$A,0)),"Not Found")</f>
        <v>71.737025349999996</v>
      </c>
      <c r="U631" s="28">
        <f>IFERROR(INDEX('Clean Gamification Data'!$D:$D,MATCH($B631,'Clean Gamification Data'!$A:$A,0)),"Not Found")</f>
        <v>73.73692011</v>
      </c>
      <c r="V631" s="28">
        <f>IFERROR(INDEX('Clean Gamification Data'!$E:$E,MATCH($B631,'Clean Gamification Data'!$A:$A,0)),"Not Found")</f>
        <v>73.973593649999998</v>
      </c>
      <c r="W631" s="28">
        <f>IFERROR(INDEX('Clean Gamification Data'!$F:$F,MATCH($B631,'Clean Gamification Data'!$A:$A,0)),"Not Found")</f>
        <v>94.859585510000002</v>
      </c>
      <c r="X631" s="28">
        <f>IFERROR(INDEX('Clean Gamification Data'!$G:$G,MATCH($B631,'Clean Gamification Data'!$A:$A,0)),"Not Found")</f>
        <v>71.269659369999999</v>
      </c>
      <c r="Y631" s="28">
        <f>IFERROR(INDEX('Clean Gamification Data'!$H:$H,MATCH($B631,'Clean Gamification Data'!$A:$A,0)),"Not Found")</f>
        <v>74.05352852</v>
      </c>
      <c r="Z631" s="28">
        <f>IFERROR(INDEX('Clean Gamification Data'!$I:$I,MATCH($B631,'Clean Gamification Data'!$A:$A,0)),"Not Found")</f>
        <v>62.594718829999998</v>
      </c>
      <c r="AA631" s="28">
        <f>Table1[[#This Row],[Engagement (Gamification %)]]-Table1[[#This Row],[Engagement (Non-Gamification %)]]</f>
        <v>8.1779961800000081</v>
      </c>
      <c r="AB631" s="28">
        <f>Table1[[#This Row],[Motivation (Gamification %)]]-Table1[[#This Row],[Motivation (Non-Gamification %)]]</f>
        <v>-0.23667353999999818</v>
      </c>
      <c r="AC631" s="28">
        <f>Table1[[#This Row],[Participation (Gamification %)]]-Table1[[#This Row],[Participation (Non-Gamification %)]]</f>
        <v>23.589926140000003</v>
      </c>
      <c r="AD631" s="28">
        <f>Table1[[#This Row],[Learning Outcomes (Gamification %)]]-Table1[[#This Row],[Learning Outcomes (Non-Gamification %)]]</f>
        <v>11.458809690000002</v>
      </c>
      <c r="AE631" s="44" t="str">
        <f>IF(Table1[[#This Row],[Overall Effectiveness]]&lt;3.9,"Low",IF(Table1[[#This Row],[Overall Effectiveness]]&lt;4.2,"Medium","High"))</f>
        <v>Medium</v>
      </c>
      <c r="AF631" s="30" t="str">
        <f t="shared" si="58"/>
        <v>Case Studies</v>
      </c>
      <c r="AG631" s="30" t="str">
        <f t="shared" si="59"/>
        <v>Lectures</v>
      </c>
      <c r="AH631" s="27">
        <f>COUNTIF(Teacher_Master!$D$2:$D$16,AF631)</f>
        <v>3</v>
      </c>
      <c r="AI631" s="30" t="str">
        <f>INDEX(Teacher_Master!$B$2:$B$16,MATCH(AF631,Teacher_Master!$D$2:$D$16,0))</f>
        <v>Prof. Rajesh Mukherjee</v>
      </c>
    </row>
    <row r="632" spans="1:35" ht="14.25" customHeight="1" x14ac:dyDescent="0.3">
      <c r="A632" s="31" t="s">
        <v>1294</v>
      </c>
      <c r="B632" s="31" t="s">
        <v>2528</v>
      </c>
      <c r="C632" s="31" t="s">
        <v>2881</v>
      </c>
      <c r="D632" s="12">
        <f t="shared" ca="1" si="54"/>
        <v>24</v>
      </c>
      <c r="E632" s="12" t="str">
        <f ca="1">IF(Table1[[#This Row],[Age]]&lt;=22,"20-22",IF(Table1[[#This Row],[Age]]&lt;=25,"23-25",IF(Table1[[#This Row],[Age]]&lt;=28,"26-28","29-30")))</f>
        <v>23-25</v>
      </c>
      <c r="F632" s="12">
        <v>4.43</v>
      </c>
      <c r="G632" s="12">
        <v>3.98</v>
      </c>
      <c r="H632" s="12">
        <v>3.95</v>
      </c>
      <c r="I632" s="12">
        <v>3.9</v>
      </c>
      <c r="J632" s="12">
        <v>4.0999999999999996</v>
      </c>
      <c r="K632" s="12">
        <v>4.6399999999999997</v>
      </c>
      <c r="L632" s="12">
        <v>3.95</v>
      </c>
      <c r="M632" s="12">
        <v>4.01</v>
      </c>
      <c r="N632" s="12">
        <v>3.56</v>
      </c>
      <c r="O632" s="12">
        <v>4.78</v>
      </c>
      <c r="P632" s="12">
        <f t="shared" si="55"/>
        <v>4.0720000000000001</v>
      </c>
      <c r="Q632" s="12">
        <f t="shared" si="56"/>
        <v>4.07</v>
      </c>
      <c r="R632" s="12">
        <f t="shared" si="57"/>
        <v>4.1880000000000006</v>
      </c>
      <c r="S632" s="28">
        <f>IFERROR(INDEX('Clean Gamification Data'!$B:$B,MATCH($B632,'Clean Gamification Data'!$A:$A,0)),"Not Found")</f>
        <v>86.019689139999997</v>
      </c>
      <c r="T632" s="28">
        <f>IFERROR(INDEX('Clean Gamification Data'!$C:$C,MATCH($B632,'Clean Gamification Data'!$A:$A,0)),"Not Found")</f>
        <v>73.538488959999995</v>
      </c>
      <c r="U632" s="28">
        <f>IFERROR(INDEX('Clean Gamification Data'!$D:$D,MATCH($B632,'Clean Gamification Data'!$A:$A,0)),"Not Found")</f>
        <v>76.635557680000005</v>
      </c>
      <c r="V632" s="28">
        <f>IFERROR(INDEX('Clean Gamification Data'!$E:$E,MATCH($B632,'Clean Gamification Data'!$A:$A,0)),"Not Found")</f>
        <v>70.144845410000002</v>
      </c>
      <c r="W632" s="28">
        <f>IFERROR(INDEX('Clean Gamification Data'!$F:$F,MATCH($B632,'Clean Gamification Data'!$A:$A,0)),"Not Found")</f>
        <v>93.238653110000001</v>
      </c>
      <c r="X632" s="28">
        <f>IFERROR(INDEX('Clean Gamification Data'!$G:$G,MATCH($B632,'Clean Gamification Data'!$A:$A,0)),"Not Found")</f>
        <v>67.446196760000007</v>
      </c>
      <c r="Y632" s="28">
        <f>IFERROR(INDEX('Clean Gamification Data'!$H:$H,MATCH($B632,'Clean Gamification Data'!$A:$A,0)),"Not Found")</f>
        <v>71.032558699999996</v>
      </c>
      <c r="Z632" s="28">
        <f>IFERROR(INDEX('Clean Gamification Data'!$I:$I,MATCH($B632,'Clean Gamification Data'!$A:$A,0)),"Not Found")</f>
        <v>68.968133780000002</v>
      </c>
      <c r="AA632" s="28">
        <f>Table1[[#This Row],[Engagement (Gamification %)]]-Table1[[#This Row],[Engagement (Non-Gamification %)]]</f>
        <v>12.481200180000002</v>
      </c>
      <c r="AB632" s="28">
        <f>Table1[[#This Row],[Motivation (Gamification %)]]-Table1[[#This Row],[Motivation (Non-Gamification %)]]</f>
        <v>6.4907122700000031</v>
      </c>
      <c r="AC632" s="28">
        <f>Table1[[#This Row],[Participation (Gamification %)]]-Table1[[#This Row],[Participation (Non-Gamification %)]]</f>
        <v>25.792456349999995</v>
      </c>
      <c r="AD632" s="28">
        <f>Table1[[#This Row],[Learning Outcomes (Gamification %)]]-Table1[[#This Row],[Learning Outcomes (Non-Gamification %)]]</f>
        <v>2.0644249199999933</v>
      </c>
      <c r="AE632" s="44" t="str">
        <f>IF(Table1[[#This Row],[Overall Effectiveness]]&lt;3.9,"Low",IF(Table1[[#This Row],[Overall Effectiveness]]&lt;4.2,"Medium","High"))</f>
        <v>Medium</v>
      </c>
      <c r="AF632" s="30" t="str">
        <f t="shared" si="58"/>
        <v>Lectures</v>
      </c>
      <c r="AG632" s="30" t="str">
        <f t="shared" si="59"/>
        <v>Online Tutorials</v>
      </c>
      <c r="AH632" s="27">
        <f>COUNTIF(Teacher_Master!$D$2:$D$16,AF632)</f>
        <v>3</v>
      </c>
      <c r="AI632" s="30" t="str">
        <f>INDEX(Teacher_Master!$B$2:$B$16,MATCH(AF632,Teacher_Master!$D$2:$D$16,0))</f>
        <v>Prof. Vikram Gupta</v>
      </c>
    </row>
    <row r="633" spans="1:35" ht="14.25" customHeight="1" x14ac:dyDescent="0.3">
      <c r="A633" s="31" t="s">
        <v>1296</v>
      </c>
      <c r="B633" s="31" t="s">
        <v>2529</v>
      </c>
      <c r="C633" s="31" t="s">
        <v>2881</v>
      </c>
      <c r="D633" s="12">
        <f t="shared" ca="1" si="54"/>
        <v>27</v>
      </c>
      <c r="E633" s="12" t="str">
        <f ca="1">IF(Table1[[#This Row],[Age]]&lt;=22,"20-22",IF(Table1[[#This Row],[Age]]&lt;=25,"23-25",IF(Table1[[#This Row],[Age]]&lt;=28,"26-28","29-30")))</f>
        <v>26-28</v>
      </c>
      <c r="F633" s="12">
        <v>3.79</v>
      </c>
      <c r="G633" s="12">
        <v>4.45</v>
      </c>
      <c r="H633" s="12">
        <v>3.74</v>
      </c>
      <c r="I633" s="12">
        <v>3.2</v>
      </c>
      <c r="J633" s="12">
        <v>3.82</v>
      </c>
      <c r="K633" s="12">
        <v>3.88</v>
      </c>
      <c r="L633" s="12">
        <v>3.33</v>
      </c>
      <c r="M633" s="12">
        <v>3.66</v>
      </c>
      <c r="N633" s="12">
        <v>3.8</v>
      </c>
      <c r="O633" s="12">
        <v>3.83</v>
      </c>
      <c r="P633" s="12">
        <f t="shared" si="55"/>
        <v>3.8</v>
      </c>
      <c r="Q633" s="12">
        <f t="shared" si="56"/>
        <v>3.8</v>
      </c>
      <c r="R633" s="12">
        <f t="shared" si="57"/>
        <v>3.7</v>
      </c>
      <c r="S633" s="28">
        <f>IFERROR(INDEX('Clean Gamification Data'!$B:$B,MATCH($B633,'Clean Gamification Data'!$A:$A,0)),"Not Found")</f>
        <v>87.861835139999997</v>
      </c>
      <c r="T633" s="28">
        <f>IFERROR(INDEX('Clean Gamification Data'!$C:$C,MATCH($B633,'Clean Gamification Data'!$A:$A,0)),"Not Found")</f>
        <v>73.280535880000002</v>
      </c>
      <c r="U633" s="28">
        <f>IFERROR(INDEX('Clean Gamification Data'!$D:$D,MATCH($B633,'Clean Gamification Data'!$A:$A,0)),"Not Found")</f>
        <v>73.648488510000007</v>
      </c>
      <c r="V633" s="28">
        <f>IFERROR(INDEX('Clean Gamification Data'!$E:$E,MATCH($B633,'Clean Gamification Data'!$A:$A,0)),"Not Found")</f>
        <v>68.27217838</v>
      </c>
      <c r="W633" s="28">
        <f>IFERROR(INDEX('Clean Gamification Data'!$F:$F,MATCH($B633,'Clean Gamification Data'!$A:$A,0)),"Not Found")</f>
        <v>95.983431069999995</v>
      </c>
      <c r="X633" s="28">
        <f>IFERROR(INDEX('Clean Gamification Data'!$G:$G,MATCH($B633,'Clean Gamification Data'!$A:$A,0)),"Not Found")</f>
        <v>69.508048389999999</v>
      </c>
      <c r="Y633" s="28">
        <f>IFERROR(INDEX('Clean Gamification Data'!$H:$H,MATCH($B633,'Clean Gamification Data'!$A:$A,0)),"Not Found")</f>
        <v>70.378894509999995</v>
      </c>
      <c r="Z633" s="28">
        <f>IFERROR(INDEX('Clean Gamification Data'!$I:$I,MATCH($B633,'Clean Gamification Data'!$A:$A,0)),"Not Found")</f>
        <v>67.862504079999994</v>
      </c>
      <c r="AA633" s="28">
        <f>Table1[[#This Row],[Engagement (Gamification %)]]-Table1[[#This Row],[Engagement (Non-Gamification %)]]</f>
        <v>14.581299259999994</v>
      </c>
      <c r="AB633" s="28">
        <f>Table1[[#This Row],[Motivation (Gamification %)]]-Table1[[#This Row],[Motivation (Non-Gamification %)]]</f>
        <v>5.3763101300000073</v>
      </c>
      <c r="AC633" s="28">
        <f>Table1[[#This Row],[Participation (Gamification %)]]-Table1[[#This Row],[Participation (Non-Gamification %)]]</f>
        <v>26.475382679999996</v>
      </c>
      <c r="AD633" s="28">
        <f>Table1[[#This Row],[Learning Outcomes (Gamification %)]]-Table1[[#This Row],[Learning Outcomes (Non-Gamification %)]]</f>
        <v>2.5163904300000013</v>
      </c>
      <c r="AE633" s="44" t="str">
        <f>IF(Table1[[#This Row],[Overall Effectiveness]]&lt;3.9,"Low",IF(Table1[[#This Row],[Overall Effectiveness]]&lt;4.2,"Medium","High"))</f>
        <v>Low</v>
      </c>
      <c r="AF633" s="30" t="str">
        <f t="shared" si="58"/>
        <v>Case Studies</v>
      </c>
      <c r="AG633" s="30" t="str">
        <f t="shared" si="59"/>
        <v>Lectures</v>
      </c>
      <c r="AH633" s="27">
        <f>COUNTIF(Teacher_Master!$D$2:$D$16,AF633)</f>
        <v>3</v>
      </c>
      <c r="AI633" s="30" t="str">
        <f>INDEX(Teacher_Master!$B$2:$B$16,MATCH(AF633,Teacher_Master!$D$2:$D$16,0))</f>
        <v>Prof. Rajesh Mukherjee</v>
      </c>
    </row>
    <row r="634" spans="1:35" ht="14.25" customHeight="1" x14ac:dyDescent="0.3">
      <c r="A634" s="31" t="s">
        <v>1298</v>
      </c>
      <c r="B634" s="31" t="s">
        <v>1299</v>
      </c>
      <c r="C634" s="31" t="s">
        <v>2882</v>
      </c>
      <c r="D634" s="12">
        <f t="shared" ca="1" si="54"/>
        <v>29</v>
      </c>
      <c r="E634" s="12" t="str">
        <f ca="1">IF(Table1[[#This Row],[Age]]&lt;=22,"20-22",IF(Table1[[#This Row],[Age]]&lt;=25,"23-25",IF(Table1[[#This Row],[Age]]&lt;=28,"26-28","29-30")))</f>
        <v>29-30</v>
      </c>
      <c r="F634" s="12">
        <v>3.51</v>
      </c>
      <c r="G634" s="12">
        <v>4.21</v>
      </c>
      <c r="H634" s="12">
        <v>4.2699999999999996</v>
      </c>
      <c r="I634" s="12">
        <v>4.1100000000000003</v>
      </c>
      <c r="J634" s="12">
        <v>4.28</v>
      </c>
      <c r="K634" s="12">
        <v>4.0599999999999996</v>
      </c>
      <c r="L634" s="12">
        <v>4.1100000000000003</v>
      </c>
      <c r="M634" s="12">
        <v>4.49</v>
      </c>
      <c r="N634" s="12">
        <v>4.09</v>
      </c>
      <c r="O634" s="12">
        <v>4.57</v>
      </c>
      <c r="P634" s="12">
        <f t="shared" si="55"/>
        <v>4.0759999999999996</v>
      </c>
      <c r="Q634" s="12">
        <f t="shared" si="56"/>
        <v>4.08</v>
      </c>
      <c r="R634" s="12">
        <f t="shared" si="57"/>
        <v>4.2640000000000002</v>
      </c>
      <c r="S634" s="28">
        <f>IFERROR(INDEX('Clean Gamification Data'!$B:$B,MATCH($B634,'Clean Gamification Data'!$A:$A,0)),"Not Found")</f>
        <v>78.019577769999998</v>
      </c>
      <c r="T634" s="28">
        <f>IFERROR(INDEX('Clean Gamification Data'!$C:$C,MATCH($B634,'Clean Gamification Data'!$A:$A,0)),"Not Found")</f>
        <v>64.931705519999994</v>
      </c>
      <c r="U634" s="28">
        <f>IFERROR(INDEX('Clean Gamification Data'!$D:$D,MATCH($B634,'Clean Gamification Data'!$A:$A,0)),"Not Found")</f>
        <v>81.455311199999997</v>
      </c>
      <c r="V634" s="28">
        <f>IFERROR(INDEX('Clean Gamification Data'!$E:$E,MATCH($B634,'Clean Gamification Data'!$A:$A,0)),"Not Found")</f>
        <v>65.174252179999996</v>
      </c>
      <c r="W634" s="28">
        <f>IFERROR(INDEX('Clean Gamification Data'!$F:$F,MATCH($B634,'Clean Gamification Data'!$A:$A,0)),"Not Found")</f>
        <v>92.590385429999998</v>
      </c>
      <c r="X634" s="28">
        <f>IFERROR(INDEX('Clean Gamification Data'!$G:$G,MATCH($B634,'Clean Gamification Data'!$A:$A,0)),"Not Found")</f>
        <v>82.368572470000004</v>
      </c>
      <c r="Y634" s="28">
        <f>IFERROR(INDEX('Clean Gamification Data'!$H:$H,MATCH($B634,'Clean Gamification Data'!$A:$A,0)),"Not Found")</f>
        <v>72.354206520000005</v>
      </c>
      <c r="Z634" s="28">
        <f>IFERROR(INDEX('Clean Gamification Data'!$I:$I,MATCH($B634,'Clean Gamification Data'!$A:$A,0)),"Not Found")</f>
        <v>61.263810040000003</v>
      </c>
      <c r="AA634" s="28">
        <f>Table1[[#This Row],[Engagement (Gamification %)]]-Table1[[#This Row],[Engagement (Non-Gamification %)]]</f>
        <v>13.087872250000004</v>
      </c>
      <c r="AB634" s="28">
        <f>Table1[[#This Row],[Motivation (Gamification %)]]-Table1[[#This Row],[Motivation (Non-Gamification %)]]</f>
        <v>16.281059020000001</v>
      </c>
      <c r="AC634" s="28">
        <f>Table1[[#This Row],[Participation (Gamification %)]]-Table1[[#This Row],[Participation (Non-Gamification %)]]</f>
        <v>10.221812959999994</v>
      </c>
      <c r="AD634" s="28">
        <f>Table1[[#This Row],[Learning Outcomes (Gamification %)]]-Table1[[#This Row],[Learning Outcomes (Non-Gamification %)]]</f>
        <v>11.090396480000003</v>
      </c>
      <c r="AE634" s="44" t="str">
        <f>IF(Table1[[#This Row],[Overall Effectiveness]]&lt;3.9,"Low",IF(Table1[[#This Row],[Overall Effectiveness]]&lt;4.2,"Medium","High"))</f>
        <v>Medium</v>
      </c>
      <c r="AF634" s="30" t="str">
        <f t="shared" si="58"/>
        <v>Online Tutorials</v>
      </c>
      <c r="AG634" s="30" t="str">
        <f t="shared" si="59"/>
        <v>Online Tutorials</v>
      </c>
      <c r="AH634" s="27">
        <f>COUNTIF(Teacher_Master!$D$2:$D$16,AF634)</f>
        <v>3</v>
      </c>
      <c r="AI634" s="30" t="str">
        <f>INDEX(Teacher_Master!$B$2:$B$16,MATCH(AF634,Teacher_Master!$D$2:$D$16,0))</f>
        <v>Prof. Kavita Rao</v>
      </c>
    </row>
    <row r="635" spans="1:35" ht="14.25" customHeight="1" x14ac:dyDescent="0.3">
      <c r="A635" s="31" t="s">
        <v>1300</v>
      </c>
      <c r="B635" s="31" t="s">
        <v>2530</v>
      </c>
      <c r="C635" s="31" t="s">
        <v>2882</v>
      </c>
      <c r="D635" s="12">
        <f t="shared" ca="1" si="54"/>
        <v>26</v>
      </c>
      <c r="E635" s="12" t="str">
        <f ca="1">IF(Table1[[#This Row],[Age]]&lt;=22,"20-22",IF(Table1[[#This Row],[Age]]&lt;=25,"23-25",IF(Table1[[#This Row],[Age]]&lt;=28,"26-28","29-30")))</f>
        <v>26-28</v>
      </c>
      <c r="F635" s="12">
        <v>4.1100000000000003</v>
      </c>
      <c r="G635" s="12">
        <v>4.25</v>
      </c>
      <c r="H635" s="12">
        <v>4.3499999999999996</v>
      </c>
      <c r="I635" s="12" t="s">
        <v>211</v>
      </c>
      <c r="J635" s="12">
        <v>4.12</v>
      </c>
      <c r="K635" s="12">
        <v>4.09</v>
      </c>
      <c r="L635" s="12">
        <v>4.25</v>
      </c>
      <c r="M635" s="12">
        <v>4.2300000000000004</v>
      </c>
      <c r="N635" s="12">
        <v>4.2</v>
      </c>
      <c r="O635" s="12">
        <v>4.45</v>
      </c>
      <c r="P635" s="12">
        <f t="shared" si="55"/>
        <v>4.2074999999999996</v>
      </c>
      <c r="Q635" s="12">
        <f t="shared" si="56"/>
        <v>4.21</v>
      </c>
      <c r="R635" s="12">
        <f t="shared" si="57"/>
        <v>4.2439999999999998</v>
      </c>
      <c r="S635" s="28">
        <f>IFERROR(INDEX('Clean Gamification Data'!$B:$B,MATCH($B635,'Clean Gamification Data'!$A:$A,0)),"Not Found")</f>
        <v>81.802595310000001</v>
      </c>
      <c r="T635" s="28">
        <f>IFERROR(INDEX('Clean Gamification Data'!$C:$C,MATCH($B635,'Clean Gamification Data'!$A:$A,0)),"Not Found")</f>
        <v>64.767395070000006</v>
      </c>
      <c r="U635" s="28">
        <f>IFERROR(INDEX('Clean Gamification Data'!$D:$D,MATCH($B635,'Clean Gamification Data'!$A:$A,0)),"Not Found")</f>
        <v>79.116064769999994</v>
      </c>
      <c r="V635" s="28">
        <f>IFERROR(INDEX('Clean Gamification Data'!$E:$E,MATCH($B635,'Clean Gamification Data'!$A:$A,0)),"Not Found")</f>
        <v>62.920285120000003</v>
      </c>
      <c r="W635" s="28">
        <f>IFERROR(INDEX('Clean Gamification Data'!$F:$F,MATCH($B635,'Clean Gamification Data'!$A:$A,0)),"Not Found")</f>
        <v>96.223894779999995</v>
      </c>
      <c r="X635" s="28">
        <f>IFERROR(INDEX('Clean Gamification Data'!$G:$G,MATCH($B635,'Clean Gamification Data'!$A:$A,0)),"Not Found")</f>
        <v>70.568256329999997</v>
      </c>
      <c r="Y635" s="28">
        <f>IFERROR(INDEX('Clean Gamification Data'!$H:$H,MATCH($B635,'Clean Gamification Data'!$A:$A,0)),"Not Found")</f>
        <v>69.798919209999994</v>
      </c>
      <c r="Z635" s="28">
        <f>IFERROR(INDEX('Clean Gamification Data'!$I:$I,MATCH($B635,'Clean Gamification Data'!$A:$A,0)),"Not Found")</f>
        <v>64.033915890000003</v>
      </c>
      <c r="AA635" s="28">
        <f>Table1[[#This Row],[Engagement (Gamification %)]]-Table1[[#This Row],[Engagement (Non-Gamification %)]]</f>
        <v>17.035200239999995</v>
      </c>
      <c r="AB635" s="28">
        <f>Table1[[#This Row],[Motivation (Gamification %)]]-Table1[[#This Row],[Motivation (Non-Gamification %)]]</f>
        <v>16.195779649999992</v>
      </c>
      <c r="AC635" s="28">
        <f>Table1[[#This Row],[Participation (Gamification %)]]-Table1[[#This Row],[Participation (Non-Gamification %)]]</f>
        <v>25.655638449999998</v>
      </c>
      <c r="AD635" s="28">
        <f>Table1[[#This Row],[Learning Outcomes (Gamification %)]]-Table1[[#This Row],[Learning Outcomes (Non-Gamification %)]]</f>
        <v>5.765003319999991</v>
      </c>
      <c r="AE635" s="44" t="str">
        <f>IF(Table1[[#This Row],[Overall Effectiveness]]&lt;3.9,"Low",IF(Table1[[#This Row],[Overall Effectiveness]]&lt;4.2,"Medium","High"))</f>
        <v>High</v>
      </c>
      <c r="AF635" s="30" t="str">
        <f t="shared" si="58"/>
        <v>Group Projects</v>
      </c>
      <c r="AG635" s="30" t="str">
        <f t="shared" si="59"/>
        <v>Online Tutorials</v>
      </c>
      <c r="AH635" s="27">
        <f>COUNTIF(Teacher_Master!$D$2:$D$16,AF635)</f>
        <v>3</v>
      </c>
      <c r="AI635" s="30" t="str">
        <f>INDEX(Teacher_Master!$B$2:$B$16,MATCH(AF635,Teacher_Master!$D$2:$D$16,0))</f>
        <v>Dr. Rohan Dutta</v>
      </c>
    </row>
    <row r="636" spans="1:35" ht="14.25" customHeight="1" x14ac:dyDescent="0.3">
      <c r="A636" s="31" t="s">
        <v>1302</v>
      </c>
      <c r="B636" s="31" t="s">
        <v>2531</v>
      </c>
      <c r="C636" s="31" t="s">
        <v>2882</v>
      </c>
      <c r="D636" s="12">
        <f t="shared" ca="1" si="54"/>
        <v>27</v>
      </c>
      <c r="E636" s="12" t="str">
        <f ca="1">IF(Table1[[#This Row],[Age]]&lt;=22,"20-22",IF(Table1[[#This Row],[Age]]&lt;=25,"23-25",IF(Table1[[#This Row],[Age]]&lt;=28,"26-28","29-30")))</f>
        <v>26-28</v>
      </c>
      <c r="F636" s="12">
        <v>4.26</v>
      </c>
      <c r="G636" s="12">
        <v>4.0199999999999996</v>
      </c>
      <c r="H636" s="12">
        <v>4</v>
      </c>
      <c r="I636" s="12">
        <v>4.2699999999999996</v>
      </c>
      <c r="J636" s="12">
        <v>4.04</v>
      </c>
      <c r="K636" s="12">
        <v>4.25</v>
      </c>
      <c r="L636" s="12">
        <v>4.1900000000000004</v>
      </c>
      <c r="M636" s="12">
        <v>3.85</v>
      </c>
      <c r="N636" s="12">
        <v>4.12</v>
      </c>
      <c r="O636" s="12">
        <v>4.24</v>
      </c>
      <c r="P636" s="12">
        <f t="shared" si="55"/>
        <v>4.1179999999999994</v>
      </c>
      <c r="Q636" s="12">
        <f t="shared" si="56"/>
        <v>4.12</v>
      </c>
      <c r="R636" s="12">
        <f t="shared" si="57"/>
        <v>4.13</v>
      </c>
      <c r="S636" s="28">
        <f>IFERROR(INDEX('Clean Gamification Data'!$B:$B,MATCH($B636,'Clean Gamification Data'!$A:$A,0)),"Not Found")</f>
        <v>82.132402709999994</v>
      </c>
      <c r="T636" s="28">
        <f>IFERROR(INDEX('Clean Gamification Data'!$C:$C,MATCH($B636,'Clean Gamification Data'!$A:$A,0)),"Not Found")</f>
        <v>67.825413299999994</v>
      </c>
      <c r="U636" s="28">
        <f>IFERROR(INDEX('Clean Gamification Data'!$D:$D,MATCH($B636,'Clean Gamification Data'!$A:$A,0)),"Not Found")</f>
        <v>78.228813650000006</v>
      </c>
      <c r="V636" s="28">
        <f>IFERROR(INDEX('Clean Gamification Data'!$E:$E,MATCH($B636,'Clean Gamification Data'!$A:$A,0)),"Not Found")</f>
        <v>72.385442870000006</v>
      </c>
      <c r="W636" s="28">
        <f>IFERROR(INDEX('Clean Gamification Data'!$F:$F,MATCH($B636,'Clean Gamification Data'!$A:$A,0)),"Not Found")</f>
        <v>91.023536730000004</v>
      </c>
      <c r="X636" s="28">
        <f>IFERROR(INDEX('Clean Gamification Data'!$G:$G,MATCH($B636,'Clean Gamification Data'!$A:$A,0)),"Not Found")</f>
        <v>85</v>
      </c>
      <c r="Y636" s="28">
        <f>IFERROR(INDEX('Clean Gamification Data'!$H:$H,MATCH($B636,'Clean Gamification Data'!$A:$A,0)),"Not Found")</f>
        <v>70.032741250000001</v>
      </c>
      <c r="Z636" s="28">
        <f>IFERROR(INDEX('Clean Gamification Data'!$I:$I,MATCH($B636,'Clean Gamification Data'!$A:$A,0)),"Not Found")</f>
        <v>52.916378379999998</v>
      </c>
      <c r="AA636" s="28">
        <f>Table1[[#This Row],[Engagement (Gamification %)]]-Table1[[#This Row],[Engagement (Non-Gamification %)]]</f>
        <v>14.30698941</v>
      </c>
      <c r="AB636" s="28">
        <f>Table1[[#This Row],[Motivation (Gamification %)]]-Table1[[#This Row],[Motivation (Non-Gamification %)]]</f>
        <v>5.8433707800000008</v>
      </c>
      <c r="AC636" s="28">
        <f>Table1[[#This Row],[Participation (Gamification %)]]-Table1[[#This Row],[Participation (Non-Gamification %)]]</f>
        <v>6.0235367300000036</v>
      </c>
      <c r="AD636" s="28">
        <f>Table1[[#This Row],[Learning Outcomes (Gamification %)]]-Table1[[#This Row],[Learning Outcomes (Non-Gamification %)]]</f>
        <v>17.116362870000003</v>
      </c>
      <c r="AE636" s="44" t="str">
        <f>IF(Table1[[#This Row],[Overall Effectiveness]]&lt;3.9,"Low",IF(Table1[[#This Row],[Overall Effectiveness]]&lt;4.2,"Medium","High"))</f>
        <v>Medium</v>
      </c>
      <c r="AF636" s="30" t="str">
        <f t="shared" si="58"/>
        <v>Experiments</v>
      </c>
      <c r="AG636" s="30" t="str">
        <f t="shared" si="59"/>
        <v>Lectures</v>
      </c>
      <c r="AH636" s="27">
        <f>COUNTIF(Teacher_Master!$D$2:$D$16,AF636)</f>
        <v>3</v>
      </c>
      <c r="AI636" s="30" t="str">
        <f>INDEX(Teacher_Master!$B$2:$B$16,MATCH(AF636,Teacher_Master!$D$2:$D$16,0))</f>
        <v>Prof. Rahul Singh</v>
      </c>
    </row>
    <row r="637" spans="1:35" ht="14.25" customHeight="1" x14ac:dyDescent="0.3">
      <c r="A637" s="31" t="s">
        <v>1304</v>
      </c>
      <c r="B637" s="31" t="s">
        <v>1305</v>
      </c>
      <c r="C637" s="31" t="s">
        <v>2882</v>
      </c>
      <c r="D637" s="12">
        <f t="shared" ca="1" si="54"/>
        <v>25</v>
      </c>
      <c r="E637" s="12" t="str">
        <f ca="1">IF(Table1[[#This Row],[Age]]&lt;=22,"20-22",IF(Table1[[#This Row],[Age]]&lt;=25,"23-25",IF(Table1[[#This Row],[Age]]&lt;=28,"26-28","29-30")))</f>
        <v>23-25</v>
      </c>
      <c r="F637" s="12">
        <v>4.53</v>
      </c>
      <c r="G637" s="12">
        <v>4.1100000000000003</v>
      </c>
      <c r="H637" s="12">
        <v>3.64</v>
      </c>
      <c r="I637" s="12">
        <v>4.4400000000000004</v>
      </c>
      <c r="J637" s="12">
        <v>4.63</v>
      </c>
      <c r="K637" s="12">
        <v>4.53</v>
      </c>
      <c r="L637" s="12">
        <v>3.97</v>
      </c>
      <c r="M637" s="12">
        <v>4.2699999999999996</v>
      </c>
      <c r="N637" s="12">
        <v>4.22</v>
      </c>
      <c r="O637" s="12">
        <v>3.61</v>
      </c>
      <c r="P637" s="12">
        <f t="shared" si="55"/>
        <v>4.2700000000000005</v>
      </c>
      <c r="Q637" s="12">
        <f t="shared" si="56"/>
        <v>4.2699999999999996</v>
      </c>
      <c r="R637" s="12">
        <f t="shared" si="57"/>
        <v>4.1199999999999992</v>
      </c>
      <c r="S637" s="28">
        <f>IFERROR(INDEX('Clean Gamification Data'!$B:$B,MATCH($B637,'Clean Gamification Data'!$A:$A,0)),"Not Found")</f>
        <v>86.256755290000001</v>
      </c>
      <c r="T637" s="28">
        <f>IFERROR(INDEX('Clean Gamification Data'!$C:$C,MATCH($B637,'Clean Gamification Data'!$A:$A,0)),"Not Found")</f>
        <v>71.393537760000001</v>
      </c>
      <c r="U637" s="28">
        <f>IFERROR(INDEX('Clean Gamification Data'!$D:$D,MATCH($B637,'Clean Gamification Data'!$A:$A,0)),"Not Found")</f>
        <v>70</v>
      </c>
      <c r="V637" s="28">
        <f>IFERROR(INDEX('Clean Gamification Data'!$E:$E,MATCH($B637,'Clean Gamification Data'!$A:$A,0)),"Not Found")</f>
        <v>69.879108470000006</v>
      </c>
      <c r="W637" s="28">
        <f>IFERROR(INDEX('Clean Gamification Data'!$F:$F,MATCH($B637,'Clean Gamification Data'!$A:$A,0)),"Not Found")</f>
        <v>95.112549799999996</v>
      </c>
      <c r="X637" s="28">
        <f>IFERROR(INDEX('Clean Gamification Data'!$G:$G,MATCH($B637,'Clean Gamification Data'!$A:$A,0)),"Not Found")</f>
        <v>69.842303439999995</v>
      </c>
      <c r="Y637" s="28">
        <f>IFERROR(INDEX('Clean Gamification Data'!$H:$H,MATCH($B637,'Clean Gamification Data'!$A:$A,0)),"Not Found")</f>
        <v>73.998781579999999</v>
      </c>
      <c r="Z637" s="28">
        <f>IFERROR(INDEX('Clean Gamification Data'!$I:$I,MATCH($B637,'Clean Gamification Data'!$A:$A,0)),"Not Found")</f>
        <v>60.015262659999998</v>
      </c>
      <c r="AA637" s="28">
        <f>Table1[[#This Row],[Engagement (Gamification %)]]-Table1[[#This Row],[Engagement (Non-Gamification %)]]</f>
        <v>14.86321753</v>
      </c>
      <c r="AB637" s="28">
        <f>Table1[[#This Row],[Motivation (Gamification %)]]-Table1[[#This Row],[Motivation (Non-Gamification %)]]</f>
        <v>0.12089152999999442</v>
      </c>
      <c r="AC637" s="28">
        <f>Table1[[#This Row],[Participation (Gamification %)]]-Table1[[#This Row],[Participation (Non-Gamification %)]]</f>
        <v>25.270246360000002</v>
      </c>
      <c r="AD637" s="28">
        <f>Table1[[#This Row],[Learning Outcomes (Gamification %)]]-Table1[[#This Row],[Learning Outcomes (Non-Gamification %)]]</f>
        <v>13.983518920000002</v>
      </c>
      <c r="AE637" s="44" t="str">
        <f>IF(Table1[[#This Row],[Overall Effectiveness]]&lt;3.9,"Low",IF(Table1[[#This Row],[Overall Effectiveness]]&lt;4.2,"Medium","High"))</f>
        <v>High</v>
      </c>
      <c r="AF637" s="30" t="str">
        <f t="shared" si="58"/>
        <v>Online Tutorials</v>
      </c>
      <c r="AG637" s="30" t="str">
        <f t="shared" si="59"/>
        <v>Lectures</v>
      </c>
      <c r="AH637" s="27">
        <f>COUNTIF(Teacher_Master!$D$2:$D$16,AF637)</f>
        <v>3</v>
      </c>
      <c r="AI637" s="30" t="str">
        <f>INDEX(Teacher_Master!$B$2:$B$16,MATCH(AF637,Teacher_Master!$D$2:$D$16,0))</f>
        <v>Prof. Kavita Rao</v>
      </c>
    </row>
    <row r="638" spans="1:35" ht="14.25" customHeight="1" x14ac:dyDescent="0.3">
      <c r="A638" s="31" t="s">
        <v>1306</v>
      </c>
      <c r="B638" s="31" t="s">
        <v>2532</v>
      </c>
      <c r="C638" s="31" t="s">
        <v>2881</v>
      </c>
      <c r="D638" s="12">
        <f t="shared" ca="1" si="54"/>
        <v>30</v>
      </c>
      <c r="E638" s="12" t="str">
        <f ca="1">IF(Table1[[#This Row],[Age]]&lt;=22,"20-22",IF(Table1[[#This Row],[Age]]&lt;=25,"23-25",IF(Table1[[#This Row],[Age]]&lt;=28,"26-28","29-30")))</f>
        <v>29-30</v>
      </c>
      <c r="F638" s="12">
        <v>4.13</v>
      </c>
      <c r="G638" s="12">
        <v>3.97</v>
      </c>
      <c r="H638" s="12" t="s">
        <v>211</v>
      </c>
      <c r="I638" s="12">
        <v>4.62</v>
      </c>
      <c r="J638" s="12">
        <v>4.1100000000000003</v>
      </c>
      <c r="K638" s="12">
        <v>3.85</v>
      </c>
      <c r="L638" s="12">
        <v>3.83</v>
      </c>
      <c r="M638" s="12">
        <v>4.26</v>
      </c>
      <c r="N638" s="12">
        <v>3.34</v>
      </c>
      <c r="O638" s="12">
        <v>3.54</v>
      </c>
      <c r="P638" s="12">
        <f t="shared" si="55"/>
        <v>4.2074999999999996</v>
      </c>
      <c r="Q638" s="12">
        <f t="shared" si="56"/>
        <v>4.21</v>
      </c>
      <c r="R638" s="12">
        <f t="shared" si="57"/>
        <v>3.7640000000000002</v>
      </c>
      <c r="S638" s="28">
        <f>IFERROR(INDEX('Clean Gamification Data'!$B:$B,MATCH($B638,'Clean Gamification Data'!$A:$A,0)),"Not Found")</f>
        <v>88.913858279999999</v>
      </c>
      <c r="T638" s="28">
        <f>IFERROR(INDEX('Clean Gamification Data'!$C:$C,MATCH($B638,'Clean Gamification Data'!$A:$A,0)),"Not Found")</f>
        <v>60.72214125</v>
      </c>
      <c r="U638" s="28">
        <f>IFERROR(INDEX('Clean Gamification Data'!$D:$D,MATCH($B638,'Clean Gamification Data'!$A:$A,0)),"Not Found")</f>
        <v>80.273468089999994</v>
      </c>
      <c r="V638" s="28">
        <f>IFERROR(INDEX('Clean Gamification Data'!$E:$E,MATCH($B638,'Clean Gamification Data'!$A:$A,0)),"Not Found")</f>
        <v>65.436704219999996</v>
      </c>
      <c r="W638" s="28">
        <f>IFERROR(INDEX('Clean Gamification Data'!$F:$F,MATCH($B638,'Clean Gamification Data'!$A:$A,0)),"Not Found")</f>
        <v>88.111916500000007</v>
      </c>
      <c r="X638" s="28">
        <f>IFERROR(INDEX('Clean Gamification Data'!$G:$G,MATCH($B638,'Clean Gamification Data'!$A:$A,0)),"Not Found")</f>
        <v>74.719531989999993</v>
      </c>
      <c r="Y638" s="28">
        <f>IFERROR(INDEX('Clean Gamification Data'!$H:$H,MATCH($B638,'Clean Gamification Data'!$A:$A,0)),"Not Found")</f>
        <v>70.764738919999999</v>
      </c>
      <c r="Z638" s="28">
        <f>IFERROR(INDEX('Clean Gamification Data'!$I:$I,MATCH($B638,'Clean Gamification Data'!$A:$A,0)),"Not Found")</f>
        <v>52.962680730000002</v>
      </c>
      <c r="AA638" s="28">
        <f>Table1[[#This Row],[Engagement (Gamification %)]]-Table1[[#This Row],[Engagement (Non-Gamification %)]]</f>
        <v>28.19171703</v>
      </c>
      <c r="AB638" s="28">
        <f>Table1[[#This Row],[Motivation (Gamification %)]]-Table1[[#This Row],[Motivation (Non-Gamification %)]]</f>
        <v>14.836763869999999</v>
      </c>
      <c r="AC638" s="28">
        <f>Table1[[#This Row],[Participation (Gamification %)]]-Table1[[#This Row],[Participation (Non-Gamification %)]]</f>
        <v>13.392384510000014</v>
      </c>
      <c r="AD638" s="28">
        <f>Table1[[#This Row],[Learning Outcomes (Gamification %)]]-Table1[[#This Row],[Learning Outcomes (Non-Gamification %)]]</f>
        <v>17.802058189999997</v>
      </c>
      <c r="AE638" s="44" t="str">
        <f>IF(Table1[[#This Row],[Overall Effectiveness]]&lt;3.9,"Low",IF(Table1[[#This Row],[Overall Effectiveness]]&lt;4.2,"Medium","High"))</f>
        <v>High</v>
      </c>
      <c r="AF638" s="30" t="str">
        <f t="shared" si="58"/>
        <v>Experiments</v>
      </c>
      <c r="AG638" s="30" t="str">
        <f t="shared" si="59"/>
        <v>Group Projects</v>
      </c>
      <c r="AH638" s="27">
        <f>COUNTIF(Teacher_Master!$D$2:$D$16,AF638)</f>
        <v>3</v>
      </c>
      <c r="AI638" s="30" t="str">
        <f>INDEX(Teacher_Master!$B$2:$B$16,MATCH(AF638,Teacher_Master!$D$2:$D$16,0))</f>
        <v>Prof. Rahul Singh</v>
      </c>
    </row>
    <row r="639" spans="1:35" ht="14.25" customHeight="1" x14ac:dyDescent="0.3">
      <c r="A639" s="31" t="s">
        <v>1308</v>
      </c>
      <c r="B639" s="31" t="s">
        <v>2533</v>
      </c>
      <c r="C639" s="31" t="s">
        <v>2882</v>
      </c>
      <c r="D639" s="12">
        <f t="shared" ca="1" si="54"/>
        <v>30</v>
      </c>
      <c r="E639" s="12" t="str">
        <f ca="1">IF(Table1[[#This Row],[Age]]&lt;=22,"20-22",IF(Table1[[#This Row],[Age]]&lt;=25,"23-25",IF(Table1[[#This Row],[Age]]&lt;=28,"26-28","29-30")))</f>
        <v>29-30</v>
      </c>
      <c r="F639" s="12">
        <v>4.08</v>
      </c>
      <c r="G639" s="12">
        <v>3.63</v>
      </c>
      <c r="H639" s="12">
        <v>4.21</v>
      </c>
      <c r="I639" s="12">
        <v>3.84</v>
      </c>
      <c r="J639" s="12">
        <v>4.1900000000000004</v>
      </c>
      <c r="K639" s="12">
        <v>4.24</v>
      </c>
      <c r="L639" s="12">
        <v>3.87</v>
      </c>
      <c r="M639" s="12">
        <v>3.86</v>
      </c>
      <c r="N639" s="12">
        <v>4.32</v>
      </c>
      <c r="O639" s="12">
        <v>4.32</v>
      </c>
      <c r="P639" s="12">
        <f t="shared" si="55"/>
        <v>3.9899999999999998</v>
      </c>
      <c r="Q639" s="12">
        <f t="shared" si="56"/>
        <v>3.99</v>
      </c>
      <c r="R639" s="12">
        <f t="shared" si="57"/>
        <v>4.1219999999999999</v>
      </c>
      <c r="S639" s="28">
        <f>IFERROR(INDEX('Clean Gamification Data'!$B:$B,MATCH($B639,'Clean Gamification Data'!$A:$A,0)),"Not Found")</f>
        <v>85.413658850000004</v>
      </c>
      <c r="T639" s="28">
        <f>IFERROR(INDEX('Clean Gamification Data'!$C:$C,MATCH($B639,'Clean Gamification Data'!$A:$A,0)),"Not Found")</f>
        <v>72.853828280000002</v>
      </c>
      <c r="U639" s="28">
        <f>IFERROR(INDEX('Clean Gamification Data'!$D:$D,MATCH($B639,'Clean Gamification Data'!$A:$A,0)),"Not Found")</f>
        <v>70</v>
      </c>
      <c r="V639" s="28">
        <f>IFERROR(INDEX('Clean Gamification Data'!$E:$E,MATCH($B639,'Clean Gamification Data'!$A:$A,0)),"Not Found")</f>
        <v>71.655484299999998</v>
      </c>
      <c r="W639" s="28">
        <f>IFERROR(INDEX('Clean Gamification Data'!$F:$F,MATCH($B639,'Clean Gamification Data'!$A:$A,0)),"Not Found")</f>
        <v>92.023073569999994</v>
      </c>
      <c r="X639" s="28">
        <f>IFERROR(INDEX('Clean Gamification Data'!$G:$G,MATCH($B639,'Clean Gamification Data'!$A:$A,0)),"Not Found")</f>
        <v>79.405867889999996</v>
      </c>
      <c r="Y639" s="28">
        <f>IFERROR(INDEX('Clean Gamification Data'!$H:$H,MATCH($B639,'Clean Gamification Data'!$A:$A,0)),"Not Found")</f>
        <v>72.553135749999996</v>
      </c>
      <c r="Z639" s="28">
        <f>IFERROR(INDEX('Clean Gamification Data'!$I:$I,MATCH($B639,'Clean Gamification Data'!$A:$A,0)),"Not Found")</f>
        <v>53.977341539999998</v>
      </c>
      <c r="AA639" s="28">
        <f>Table1[[#This Row],[Engagement (Gamification %)]]-Table1[[#This Row],[Engagement (Non-Gamification %)]]</f>
        <v>12.559830570000003</v>
      </c>
      <c r="AB639" s="28">
        <f>Table1[[#This Row],[Motivation (Gamification %)]]-Table1[[#This Row],[Motivation (Non-Gamification %)]]</f>
        <v>-1.6554842999999977</v>
      </c>
      <c r="AC639" s="28">
        <f>Table1[[#This Row],[Participation (Gamification %)]]-Table1[[#This Row],[Participation (Non-Gamification %)]]</f>
        <v>12.617205679999998</v>
      </c>
      <c r="AD639" s="28">
        <f>Table1[[#This Row],[Learning Outcomes (Gamification %)]]-Table1[[#This Row],[Learning Outcomes (Non-Gamification %)]]</f>
        <v>18.575794209999998</v>
      </c>
      <c r="AE639" s="44" t="str">
        <f>IF(Table1[[#This Row],[Overall Effectiveness]]&lt;3.9,"Low",IF(Table1[[#This Row],[Overall Effectiveness]]&lt;4.2,"Medium","High"))</f>
        <v>Medium</v>
      </c>
      <c r="AF639" s="30" t="str">
        <f t="shared" si="58"/>
        <v>Group Projects</v>
      </c>
      <c r="AG639" s="30" t="str">
        <f t="shared" si="59"/>
        <v>Experiments</v>
      </c>
      <c r="AH639" s="27">
        <f>COUNTIF(Teacher_Master!$D$2:$D$16,AF639)</f>
        <v>3</v>
      </c>
      <c r="AI639" s="30" t="str">
        <f>INDEX(Teacher_Master!$B$2:$B$16,MATCH(AF639,Teacher_Master!$D$2:$D$16,0))</f>
        <v>Dr. Rohan Dutta</v>
      </c>
    </row>
    <row r="640" spans="1:35" ht="14.25" customHeight="1" x14ac:dyDescent="0.3">
      <c r="A640" s="31" t="s">
        <v>1310</v>
      </c>
      <c r="B640" s="31" t="s">
        <v>1311</v>
      </c>
      <c r="C640" s="31" t="s">
        <v>2882</v>
      </c>
      <c r="D640" s="12">
        <f t="shared" ca="1" si="54"/>
        <v>22</v>
      </c>
      <c r="E640" s="12" t="str">
        <f ca="1">IF(Table1[[#This Row],[Age]]&lt;=22,"20-22",IF(Table1[[#This Row],[Age]]&lt;=25,"23-25",IF(Table1[[#This Row],[Age]]&lt;=28,"26-28","29-30")))</f>
        <v>20-22</v>
      </c>
      <c r="F640" s="12">
        <v>4.08</v>
      </c>
      <c r="G640" s="12">
        <v>4.18</v>
      </c>
      <c r="H640" s="12">
        <v>3.59</v>
      </c>
      <c r="I640" s="12">
        <v>4.1399999999999997</v>
      </c>
      <c r="J640" s="12">
        <v>4.4000000000000004</v>
      </c>
      <c r="K640" s="12">
        <v>4.2</v>
      </c>
      <c r="L640" s="12">
        <v>4.05</v>
      </c>
      <c r="M640" s="12">
        <v>3.59</v>
      </c>
      <c r="N640" s="12">
        <v>3.67</v>
      </c>
      <c r="O640" s="12">
        <v>4.03</v>
      </c>
      <c r="P640" s="12">
        <f t="shared" si="55"/>
        <v>4.0780000000000003</v>
      </c>
      <c r="Q640" s="12">
        <f t="shared" si="56"/>
        <v>4.08</v>
      </c>
      <c r="R640" s="12">
        <f t="shared" si="57"/>
        <v>3.9079999999999999</v>
      </c>
      <c r="S640" s="28">
        <f>IFERROR(INDEX('Clean Gamification Data'!$B:$B,MATCH($B640,'Clean Gamification Data'!$A:$A,0)),"Not Found")</f>
        <v>81.147598790000004</v>
      </c>
      <c r="T640" s="28">
        <f>IFERROR(INDEX('Clean Gamification Data'!$C:$C,MATCH($B640,'Clean Gamification Data'!$A:$A,0)),"Not Found")</f>
        <v>61.459870709999997</v>
      </c>
      <c r="U640" s="28">
        <f>IFERROR(INDEX('Clean Gamification Data'!$D:$D,MATCH($B640,'Clean Gamification Data'!$A:$A,0)),"Not Found")</f>
        <v>77.719716590000004</v>
      </c>
      <c r="V640" s="28">
        <f>IFERROR(INDEX('Clean Gamification Data'!$E:$E,MATCH($B640,'Clean Gamification Data'!$A:$A,0)),"Not Found")</f>
        <v>61.229680500000001</v>
      </c>
      <c r="W640" s="28">
        <f>IFERROR(INDEX('Clean Gamification Data'!$F:$F,MATCH($B640,'Clean Gamification Data'!$A:$A,0)),"Not Found")</f>
        <v>93.521320939999995</v>
      </c>
      <c r="X640" s="28">
        <f>IFERROR(INDEX('Clean Gamification Data'!$G:$G,MATCH($B640,'Clean Gamification Data'!$A:$A,0)),"Not Found")</f>
        <v>75.559155989999994</v>
      </c>
      <c r="Y640" s="28">
        <f>IFERROR(INDEX('Clean Gamification Data'!$H:$H,MATCH($B640,'Clean Gamification Data'!$A:$A,0)),"Not Found")</f>
        <v>68.96573325</v>
      </c>
      <c r="Z640" s="28">
        <f>IFERROR(INDEX('Clean Gamification Data'!$I:$I,MATCH($B640,'Clean Gamification Data'!$A:$A,0)),"Not Found")</f>
        <v>55.505861920000001</v>
      </c>
      <c r="AA640" s="28">
        <f>Table1[[#This Row],[Engagement (Gamification %)]]-Table1[[#This Row],[Engagement (Non-Gamification %)]]</f>
        <v>19.687728080000007</v>
      </c>
      <c r="AB640" s="28">
        <f>Table1[[#This Row],[Motivation (Gamification %)]]-Table1[[#This Row],[Motivation (Non-Gamification %)]]</f>
        <v>16.490036090000004</v>
      </c>
      <c r="AC640" s="28">
        <f>Table1[[#This Row],[Participation (Gamification %)]]-Table1[[#This Row],[Participation (Non-Gamification %)]]</f>
        <v>17.962164950000002</v>
      </c>
      <c r="AD640" s="28">
        <f>Table1[[#This Row],[Learning Outcomes (Gamification %)]]-Table1[[#This Row],[Learning Outcomes (Non-Gamification %)]]</f>
        <v>13.459871329999999</v>
      </c>
      <c r="AE640" s="44" t="str">
        <f>IF(Table1[[#This Row],[Overall Effectiveness]]&lt;3.9,"Low",IF(Table1[[#This Row],[Overall Effectiveness]]&lt;4.2,"Medium","High"))</f>
        <v>Medium</v>
      </c>
      <c r="AF640" s="30" t="str">
        <f t="shared" si="58"/>
        <v>Online Tutorials</v>
      </c>
      <c r="AG640" s="30" t="str">
        <f t="shared" si="59"/>
        <v>Lectures</v>
      </c>
      <c r="AH640" s="27">
        <f>COUNTIF(Teacher_Master!$D$2:$D$16,AF640)</f>
        <v>3</v>
      </c>
      <c r="AI640" s="30" t="str">
        <f>INDEX(Teacher_Master!$B$2:$B$16,MATCH(AF640,Teacher_Master!$D$2:$D$16,0))</f>
        <v>Prof. Kavita Rao</v>
      </c>
    </row>
    <row r="641" spans="1:35" ht="14.25" customHeight="1" x14ac:dyDescent="0.3">
      <c r="A641" s="31" t="s">
        <v>1312</v>
      </c>
      <c r="B641" s="31" t="s">
        <v>2534</v>
      </c>
      <c r="C641" s="31" t="s">
        <v>2882</v>
      </c>
      <c r="D641" s="12">
        <f t="shared" ca="1" si="54"/>
        <v>22</v>
      </c>
      <c r="E641" s="12" t="str">
        <f ca="1">IF(Table1[[#This Row],[Age]]&lt;=22,"20-22",IF(Table1[[#This Row],[Age]]&lt;=25,"23-25",IF(Table1[[#This Row],[Age]]&lt;=28,"26-28","29-30")))</f>
        <v>20-22</v>
      </c>
      <c r="F641" s="12">
        <v>3.69</v>
      </c>
      <c r="G641" s="12">
        <v>3.99</v>
      </c>
      <c r="H641" s="12">
        <v>4.4000000000000004</v>
      </c>
      <c r="I641" s="12">
        <v>3.95</v>
      </c>
      <c r="J641" s="12">
        <v>3.65</v>
      </c>
      <c r="K641" s="12">
        <v>3.83</v>
      </c>
      <c r="L641" s="12">
        <v>4.17</v>
      </c>
      <c r="M641" s="12">
        <v>3.6</v>
      </c>
      <c r="N641" s="12">
        <v>4.2300000000000004</v>
      </c>
      <c r="O641" s="12">
        <v>4.7</v>
      </c>
      <c r="P641" s="12">
        <f t="shared" si="55"/>
        <v>3.9359999999999999</v>
      </c>
      <c r="Q641" s="12">
        <f t="shared" si="56"/>
        <v>3.94</v>
      </c>
      <c r="R641" s="12">
        <f t="shared" si="57"/>
        <v>4.1059999999999999</v>
      </c>
      <c r="S641" s="28">
        <f>IFERROR(INDEX('Clean Gamification Data'!$B:$B,MATCH($B641,'Clean Gamification Data'!$A:$A,0)),"Not Found")</f>
        <v>79.709013659999997</v>
      </c>
      <c r="T641" s="28">
        <f>IFERROR(INDEX('Clean Gamification Data'!$C:$C,MATCH($B641,'Clean Gamification Data'!$A:$A,0)),"Not Found")</f>
        <v>66.482245050000003</v>
      </c>
      <c r="U641" s="28">
        <f>IFERROR(INDEX('Clean Gamification Data'!$D:$D,MATCH($B641,'Clean Gamification Data'!$A:$A,0)),"Not Found")</f>
        <v>79.941047420000004</v>
      </c>
      <c r="V641" s="28">
        <f>IFERROR(INDEX('Clean Gamification Data'!$E:$E,MATCH($B641,'Clean Gamification Data'!$A:$A,0)),"Not Found")</f>
        <v>69.160056890000007</v>
      </c>
      <c r="W641" s="28">
        <f>IFERROR(INDEX('Clean Gamification Data'!$F:$F,MATCH($B641,'Clean Gamification Data'!$A:$A,0)),"Not Found")</f>
        <v>94.628020969999994</v>
      </c>
      <c r="X641" s="28">
        <f>IFERROR(INDEX('Clean Gamification Data'!$G:$G,MATCH($B641,'Clean Gamification Data'!$A:$A,0)),"Not Found")</f>
        <v>80.811869540000004</v>
      </c>
      <c r="Y641" s="28">
        <f>IFERROR(INDEX('Clean Gamification Data'!$H:$H,MATCH($B641,'Clean Gamification Data'!$A:$A,0)),"Not Found")</f>
        <v>73.537861160000006</v>
      </c>
      <c r="Z641" s="28">
        <f>IFERROR(INDEX('Clean Gamification Data'!$I:$I,MATCH($B641,'Clean Gamification Data'!$A:$A,0)),"Not Found")</f>
        <v>50</v>
      </c>
      <c r="AA641" s="28">
        <f>Table1[[#This Row],[Engagement (Gamification %)]]-Table1[[#This Row],[Engagement (Non-Gamification %)]]</f>
        <v>13.226768609999993</v>
      </c>
      <c r="AB641" s="28">
        <f>Table1[[#This Row],[Motivation (Gamification %)]]-Table1[[#This Row],[Motivation (Non-Gamification %)]]</f>
        <v>10.780990529999997</v>
      </c>
      <c r="AC641" s="28">
        <f>Table1[[#This Row],[Participation (Gamification %)]]-Table1[[#This Row],[Participation (Non-Gamification %)]]</f>
        <v>13.816151429999991</v>
      </c>
      <c r="AD641" s="28">
        <f>Table1[[#This Row],[Learning Outcomes (Gamification %)]]-Table1[[#This Row],[Learning Outcomes (Non-Gamification %)]]</f>
        <v>23.537861160000006</v>
      </c>
      <c r="AE641" s="44" t="str">
        <f>IF(Table1[[#This Row],[Overall Effectiveness]]&lt;3.9,"Low",IF(Table1[[#This Row],[Overall Effectiveness]]&lt;4.2,"Medium","High"))</f>
        <v>Medium</v>
      </c>
      <c r="AF641" s="30" t="str">
        <f t="shared" si="58"/>
        <v>Group Projects</v>
      </c>
      <c r="AG641" s="30" t="str">
        <f t="shared" si="59"/>
        <v>Online Tutorials</v>
      </c>
      <c r="AH641" s="27">
        <f>COUNTIF(Teacher_Master!$D$2:$D$16,AF641)</f>
        <v>3</v>
      </c>
      <c r="AI641" s="30" t="str">
        <f>INDEX(Teacher_Master!$B$2:$B$16,MATCH(AF641,Teacher_Master!$D$2:$D$16,0))</f>
        <v>Dr. Rohan Dutta</v>
      </c>
    </row>
    <row r="642" spans="1:35" ht="14.25" customHeight="1" x14ac:dyDescent="0.3">
      <c r="A642" s="31" t="s">
        <v>1314</v>
      </c>
      <c r="B642" s="31" t="s">
        <v>2535</v>
      </c>
      <c r="C642" s="31" t="s">
        <v>2881</v>
      </c>
      <c r="D642" s="12">
        <f t="shared" ref="D642:D705" ca="1" si="60">RANDBETWEEN(20,30)</f>
        <v>24</v>
      </c>
      <c r="E642" s="12" t="str">
        <f ca="1">IF(Table1[[#This Row],[Age]]&lt;=22,"20-22",IF(Table1[[#This Row],[Age]]&lt;=25,"23-25",IF(Table1[[#This Row],[Age]]&lt;=28,"26-28","29-30")))</f>
        <v>23-25</v>
      </c>
      <c r="F642" s="12">
        <v>3.83</v>
      </c>
      <c r="G642" s="12">
        <v>4.22</v>
      </c>
      <c r="H642" s="12">
        <v>4.37</v>
      </c>
      <c r="I642" s="12">
        <v>3.78</v>
      </c>
      <c r="J642" s="12">
        <v>4.33</v>
      </c>
      <c r="K642" s="12">
        <v>3.93</v>
      </c>
      <c r="L642" s="12">
        <v>3.89</v>
      </c>
      <c r="M642" s="12">
        <v>4</v>
      </c>
      <c r="N642" s="12">
        <v>4.3499999999999996</v>
      </c>
      <c r="O642" s="12">
        <v>4.22</v>
      </c>
      <c r="P642" s="12">
        <f t="shared" ref="P642:P705" si="61">AVERAGE(F642:J642)</f>
        <v>4.1059999999999999</v>
      </c>
      <c r="Q642" s="12">
        <f t="shared" ref="Q642:Q705" si="62">ROUND(P642,2)</f>
        <v>4.1100000000000003</v>
      </c>
      <c r="R642" s="12">
        <f t="shared" ref="R642:R705" si="63">AVERAGE(K642:O642)</f>
        <v>4.0780000000000003</v>
      </c>
      <c r="S642" s="28">
        <f>IFERROR(INDEX('Clean Gamification Data'!$B:$B,MATCH($B642,'Clean Gamification Data'!$A:$A,0)),"Not Found")</f>
        <v>92.538658299999994</v>
      </c>
      <c r="T642" s="28">
        <f>IFERROR(INDEX('Clean Gamification Data'!$C:$C,MATCH($B642,'Clean Gamification Data'!$A:$A,0)),"Not Found")</f>
        <v>70.823849580000001</v>
      </c>
      <c r="U642" s="28">
        <f>IFERROR(INDEX('Clean Gamification Data'!$D:$D,MATCH($B642,'Clean Gamification Data'!$A:$A,0)),"Not Found")</f>
        <v>70</v>
      </c>
      <c r="V642" s="28">
        <f>IFERROR(INDEX('Clean Gamification Data'!$E:$E,MATCH($B642,'Clean Gamification Data'!$A:$A,0)),"Not Found")</f>
        <v>69.482328120000005</v>
      </c>
      <c r="W642" s="28">
        <f>IFERROR(INDEX('Clean Gamification Data'!$F:$F,MATCH($B642,'Clean Gamification Data'!$A:$A,0)),"Not Found")</f>
        <v>99.9</v>
      </c>
      <c r="X642" s="28">
        <f>IFERROR(INDEX('Clean Gamification Data'!$G:$G,MATCH($B642,'Clean Gamification Data'!$A:$A,0)),"Not Found")</f>
        <v>79.922481860000005</v>
      </c>
      <c r="Y642" s="28">
        <f>IFERROR(INDEX('Clean Gamification Data'!$H:$H,MATCH($B642,'Clean Gamification Data'!$A:$A,0)),"Not Found")</f>
        <v>67.258462260000002</v>
      </c>
      <c r="Z642" s="28">
        <f>IFERROR(INDEX('Clean Gamification Data'!$I:$I,MATCH($B642,'Clean Gamification Data'!$A:$A,0)),"Not Found")</f>
        <v>65.315231049999994</v>
      </c>
      <c r="AA642" s="28">
        <f>Table1[[#This Row],[Engagement (Gamification %)]]-Table1[[#This Row],[Engagement (Non-Gamification %)]]</f>
        <v>21.714808719999994</v>
      </c>
      <c r="AB642" s="28">
        <f>Table1[[#This Row],[Motivation (Gamification %)]]-Table1[[#This Row],[Motivation (Non-Gamification %)]]</f>
        <v>0.51767187999999464</v>
      </c>
      <c r="AC642" s="28">
        <f>Table1[[#This Row],[Participation (Gamification %)]]-Table1[[#This Row],[Participation (Non-Gamification %)]]</f>
        <v>19.977518140000001</v>
      </c>
      <c r="AD642" s="28">
        <f>Table1[[#This Row],[Learning Outcomes (Gamification %)]]-Table1[[#This Row],[Learning Outcomes (Non-Gamification %)]]</f>
        <v>1.9432312100000075</v>
      </c>
      <c r="AE642" s="44" t="str">
        <f>IF(Table1[[#This Row],[Overall Effectiveness]]&lt;3.9,"Low",IF(Table1[[#This Row],[Overall Effectiveness]]&lt;4.2,"Medium","High"))</f>
        <v>Medium</v>
      </c>
      <c r="AF642" s="30" t="str">
        <f t="shared" ref="AF642:AF705" si="64">CHOOSE(MATCH(MAX(F642:J642),F642:J642,0),"Lectures","Case Studies","Group Projects","Experiments","Online Tutorials")</f>
        <v>Group Projects</v>
      </c>
      <c r="AG642" s="30" t="str">
        <f t="shared" ref="AG642:AG705" si="65">CHOOSE(MATCH(MAX(K642:O642),K642:O642,0),"Lectures","Case Studies","Group Projects","Experiments","Online Tutorials")</f>
        <v>Experiments</v>
      </c>
      <c r="AH642" s="27">
        <f>COUNTIF(Teacher_Master!$D$2:$D$16,AF642)</f>
        <v>3</v>
      </c>
      <c r="AI642" s="30" t="str">
        <f>INDEX(Teacher_Master!$B$2:$B$16,MATCH(AF642,Teacher_Master!$D$2:$D$16,0))</f>
        <v>Dr. Rohan Dutta</v>
      </c>
    </row>
    <row r="643" spans="1:35" ht="14.25" customHeight="1" x14ac:dyDescent="0.3">
      <c r="A643" s="31" t="s">
        <v>1316</v>
      </c>
      <c r="B643" s="31" t="s">
        <v>2536</v>
      </c>
      <c r="C643" s="31" t="s">
        <v>2881</v>
      </c>
      <c r="D643" s="12">
        <f t="shared" ca="1" si="60"/>
        <v>20</v>
      </c>
      <c r="E643" s="12" t="str">
        <f ca="1">IF(Table1[[#This Row],[Age]]&lt;=22,"20-22",IF(Table1[[#This Row],[Age]]&lt;=25,"23-25",IF(Table1[[#This Row],[Age]]&lt;=28,"26-28","29-30")))</f>
        <v>20-22</v>
      </c>
      <c r="F643" s="12">
        <v>3.74</v>
      </c>
      <c r="G643" s="12">
        <v>3.87</v>
      </c>
      <c r="H643" s="12">
        <v>3.81</v>
      </c>
      <c r="I643" s="12">
        <v>3.82</v>
      </c>
      <c r="J643" s="12">
        <v>3.73</v>
      </c>
      <c r="K643" s="12">
        <v>4.12</v>
      </c>
      <c r="L643" s="12">
        <v>4.1399999999999997</v>
      </c>
      <c r="M643" s="12">
        <v>3.79</v>
      </c>
      <c r="N643" s="12">
        <v>3.9</v>
      </c>
      <c r="O643" s="12">
        <v>4.1900000000000004</v>
      </c>
      <c r="P643" s="12">
        <f t="shared" si="61"/>
        <v>3.7939999999999996</v>
      </c>
      <c r="Q643" s="12">
        <f t="shared" si="62"/>
        <v>3.79</v>
      </c>
      <c r="R643" s="12">
        <f t="shared" si="63"/>
        <v>4.0280000000000005</v>
      </c>
      <c r="S643" s="28">
        <f>IFERROR(INDEX('Clean Gamification Data'!$B:$B,MATCH($B643,'Clean Gamification Data'!$A:$A,0)),"Not Found")</f>
        <v>91.292175119999996</v>
      </c>
      <c r="T643" s="28">
        <f>IFERROR(INDEX('Clean Gamification Data'!$C:$C,MATCH($B643,'Clean Gamification Data'!$A:$A,0)),"Not Found")</f>
        <v>74.705576969999996</v>
      </c>
      <c r="U643" s="28">
        <f>IFERROR(INDEX('Clean Gamification Data'!$D:$D,MATCH($B643,'Clean Gamification Data'!$A:$A,0)),"Not Found")</f>
        <v>73.832146820000006</v>
      </c>
      <c r="V643" s="28">
        <f>IFERROR(INDEX('Clean Gamification Data'!$E:$E,MATCH($B643,'Clean Gamification Data'!$A:$A,0)),"Not Found")</f>
        <v>67.516968969999994</v>
      </c>
      <c r="W643" s="28">
        <f>IFERROR(INDEX('Clean Gamification Data'!$F:$F,MATCH($B643,'Clean Gamification Data'!$A:$A,0)),"Not Found")</f>
        <v>94.123837690000002</v>
      </c>
      <c r="X643" s="28">
        <f>IFERROR(INDEX('Clean Gamification Data'!$G:$G,MATCH($B643,'Clean Gamification Data'!$A:$A,0)),"Not Found")</f>
        <v>68.659192430000004</v>
      </c>
      <c r="Y643" s="28">
        <f>IFERROR(INDEX('Clean Gamification Data'!$H:$H,MATCH($B643,'Clean Gamification Data'!$A:$A,0)),"Not Found")</f>
        <v>74.860032309999994</v>
      </c>
      <c r="Z643" s="28">
        <f>IFERROR(INDEX('Clean Gamification Data'!$I:$I,MATCH($B643,'Clean Gamification Data'!$A:$A,0)),"Not Found")</f>
        <v>59.526867770000003</v>
      </c>
      <c r="AA643" s="28">
        <f>Table1[[#This Row],[Engagement (Gamification %)]]-Table1[[#This Row],[Engagement (Non-Gamification %)]]</f>
        <v>16.58659815</v>
      </c>
      <c r="AB643" s="28">
        <f>Table1[[#This Row],[Motivation (Gamification %)]]-Table1[[#This Row],[Motivation (Non-Gamification %)]]</f>
        <v>6.315177850000012</v>
      </c>
      <c r="AC643" s="28">
        <f>Table1[[#This Row],[Participation (Gamification %)]]-Table1[[#This Row],[Participation (Non-Gamification %)]]</f>
        <v>25.464645259999998</v>
      </c>
      <c r="AD643" s="28">
        <f>Table1[[#This Row],[Learning Outcomes (Gamification %)]]-Table1[[#This Row],[Learning Outcomes (Non-Gamification %)]]</f>
        <v>15.333164539999991</v>
      </c>
      <c r="AE643" s="44" t="str">
        <f>IF(Table1[[#This Row],[Overall Effectiveness]]&lt;3.9,"Low",IF(Table1[[#This Row],[Overall Effectiveness]]&lt;4.2,"Medium","High"))</f>
        <v>Low</v>
      </c>
      <c r="AF643" s="30" t="str">
        <f t="shared" si="64"/>
        <v>Case Studies</v>
      </c>
      <c r="AG643" s="30" t="str">
        <f t="shared" si="65"/>
        <v>Online Tutorials</v>
      </c>
      <c r="AH643" s="27">
        <f>COUNTIF(Teacher_Master!$D$2:$D$16,AF643)</f>
        <v>3</v>
      </c>
      <c r="AI643" s="30" t="str">
        <f>INDEX(Teacher_Master!$B$2:$B$16,MATCH(AF643,Teacher_Master!$D$2:$D$16,0))</f>
        <v>Prof. Rajesh Mukherjee</v>
      </c>
    </row>
    <row r="644" spans="1:35" ht="14.25" customHeight="1" x14ac:dyDescent="0.3">
      <c r="A644" s="31" t="s">
        <v>1318</v>
      </c>
      <c r="B644" s="31" t="s">
        <v>2537</v>
      </c>
      <c r="C644" s="31" t="s">
        <v>2882</v>
      </c>
      <c r="D644" s="12">
        <f t="shared" ca="1" si="60"/>
        <v>27</v>
      </c>
      <c r="E644" s="12" t="str">
        <f ca="1">IF(Table1[[#This Row],[Age]]&lt;=22,"20-22",IF(Table1[[#This Row],[Age]]&lt;=25,"23-25",IF(Table1[[#This Row],[Age]]&lt;=28,"26-28","29-30")))</f>
        <v>26-28</v>
      </c>
      <c r="F644" s="12">
        <v>3.87</v>
      </c>
      <c r="G644" s="12">
        <v>3.81</v>
      </c>
      <c r="H644" s="12">
        <v>4.58</v>
      </c>
      <c r="I644" s="12">
        <v>4.3499999999999996</v>
      </c>
      <c r="J644" s="12">
        <v>3.59</v>
      </c>
      <c r="K644" s="12">
        <v>4.01</v>
      </c>
      <c r="L644" s="12">
        <v>4.21</v>
      </c>
      <c r="M644" s="12">
        <v>3.34</v>
      </c>
      <c r="N644" s="12">
        <v>4.1500000000000004</v>
      </c>
      <c r="O644" s="12">
        <v>4.12</v>
      </c>
      <c r="P644" s="12">
        <f t="shared" si="61"/>
        <v>4.04</v>
      </c>
      <c r="Q644" s="12">
        <f t="shared" si="62"/>
        <v>4.04</v>
      </c>
      <c r="R644" s="12">
        <f t="shared" si="63"/>
        <v>3.9659999999999997</v>
      </c>
      <c r="S644" s="28">
        <f>IFERROR(INDEX('Clean Gamification Data'!$B:$B,MATCH($B644,'Clean Gamification Data'!$A:$A,0)),"Not Found")</f>
        <v>82.803912879999999</v>
      </c>
      <c r="T644" s="28">
        <f>IFERROR(INDEX('Clean Gamification Data'!$C:$C,MATCH($B644,'Clean Gamification Data'!$A:$A,0)),"Not Found")</f>
        <v>74.459085209999998</v>
      </c>
      <c r="U644" s="28">
        <f>IFERROR(INDEX('Clean Gamification Data'!$D:$D,MATCH($B644,'Clean Gamification Data'!$A:$A,0)),"Not Found")</f>
        <v>81.09026102</v>
      </c>
      <c r="V644" s="28">
        <f>IFERROR(INDEX('Clean Gamification Data'!$E:$E,MATCH($B644,'Clean Gamification Data'!$A:$A,0)),"Not Found")</f>
        <v>62.30150665</v>
      </c>
      <c r="W644" s="28">
        <f>IFERROR(INDEX('Clean Gamification Data'!$F:$F,MATCH($B644,'Clean Gamification Data'!$A:$A,0)),"Not Found")</f>
        <v>99.9</v>
      </c>
      <c r="X644" s="28">
        <f>IFERROR(INDEX('Clean Gamification Data'!$G:$G,MATCH($B644,'Clean Gamification Data'!$A:$A,0)),"Not Found")</f>
        <v>85</v>
      </c>
      <c r="Y644" s="28">
        <f>IFERROR(INDEX('Clean Gamification Data'!$H:$H,MATCH($B644,'Clean Gamification Data'!$A:$A,0)),"Not Found")</f>
        <v>69.859615059999996</v>
      </c>
      <c r="Z644" s="28">
        <f>IFERROR(INDEX('Clean Gamification Data'!$I:$I,MATCH($B644,'Clean Gamification Data'!$A:$A,0)),"Not Found")</f>
        <v>54.268599109999997</v>
      </c>
      <c r="AA644" s="28">
        <f>Table1[[#This Row],[Engagement (Gamification %)]]-Table1[[#This Row],[Engagement (Non-Gamification %)]]</f>
        <v>8.3448276700000008</v>
      </c>
      <c r="AB644" s="28">
        <f>Table1[[#This Row],[Motivation (Gamification %)]]-Table1[[#This Row],[Motivation (Non-Gamification %)]]</f>
        <v>18.788754369999999</v>
      </c>
      <c r="AC644" s="28">
        <f>Table1[[#This Row],[Participation (Gamification %)]]-Table1[[#This Row],[Participation (Non-Gamification %)]]</f>
        <v>14.900000000000006</v>
      </c>
      <c r="AD644" s="28">
        <f>Table1[[#This Row],[Learning Outcomes (Gamification %)]]-Table1[[#This Row],[Learning Outcomes (Non-Gamification %)]]</f>
        <v>15.591015949999999</v>
      </c>
      <c r="AE644" s="44" t="str">
        <f>IF(Table1[[#This Row],[Overall Effectiveness]]&lt;3.9,"Low",IF(Table1[[#This Row],[Overall Effectiveness]]&lt;4.2,"Medium","High"))</f>
        <v>Medium</v>
      </c>
      <c r="AF644" s="30" t="str">
        <f t="shared" si="64"/>
        <v>Group Projects</v>
      </c>
      <c r="AG644" s="30" t="str">
        <f t="shared" si="65"/>
        <v>Case Studies</v>
      </c>
      <c r="AH644" s="27">
        <f>COUNTIF(Teacher_Master!$D$2:$D$16,AF644)</f>
        <v>3</v>
      </c>
      <c r="AI644" s="30" t="str">
        <f>INDEX(Teacher_Master!$B$2:$B$16,MATCH(AF644,Teacher_Master!$D$2:$D$16,0))</f>
        <v>Dr. Rohan Dutta</v>
      </c>
    </row>
    <row r="645" spans="1:35" ht="14.25" customHeight="1" x14ac:dyDescent="0.3">
      <c r="A645" s="31" t="s">
        <v>1320</v>
      </c>
      <c r="B645" s="31" t="s">
        <v>1321</v>
      </c>
      <c r="C645" s="31" t="s">
        <v>2881</v>
      </c>
      <c r="D645" s="12">
        <f t="shared" ca="1" si="60"/>
        <v>21</v>
      </c>
      <c r="E645" s="12" t="str">
        <f ca="1">IF(Table1[[#This Row],[Age]]&lt;=22,"20-22",IF(Table1[[#This Row],[Age]]&lt;=25,"23-25",IF(Table1[[#This Row],[Age]]&lt;=28,"26-28","29-30")))</f>
        <v>20-22</v>
      </c>
      <c r="F645" s="12">
        <v>4.12</v>
      </c>
      <c r="G645" s="12">
        <v>4.25</v>
      </c>
      <c r="H645" s="12">
        <v>3.92</v>
      </c>
      <c r="I645" s="12">
        <v>4.29</v>
      </c>
      <c r="J645" s="12" t="s">
        <v>211</v>
      </c>
      <c r="K645" s="12" t="s">
        <v>1322</v>
      </c>
      <c r="L645" s="12">
        <v>3.97</v>
      </c>
      <c r="M645" s="12">
        <v>4.54</v>
      </c>
      <c r="N645" s="12">
        <v>5.2</v>
      </c>
      <c r="O645" s="12">
        <v>4.04</v>
      </c>
      <c r="P645" s="12">
        <f t="shared" si="61"/>
        <v>4.1450000000000005</v>
      </c>
      <c r="Q645" s="12">
        <f t="shared" si="62"/>
        <v>4.1500000000000004</v>
      </c>
      <c r="R645" s="12">
        <f t="shared" si="63"/>
        <v>4.4375</v>
      </c>
      <c r="S645" s="28">
        <f>IFERROR(INDEX('Clean Gamification Data'!$B:$B,MATCH($B645,'Clean Gamification Data'!$A:$A,0)),"Not Found")</f>
        <v>91.75798073</v>
      </c>
      <c r="T645" s="28">
        <f>IFERROR(INDEX('Clean Gamification Data'!$C:$C,MATCH($B645,'Clean Gamification Data'!$A:$A,0)),"Not Found")</f>
        <v>67.938707690000001</v>
      </c>
      <c r="U645" s="28">
        <f>IFERROR(INDEX('Clean Gamification Data'!$D:$D,MATCH($B645,'Clean Gamification Data'!$A:$A,0)),"Not Found")</f>
        <v>79.795640629999994</v>
      </c>
      <c r="V645" s="28">
        <f>IFERROR(INDEX('Clean Gamification Data'!$E:$E,MATCH($B645,'Clean Gamification Data'!$A:$A,0)),"Not Found")</f>
        <v>64.217868710000005</v>
      </c>
      <c r="W645" s="28">
        <f>IFERROR(INDEX('Clean Gamification Data'!$F:$F,MATCH($B645,'Clean Gamification Data'!$A:$A,0)),"Not Found")</f>
        <v>89.24958479</v>
      </c>
      <c r="X645" s="28">
        <f>IFERROR(INDEX('Clean Gamification Data'!$G:$G,MATCH($B645,'Clean Gamification Data'!$A:$A,0)),"Not Found")</f>
        <v>78.792839529999995</v>
      </c>
      <c r="Y645" s="28">
        <f>IFERROR(INDEX('Clean Gamification Data'!$H:$H,MATCH($B645,'Clean Gamification Data'!$A:$A,0)),"Not Found")</f>
        <v>67.267481840000002</v>
      </c>
      <c r="Z645" s="28">
        <f>IFERROR(INDEX('Clean Gamification Data'!$I:$I,MATCH($B645,'Clean Gamification Data'!$A:$A,0)),"Not Found")</f>
        <v>66.552939539999997</v>
      </c>
      <c r="AA645" s="28">
        <f>Table1[[#This Row],[Engagement (Gamification %)]]-Table1[[#This Row],[Engagement (Non-Gamification %)]]</f>
        <v>23.819273039999999</v>
      </c>
      <c r="AB645" s="28">
        <f>Table1[[#This Row],[Motivation (Gamification %)]]-Table1[[#This Row],[Motivation (Non-Gamification %)]]</f>
        <v>15.577771919999989</v>
      </c>
      <c r="AC645" s="28">
        <f>Table1[[#This Row],[Participation (Gamification %)]]-Table1[[#This Row],[Participation (Non-Gamification %)]]</f>
        <v>10.456745260000005</v>
      </c>
      <c r="AD645" s="28">
        <f>Table1[[#This Row],[Learning Outcomes (Gamification %)]]-Table1[[#This Row],[Learning Outcomes (Non-Gamification %)]]</f>
        <v>0.71454230000000507</v>
      </c>
      <c r="AE645" s="44" t="str">
        <f>IF(Table1[[#This Row],[Overall Effectiveness]]&lt;3.9,"Low",IF(Table1[[#This Row],[Overall Effectiveness]]&lt;4.2,"Medium","High"))</f>
        <v>Medium</v>
      </c>
      <c r="AF645" s="30" t="str">
        <f t="shared" si="64"/>
        <v>Experiments</v>
      </c>
      <c r="AG645" s="30" t="str">
        <f t="shared" si="65"/>
        <v>Experiments</v>
      </c>
      <c r="AH645" s="27">
        <f>COUNTIF(Teacher_Master!$D$2:$D$16,AF645)</f>
        <v>3</v>
      </c>
      <c r="AI645" s="30" t="str">
        <f>INDEX(Teacher_Master!$B$2:$B$16,MATCH(AF645,Teacher_Master!$D$2:$D$16,0))</f>
        <v>Prof. Rahul Singh</v>
      </c>
    </row>
    <row r="646" spans="1:35" ht="14.25" customHeight="1" x14ac:dyDescent="0.3">
      <c r="A646" s="31" t="s">
        <v>1323</v>
      </c>
      <c r="B646" s="31" t="s">
        <v>2538</v>
      </c>
      <c r="C646" s="31" t="s">
        <v>2881</v>
      </c>
      <c r="D646" s="12">
        <f t="shared" ca="1" si="60"/>
        <v>25</v>
      </c>
      <c r="E646" s="12" t="str">
        <f ca="1">IF(Table1[[#This Row],[Age]]&lt;=22,"20-22",IF(Table1[[#This Row],[Age]]&lt;=25,"23-25",IF(Table1[[#This Row],[Age]]&lt;=28,"26-28","29-30")))</f>
        <v>23-25</v>
      </c>
      <c r="F646" s="12">
        <v>4.32</v>
      </c>
      <c r="G646" s="12">
        <v>4.0599999999999996</v>
      </c>
      <c r="H646" s="12">
        <v>4.3</v>
      </c>
      <c r="I646" s="12">
        <v>3.55</v>
      </c>
      <c r="J646" s="12">
        <v>3.78</v>
      </c>
      <c r="K646" s="12">
        <v>4.24</v>
      </c>
      <c r="L646" s="12">
        <v>3.64</v>
      </c>
      <c r="M646" s="12">
        <v>3.83</v>
      </c>
      <c r="N646" s="12">
        <v>3.67</v>
      </c>
      <c r="O646" s="12">
        <v>4.12</v>
      </c>
      <c r="P646" s="12">
        <f t="shared" si="61"/>
        <v>4.0020000000000007</v>
      </c>
      <c r="Q646" s="12">
        <f t="shared" si="62"/>
        <v>4</v>
      </c>
      <c r="R646" s="12">
        <f t="shared" si="63"/>
        <v>3.9</v>
      </c>
      <c r="S646" s="28">
        <f>IFERROR(INDEX('Clean Gamification Data'!$B:$B,MATCH($B646,'Clean Gamification Data'!$A:$A,0)),"Not Found")</f>
        <v>84.286676709999995</v>
      </c>
      <c r="T646" s="28">
        <f>IFERROR(INDEX('Clean Gamification Data'!$C:$C,MATCH($B646,'Clean Gamification Data'!$A:$A,0)),"Not Found")</f>
        <v>70.489679129999999</v>
      </c>
      <c r="U646" s="28">
        <f>IFERROR(INDEX('Clean Gamification Data'!$D:$D,MATCH($B646,'Clean Gamification Data'!$A:$A,0)),"Not Found")</f>
        <v>79.542738310000004</v>
      </c>
      <c r="V646" s="28">
        <f>IFERROR(INDEX('Clean Gamification Data'!$E:$E,MATCH($B646,'Clean Gamification Data'!$A:$A,0)),"Not Found")</f>
        <v>68.298867900000005</v>
      </c>
      <c r="W646" s="28">
        <f>IFERROR(INDEX('Clean Gamification Data'!$F:$F,MATCH($B646,'Clean Gamification Data'!$A:$A,0)),"Not Found")</f>
        <v>89.870713089999995</v>
      </c>
      <c r="X646" s="28">
        <f>IFERROR(INDEX('Clean Gamification Data'!$G:$G,MATCH($B646,'Clean Gamification Data'!$A:$A,0)),"Not Found")</f>
        <v>78.032578349999994</v>
      </c>
      <c r="Y646" s="28">
        <f>IFERROR(INDEX('Clean Gamification Data'!$H:$H,MATCH($B646,'Clean Gamification Data'!$A:$A,0)),"Not Found")</f>
        <v>72.509249870000005</v>
      </c>
      <c r="Z646" s="28">
        <f>IFERROR(INDEX('Clean Gamification Data'!$I:$I,MATCH($B646,'Clean Gamification Data'!$A:$A,0)),"Not Found")</f>
        <v>53.246486060000002</v>
      </c>
      <c r="AA646" s="28">
        <f>Table1[[#This Row],[Engagement (Gamification %)]]-Table1[[#This Row],[Engagement (Non-Gamification %)]]</f>
        <v>13.796997579999996</v>
      </c>
      <c r="AB646" s="28">
        <f>Table1[[#This Row],[Motivation (Gamification %)]]-Table1[[#This Row],[Motivation (Non-Gamification %)]]</f>
        <v>11.24387041</v>
      </c>
      <c r="AC646" s="28">
        <f>Table1[[#This Row],[Participation (Gamification %)]]-Table1[[#This Row],[Participation (Non-Gamification %)]]</f>
        <v>11.838134740000001</v>
      </c>
      <c r="AD646" s="28">
        <f>Table1[[#This Row],[Learning Outcomes (Gamification %)]]-Table1[[#This Row],[Learning Outcomes (Non-Gamification %)]]</f>
        <v>19.262763810000003</v>
      </c>
      <c r="AE646" s="44" t="str">
        <f>IF(Table1[[#This Row],[Overall Effectiveness]]&lt;3.9,"Low",IF(Table1[[#This Row],[Overall Effectiveness]]&lt;4.2,"Medium","High"))</f>
        <v>Medium</v>
      </c>
      <c r="AF646" s="30" t="str">
        <f t="shared" si="64"/>
        <v>Lectures</v>
      </c>
      <c r="AG646" s="30" t="str">
        <f t="shared" si="65"/>
        <v>Lectures</v>
      </c>
      <c r="AH646" s="27">
        <f>COUNTIF(Teacher_Master!$D$2:$D$16,AF646)</f>
        <v>3</v>
      </c>
      <c r="AI646" s="30" t="str">
        <f>INDEX(Teacher_Master!$B$2:$B$16,MATCH(AF646,Teacher_Master!$D$2:$D$16,0))</f>
        <v>Prof. Vikram Gupta</v>
      </c>
    </row>
    <row r="647" spans="1:35" ht="14.25" customHeight="1" x14ac:dyDescent="0.3">
      <c r="A647" s="31" t="s">
        <v>1325</v>
      </c>
      <c r="B647" s="31" t="s">
        <v>2539</v>
      </c>
      <c r="C647" s="31" t="s">
        <v>2881</v>
      </c>
      <c r="D647" s="12">
        <f t="shared" ca="1" si="60"/>
        <v>28</v>
      </c>
      <c r="E647" s="12" t="str">
        <f ca="1">IF(Table1[[#This Row],[Age]]&lt;=22,"20-22",IF(Table1[[#This Row],[Age]]&lt;=25,"23-25",IF(Table1[[#This Row],[Age]]&lt;=28,"26-28","29-30")))</f>
        <v>26-28</v>
      </c>
      <c r="F647" s="12">
        <v>4.12</v>
      </c>
      <c r="G647" s="12">
        <v>4.5599999999999996</v>
      </c>
      <c r="H647" s="12">
        <v>4.1100000000000003</v>
      </c>
      <c r="I647" s="12">
        <v>4.28</v>
      </c>
      <c r="J647" s="12">
        <v>3.7</v>
      </c>
      <c r="K647" s="12">
        <v>3.84</v>
      </c>
      <c r="L647" s="12">
        <v>3.47</v>
      </c>
      <c r="M647" s="12">
        <v>4.16</v>
      </c>
      <c r="N647" s="12">
        <v>3.98</v>
      </c>
      <c r="O647" s="12" t="s">
        <v>211</v>
      </c>
      <c r="P647" s="12">
        <f t="shared" si="61"/>
        <v>4.1539999999999999</v>
      </c>
      <c r="Q647" s="12">
        <f t="shared" si="62"/>
        <v>4.1500000000000004</v>
      </c>
      <c r="R647" s="12">
        <f t="shared" si="63"/>
        <v>3.8625000000000003</v>
      </c>
      <c r="S647" s="28">
        <f>IFERROR(INDEX('Clean Gamification Data'!$B:$B,MATCH($B647,'Clean Gamification Data'!$A:$A,0)),"Not Found")</f>
        <v>88.506699650000002</v>
      </c>
      <c r="T647" s="28">
        <f>IFERROR(INDEX('Clean Gamification Data'!$C:$C,MATCH($B647,'Clean Gamification Data'!$A:$A,0)),"Not Found")</f>
        <v>67.223628739999995</v>
      </c>
      <c r="U647" s="28">
        <f>IFERROR(INDEX('Clean Gamification Data'!$D:$D,MATCH($B647,'Clean Gamification Data'!$A:$A,0)),"Not Found")</f>
        <v>73.470938390000001</v>
      </c>
      <c r="V647" s="28">
        <f>IFERROR(INDEX('Clean Gamification Data'!$E:$E,MATCH($B647,'Clean Gamification Data'!$A:$A,0)),"Not Found")</f>
        <v>64.082807590000002</v>
      </c>
      <c r="W647" s="28">
        <f>IFERROR(INDEX('Clean Gamification Data'!$F:$F,MATCH($B647,'Clean Gamification Data'!$A:$A,0)),"Not Found")</f>
        <v>89.464518190000007</v>
      </c>
      <c r="X647" s="28">
        <f>IFERROR(INDEX('Clean Gamification Data'!$G:$G,MATCH($B647,'Clean Gamification Data'!$A:$A,0)),"Not Found")</f>
        <v>71.192328880000005</v>
      </c>
      <c r="Y647" s="28">
        <f>IFERROR(INDEX('Clean Gamification Data'!$H:$H,MATCH($B647,'Clean Gamification Data'!$A:$A,0)),"Not Found")</f>
        <v>74.226077799999999</v>
      </c>
      <c r="Z647" s="28">
        <f>IFERROR(INDEX('Clean Gamification Data'!$I:$I,MATCH($B647,'Clean Gamification Data'!$A:$A,0)),"Not Found")</f>
        <v>63.767387909999997</v>
      </c>
      <c r="AA647" s="28">
        <f>Table1[[#This Row],[Engagement (Gamification %)]]-Table1[[#This Row],[Engagement (Non-Gamification %)]]</f>
        <v>21.283070910000006</v>
      </c>
      <c r="AB647" s="28">
        <f>Table1[[#This Row],[Motivation (Gamification %)]]-Table1[[#This Row],[Motivation (Non-Gamification %)]]</f>
        <v>9.388130799999999</v>
      </c>
      <c r="AC647" s="28">
        <f>Table1[[#This Row],[Participation (Gamification %)]]-Table1[[#This Row],[Participation (Non-Gamification %)]]</f>
        <v>18.272189310000002</v>
      </c>
      <c r="AD647" s="28">
        <f>Table1[[#This Row],[Learning Outcomes (Gamification %)]]-Table1[[#This Row],[Learning Outcomes (Non-Gamification %)]]</f>
        <v>10.458689890000002</v>
      </c>
      <c r="AE647" s="44" t="str">
        <f>IF(Table1[[#This Row],[Overall Effectiveness]]&lt;3.9,"Low",IF(Table1[[#This Row],[Overall Effectiveness]]&lt;4.2,"Medium","High"))</f>
        <v>Medium</v>
      </c>
      <c r="AF647" s="30" t="str">
        <f t="shared" si="64"/>
        <v>Case Studies</v>
      </c>
      <c r="AG647" s="30" t="str">
        <f t="shared" si="65"/>
        <v>Group Projects</v>
      </c>
      <c r="AH647" s="27">
        <f>COUNTIF(Teacher_Master!$D$2:$D$16,AF647)</f>
        <v>3</v>
      </c>
      <c r="AI647" s="30" t="str">
        <f>INDEX(Teacher_Master!$B$2:$B$16,MATCH(AF647,Teacher_Master!$D$2:$D$16,0))</f>
        <v>Prof. Rajesh Mukherjee</v>
      </c>
    </row>
    <row r="648" spans="1:35" ht="14.25" customHeight="1" x14ac:dyDescent="0.3">
      <c r="A648" s="31" t="s">
        <v>1327</v>
      </c>
      <c r="B648" s="31" t="s">
        <v>2540</v>
      </c>
      <c r="C648" s="31" t="s">
        <v>2881</v>
      </c>
      <c r="D648" s="12">
        <f t="shared" ca="1" si="60"/>
        <v>29</v>
      </c>
      <c r="E648" s="12" t="str">
        <f ca="1">IF(Table1[[#This Row],[Age]]&lt;=22,"20-22",IF(Table1[[#This Row],[Age]]&lt;=25,"23-25",IF(Table1[[#This Row],[Age]]&lt;=28,"26-28","29-30")))</f>
        <v>29-30</v>
      </c>
      <c r="F648" s="12">
        <v>4.1100000000000003</v>
      </c>
      <c r="G648" s="12">
        <v>3.56</v>
      </c>
      <c r="H648" s="12">
        <v>4.1399999999999997</v>
      </c>
      <c r="I648" s="12">
        <v>4.3899999999999997</v>
      </c>
      <c r="J648" s="12">
        <v>3.76</v>
      </c>
      <c r="K648" s="12">
        <v>3.94</v>
      </c>
      <c r="L648" s="12">
        <v>3.9</v>
      </c>
      <c r="M648" s="12">
        <v>3.97</v>
      </c>
      <c r="N648" s="12">
        <v>4.09</v>
      </c>
      <c r="O648" s="12">
        <v>4.03</v>
      </c>
      <c r="P648" s="12">
        <f t="shared" si="61"/>
        <v>3.992</v>
      </c>
      <c r="Q648" s="12">
        <f t="shared" si="62"/>
        <v>3.99</v>
      </c>
      <c r="R648" s="12">
        <f t="shared" si="63"/>
        <v>3.9859999999999998</v>
      </c>
      <c r="S648" s="28">
        <f>IFERROR(INDEX('Clean Gamification Data'!$B:$B,MATCH($B648,'Clean Gamification Data'!$A:$A,0)),"Not Found")</f>
        <v>87.037507020000007</v>
      </c>
      <c r="T648" s="28">
        <f>IFERROR(INDEX('Clean Gamification Data'!$C:$C,MATCH($B648,'Clean Gamification Data'!$A:$A,0)),"Not Found")</f>
        <v>66.767772620000002</v>
      </c>
      <c r="U648" s="28">
        <f>IFERROR(INDEX('Clean Gamification Data'!$D:$D,MATCH($B648,'Clean Gamification Data'!$A:$A,0)),"Not Found")</f>
        <v>70</v>
      </c>
      <c r="V648" s="28">
        <f>IFERROR(INDEX('Clean Gamification Data'!$E:$E,MATCH($B648,'Clean Gamification Data'!$A:$A,0)),"Not Found")</f>
        <v>74.328636020000005</v>
      </c>
      <c r="W648" s="28">
        <f>IFERROR(INDEX('Clean Gamification Data'!$F:$F,MATCH($B648,'Clean Gamification Data'!$A:$A,0)),"Not Found")</f>
        <v>92.688010410000004</v>
      </c>
      <c r="X648" s="28">
        <f>IFERROR(INDEX('Clean Gamification Data'!$G:$G,MATCH($B648,'Clean Gamification Data'!$A:$A,0)),"Not Found")</f>
        <v>77.125364090000005</v>
      </c>
      <c r="Y648" s="28">
        <f>IFERROR(INDEX('Clean Gamification Data'!$H:$H,MATCH($B648,'Clean Gamification Data'!$A:$A,0)),"Not Found")</f>
        <v>70.976564510000003</v>
      </c>
      <c r="Z648" s="28">
        <f>IFERROR(INDEX('Clean Gamification Data'!$I:$I,MATCH($B648,'Clean Gamification Data'!$A:$A,0)),"Not Found")</f>
        <v>50</v>
      </c>
      <c r="AA648" s="28">
        <f>Table1[[#This Row],[Engagement (Gamification %)]]-Table1[[#This Row],[Engagement (Non-Gamification %)]]</f>
        <v>20.269734400000004</v>
      </c>
      <c r="AB648" s="28">
        <f>Table1[[#This Row],[Motivation (Gamification %)]]-Table1[[#This Row],[Motivation (Non-Gamification %)]]</f>
        <v>-4.3286360200000047</v>
      </c>
      <c r="AC648" s="28">
        <f>Table1[[#This Row],[Participation (Gamification %)]]-Table1[[#This Row],[Participation (Non-Gamification %)]]</f>
        <v>15.562646319999999</v>
      </c>
      <c r="AD648" s="28">
        <f>Table1[[#This Row],[Learning Outcomes (Gamification %)]]-Table1[[#This Row],[Learning Outcomes (Non-Gamification %)]]</f>
        <v>20.976564510000003</v>
      </c>
      <c r="AE648" s="44" t="str">
        <f>IF(Table1[[#This Row],[Overall Effectiveness]]&lt;3.9,"Low",IF(Table1[[#This Row],[Overall Effectiveness]]&lt;4.2,"Medium","High"))</f>
        <v>Medium</v>
      </c>
      <c r="AF648" s="30" t="str">
        <f t="shared" si="64"/>
        <v>Experiments</v>
      </c>
      <c r="AG648" s="30" t="str">
        <f t="shared" si="65"/>
        <v>Experiments</v>
      </c>
      <c r="AH648" s="27">
        <f>COUNTIF(Teacher_Master!$D$2:$D$16,AF648)</f>
        <v>3</v>
      </c>
      <c r="AI648" s="30" t="str">
        <f>INDEX(Teacher_Master!$B$2:$B$16,MATCH(AF648,Teacher_Master!$D$2:$D$16,0))</f>
        <v>Prof. Rahul Singh</v>
      </c>
    </row>
    <row r="649" spans="1:35" ht="14.25" customHeight="1" x14ac:dyDescent="0.3">
      <c r="A649" s="31" t="s">
        <v>1329</v>
      </c>
      <c r="B649" s="31" t="s">
        <v>2541</v>
      </c>
      <c r="C649" s="31" t="s">
        <v>2881</v>
      </c>
      <c r="D649" s="12">
        <f t="shared" ca="1" si="60"/>
        <v>27</v>
      </c>
      <c r="E649" s="12" t="str">
        <f ca="1">IF(Table1[[#This Row],[Age]]&lt;=22,"20-22",IF(Table1[[#This Row],[Age]]&lt;=25,"23-25",IF(Table1[[#This Row],[Age]]&lt;=28,"26-28","29-30")))</f>
        <v>26-28</v>
      </c>
      <c r="F649" s="12">
        <v>4.0999999999999996</v>
      </c>
      <c r="G649" s="12">
        <v>4.38</v>
      </c>
      <c r="H649" s="12">
        <v>4.0599999999999996</v>
      </c>
      <c r="I649" s="12">
        <v>3.51</v>
      </c>
      <c r="J649" s="12">
        <v>3.95</v>
      </c>
      <c r="K649" s="12">
        <v>3.8</v>
      </c>
      <c r="L649" s="12">
        <v>3.7</v>
      </c>
      <c r="M649" s="12">
        <v>3.83</v>
      </c>
      <c r="N649" s="12">
        <v>4.22</v>
      </c>
      <c r="O649" s="12">
        <v>4.09</v>
      </c>
      <c r="P649" s="12">
        <f t="shared" si="61"/>
        <v>3.9999999999999991</v>
      </c>
      <c r="Q649" s="12">
        <f t="shared" si="62"/>
        <v>4</v>
      </c>
      <c r="R649" s="12">
        <f t="shared" si="63"/>
        <v>3.9279999999999999</v>
      </c>
      <c r="S649" s="28">
        <f>IFERROR(INDEX('Clean Gamification Data'!$B:$B,MATCH($B649,'Clean Gamification Data'!$A:$A,0)),"Not Found")</f>
        <v>79.168451669999996</v>
      </c>
      <c r="T649" s="28">
        <f>IFERROR(INDEX('Clean Gamification Data'!$C:$C,MATCH($B649,'Clean Gamification Data'!$A:$A,0)),"Not Found")</f>
        <v>73.955507979999993</v>
      </c>
      <c r="U649" s="28">
        <f>IFERROR(INDEX('Clean Gamification Data'!$D:$D,MATCH($B649,'Clean Gamification Data'!$A:$A,0)),"Not Found")</f>
        <v>74.732368899999997</v>
      </c>
      <c r="V649" s="28">
        <f>IFERROR(INDEX('Clean Gamification Data'!$E:$E,MATCH($B649,'Clean Gamification Data'!$A:$A,0)),"Not Found")</f>
        <v>70.223516029999999</v>
      </c>
      <c r="W649" s="28">
        <f>IFERROR(INDEX('Clean Gamification Data'!$F:$F,MATCH($B649,'Clean Gamification Data'!$A:$A,0)),"Not Found")</f>
        <v>80</v>
      </c>
      <c r="X649" s="28">
        <f>IFERROR(INDEX('Clean Gamification Data'!$G:$G,MATCH($B649,'Clean Gamification Data'!$A:$A,0)),"Not Found")</f>
        <v>71.105822259999997</v>
      </c>
      <c r="Y649" s="28">
        <f>IFERROR(INDEX('Clean Gamification Data'!$H:$H,MATCH($B649,'Clean Gamification Data'!$A:$A,0)),"Not Found")</f>
        <v>66.129682149999994</v>
      </c>
      <c r="Z649" s="28">
        <f>IFERROR(INDEX('Clean Gamification Data'!$I:$I,MATCH($B649,'Clean Gamification Data'!$A:$A,0)),"Not Found")</f>
        <v>61.591164999999997</v>
      </c>
      <c r="AA649" s="28">
        <f>Table1[[#This Row],[Engagement (Gamification %)]]-Table1[[#This Row],[Engagement (Non-Gamification %)]]</f>
        <v>5.212943690000003</v>
      </c>
      <c r="AB649" s="28">
        <f>Table1[[#This Row],[Motivation (Gamification %)]]-Table1[[#This Row],[Motivation (Non-Gamification %)]]</f>
        <v>4.5088528699999983</v>
      </c>
      <c r="AC649" s="28">
        <f>Table1[[#This Row],[Participation (Gamification %)]]-Table1[[#This Row],[Participation (Non-Gamification %)]]</f>
        <v>8.8941777400000035</v>
      </c>
      <c r="AD649" s="28">
        <f>Table1[[#This Row],[Learning Outcomes (Gamification %)]]-Table1[[#This Row],[Learning Outcomes (Non-Gamification %)]]</f>
        <v>4.538517149999997</v>
      </c>
      <c r="AE649" s="44" t="str">
        <f>IF(Table1[[#This Row],[Overall Effectiveness]]&lt;3.9,"Low",IF(Table1[[#This Row],[Overall Effectiveness]]&lt;4.2,"Medium","High"))</f>
        <v>Medium</v>
      </c>
      <c r="AF649" s="30" t="str">
        <f t="shared" si="64"/>
        <v>Case Studies</v>
      </c>
      <c r="AG649" s="30" t="str">
        <f t="shared" si="65"/>
        <v>Experiments</v>
      </c>
      <c r="AH649" s="27">
        <f>COUNTIF(Teacher_Master!$D$2:$D$16,AF649)</f>
        <v>3</v>
      </c>
      <c r="AI649" s="30" t="str">
        <f>INDEX(Teacher_Master!$B$2:$B$16,MATCH(AF649,Teacher_Master!$D$2:$D$16,0))</f>
        <v>Prof. Rajesh Mukherjee</v>
      </c>
    </row>
    <row r="650" spans="1:35" ht="14.25" customHeight="1" x14ac:dyDescent="0.3">
      <c r="A650" s="31" t="s">
        <v>1331</v>
      </c>
      <c r="B650" s="31" t="s">
        <v>2542</v>
      </c>
      <c r="C650" s="31" t="s">
        <v>2882</v>
      </c>
      <c r="D650" s="12">
        <f t="shared" ca="1" si="60"/>
        <v>29</v>
      </c>
      <c r="E650" s="12" t="str">
        <f ca="1">IF(Table1[[#This Row],[Age]]&lt;=22,"20-22",IF(Table1[[#This Row],[Age]]&lt;=25,"23-25",IF(Table1[[#This Row],[Age]]&lt;=28,"26-28","29-30")))</f>
        <v>29-30</v>
      </c>
      <c r="F650" s="12">
        <v>4.26</v>
      </c>
      <c r="G650" s="12">
        <v>4.0199999999999996</v>
      </c>
      <c r="H650" s="12">
        <v>3.74</v>
      </c>
      <c r="I650" s="12">
        <v>4.3</v>
      </c>
      <c r="J650" s="12">
        <v>4.1100000000000003</v>
      </c>
      <c r="K650" s="12">
        <v>4.1900000000000004</v>
      </c>
      <c r="L650" s="12">
        <v>3.73</v>
      </c>
      <c r="M650" s="12">
        <v>3.9</v>
      </c>
      <c r="N650" s="12">
        <v>4.16</v>
      </c>
      <c r="O650" s="12">
        <v>3.96</v>
      </c>
      <c r="P650" s="12">
        <f t="shared" si="61"/>
        <v>4.0860000000000003</v>
      </c>
      <c r="Q650" s="12">
        <f t="shared" si="62"/>
        <v>4.09</v>
      </c>
      <c r="R650" s="12">
        <f t="shared" si="63"/>
        <v>3.9880000000000004</v>
      </c>
      <c r="S650" s="28">
        <f>IFERROR(INDEX('Clean Gamification Data'!$B:$B,MATCH($B650,'Clean Gamification Data'!$A:$A,0)),"Not Found")</f>
        <v>91.686014290000003</v>
      </c>
      <c r="T650" s="28">
        <f>IFERROR(INDEX('Clean Gamification Data'!$C:$C,MATCH($B650,'Clean Gamification Data'!$A:$A,0)),"Not Found")</f>
        <v>74.154567709999995</v>
      </c>
      <c r="U650" s="28">
        <f>IFERROR(INDEX('Clean Gamification Data'!$D:$D,MATCH($B650,'Clean Gamification Data'!$A:$A,0)),"Not Found")</f>
        <v>76.681880939999999</v>
      </c>
      <c r="V650" s="28">
        <f>IFERROR(INDEX('Clean Gamification Data'!$E:$E,MATCH($B650,'Clean Gamification Data'!$A:$A,0)),"Not Found")</f>
        <v>65.840864389999993</v>
      </c>
      <c r="W650" s="28">
        <f>IFERROR(INDEX('Clean Gamification Data'!$F:$F,MATCH($B650,'Clean Gamification Data'!$A:$A,0)),"Not Found")</f>
        <v>91.215810930000004</v>
      </c>
      <c r="X650" s="28">
        <f>IFERROR(INDEX('Clean Gamification Data'!$G:$G,MATCH($B650,'Clean Gamification Data'!$A:$A,0)),"Not Found")</f>
        <v>83.505246389999996</v>
      </c>
      <c r="Y650" s="28">
        <f>IFERROR(INDEX('Clean Gamification Data'!$H:$H,MATCH($B650,'Clean Gamification Data'!$A:$A,0)),"Not Found")</f>
        <v>67.685515120000005</v>
      </c>
      <c r="Z650" s="28">
        <f>IFERROR(INDEX('Clean Gamification Data'!$I:$I,MATCH($B650,'Clean Gamification Data'!$A:$A,0)),"Not Found")</f>
        <v>65.959827369999999</v>
      </c>
      <c r="AA650" s="28">
        <f>Table1[[#This Row],[Engagement (Gamification %)]]-Table1[[#This Row],[Engagement (Non-Gamification %)]]</f>
        <v>17.531446580000008</v>
      </c>
      <c r="AB650" s="28">
        <f>Table1[[#This Row],[Motivation (Gamification %)]]-Table1[[#This Row],[Motivation (Non-Gamification %)]]</f>
        <v>10.841016550000006</v>
      </c>
      <c r="AC650" s="28">
        <f>Table1[[#This Row],[Participation (Gamification %)]]-Table1[[#This Row],[Participation (Non-Gamification %)]]</f>
        <v>7.7105645400000071</v>
      </c>
      <c r="AD650" s="28">
        <f>Table1[[#This Row],[Learning Outcomes (Gamification %)]]-Table1[[#This Row],[Learning Outcomes (Non-Gamification %)]]</f>
        <v>1.7256877500000058</v>
      </c>
      <c r="AE650" s="44" t="str">
        <f>IF(Table1[[#This Row],[Overall Effectiveness]]&lt;3.9,"Low",IF(Table1[[#This Row],[Overall Effectiveness]]&lt;4.2,"Medium","High"))</f>
        <v>Medium</v>
      </c>
      <c r="AF650" s="30" t="str">
        <f t="shared" si="64"/>
        <v>Experiments</v>
      </c>
      <c r="AG650" s="30" t="str">
        <f t="shared" si="65"/>
        <v>Lectures</v>
      </c>
      <c r="AH650" s="27">
        <f>COUNTIF(Teacher_Master!$D$2:$D$16,AF650)</f>
        <v>3</v>
      </c>
      <c r="AI650" s="30" t="str">
        <f>INDEX(Teacher_Master!$B$2:$B$16,MATCH(AF650,Teacher_Master!$D$2:$D$16,0))</f>
        <v>Prof. Rahul Singh</v>
      </c>
    </row>
    <row r="651" spans="1:35" ht="14.25" customHeight="1" x14ac:dyDescent="0.3">
      <c r="A651" s="31" t="s">
        <v>1333</v>
      </c>
      <c r="B651" s="31" t="s">
        <v>2543</v>
      </c>
      <c r="C651" s="31" t="s">
        <v>2882</v>
      </c>
      <c r="D651" s="12">
        <f t="shared" ca="1" si="60"/>
        <v>27</v>
      </c>
      <c r="E651" s="12" t="str">
        <f ca="1">IF(Table1[[#This Row],[Age]]&lt;=22,"20-22",IF(Table1[[#This Row],[Age]]&lt;=25,"23-25",IF(Table1[[#This Row],[Age]]&lt;=28,"26-28","29-30")))</f>
        <v>26-28</v>
      </c>
      <c r="F651" s="12">
        <v>4.53</v>
      </c>
      <c r="G651" s="12" t="s">
        <v>211</v>
      </c>
      <c r="H651" s="12">
        <v>3.84</v>
      </c>
      <c r="I651" s="12">
        <v>4.0599999999999996</v>
      </c>
      <c r="J651" s="12">
        <v>4.79</v>
      </c>
      <c r="K651" s="12">
        <v>4.4000000000000004</v>
      </c>
      <c r="L651" s="12" t="s">
        <v>211</v>
      </c>
      <c r="M651" s="12">
        <v>4.28</v>
      </c>
      <c r="N651" s="12">
        <v>3.98</v>
      </c>
      <c r="O651" s="12">
        <v>3.95</v>
      </c>
      <c r="P651" s="12">
        <f t="shared" si="61"/>
        <v>4.3049999999999997</v>
      </c>
      <c r="Q651" s="12">
        <f t="shared" si="62"/>
        <v>4.3099999999999996</v>
      </c>
      <c r="R651" s="12">
        <f t="shared" si="63"/>
        <v>4.1524999999999999</v>
      </c>
      <c r="S651" s="28">
        <f>IFERROR(INDEX('Clean Gamification Data'!$B:$B,MATCH($B651,'Clean Gamification Data'!$A:$A,0)),"Not Found")</f>
        <v>82.094892689999995</v>
      </c>
      <c r="T651" s="28">
        <f>IFERROR(INDEX('Clean Gamification Data'!$C:$C,MATCH($B651,'Clean Gamification Data'!$A:$A,0)),"Not Found")</f>
        <v>74.340259140000001</v>
      </c>
      <c r="U651" s="28">
        <f>IFERROR(INDEX('Clean Gamification Data'!$D:$D,MATCH($B651,'Clean Gamification Data'!$A:$A,0)),"Not Found")</f>
        <v>76.029666969999994</v>
      </c>
      <c r="V651" s="28">
        <f>IFERROR(INDEX('Clean Gamification Data'!$E:$E,MATCH($B651,'Clean Gamification Data'!$A:$A,0)),"Not Found")</f>
        <v>60.80623421</v>
      </c>
      <c r="W651" s="28">
        <f>IFERROR(INDEX('Clean Gamification Data'!$F:$F,MATCH($B651,'Clean Gamification Data'!$A:$A,0)),"Not Found")</f>
        <v>91.005437860000001</v>
      </c>
      <c r="X651" s="28">
        <f>IFERROR(INDEX('Clean Gamification Data'!$G:$G,MATCH($B651,'Clean Gamification Data'!$A:$A,0)),"Not Found")</f>
        <v>84.617869560000003</v>
      </c>
      <c r="Y651" s="28">
        <f>IFERROR(INDEX('Clean Gamification Data'!$H:$H,MATCH($B651,'Clean Gamification Data'!$A:$A,0)),"Not Found")</f>
        <v>72.358893899999998</v>
      </c>
      <c r="Z651" s="28">
        <f>IFERROR(INDEX('Clean Gamification Data'!$I:$I,MATCH($B651,'Clean Gamification Data'!$A:$A,0)),"Not Found")</f>
        <v>50</v>
      </c>
      <c r="AA651" s="28">
        <f>Table1[[#This Row],[Engagement (Gamification %)]]-Table1[[#This Row],[Engagement (Non-Gamification %)]]</f>
        <v>7.7546335499999941</v>
      </c>
      <c r="AB651" s="28">
        <f>Table1[[#This Row],[Motivation (Gamification %)]]-Table1[[#This Row],[Motivation (Non-Gamification %)]]</f>
        <v>15.223432759999994</v>
      </c>
      <c r="AC651" s="28">
        <f>Table1[[#This Row],[Participation (Gamification %)]]-Table1[[#This Row],[Participation (Non-Gamification %)]]</f>
        <v>6.3875682999999981</v>
      </c>
      <c r="AD651" s="28">
        <f>Table1[[#This Row],[Learning Outcomes (Gamification %)]]-Table1[[#This Row],[Learning Outcomes (Non-Gamification %)]]</f>
        <v>22.358893899999998</v>
      </c>
      <c r="AE651" s="44" t="str">
        <f>IF(Table1[[#This Row],[Overall Effectiveness]]&lt;3.9,"Low",IF(Table1[[#This Row],[Overall Effectiveness]]&lt;4.2,"Medium","High"))</f>
        <v>High</v>
      </c>
      <c r="AF651" s="30" t="str">
        <f t="shared" si="64"/>
        <v>Online Tutorials</v>
      </c>
      <c r="AG651" s="30" t="str">
        <f t="shared" si="65"/>
        <v>Lectures</v>
      </c>
      <c r="AH651" s="27">
        <f>COUNTIF(Teacher_Master!$D$2:$D$16,AF651)</f>
        <v>3</v>
      </c>
      <c r="AI651" s="30" t="str">
        <f>INDEX(Teacher_Master!$B$2:$B$16,MATCH(AF651,Teacher_Master!$D$2:$D$16,0))</f>
        <v>Prof. Kavita Rao</v>
      </c>
    </row>
    <row r="652" spans="1:35" ht="14.25" customHeight="1" x14ac:dyDescent="0.3">
      <c r="A652" s="31" t="s">
        <v>1335</v>
      </c>
      <c r="B652" s="31" t="s">
        <v>2544</v>
      </c>
      <c r="C652" s="31" t="s">
        <v>2882</v>
      </c>
      <c r="D652" s="12">
        <f t="shared" ca="1" si="60"/>
        <v>20</v>
      </c>
      <c r="E652" s="12" t="str">
        <f ca="1">IF(Table1[[#This Row],[Age]]&lt;=22,"20-22",IF(Table1[[#This Row],[Age]]&lt;=25,"23-25",IF(Table1[[#This Row],[Age]]&lt;=28,"26-28","29-30")))</f>
        <v>20-22</v>
      </c>
      <c r="F652" s="12">
        <v>3.85</v>
      </c>
      <c r="G652" s="12">
        <v>4.03</v>
      </c>
      <c r="H652" s="12">
        <v>4.26</v>
      </c>
      <c r="I652" s="12">
        <v>3.8</v>
      </c>
      <c r="J652" s="12">
        <v>4.1399999999999997</v>
      </c>
      <c r="K652" s="12">
        <v>4.18</v>
      </c>
      <c r="L652" s="12">
        <v>3.69</v>
      </c>
      <c r="M652" s="12">
        <v>3.97</v>
      </c>
      <c r="N652" s="12">
        <v>4.7699999999999996</v>
      </c>
      <c r="O652" s="12">
        <v>4.38</v>
      </c>
      <c r="P652" s="12">
        <f t="shared" si="61"/>
        <v>4.016</v>
      </c>
      <c r="Q652" s="12">
        <f t="shared" si="62"/>
        <v>4.0199999999999996</v>
      </c>
      <c r="R652" s="12">
        <f t="shared" si="63"/>
        <v>4.1979999999999995</v>
      </c>
      <c r="S652" s="28">
        <f>IFERROR(INDEX('Clean Gamification Data'!$B:$B,MATCH($B652,'Clean Gamification Data'!$A:$A,0)),"Not Found")</f>
        <v>85.491195360000006</v>
      </c>
      <c r="T652" s="28">
        <f>IFERROR(INDEX('Clean Gamification Data'!$C:$C,MATCH($B652,'Clean Gamification Data'!$A:$A,0)),"Not Found")</f>
        <v>80</v>
      </c>
      <c r="U652" s="28">
        <f>IFERROR(INDEX('Clean Gamification Data'!$D:$D,MATCH($B652,'Clean Gamification Data'!$A:$A,0)),"Not Found")</f>
        <v>78.586330329999996</v>
      </c>
      <c r="V652" s="28">
        <f>IFERROR(INDEX('Clean Gamification Data'!$E:$E,MATCH($B652,'Clean Gamification Data'!$A:$A,0)),"Not Found")</f>
        <v>72.04632805</v>
      </c>
      <c r="W652" s="28">
        <f>IFERROR(INDEX('Clean Gamification Data'!$F:$F,MATCH($B652,'Clean Gamification Data'!$A:$A,0)),"Not Found")</f>
        <v>81.831708950000007</v>
      </c>
      <c r="X652" s="28">
        <f>IFERROR(INDEX('Clean Gamification Data'!$G:$G,MATCH($B652,'Clean Gamification Data'!$A:$A,0)),"Not Found")</f>
        <v>79.809795510000001</v>
      </c>
      <c r="Y652" s="28">
        <f>IFERROR(INDEX('Clean Gamification Data'!$H:$H,MATCH($B652,'Clean Gamification Data'!$A:$A,0)),"Not Found")</f>
        <v>69.287920880000001</v>
      </c>
      <c r="Z652" s="28">
        <f>IFERROR(INDEX('Clean Gamification Data'!$I:$I,MATCH($B652,'Clean Gamification Data'!$A:$A,0)),"Not Found")</f>
        <v>56.069142020000001</v>
      </c>
      <c r="AA652" s="28">
        <f>Table1[[#This Row],[Engagement (Gamification %)]]-Table1[[#This Row],[Engagement (Non-Gamification %)]]</f>
        <v>5.4911953600000061</v>
      </c>
      <c r="AB652" s="28">
        <f>Table1[[#This Row],[Motivation (Gamification %)]]-Table1[[#This Row],[Motivation (Non-Gamification %)]]</f>
        <v>6.5400022799999959</v>
      </c>
      <c r="AC652" s="28">
        <f>Table1[[#This Row],[Participation (Gamification %)]]-Table1[[#This Row],[Participation (Non-Gamification %)]]</f>
        <v>2.0219134400000058</v>
      </c>
      <c r="AD652" s="28">
        <f>Table1[[#This Row],[Learning Outcomes (Gamification %)]]-Table1[[#This Row],[Learning Outcomes (Non-Gamification %)]]</f>
        <v>13.21877886</v>
      </c>
      <c r="AE652" s="44" t="str">
        <f>IF(Table1[[#This Row],[Overall Effectiveness]]&lt;3.9,"Low",IF(Table1[[#This Row],[Overall Effectiveness]]&lt;4.2,"Medium","High"))</f>
        <v>Medium</v>
      </c>
      <c r="AF652" s="30" t="str">
        <f t="shared" si="64"/>
        <v>Group Projects</v>
      </c>
      <c r="AG652" s="30" t="str">
        <f t="shared" si="65"/>
        <v>Experiments</v>
      </c>
      <c r="AH652" s="27">
        <f>COUNTIF(Teacher_Master!$D$2:$D$16,AF652)</f>
        <v>3</v>
      </c>
      <c r="AI652" s="30" t="str">
        <f>INDEX(Teacher_Master!$B$2:$B$16,MATCH(AF652,Teacher_Master!$D$2:$D$16,0))</f>
        <v>Dr. Rohan Dutta</v>
      </c>
    </row>
    <row r="653" spans="1:35" ht="14.25" customHeight="1" x14ac:dyDescent="0.3">
      <c r="A653" s="31" t="s">
        <v>1337</v>
      </c>
      <c r="B653" s="31" t="s">
        <v>2545</v>
      </c>
      <c r="C653" s="31" t="s">
        <v>2882</v>
      </c>
      <c r="D653" s="12">
        <f t="shared" ca="1" si="60"/>
        <v>25</v>
      </c>
      <c r="E653" s="12" t="str">
        <f ca="1">IF(Table1[[#This Row],[Age]]&lt;=22,"20-22",IF(Table1[[#This Row],[Age]]&lt;=25,"23-25",IF(Table1[[#This Row],[Age]]&lt;=28,"26-28","29-30")))</f>
        <v>23-25</v>
      </c>
      <c r="F653" s="12">
        <v>4.24</v>
      </c>
      <c r="G653" s="12">
        <v>3.85</v>
      </c>
      <c r="H653" s="12">
        <v>4.25</v>
      </c>
      <c r="I653" s="12">
        <v>3.62</v>
      </c>
      <c r="J653" s="12">
        <v>4.28</v>
      </c>
      <c r="K653" s="12">
        <v>4.4000000000000004</v>
      </c>
      <c r="L653" s="12">
        <v>3.97</v>
      </c>
      <c r="M653" s="12">
        <v>4.25</v>
      </c>
      <c r="N653" s="12">
        <v>3.98</v>
      </c>
      <c r="O653" s="12">
        <v>3.7</v>
      </c>
      <c r="P653" s="12">
        <f t="shared" si="61"/>
        <v>4.048</v>
      </c>
      <c r="Q653" s="12">
        <f t="shared" si="62"/>
        <v>4.05</v>
      </c>
      <c r="R653" s="12">
        <f t="shared" si="63"/>
        <v>4.0600000000000005</v>
      </c>
      <c r="S653" s="28">
        <f>IFERROR(INDEX('Clean Gamification Data'!$B:$B,MATCH($B653,'Clean Gamification Data'!$A:$A,0)),"Not Found")</f>
        <v>79.034305450000005</v>
      </c>
      <c r="T653" s="28">
        <f>IFERROR(INDEX('Clean Gamification Data'!$C:$C,MATCH($B653,'Clean Gamification Data'!$A:$A,0)),"Not Found")</f>
        <v>60</v>
      </c>
      <c r="U653" s="28">
        <f>IFERROR(INDEX('Clean Gamification Data'!$D:$D,MATCH($B653,'Clean Gamification Data'!$A:$A,0)),"Not Found")</f>
        <v>85.712250920000002</v>
      </c>
      <c r="V653" s="28">
        <f>IFERROR(INDEX('Clean Gamification Data'!$E:$E,MATCH($B653,'Clean Gamification Data'!$A:$A,0)),"Not Found")</f>
        <v>55</v>
      </c>
      <c r="W653" s="28">
        <f>IFERROR(INDEX('Clean Gamification Data'!$F:$F,MATCH($B653,'Clean Gamification Data'!$A:$A,0)),"Not Found")</f>
        <v>93.269340729999996</v>
      </c>
      <c r="X653" s="28">
        <f>IFERROR(INDEX('Clean Gamification Data'!$G:$G,MATCH($B653,'Clean Gamification Data'!$A:$A,0)),"Not Found")</f>
        <v>85</v>
      </c>
      <c r="Y653" s="28">
        <f>IFERROR(INDEX('Clean Gamification Data'!$H:$H,MATCH($B653,'Clean Gamification Data'!$A:$A,0)),"Not Found")</f>
        <v>65.215216560000002</v>
      </c>
      <c r="Z653" s="28">
        <f>IFERROR(INDEX('Clean Gamification Data'!$I:$I,MATCH($B653,'Clean Gamification Data'!$A:$A,0)),"Not Found")</f>
        <v>50</v>
      </c>
      <c r="AA653" s="28">
        <f>Table1[[#This Row],[Engagement (Gamification %)]]-Table1[[#This Row],[Engagement (Non-Gamification %)]]</f>
        <v>19.034305450000005</v>
      </c>
      <c r="AB653" s="28">
        <f>Table1[[#This Row],[Motivation (Gamification %)]]-Table1[[#This Row],[Motivation (Non-Gamification %)]]</f>
        <v>30.712250920000002</v>
      </c>
      <c r="AC653" s="28">
        <f>Table1[[#This Row],[Participation (Gamification %)]]-Table1[[#This Row],[Participation (Non-Gamification %)]]</f>
        <v>8.2693407299999961</v>
      </c>
      <c r="AD653" s="28">
        <f>Table1[[#This Row],[Learning Outcomes (Gamification %)]]-Table1[[#This Row],[Learning Outcomes (Non-Gamification %)]]</f>
        <v>15.215216560000002</v>
      </c>
      <c r="AE653" s="44" t="str">
        <f>IF(Table1[[#This Row],[Overall Effectiveness]]&lt;3.9,"Low",IF(Table1[[#This Row],[Overall Effectiveness]]&lt;4.2,"Medium","High"))</f>
        <v>Medium</v>
      </c>
      <c r="AF653" s="30" t="str">
        <f t="shared" si="64"/>
        <v>Online Tutorials</v>
      </c>
      <c r="AG653" s="30" t="str">
        <f t="shared" si="65"/>
        <v>Lectures</v>
      </c>
      <c r="AH653" s="27">
        <f>COUNTIF(Teacher_Master!$D$2:$D$16,AF653)</f>
        <v>3</v>
      </c>
      <c r="AI653" s="30" t="str">
        <f>INDEX(Teacher_Master!$B$2:$B$16,MATCH(AF653,Teacher_Master!$D$2:$D$16,0))</f>
        <v>Prof. Kavita Rao</v>
      </c>
    </row>
    <row r="654" spans="1:35" ht="14.25" customHeight="1" x14ac:dyDescent="0.3">
      <c r="A654" s="31" t="s">
        <v>1339</v>
      </c>
      <c r="B654" s="31" t="s">
        <v>2546</v>
      </c>
      <c r="C654" s="31" t="s">
        <v>2881</v>
      </c>
      <c r="D654" s="12">
        <f t="shared" ca="1" si="60"/>
        <v>22</v>
      </c>
      <c r="E654" s="12" t="str">
        <f ca="1">IF(Table1[[#This Row],[Age]]&lt;=22,"20-22",IF(Table1[[#This Row],[Age]]&lt;=25,"23-25",IF(Table1[[#This Row],[Age]]&lt;=28,"26-28","29-30")))</f>
        <v>20-22</v>
      </c>
      <c r="F654" s="12">
        <v>4.4000000000000004</v>
      </c>
      <c r="G654" s="12">
        <v>4.03</v>
      </c>
      <c r="H654" s="12">
        <v>4.25</v>
      </c>
      <c r="I654" s="12">
        <v>3.66</v>
      </c>
      <c r="J654" s="12">
        <v>4.0599999999999996</v>
      </c>
      <c r="K654" s="12">
        <v>4.34</v>
      </c>
      <c r="L654" s="12">
        <v>3.71</v>
      </c>
      <c r="M654" s="12">
        <v>3.89</v>
      </c>
      <c r="N654" s="12">
        <v>3.96</v>
      </c>
      <c r="O654" s="12">
        <v>4.07</v>
      </c>
      <c r="P654" s="12">
        <f t="shared" si="61"/>
        <v>4.08</v>
      </c>
      <c r="Q654" s="12">
        <f t="shared" si="62"/>
        <v>4.08</v>
      </c>
      <c r="R654" s="12">
        <f t="shared" si="63"/>
        <v>3.9940000000000007</v>
      </c>
      <c r="S654" s="28">
        <f>IFERROR(INDEX('Clean Gamification Data'!$B:$B,MATCH($B654,'Clean Gamification Data'!$A:$A,0)),"Not Found")</f>
        <v>76.650722250000001</v>
      </c>
      <c r="T654" s="28">
        <f>IFERROR(INDEX('Clean Gamification Data'!$C:$C,MATCH($B654,'Clean Gamification Data'!$A:$A,0)),"Not Found")</f>
        <v>69.013877539999996</v>
      </c>
      <c r="U654" s="28">
        <f>IFERROR(INDEX('Clean Gamification Data'!$D:$D,MATCH($B654,'Clean Gamification Data'!$A:$A,0)),"Not Found")</f>
        <v>84.836886879999994</v>
      </c>
      <c r="V654" s="28">
        <f>IFERROR(INDEX('Clean Gamification Data'!$E:$E,MATCH($B654,'Clean Gamification Data'!$A:$A,0)),"Not Found")</f>
        <v>64.284266430000002</v>
      </c>
      <c r="W654" s="28">
        <f>IFERROR(INDEX('Clean Gamification Data'!$F:$F,MATCH($B654,'Clean Gamification Data'!$A:$A,0)),"Not Found")</f>
        <v>82.019974880000007</v>
      </c>
      <c r="X654" s="28">
        <f>IFERROR(INDEX('Clean Gamification Data'!$G:$G,MATCH($B654,'Clean Gamification Data'!$A:$A,0)),"Not Found")</f>
        <v>83.631838070000001</v>
      </c>
      <c r="Y654" s="28">
        <f>IFERROR(INDEX('Clean Gamification Data'!$H:$H,MATCH($B654,'Clean Gamification Data'!$A:$A,0)),"Not Found")</f>
        <v>73.141465960000005</v>
      </c>
      <c r="Z654" s="28">
        <f>IFERROR(INDEX('Clean Gamification Data'!$I:$I,MATCH($B654,'Clean Gamification Data'!$A:$A,0)),"Not Found")</f>
        <v>55.356575239999998</v>
      </c>
      <c r="AA654" s="28">
        <f>Table1[[#This Row],[Engagement (Gamification %)]]-Table1[[#This Row],[Engagement (Non-Gamification %)]]</f>
        <v>7.6368447100000054</v>
      </c>
      <c r="AB654" s="28">
        <f>Table1[[#This Row],[Motivation (Gamification %)]]-Table1[[#This Row],[Motivation (Non-Gamification %)]]</f>
        <v>20.552620449999992</v>
      </c>
      <c r="AC654" s="28">
        <f>Table1[[#This Row],[Participation (Gamification %)]]-Table1[[#This Row],[Participation (Non-Gamification %)]]</f>
        <v>-1.611863189999994</v>
      </c>
      <c r="AD654" s="28">
        <f>Table1[[#This Row],[Learning Outcomes (Gamification %)]]-Table1[[#This Row],[Learning Outcomes (Non-Gamification %)]]</f>
        <v>17.784890720000007</v>
      </c>
      <c r="AE654" s="44" t="str">
        <f>IF(Table1[[#This Row],[Overall Effectiveness]]&lt;3.9,"Low",IF(Table1[[#This Row],[Overall Effectiveness]]&lt;4.2,"Medium","High"))</f>
        <v>Medium</v>
      </c>
      <c r="AF654" s="30" t="str">
        <f t="shared" si="64"/>
        <v>Lectures</v>
      </c>
      <c r="AG654" s="30" t="str">
        <f t="shared" si="65"/>
        <v>Lectures</v>
      </c>
      <c r="AH654" s="27">
        <f>COUNTIF(Teacher_Master!$D$2:$D$16,AF654)</f>
        <v>3</v>
      </c>
      <c r="AI654" s="30" t="str">
        <f>INDEX(Teacher_Master!$B$2:$B$16,MATCH(AF654,Teacher_Master!$D$2:$D$16,0))</f>
        <v>Prof. Vikram Gupta</v>
      </c>
    </row>
    <row r="655" spans="1:35" ht="14.25" customHeight="1" x14ac:dyDescent="0.3">
      <c r="A655" s="31" t="s">
        <v>1341</v>
      </c>
      <c r="B655" s="31" t="s">
        <v>2547</v>
      </c>
      <c r="C655" s="31" t="s">
        <v>2882</v>
      </c>
      <c r="D655" s="12">
        <f t="shared" ca="1" si="60"/>
        <v>29</v>
      </c>
      <c r="E655" s="12" t="str">
        <f ca="1">IF(Table1[[#This Row],[Age]]&lt;=22,"20-22",IF(Table1[[#This Row],[Age]]&lt;=25,"23-25",IF(Table1[[#This Row],[Age]]&lt;=28,"26-28","29-30")))</f>
        <v>29-30</v>
      </c>
      <c r="F655" s="12">
        <v>3.62</v>
      </c>
      <c r="G655" s="12">
        <v>3.48</v>
      </c>
      <c r="H655" s="12">
        <v>3.7</v>
      </c>
      <c r="I655" s="12">
        <v>4.5599999999999996</v>
      </c>
      <c r="J655" s="12">
        <v>4.13</v>
      </c>
      <c r="K655" s="12">
        <v>3.74</v>
      </c>
      <c r="L655" s="12">
        <v>4.33</v>
      </c>
      <c r="M655" s="12">
        <v>3.49</v>
      </c>
      <c r="N655" s="12">
        <v>3.88</v>
      </c>
      <c r="O655" s="12">
        <v>4.1500000000000004</v>
      </c>
      <c r="P655" s="12">
        <f t="shared" si="61"/>
        <v>3.8979999999999997</v>
      </c>
      <c r="Q655" s="12">
        <f t="shared" si="62"/>
        <v>3.9</v>
      </c>
      <c r="R655" s="12">
        <f t="shared" si="63"/>
        <v>3.9180000000000006</v>
      </c>
      <c r="S655" s="28">
        <f>IFERROR(INDEX('Clean Gamification Data'!$B:$B,MATCH($B655,'Clean Gamification Data'!$A:$A,0)),"Not Found")</f>
        <v>87.476671999999994</v>
      </c>
      <c r="T655" s="28">
        <f>IFERROR(INDEX('Clean Gamification Data'!$C:$C,MATCH($B655,'Clean Gamification Data'!$A:$A,0)),"Not Found")</f>
        <v>70.640073790000002</v>
      </c>
      <c r="U655" s="28">
        <f>IFERROR(INDEX('Clean Gamification Data'!$D:$D,MATCH($B655,'Clean Gamification Data'!$A:$A,0)),"Not Found")</f>
        <v>81.337497839999997</v>
      </c>
      <c r="V655" s="28">
        <f>IFERROR(INDEX('Clean Gamification Data'!$E:$E,MATCH($B655,'Clean Gamification Data'!$A:$A,0)),"Not Found")</f>
        <v>68.383302450000002</v>
      </c>
      <c r="W655" s="28">
        <f>IFERROR(INDEX('Clean Gamification Data'!$F:$F,MATCH($B655,'Clean Gamification Data'!$A:$A,0)),"Not Found")</f>
        <v>97.109103599999997</v>
      </c>
      <c r="X655" s="28">
        <f>IFERROR(INDEX('Clean Gamification Data'!$G:$G,MATCH($B655,'Clean Gamification Data'!$A:$A,0)),"Not Found")</f>
        <v>76.176735570000005</v>
      </c>
      <c r="Y655" s="28">
        <f>IFERROR(INDEX('Clean Gamification Data'!$H:$H,MATCH($B655,'Clean Gamification Data'!$A:$A,0)),"Not Found")</f>
        <v>69.376191180000006</v>
      </c>
      <c r="Z655" s="28">
        <f>IFERROR(INDEX('Clean Gamification Data'!$I:$I,MATCH($B655,'Clean Gamification Data'!$A:$A,0)),"Not Found")</f>
        <v>54.005447439999998</v>
      </c>
      <c r="AA655" s="28">
        <f>Table1[[#This Row],[Engagement (Gamification %)]]-Table1[[#This Row],[Engagement (Non-Gamification %)]]</f>
        <v>16.836598209999991</v>
      </c>
      <c r="AB655" s="28">
        <f>Table1[[#This Row],[Motivation (Gamification %)]]-Table1[[#This Row],[Motivation (Non-Gamification %)]]</f>
        <v>12.954195389999995</v>
      </c>
      <c r="AC655" s="28">
        <f>Table1[[#This Row],[Participation (Gamification %)]]-Table1[[#This Row],[Participation (Non-Gamification %)]]</f>
        <v>20.932368029999992</v>
      </c>
      <c r="AD655" s="28">
        <f>Table1[[#This Row],[Learning Outcomes (Gamification %)]]-Table1[[#This Row],[Learning Outcomes (Non-Gamification %)]]</f>
        <v>15.370743740000009</v>
      </c>
      <c r="AE655" s="44" t="str">
        <f>IF(Table1[[#This Row],[Overall Effectiveness]]&lt;3.9,"Low",IF(Table1[[#This Row],[Overall Effectiveness]]&lt;4.2,"Medium","High"))</f>
        <v>Low</v>
      </c>
      <c r="AF655" s="30" t="str">
        <f t="shared" si="64"/>
        <v>Experiments</v>
      </c>
      <c r="AG655" s="30" t="str">
        <f t="shared" si="65"/>
        <v>Case Studies</v>
      </c>
      <c r="AH655" s="27">
        <f>COUNTIF(Teacher_Master!$D$2:$D$16,AF655)</f>
        <v>3</v>
      </c>
      <c r="AI655" s="30" t="str">
        <f>INDEX(Teacher_Master!$B$2:$B$16,MATCH(AF655,Teacher_Master!$D$2:$D$16,0))</f>
        <v>Prof. Rahul Singh</v>
      </c>
    </row>
    <row r="656" spans="1:35" ht="14.25" customHeight="1" x14ac:dyDescent="0.3">
      <c r="A656" s="31" t="s">
        <v>1343</v>
      </c>
      <c r="B656" s="31" t="s">
        <v>1344</v>
      </c>
      <c r="C656" s="31" t="s">
        <v>2881</v>
      </c>
      <c r="D656" s="12">
        <f t="shared" ca="1" si="60"/>
        <v>25</v>
      </c>
      <c r="E656" s="12" t="str">
        <f ca="1">IF(Table1[[#This Row],[Age]]&lt;=22,"20-22",IF(Table1[[#This Row],[Age]]&lt;=25,"23-25",IF(Table1[[#This Row],[Age]]&lt;=28,"26-28","29-30")))</f>
        <v>23-25</v>
      </c>
      <c r="F656" s="12">
        <v>3.37</v>
      </c>
      <c r="G656" s="12">
        <v>4.2300000000000004</v>
      </c>
      <c r="H656" s="12">
        <v>4.22</v>
      </c>
      <c r="I656" s="12">
        <v>4.43</v>
      </c>
      <c r="J656" s="12">
        <v>3.44</v>
      </c>
      <c r="K656" s="12">
        <v>4.53</v>
      </c>
      <c r="L656" s="12">
        <v>4.09</v>
      </c>
      <c r="M656" s="12">
        <v>4.7</v>
      </c>
      <c r="N656" s="12">
        <v>3.98</v>
      </c>
      <c r="O656" s="12">
        <v>4.5</v>
      </c>
      <c r="P656" s="12">
        <f t="shared" si="61"/>
        <v>3.9380000000000002</v>
      </c>
      <c r="Q656" s="12">
        <f t="shared" si="62"/>
        <v>3.94</v>
      </c>
      <c r="R656" s="12">
        <f t="shared" si="63"/>
        <v>4.3600000000000003</v>
      </c>
      <c r="S656" s="28">
        <f>IFERROR(INDEX('Clean Gamification Data'!$B:$B,MATCH($B656,'Clean Gamification Data'!$A:$A,0)),"Not Found")</f>
        <v>80.313754739999993</v>
      </c>
      <c r="T656" s="28">
        <f>IFERROR(INDEX('Clean Gamification Data'!$C:$C,MATCH($B656,'Clean Gamification Data'!$A:$A,0)),"Not Found")</f>
        <v>63.119557839999999</v>
      </c>
      <c r="U656" s="28">
        <f>IFERROR(INDEX('Clean Gamification Data'!$D:$D,MATCH($B656,'Clean Gamification Data'!$A:$A,0)),"Not Found")</f>
        <v>74.081163910000001</v>
      </c>
      <c r="V656" s="28">
        <f>IFERROR(INDEX('Clean Gamification Data'!$E:$E,MATCH($B656,'Clean Gamification Data'!$A:$A,0)),"Not Found")</f>
        <v>65.039450689999995</v>
      </c>
      <c r="W656" s="28">
        <f>IFERROR(INDEX('Clean Gamification Data'!$F:$F,MATCH($B656,'Clean Gamification Data'!$A:$A,0)),"Not Found")</f>
        <v>89.141419350000007</v>
      </c>
      <c r="X656" s="28">
        <f>IFERROR(INDEX('Clean Gamification Data'!$G:$G,MATCH($B656,'Clean Gamification Data'!$A:$A,0)),"Not Found")</f>
        <v>69.855349189999998</v>
      </c>
      <c r="Y656" s="28">
        <f>IFERROR(INDEX('Clean Gamification Data'!$H:$H,MATCH($B656,'Clean Gamification Data'!$A:$A,0)),"Not Found")</f>
        <v>72.934384899999998</v>
      </c>
      <c r="Z656" s="28">
        <f>IFERROR(INDEX('Clean Gamification Data'!$I:$I,MATCH($B656,'Clean Gamification Data'!$A:$A,0)),"Not Found")</f>
        <v>60.36676859</v>
      </c>
      <c r="AA656" s="28">
        <f>Table1[[#This Row],[Engagement (Gamification %)]]-Table1[[#This Row],[Engagement (Non-Gamification %)]]</f>
        <v>17.194196899999994</v>
      </c>
      <c r="AB656" s="28">
        <f>Table1[[#This Row],[Motivation (Gamification %)]]-Table1[[#This Row],[Motivation (Non-Gamification %)]]</f>
        <v>9.0417132200000054</v>
      </c>
      <c r="AC656" s="28">
        <f>Table1[[#This Row],[Participation (Gamification %)]]-Table1[[#This Row],[Participation (Non-Gamification %)]]</f>
        <v>19.286070160000008</v>
      </c>
      <c r="AD656" s="28">
        <f>Table1[[#This Row],[Learning Outcomes (Gamification %)]]-Table1[[#This Row],[Learning Outcomes (Non-Gamification %)]]</f>
        <v>12.567616309999998</v>
      </c>
      <c r="AE656" s="44" t="str">
        <f>IF(Table1[[#This Row],[Overall Effectiveness]]&lt;3.9,"Low",IF(Table1[[#This Row],[Overall Effectiveness]]&lt;4.2,"Medium","High"))</f>
        <v>Medium</v>
      </c>
      <c r="AF656" s="30" t="str">
        <f t="shared" si="64"/>
        <v>Experiments</v>
      </c>
      <c r="AG656" s="30" t="str">
        <f t="shared" si="65"/>
        <v>Group Projects</v>
      </c>
      <c r="AH656" s="27">
        <f>COUNTIF(Teacher_Master!$D$2:$D$16,AF656)</f>
        <v>3</v>
      </c>
      <c r="AI656" s="30" t="str">
        <f>INDEX(Teacher_Master!$B$2:$B$16,MATCH(AF656,Teacher_Master!$D$2:$D$16,0))</f>
        <v>Prof. Rahul Singh</v>
      </c>
    </row>
    <row r="657" spans="1:35" ht="14.25" customHeight="1" x14ac:dyDescent="0.3">
      <c r="A657" s="31" t="s">
        <v>1345</v>
      </c>
      <c r="B657" s="31" t="s">
        <v>2548</v>
      </c>
      <c r="C657" s="31" t="s">
        <v>2881</v>
      </c>
      <c r="D657" s="12">
        <f t="shared" ca="1" si="60"/>
        <v>21</v>
      </c>
      <c r="E657" s="12" t="str">
        <f ca="1">IF(Table1[[#This Row],[Age]]&lt;=22,"20-22",IF(Table1[[#This Row],[Age]]&lt;=25,"23-25",IF(Table1[[#This Row],[Age]]&lt;=28,"26-28","29-30")))</f>
        <v>20-22</v>
      </c>
      <c r="F657" s="12">
        <v>3.89</v>
      </c>
      <c r="G657" s="12">
        <v>3.56</v>
      </c>
      <c r="H657" s="12">
        <v>4.13</v>
      </c>
      <c r="I657" s="12">
        <v>4.42</v>
      </c>
      <c r="J657" s="12">
        <v>4.46</v>
      </c>
      <c r="K657" s="12">
        <v>4.03</v>
      </c>
      <c r="L657" s="12">
        <v>4.18</v>
      </c>
      <c r="M657" s="12">
        <v>4.05</v>
      </c>
      <c r="N657" s="12">
        <v>4.4800000000000004</v>
      </c>
      <c r="O657" s="12">
        <v>4.3899999999999997</v>
      </c>
      <c r="P657" s="12">
        <f t="shared" si="61"/>
        <v>4.0920000000000005</v>
      </c>
      <c r="Q657" s="12">
        <f t="shared" si="62"/>
        <v>4.09</v>
      </c>
      <c r="R657" s="12">
        <f t="shared" si="63"/>
        <v>4.2260000000000009</v>
      </c>
      <c r="S657" s="28">
        <f>IFERROR(INDEX('Clean Gamification Data'!$B:$B,MATCH($B657,'Clean Gamification Data'!$A:$A,0)),"Not Found")</f>
        <v>81.121776010000005</v>
      </c>
      <c r="T657" s="28">
        <f>IFERROR(INDEX('Clean Gamification Data'!$C:$C,MATCH($B657,'Clean Gamification Data'!$A:$A,0)),"Not Found")</f>
        <v>75.621566079999994</v>
      </c>
      <c r="U657" s="28">
        <f>IFERROR(INDEX('Clean Gamification Data'!$D:$D,MATCH($B657,'Clean Gamification Data'!$A:$A,0)),"Not Found")</f>
        <v>70</v>
      </c>
      <c r="V657" s="28">
        <f>IFERROR(INDEX('Clean Gamification Data'!$E:$E,MATCH($B657,'Clean Gamification Data'!$A:$A,0)),"Not Found")</f>
        <v>68.429263329999998</v>
      </c>
      <c r="W657" s="28">
        <f>IFERROR(INDEX('Clean Gamification Data'!$F:$F,MATCH($B657,'Clean Gamification Data'!$A:$A,0)),"Not Found")</f>
        <v>85.394962230000004</v>
      </c>
      <c r="X657" s="28">
        <f>IFERROR(INDEX('Clean Gamification Data'!$G:$G,MATCH($B657,'Clean Gamification Data'!$A:$A,0)),"Not Found")</f>
        <v>76.332996739999999</v>
      </c>
      <c r="Y657" s="28">
        <f>IFERROR(INDEX('Clean Gamification Data'!$H:$H,MATCH($B657,'Clean Gamification Data'!$A:$A,0)),"Not Found")</f>
        <v>67.715410820000002</v>
      </c>
      <c r="Z657" s="28">
        <f>IFERROR(INDEX('Clean Gamification Data'!$I:$I,MATCH($B657,'Clean Gamification Data'!$A:$A,0)),"Not Found")</f>
        <v>55.205380839999997</v>
      </c>
      <c r="AA657" s="28">
        <f>Table1[[#This Row],[Engagement (Gamification %)]]-Table1[[#This Row],[Engagement (Non-Gamification %)]]</f>
        <v>5.5002099300000111</v>
      </c>
      <c r="AB657" s="28">
        <f>Table1[[#This Row],[Motivation (Gamification %)]]-Table1[[#This Row],[Motivation (Non-Gamification %)]]</f>
        <v>1.5707366700000023</v>
      </c>
      <c r="AC657" s="28">
        <f>Table1[[#This Row],[Participation (Gamification %)]]-Table1[[#This Row],[Participation (Non-Gamification %)]]</f>
        <v>9.0619654900000057</v>
      </c>
      <c r="AD657" s="28">
        <f>Table1[[#This Row],[Learning Outcomes (Gamification %)]]-Table1[[#This Row],[Learning Outcomes (Non-Gamification %)]]</f>
        <v>12.510029980000006</v>
      </c>
      <c r="AE657" s="44" t="str">
        <f>IF(Table1[[#This Row],[Overall Effectiveness]]&lt;3.9,"Low",IF(Table1[[#This Row],[Overall Effectiveness]]&lt;4.2,"Medium","High"))</f>
        <v>Medium</v>
      </c>
      <c r="AF657" s="30" t="str">
        <f t="shared" si="64"/>
        <v>Online Tutorials</v>
      </c>
      <c r="AG657" s="30" t="str">
        <f t="shared" si="65"/>
        <v>Experiments</v>
      </c>
      <c r="AH657" s="27">
        <f>COUNTIF(Teacher_Master!$D$2:$D$16,AF657)</f>
        <v>3</v>
      </c>
      <c r="AI657" s="30" t="str">
        <f>INDEX(Teacher_Master!$B$2:$B$16,MATCH(AF657,Teacher_Master!$D$2:$D$16,0))</f>
        <v>Prof. Kavita Rao</v>
      </c>
    </row>
    <row r="658" spans="1:35" ht="14.25" customHeight="1" x14ac:dyDescent="0.3">
      <c r="A658" s="31" t="s">
        <v>1347</v>
      </c>
      <c r="B658" s="31" t="s">
        <v>1348</v>
      </c>
      <c r="C658" s="31" t="s">
        <v>2881</v>
      </c>
      <c r="D658" s="12">
        <f t="shared" ca="1" si="60"/>
        <v>25</v>
      </c>
      <c r="E658" s="12" t="str">
        <f ca="1">IF(Table1[[#This Row],[Age]]&lt;=22,"20-22",IF(Table1[[#This Row],[Age]]&lt;=25,"23-25",IF(Table1[[#This Row],[Age]]&lt;=28,"26-28","29-30")))</f>
        <v>23-25</v>
      </c>
      <c r="F658" s="12">
        <v>3.82</v>
      </c>
      <c r="G658" s="12">
        <v>4.12</v>
      </c>
      <c r="H658" s="12">
        <v>3.69</v>
      </c>
      <c r="I658" s="12">
        <v>4.04</v>
      </c>
      <c r="J658" s="12">
        <v>4.49</v>
      </c>
      <c r="K658" s="12">
        <v>4.2699999999999996</v>
      </c>
      <c r="L658" s="12">
        <v>4.05</v>
      </c>
      <c r="M658" s="12">
        <v>3.74</v>
      </c>
      <c r="N658" s="12">
        <v>4.03</v>
      </c>
      <c r="O658" s="12">
        <v>3.42</v>
      </c>
      <c r="P658" s="12">
        <f t="shared" si="61"/>
        <v>4.0319999999999991</v>
      </c>
      <c r="Q658" s="12">
        <f t="shared" si="62"/>
        <v>4.03</v>
      </c>
      <c r="R658" s="12">
        <f t="shared" si="63"/>
        <v>3.9019999999999997</v>
      </c>
      <c r="S658" s="28">
        <f>IFERROR(INDEX('Clean Gamification Data'!$B:$B,MATCH($B658,'Clean Gamification Data'!$A:$A,0)),"Not Found")</f>
        <v>80.1817779</v>
      </c>
      <c r="T658" s="28">
        <f>IFERROR(INDEX('Clean Gamification Data'!$C:$C,MATCH($B658,'Clean Gamification Data'!$A:$A,0)),"Not Found")</f>
        <v>73.633511929999997</v>
      </c>
      <c r="U658" s="28">
        <f>IFERROR(INDEX('Clean Gamification Data'!$D:$D,MATCH($B658,'Clean Gamification Data'!$A:$A,0)),"Not Found")</f>
        <v>70</v>
      </c>
      <c r="V658" s="28">
        <f>IFERROR(INDEX('Clean Gamification Data'!$E:$E,MATCH($B658,'Clean Gamification Data'!$A:$A,0)),"Not Found")</f>
        <v>71.604697290000004</v>
      </c>
      <c r="W658" s="28">
        <f>IFERROR(INDEX('Clean Gamification Data'!$F:$F,MATCH($B658,'Clean Gamification Data'!$A:$A,0)),"Not Found")</f>
        <v>91.037751490000005</v>
      </c>
      <c r="X658" s="28">
        <f>IFERROR(INDEX('Clean Gamification Data'!$G:$G,MATCH($B658,'Clean Gamification Data'!$A:$A,0)),"Not Found")</f>
        <v>81.016091270000004</v>
      </c>
      <c r="Y658" s="28">
        <f>IFERROR(INDEX('Clean Gamification Data'!$H:$H,MATCH($B658,'Clean Gamification Data'!$A:$A,0)),"Not Found")</f>
        <v>73.301561570000004</v>
      </c>
      <c r="Z658" s="28">
        <f>IFERROR(INDEX('Clean Gamification Data'!$I:$I,MATCH($B658,'Clean Gamification Data'!$A:$A,0)),"Not Found")</f>
        <v>56.87257082</v>
      </c>
      <c r="AA658" s="28">
        <f>Table1[[#This Row],[Engagement (Gamification %)]]-Table1[[#This Row],[Engagement (Non-Gamification %)]]</f>
        <v>6.5482659700000028</v>
      </c>
      <c r="AB658" s="28">
        <f>Table1[[#This Row],[Motivation (Gamification %)]]-Table1[[#This Row],[Motivation (Non-Gamification %)]]</f>
        <v>-1.6046972900000043</v>
      </c>
      <c r="AC658" s="28">
        <f>Table1[[#This Row],[Participation (Gamification %)]]-Table1[[#This Row],[Participation (Non-Gamification %)]]</f>
        <v>10.021660220000001</v>
      </c>
      <c r="AD658" s="28">
        <f>Table1[[#This Row],[Learning Outcomes (Gamification %)]]-Table1[[#This Row],[Learning Outcomes (Non-Gamification %)]]</f>
        <v>16.428990750000004</v>
      </c>
      <c r="AE658" s="44" t="str">
        <f>IF(Table1[[#This Row],[Overall Effectiveness]]&lt;3.9,"Low",IF(Table1[[#This Row],[Overall Effectiveness]]&lt;4.2,"Medium","High"))</f>
        <v>Medium</v>
      </c>
      <c r="AF658" s="30" t="str">
        <f t="shared" si="64"/>
        <v>Online Tutorials</v>
      </c>
      <c r="AG658" s="30" t="str">
        <f t="shared" si="65"/>
        <v>Lectures</v>
      </c>
      <c r="AH658" s="27">
        <f>COUNTIF(Teacher_Master!$D$2:$D$16,AF658)</f>
        <v>3</v>
      </c>
      <c r="AI658" s="30" t="str">
        <f>INDEX(Teacher_Master!$B$2:$B$16,MATCH(AF658,Teacher_Master!$D$2:$D$16,0))</f>
        <v>Prof. Kavita Rao</v>
      </c>
    </row>
    <row r="659" spans="1:35" ht="14.25" customHeight="1" x14ac:dyDescent="0.3">
      <c r="A659" s="31" t="s">
        <v>1349</v>
      </c>
      <c r="B659" s="31" t="s">
        <v>2549</v>
      </c>
      <c r="C659" s="31" t="s">
        <v>2882</v>
      </c>
      <c r="D659" s="12">
        <f t="shared" ca="1" si="60"/>
        <v>21</v>
      </c>
      <c r="E659" s="12" t="str">
        <f ca="1">IF(Table1[[#This Row],[Age]]&lt;=22,"20-22",IF(Table1[[#This Row],[Age]]&lt;=25,"23-25",IF(Table1[[#This Row],[Age]]&lt;=28,"26-28","29-30")))</f>
        <v>20-22</v>
      </c>
      <c r="F659" s="12">
        <v>4.21</v>
      </c>
      <c r="G659" s="12">
        <v>4.0599999999999996</v>
      </c>
      <c r="H659" s="12">
        <v>4.3</v>
      </c>
      <c r="I659" s="12">
        <v>3.91</v>
      </c>
      <c r="J659" s="12">
        <v>4.05</v>
      </c>
      <c r="K659" s="12">
        <v>3.68</v>
      </c>
      <c r="L659" s="12">
        <v>4.42</v>
      </c>
      <c r="M659" s="12">
        <v>4.22</v>
      </c>
      <c r="N659" s="12">
        <v>4.09</v>
      </c>
      <c r="O659" s="12">
        <v>4.83</v>
      </c>
      <c r="P659" s="12">
        <f t="shared" si="61"/>
        <v>4.1059999999999999</v>
      </c>
      <c r="Q659" s="12">
        <f t="shared" si="62"/>
        <v>4.1100000000000003</v>
      </c>
      <c r="R659" s="12">
        <f t="shared" si="63"/>
        <v>4.2480000000000002</v>
      </c>
      <c r="S659" s="28">
        <f>IFERROR(INDEX('Clean Gamification Data'!$B:$B,MATCH($B659,'Clean Gamification Data'!$A:$A,0)),"Not Found")</f>
        <v>84.051303669999996</v>
      </c>
      <c r="T659" s="28">
        <f>IFERROR(INDEX('Clean Gamification Data'!$C:$C,MATCH($B659,'Clean Gamification Data'!$A:$A,0)),"Not Found")</f>
        <v>65.760675050000003</v>
      </c>
      <c r="U659" s="28">
        <f>IFERROR(INDEX('Clean Gamification Data'!$D:$D,MATCH($B659,'Clean Gamification Data'!$A:$A,0)),"Not Found")</f>
        <v>80.866246230000002</v>
      </c>
      <c r="V659" s="28">
        <f>IFERROR(INDEX('Clean Gamification Data'!$E:$E,MATCH($B659,'Clean Gamification Data'!$A:$A,0)),"Not Found")</f>
        <v>69.348141799999993</v>
      </c>
      <c r="W659" s="28">
        <f>IFERROR(INDEX('Clean Gamification Data'!$F:$F,MATCH($B659,'Clean Gamification Data'!$A:$A,0)),"Not Found")</f>
        <v>81.625732220000003</v>
      </c>
      <c r="X659" s="28">
        <f>IFERROR(INDEX('Clean Gamification Data'!$G:$G,MATCH($B659,'Clean Gamification Data'!$A:$A,0)),"Not Found")</f>
        <v>85</v>
      </c>
      <c r="Y659" s="28">
        <f>IFERROR(INDEX('Clean Gamification Data'!$H:$H,MATCH($B659,'Clean Gamification Data'!$A:$A,0)),"Not Found")</f>
        <v>69.484788710000004</v>
      </c>
      <c r="Z659" s="28">
        <f>IFERROR(INDEX('Clean Gamification Data'!$I:$I,MATCH($B659,'Clean Gamification Data'!$A:$A,0)),"Not Found")</f>
        <v>57.656219200000002</v>
      </c>
      <c r="AA659" s="28">
        <f>Table1[[#This Row],[Engagement (Gamification %)]]-Table1[[#This Row],[Engagement (Non-Gamification %)]]</f>
        <v>18.290628619999993</v>
      </c>
      <c r="AB659" s="28">
        <f>Table1[[#This Row],[Motivation (Gamification %)]]-Table1[[#This Row],[Motivation (Non-Gamification %)]]</f>
        <v>11.518104430000008</v>
      </c>
      <c r="AC659" s="28">
        <f>Table1[[#This Row],[Participation (Gamification %)]]-Table1[[#This Row],[Participation (Non-Gamification %)]]</f>
        <v>-3.3742677799999967</v>
      </c>
      <c r="AD659" s="28">
        <f>Table1[[#This Row],[Learning Outcomes (Gamification %)]]-Table1[[#This Row],[Learning Outcomes (Non-Gamification %)]]</f>
        <v>11.828569510000001</v>
      </c>
      <c r="AE659" s="44" t="str">
        <f>IF(Table1[[#This Row],[Overall Effectiveness]]&lt;3.9,"Low",IF(Table1[[#This Row],[Overall Effectiveness]]&lt;4.2,"Medium","High"))</f>
        <v>Medium</v>
      </c>
      <c r="AF659" s="30" t="str">
        <f t="shared" si="64"/>
        <v>Group Projects</v>
      </c>
      <c r="AG659" s="30" t="str">
        <f t="shared" si="65"/>
        <v>Online Tutorials</v>
      </c>
      <c r="AH659" s="27">
        <f>COUNTIF(Teacher_Master!$D$2:$D$16,AF659)</f>
        <v>3</v>
      </c>
      <c r="AI659" s="30" t="str">
        <f>INDEX(Teacher_Master!$B$2:$B$16,MATCH(AF659,Teacher_Master!$D$2:$D$16,0))</f>
        <v>Dr. Rohan Dutta</v>
      </c>
    </row>
    <row r="660" spans="1:35" ht="14.25" customHeight="1" x14ac:dyDescent="0.3">
      <c r="A660" s="31" t="s">
        <v>1351</v>
      </c>
      <c r="B660" s="31" t="s">
        <v>1352</v>
      </c>
      <c r="C660" s="31" t="s">
        <v>2882</v>
      </c>
      <c r="D660" s="12">
        <f t="shared" ca="1" si="60"/>
        <v>30</v>
      </c>
      <c r="E660" s="12" t="str">
        <f ca="1">IF(Table1[[#This Row],[Age]]&lt;=22,"20-22",IF(Table1[[#This Row],[Age]]&lt;=25,"23-25",IF(Table1[[#This Row],[Age]]&lt;=28,"26-28","29-30")))</f>
        <v>29-30</v>
      </c>
      <c r="F660" s="12">
        <v>4.3099999999999996</v>
      </c>
      <c r="G660" s="12">
        <v>3.49</v>
      </c>
      <c r="H660" s="12">
        <v>4.08</v>
      </c>
      <c r="I660" s="12">
        <v>4.0999999999999996</v>
      </c>
      <c r="J660" s="12">
        <v>4.2699999999999996</v>
      </c>
      <c r="K660" s="12">
        <v>4.21</v>
      </c>
      <c r="L660" s="12">
        <v>3.74</v>
      </c>
      <c r="M660" s="12">
        <v>3.98</v>
      </c>
      <c r="N660" s="12">
        <v>4.53</v>
      </c>
      <c r="O660" s="12">
        <v>4.3</v>
      </c>
      <c r="P660" s="12">
        <f t="shared" si="61"/>
        <v>4.05</v>
      </c>
      <c r="Q660" s="12">
        <f t="shared" si="62"/>
        <v>4.05</v>
      </c>
      <c r="R660" s="12">
        <f t="shared" si="63"/>
        <v>4.1520000000000001</v>
      </c>
      <c r="S660" s="28">
        <f>IFERROR(INDEX('Clean Gamification Data'!$B:$B,MATCH($B660,'Clean Gamification Data'!$A:$A,0)),"Not Found")</f>
        <v>85.3527287</v>
      </c>
      <c r="T660" s="28">
        <f>IFERROR(INDEX('Clean Gamification Data'!$C:$C,MATCH($B660,'Clean Gamification Data'!$A:$A,0)),"Not Found")</f>
        <v>61.48711419</v>
      </c>
      <c r="U660" s="28">
        <f>IFERROR(INDEX('Clean Gamification Data'!$D:$D,MATCH($B660,'Clean Gamification Data'!$A:$A,0)),"Not Found")</f>
        <v>78.893205050000006</v>
      </c>
      <c r="V660" s="28">
        <f>IFERROR(INDEX('Clean Gamification Data'!$E:$E,MATCH($B660,'Clean Gamification Data'!$A:$A,0)),"Not Found")</f>
        <v>73.197750819999996</v>
      </c>
      <c r="W660" s="28">
        <f>IFERROR(INDEX('Clean Gamification Data'!$F:$F,MATCH($B660,'Clean Gamification Data'!$A:$A,0)),"Not Found")</f>
        <v>85.725135609999995</v>
      </c>
      <c r="X660" s="28">
        <f>IFERROR(INDEX('Clean Gamification Data'!$G:$G,MATCH($B660,'Clean Gamification Data'!$A:$A,0)),"Not Found")</f>
        <v>77.229090940000006</v>
      </c>
      <c r="Y660" s="28">
        <f>IFERROR(INDEX('Clean Gamification Data'!$H:$H,MATCH($B660,'Clean Gamification Data'!$A:$A,0)),"Not Found")</f>
        <v>65</v>
      </c>
      <c r="Z660" s="28">
        <f>IFERROR(INDEX('Clean Gamification Data'!$I:$I,MATCH($B660,'Clean Gamification Data'!$A:$A,0)),"Not Found")</f>
        <v>65.904868719999996</v>
      </c>
      <c r="AA660" s="28">
        <f>Table1[[#This Row],[Engagement (Gamification %)]]-Table1[[#This Row],[Engagement (Non-Gamification %)]]</f>
        <v>23.86561451</v>
      </c>
      <c r="AB660" s="28">
        <f>Table1[[#This Row],[Motivation (Gamification %)]]-Table1[[#This Row],[Motivation (Non-Gamification %)]]</f>
        <v>5.6954542300000099</v>
      </c>
      <c r="AC660" s="28">
        <f>Table1[[#This Row],[Participation (Gamification %)]]-Table1[[#This Row],[Participation (Non-Gamification %)]]</f>
        <v>8.4960446699999892</v>
      </c>
      <c r="AD660" s="28">
        <f>Table1[[#This Row],[Learning Outcomes (Gamification %)]]-Table1[[#This Row],[Learning Outcomes (Non-Gamification %)]]</f>
        <v>-0.90486871999999607</v>
      </c>
      <c r="AE660" s="44" t="str">
        <f>IF(Table1[[#This Row],[Overall Effectiveness]]&lt;3.9,"Low",IF(Table1[[#This Row],[Overall Effectiveness]]&lt;4.2,"Medium","High"))</f>
        <v>Medium</v>
      </c>
      <c r="AF660" s="30" t="str">
        <f t="shared" si="64"/>
        <v>Lectures</v>
      </c>
      <c r="AG660" s="30" t="str">
        <f t="shared" si="65"/>
        <v>Experiments</v>
      </c>
      <c r="AH660" s="27">
        <f>COUNTIF(Teacher_Master!$D$2:$D$16,AF660)</f>
        <v>3</v>
      </c>
      <c r="AI660" s="30" t="str">
        <f>INDEX(Teacher_Master!$B$2:$B$16,MATCH(AF660,Teacher_Master!$D$2:$D$16,0))</f>
        <v>Prof. Vikram Gupta</v>
      </c>
    </row>
    <row r="661" spans="1:35" ht="14.25" customHeight="1" x14ac:dyDescent="0.3">
      <c r="A661" s="31" t="s">
        <v>1353</v>
      </c>
      <c r="B661" s="31" t="s">
        <v>2550</v>
      </c>
      <c r="C661" s="31" t="s">
        <v>2882</v>
      </c>
      <c r="D661" s="12">
        <f t="shared" ca="1" si="60"/>
        <v>24</v>
      </c>
      <c r="E661" s="12" t="str">
        <f ca="1">IF(Table1[[#This Row],[Age]]&lt;=22,"20-22",IF(Table1[[#This Row],[Age]]&lt;=25,"23-25",IF(Table1[[#This Row],[Age]]&lt;=28,"26-28","29-30")))</f>
        <v>23-25</v>
      </c>
      <c r="F661" s="12">
        <v>3.86</v>
      </c>
      <c r="G661" s="12">
        <v>4.12</v>
      </c>
      <c r="H661" s="12">
        <v>3.9</v>
      </c>
      <c r="I661" s="12">
        <v>3.39</v>
      </c>
      <c r="J661" s="12">
        <v>3.71</v>
      </c>
      <c r="K661" s="12">
        <v>3.98</v>
      </c>
      <c r="L661" s="12">
        <v>4.4800000000000004</v>
      </c>
      <c r="M661" s="12">
        <v>4.18</v>
      </c>
      <c r="N661" s="12">
        <v>3.58</v>
      </c>
      <c r="O661" s="12">
        <v>3.98</v>
      </c>
      <c r="P661" s="12">
        <f t="shared" si="61"/>
        <v>3.7960000000000003</v>
      </c>
      <c r="Q661" s="12">
        <f t="shared" si="62"/>
        <v>3.8</v>
      </c>
      <c r="R661" s="12">
        <f t="shared" si="63"/>
        <v>4.04</v>
      </c>
      <c r="S661" s="28">
        <f>IFERROR(INDEX('Clean Gamification Data'!$B:$B,MATCH($B661,'Clean Gamification Data'!$A:$A,0)),"Not Found")</f>
        <v>81.060712609999996</v>
      </c>
      <c r="T661" s="28">
        <f>IFERROR(INDEX('Clean Gamification Data'!$C:$C,MATCH($B661,'Clean Gamification Data'!$A:$A,0)),"Not Found")</f>
        <v>72.04623196</v>
      </c>
      <c r="U661" s="28">
        <f>IFERROR(INDEX('Clean Gamification Data'!$D:$D,MATCH($B661,'Clean Gamification Data'!$A:$A,0)),"Not Found")</f>
        <v>79.824754900000002</v>
      </c>
      <c r="V661" s="28">
        <f>IFERROR(INDEX('Clean Gamification Data'!$E:$E,MATCH($B661,'Clean Gamification Data'!$A:$A,0)),"Not Found")</f>
        <v>60.308434849999998</v>
      </c>
      <c r="W661" s="28">
        <f>IFERROR(INDEX('Clean Gamification Data'!$F:$F,MATCH($B661,'Clean Gamification Data'!$A:$A,0)),"Not Found")</f>
        <v>88.395866609999999</v>
      </c>
      <c r="X661" s="28">
        <f>IFERROR(INDEX('Clean Gamification Data'!$G:$G,MATCH($B661,'Clean Gamification Data'!$A:$A,0)),"Not Found")</f>
        <v>81.22401868</v>
      </c>
      <c r="Y661" s="28">
        <f>IFERROR(INDEX('Clean Gamification Data'!$H:$H,MATCH($B661,'Clean Gamification Data'!$A:$A,0)),"Not Found")</f>
        <v>73.841962730000006</v>
      </c>
      <c r="Z661" s="28">
        <f>IFERROR(INDEX('Clean Gamification Data'!$I:$I,MATCH($B661,'Clean Gamification Data'!$A:$A,0)),"Not Found")</f>
        <v>50</v>
      </c>
      <c r="AA661" s="28">
        <f>Table1[[#This Row],[Engagement (Gamification %)]]-Table1[[#This Row],[Engagement (Non-Gamification %)]]</f>
        <v>9.0144806499999959</v>
      </c>
      <c r="AB661" s="28">
        <f>Table1[[#This Row],[Motivation (Gamification %)]]-Table1[[#This Row],[Motivation (Non-Gamification %)]]</f>
        <v>19.516320050000004</v>
      </c>
      <c r="AC661" s="28">
        <f>Table1[[#This Row],[Participation (Gamification %)]]-Table1[[#This Row],[Participation (Non-Gamification %)]]</f>
        <v>7.1718479299999984</v>
      </c>
      <c r="AD661" s="28">
        <f>Table1[[#This Row],[Learning Outcomes (Gamification %)]]-Table1[[#This Row],[Learning Outcomes (Non-Gamification %)]]</f>
        <v>23.841962730000006</v>
      </c>
      <c r="AE661" s="44" t="str">
        <f>IF(Table1[[#This Row],[Overall Effectiveness]]&lt;3.9,"Low",IF(Table1[[#This Row],[Overall Effectiveness]]&lt;4.2,"Medium","High"))</f>
        <v>Low</v>
      </c>
      <c r="AF661" s="30" t="str">
        <f t="shared" si="64"/>
        <v>Case Studies</v>
      </c>
      <c r="AG661" s="30" t="str">
        <f t="shared" si="65"/>
        <v>Case Studies</v>
      </c>
      <c r="AH661" s="27">
        <f>COUNTIF(Teacher_Master!$D$2:$D$16,AF661)</f>
        <v>3</v>
      </c>
      <c r="AI661" s="30" t="str">
        <f>INDEX(Teacher_Master!$B$2:$B$16,MATCH(AF661,Teacher_Master!$D$2:$D$16,0))</f>
        <v>Prof. Rajesh Mukherjee</v>
      </c>
    </row>
    <row r="662" spans="1:35" ht="14.25" customHeight="1" x14ac:dyDescent="0.3">
      <c r="A662" s="31" t="s">
        <v>1355</v>
      </c>
      <c r="B662" s="31" t="s">
        <v>1356</v>
      </c>
      <c r="C662" s="31" t="s">
        <v>2882</v>
      </c>
      <c r="D662" s="12">
        <f t="shared" ca="1" si="60"/>
        <v>30</v>
      </c>
      <c r="E662" s="12" t="str">
        <f ca="1">IF(Table1[[#This Row],[Age]]&lt;=22,"20-22",IF(Table1[[#This Row],[Age]]&lt;=25,"23-25",IF(Table1[[#This Row],[Age]]&lt;=28,"26-28","29-30")))</f>
        <v>29-30</v>
      </c>
      <c r="F662" s="12">
        <v>3.92</v>
      </c>
      <c r="G662" s="12">
        <v>3.73</v>
      </c>
      <c r="H662" s="12">
        <v>3.97</v>
      </c>
      <c r="I662" s="12">
        <v>3.99</v>
      </c>
      <c r="J662" s="12">
        <v>3.9</v>
      </c>
      <c r="K662" s="12">
        <v>4.2</v>
      </c>
      <c r="L662" s="12">
        <v>4.05</v>
      </c>
      <c r="M662" s="12">
        <v>4.75</v>
      </c>
      <c r="N662" s="12">
        <v>4.07</v>
      </c>
      <c r="O662" s="12">
        <v>4.0999999999999996</v>
      </c>
      <c r="P662" s="12">
        <f t="shared" si="61"/>
        <v>3.9020000000000001</v>
      </c>
      <c r="Q662" s="12">
        <f t="shared" si="62"/>
        <v>3.9</v>
      </c>
      <c r="R662" s="12">
        <f t="shared" si="63"/>
        <v>4.234</v>
      </c>
      <c r="S662" s="28">
        <f>IFERROR(INDEX('Clean Gamification Data'!$B:$B,MATCH($B662,'Clean Gamification Data'!$A:$A,0)),"Not Found")</f>
        <v>86.437413669999998</v>
      </c>
      <c r="T662" s="28">
        <f>IFERROR(INDEX('Clean Gamification Data'!$C:$C,MATCH($B662,'Clean Gamification Data'!$A:$A,0)),"Not Found")</f>
        <v>63.123064630000002</v>
      </c>
      <c r="U662" s="28">
        <f>IFERROR(INDEX('Clean Gamification Data'!$D:$D,MATCH($B662,'Clean Gamification Data'!$A:$A,0)),"Not Found")</f>
        <v>84.899992260000005</v>
      </c>
      <c r="V662" s="28">
        <f>IFERROR(INDEX('Clean Gamification Data'!$E:$E,MATCH($B662,'Clean Gamification Data'!$A:$A,0)),"Not Found")</f>
        <v>58.885046780000003</v>
      </c>
      <c r="W662" s="28">
        <f>IFERROR(INDEX('Clean Gamification Data'!$F:$F,MATCH($B662,'Clean Gamification Data'!$A:$A,0)),"Not Found")</f>
        <v>94.796302710000006</v>
      </c>
      <c r="X662" s="28">
        <f>IFERROR(INDEX('Clean Gamification Data'!$G:$G,MATCH($B662,'Clean Gamification Data'!$A:$A,0)),"Not Found")</f>
        <v>77.841839789999995</v>
      </c>
      <c r="Y662" s="28">
        <f>IFERROR(INDEX('Clean Gamification Data'!$H:$H,MATCH($B662,'Clean Gamification Data'!$A:$A,0)),"Not Found")</f>
        <v>65.525450800000002</v>
      </c>
      <c r="Z662" s="28">
        <f>IFERROR(INDEX('Clean Gamification Data'!$I:$I,MATCH($B662,'Clean Gamification Data'!$A:$A,0)),"Not Found")</f>
        <v>50</v>
      </c>
      <c r="AA662" s="28">
        <f>Table1[[#This Row],[Engagement (Gamification %)]]-Table1[[#This Row],[Engagement (Non-Gamification %)]]</f>
        <v>23.314349039999996</v>
      </c>
      <c r="AB662" s="28">
        <f>Table1[[#This Row],[Motivation (Gamification %)]]-Table1[[#This Row],[Motivation (Non-Gamification %)]]</f>
        <v>26.014945480000002</v>
      </c>
      <c r="AC662" s="28">
        <f>Table1[[#This Row],[Participation (Gamification %)]]-Table1[[#This Row],[Participation (Non-Gamification %)]]</f>
        <v>16.954462920000012</v>
      </c>
      <c r="AD662" s="28">
        <f>Table1[[#This Row],[Learning Outcomes (Gamification %)]]-Table1[[#This Row],[Learning Outcomes (Non-Gamification %)]]</f>
        <v>15.525450800000002</v>
      </c>
      <c r="AE662" s="44" t="str">
        <f>IF(Table1[[#This Row],[Overall Effectiveness]]&lt;3.9,"Low",IF(Table1[[#This Row],[Overall Effectiveness]]&lt;4.2,"Medium","High"))</f>
        <v>Medium</v>
      </c>
      <c r="AF662" s="30" t="str">
        <f t="shared" si="64"/>
        <v>Experiments</v>
      </c>
      <c r="AG662" s="30" t="str">
        <f t="shared" si="65"/>
        <v>Group Projects</v>
      </c>
      <c r="AH662" s="27">
        <f>COUNTIF(Teacher_Master!$D$2:$D$16,AF662)</f>
        <v>3</v>
      </c>
      <c r="AI662" s="30" t="str">
        <f>INDEX(Teacher_Master!$B$2:$B$16,MATCH(AF662,Teacher_Master!$D$2:$D$16,0))</f>
        <v>Prof. Rahul Singh</v>
      </c>
    </row>
    <row r="663" spans="1:35" ht="14.25" customHeight="1" x14ac:dyDescent="0.3">
      <c r="A663" s="31" t="s">
        <v>1357</v>
      </c>
      <c r="B663" s="31" t="s">
        <v>2551</v>
      </c>
      <c r="C663" s="31" t="s">
        <v>2881</v>
      </c>
      <c r="D663" s="12">
        <f t="shared" ca="1" si="60"/>
        <v>29</v>
      </c>
      <c r="E663" s="12" t="str">
        <f ca="1">IF(Table1[[#This Row],[Age]]&lt;=22,"20-22",IF(Table1[[#This Row],[Age]]&lt;=25,"23-25",IF(Table1[[#This Row],[Age]]&lt;=28,"26-28","29-30")))</f>
        <v>29-30</v>
      </c>
      <c r="F663" s="12">
        <v>3.94</v>
      </c>
      <c r="G663" s="12">
        <v>4.2300000000000004</v>
      </c>
      <c r="H663" s="12">
        <v>3.94</v>
      </c>
      <c r="I663" s="12">
        <v>3.85</v>
      </c>
      <c r="J663" s="12">
        <v>4.47</v>
      </c>
      <c r="K663" s="12">
        <v>3.66</v>
      </c>
      <c r="L663" s="12">
        <v>4.1399999999999997</v>
      </c>
      <c r="M663" s="12">
        <v>3.88</v>
      </c>
      <c r="N663" s="12">
        <v>4.22</v>
      </c>
      <c r="O663" s="12">
        <v>4.34</v>
      </c>
      <c r="P663" s="12">
        <f t="shared" si="61"/>
        <v>4.0860000000000003</v>
      </c>
      <c r="Q663" s="12">
        <f t="shared" si="62"/>
        <v>4.09</v>
      </c>
      <c r="R663" s="12">
        <f t="shared" si="63"/>
        <v>4.048</v>
      </c>
      <c r="S663" s="28">
        <f>IFERROR(INDEX('Clean Gamification Data'!$B:$B,MATCH($B663,'Clean Gamification Data'!$A:$A,0)),"Not Found")</f>
        <v>94.958696070000002</v>
      </c>
      <c r="T663" s="28">
        <f>IFERROR(INDEX('Clean Gamification Data'!$C:$C,MATCH($B663,'Clean Gamification Data'!$A:$A,0)),"Not Found")</f>
        <v>66.327358390000001</v>
      </c>
      <c r="U663" s="28">
        <f>IFERROR(INDEX('Clean Gamification Data'!$D:$D,MATCH($B663,'Clean Gamification Data'!$A:$A,0)),"Not Found")</f>
        <v>90</v>
      </c>
      <c r="V663" s="28">
        <f>IFERROR(INDEX('Clean Gamification Data'!$E:$E,MATCH($B663,'Clean Gamification Data'!$A:$A,0)),"Not Found")</f>
        <v>73.754959119999995</v>
      </c>
      <c r="W663" s="28">
        <f>IFERROR(INDEX('Clean Gamification Data'!$F:$F,MATCH($B663,'Clean Gamification Data'!$A:$A,0)),"Not Found")</f>
        <v>81.078334269999999</v>
      </c>
      <c r="X663" s="28">
        <f>IFERROR(INDEX('Clean Gamification Data'!$G:$G,MATCH($B663,'Clean Gamification Data'!$A:$A,0)),"Not Found")</f>
        <v>73.164259979999997</v>
      </c>
      <c r="Y663" s="28">
        <f>IFERROR(INDEX('Clean Gamification Data'!$H:$H,MATCH($B663,'Clean Gamification Data'!$A:$A,0)),"Not Found")</f>
        <v>71.079486149999994</v>
      </c>
      <c r="Z663" s="28">
        <f>IFERROR(INDEX('Clean Gamification Data'!$I:$I,MATCH($B663,'Clean Gamification Data'!$A:$A,0)),"Not Found")</f>
        <v>50.893671470000001</v>
      </c>
      <c r="AA663" s="28">
        <f>Table1[[#This Row],[Engagement (Gamification %)]]-Table1[[#This Row],[Engagement (Non-Gamification %)]]</f>
        <v>28.631337680000001</v>
      </c>
      <c r="AB663" s="28">
        <f>Table1[[#This Row],[Motivation (Gamification %)]]-Table1[[#This Row],[Motivation (Non-Gamification %)]]</f>
        <v>16.245040880000005</v>
      </c>
      <c r="AC663" s="28">
        <f>Table1[[#This Row],[Participation (Gamification %)]]-Table1[[#This Row],[Participation (Non-Gamification %)]]</f>
        <v>7.9140742900000021</v>
      </c>
      <c r="AD663" s="28">
        <f>Table1[[#This Row],[Learning Outcomes (Gamification %)]]-Table1[[#This Row],[Learning Outcomes (Non-Gamification %)]]</f>
        <v>20.185814679999993</v>
      </c>
      <c r="AE663" s="44" t="str">
        <f>IF(Table1[[#This Row],[Overall Effectiveness]]&lt;3.9,"Low",IF(Table1[[#This Row],[Overall Effectiveness]]&lt;4.2,"Medium","High"))</f>
        <v>Medium</v>
      </c>
      <c r="AF663" s="30" t="str">
        <f t="shared" si="64"/>
        <v>Online Tutorials</v>
      </c>
      <c r="AG663" s="30" t="str">
        <f t="shared" si="65"/>
        <v>Online Tutorials</v>
      </c>
      <c r="AH663" s="27">
        <f>COUNTIF(Teacher_Master!$D$2:$D$16,AF663)</f>
        <v>3</v>
      </c>
      <c r="AI663" s="30" t="str">
        <f>INDEX(Teacher_Master!$B$2:$B$16,MATCH(AF663,Teacher_Master!$D$2:$D$16,0))</f>
        <v>Prof. Kavita Rao</v>
      </c>
    </row>
    <row r="664" spans="1:35" ht="14.25" customHeight="1" x14ac:dyDescent="0.3">
      <c r="A664" s="31" t="s">
        <v>1359</v>
      </c>
      <c r="B664" s="31" t="s">
        <v>1360</v>
      </c>
      <c r="C664" s="31" t="s">
        <v>2882</v>
      </c>
      <c r="D664" s="12">
        <f t="shared" ca="1" si="60"/>
        <v>25</v>
      </c>
      <c r="E664" s="12" t="str">
        <f ca="1">IF(Table1[[#This Row],[Age]]&lt;=22,"20-22",IF(Table1[[#This Row],[Age]]&lt;=25,"23-25",IF(Table1[[#This Row],[Age]]&lt;=28,"26-28","29-30")))</f>
        <v>23-25</v>
      </c>
      <c r="F664" s="12">
        <v>3.85</v>
      </c>
      <c r="G664" s="12">
        <v>4.45</v>
      </c>
      <c r="H664" s="12">
        <v>3.52</v>
      </c>
      <c r="I664" s="12">
        <v>3.52</v>
      </c>
      <c r="J664" s="12">
        <v>3.78</v>
      </c>
      <c r="K664" s="12">
        <v>4.26</v>
      </c>
      <c r="L664" s="12">
        <v>4.07</v>
      </c>
      <c r="M664" s="12">
        <v>4.2</v>
      </c>
      <c r="N664" s="12">
        <v>4.03</v>
      </c>
      <c r="O664" s="12" t="s">
        <v>211</v>
      </c>
      <c r="P664" s="12">
        <f t="shared" si="61"/>
        <v>3.8240000000000003</v>
      </c>
      <c r="Q664" s="12">
        <f t="shared" si="62"/>
        <v>3.82</v>
      </c>
      <c r="R664" s="12">
        <f t="shared" si="63"/>
        <v>4.1400000000000006</v>
      </c>
      <c r="S664" s="28">
        <f>IFERROR(INDEX('Clean Gamification Data'!$B:$B,MATCH($B664,'Clean Gamification Data'!$A:$A,0)),"Not Found")</f>
        <v>89.006833929999999</v>
      </c>
      <c r="T664" s="28">
        <f>IFERROR(INDEX('Clean Gamification Data'!$C:$C,MATCH($B664,'Clean Gamification Data'!$A:$A,0)),"Not Found")</f>
        <v>70.141475639999996</v>
      </c>
      <c r="U664" s="28">
        <f>IFERROR(INDEX('Clean Gamification Data'!$D:$D,MATCH($B664,'Clean Gamification Data'!$A:$A,0)),"Not Found")</f>
        <v>88.770983169999994</v>
      </c>
      <c r="V664" s="28">
        <f>IFERROR(INDEX('Clean Gamification Data'!$E:$E,MATCH($B664,'Clean Gamification Data'!$A:$A,0)),"Not Found")</f>
        <v>64.572670740000007</v>
      </c>
      <c r="W664" s="28">
        <f>IFERROR(INDEX('Clean Gamification Data'!$F:$F,MATCH($B664,'Clean Gamification Data'!$A:$A,0)),"Not Found")</f>
        <v>84.010248730000001</v>
      </c>
      <c r="X664" s="28">
        <f>IFERROR(INDEX('Clean Gamification Data'!$G:$G,MATCH($B664,'Clean Gamification Data'!$A:$A,0)),"Not Found")</f>
        <v>85</v>
      </c>
      <c r="Y664" s="28">
        <f>IFERROR(INDEX('Clean Gamification Data'!$H:$H,MATCH($B664,'Clean Gamification Data'!$A:$A,0)),"Not Found")</f>
        <v>71.778397209999994</v>
      </c>
      <c r="Z664" s="28">
        <f>IFERROR(INDEX('Clean Gamification Data'!$I:$I,MATCH($B664,'Clean Gamification Data'!$A:$A,0)),"Not Found")</f>
        <v>57.433377329999999</v>
      </c>
      <c r="AA664" s="28">
        <f>Table1[[#This Row],[Engagement (Gamification %)]]-Table1[[#This Row],[Engagement (Non-Gamification %)]]</f>
        <v>18.865358290000003</v>
      </c>
      <c r="AB664" s="28">
        <f>Table1[[#This Row],[Motivation (Gamification %)]]-Table1[[#This Row],[Motivation (Non-Gamification %)]]</f>
        <v>24.198312429999987</v>
      </c>
      <c r="AC664" s="28">
        <f>Table1[[#This Row],[Participation (Gamification %)]]-Table1[[#This Row],[Participation (Non-Gamification %)]]</f>
        <v>-0.98975126999999929</v>
      </c>
      <c r="AD664" s="28">
        <f>Table1[[#This Row],[Learning Outcomes (Gamification %)]]-Table1[[#This Row],[Learning Outcomes (Non-Gamification %)]]</f>
        <v>14.345019879999995</v>
      </c>
      <c r="AE664" s="44" t="str">
        <f>IF(Table1[[#This Row],[Overall Effectiveness]]&lt;3.9,"Low",IF(Table1[[#This Row],[Overall Effectiveness]]&lt;4.2,"Medium","High"))</f>
        <v>Low</v>
      </c>
      <c r="AF664" s="30" t="str">
        <f t="shared" si="64"/>
        <v>Case Studies</v>
      </c>
      <c r="AG664" s="30" t="str">
        <f t="shared" si="65"/>
        <v>Lectures</v>
      </c>
      <c r="AH664" s="27">
        <f>COUNTIF(Teacher_Master!$D$2:$D$16,AF664)</f>
        <v>3</v>
      </c>
      <c r="AI664" s="30" t="str">
        <f>INDEX(Teacher_Master!$B$2:$B$16,MATCH(AF664,Teacher_Master!$D$2:$D$16,0))</f>
        <v>Prof. Rajesh Mukherjee</v>
      </c>
    </row>
    <row r="665" spans="1:35" ht="14.25" customHeight="1" x14ac:dyDescent="0.3">
      <c r="A665" s="31" t="s">
        <v>1361</v>
      </c>
      <c r="B665" s="31" t="s">
        <v>1362</v>
      </c>
      <c r="C665" s="31" t="s">
        <v>2882</v>
      </c>
      <c r="D665" s="12">
        <f t="shared" ca="1" si="60"/>
        <v>24</v>
      </c>
      <c r="E665" s="12" t="str">
        <f ca="1">IF(Table1[[#This Row],[Age]]&lt;=22,"20-22",IF(Table1[[#This Row],[Age]]&lt;=25,"23-25",IF(Table1[[#This Row],[Age]]&lt;=28,"26-28","29-30")))</f>
        <v>23-25</v>
      </c>
      <c r="F665" s="12">
        <v>3.78</v>
      </c>
      <c r="G665" s="12">
        <v>4.28</v>
      </c>
      <c r="H665" s="12">
        <v>4.59</v>
      </c>
      <c r="I665" s="12">
        <v>4.29</v>
      </c>
      <c r="J665" s="12">
        <v>3.87</v>
      </c>
      <c r="K665" s="12">
        <v>3.8</v>
      </c>
      <c r="L665" s="12">
        <v>4.25</v>
      </c>
      <c r="M665" s="12">
        <v>4.1399999999999997</v>
      </c>
      <c r="N665" s="12">
        <v>3.91</v>
      </c>
      <c r="O665" s="12">
        <v>4.46</v>
      </c>
      <c r="P665" s="12">
        <f t="shared" si="61"/>
        <v>4.1620000000000008</v>
      </c>
      <c r="Q665" s="12">
        <f t="shared" si="62"/>
        <v>4.16</v>
      </c>
      <c r="R665" s="12">
        <f t="shared" si="63"/>
        <v>4.1120000000000001</v>
      </c>
      <c r="S665" s="28">
        <f>IFERROR(INDEX('Clean Gamification Data'!$B:$B,MATCH($B665,'Clean Gamification Data'!$A:$A,0)),"Not Found")</f>
        <v>85.641579730000004</v>
      </c>
      <c r="T665" s="28">
        <f>IFERROR(INDEX('Clean Gamification Data'!$C:$C,MATCH($B665,'Clean Gamification Data'!$A:$A,0)),"Not Found")</f>
        <v>76.769946739999995</v>
      </c>
      <c r="U665" s="28">
        <f>IFERROR(INDEX('Clean Gamification Data'!$D:$D,MATCH($B665,'Clean Gamification Data'!$A:$A,0)),"Not Found")</f>
        <v>81.815542910000005</v>
      </c>
      <c r="V665" s="28">
        <f>IFERROR(INDEX('Clean Gamification Data'!$E:$E,MATCH($B665,'Clean Gamification Data'!$A:$A,0)),"Not Found")</f>
        <v>67.806565180000007</v>
      </c>
      <c r="W665" s="28">
        <f>IFERROR(INDEX('Clean Gamification Data'!$F:$F,MATCH($B665,'Clean Gamification Data'!$A:$A,0)),"Not Found")</f>
        <v>92.830695509999998</v>
      </c>
      <c r="X665" s="28">
        <f>IFERROR(INDEX('Clean Gamification Data'!$G:$G,MATCH($B665,'Clean Gamification Data'!$A:$A,0)),"Not Found")</f>
        <v>85</v>
      </c>
      <c r="Y665" s="28">
        <f>IFERROR(INDEX('Clean Gamification Data'!$H:$H,MATCH($B665,'Clean Gamification Data'!$A:$A,0)),"Not Found")</f>
        <v>74.602111190000002</v>
      </c>
      <c r="Z665" s="28">
        <f>IFERROR(INDEX('Clean Gamification Data'!$I:$I,MATCH($B665,'Clean Gamification Data'!$A:$A,0)),"Not Found")</f>
        <v>59.499133010000001</v>
      </c>
      <c r="AA665" s="28">
        <f>Table1[[#This Row],[Engagement (Gamification %)]]-Table1[[#This Row],[Engagement (Non-Gamification %)]]</f>
        <v>8.871632990000009</v>
      </c>
      <c r="AB665" s="28">
        <f>Table1[[#This Row],[Motivation (Gamification %)]]-Table1[[#This Row],[Motivation (Non-Gamification %)]]</f>
        <v>14.008977729999998</v>
      </c>
      <c r="AC665" s="28">
        <f>Table1[[#This Row],[Participation (Gamification %)]]-Table1[[#This Row],[Participation (Non-Gamification %)]]</f>
        <v>7.8306955099999982</v>
      </c>
      <c r="AD665" s="28">
        <f>Table1[[#This Row],[Learning Outcomes (Gamification %)]]-Table1[[#This Row],[Learning Outcomes (Non-Gamification %)]]</f>
        <v>15.102978180000001</v>
      </c>
      <c r="AE665" s="44" t="str">
        <f>IF(Table1[[#This Row],[Overall Effectiveness]]&lt;3.9,"Low",IF(Table1[[#This Row],[Overall Effectiveness]]&lt;4.2,"Medium","High"))</f>
        <v>Medium</v>
      </c>
      <c r="AF665" s="30" t="str">
        <f t="shared" si="64"/>
        <v>Group Projects</v>
      </c>
      <c r="AG665" s="30" t="str">
        <f t="shared" si="65"/>
        <v>Online Tutorials</v>
      </c>
      <c r="AH665" s="27">
        <f>COUNTIF(Teacher_Master!$D$2:$D$16,AF665)</f>
        <v>3</v>
      </c>
      <c r="AI665" s="30" t="str">
        <f>INDEX(Teacher_Master!$B$2:$B$16,MATCH(AF665,Teacher_Master!$D$2:$D$16,0))</f>
        <v>Dr. Rohan Dutta</v>
      </c>
    </row>
    <row r="666" spans="1:35" ht="14.25" customHeight="1" x14ac:dyDescent="0.3">
      <c r="A666" s="31" t="s">
        <v>1363</v>
      </c>
      <c r="B666" s="31" t="s">
        <v>2552</v>
      </c>
      <c r="C666" s="31" t="s">
        <v>2882</v>
      </c>
      <c r="D666" s="12">
        <f t="shared" ca="1" si="60"/>
        <v>26</v>
      </c>
      <c r="E666" s="12" t="str">
        <f ca="1">IF(Table1[[#This Row],[Age]]&lt;=22,"20-22",IF(Table1[[#This Row],[Age]]&lt;=25,"23-25",IF(Table1[[#This Row],[Age]]&lt;=28,"26-28","29-30")))</f>
        <v>26-28</v>
      </c>
      <c r="F666" s="12">
        <v>4.24</v>
      </c>
      <c r="G666" s="12">
        <v>3.35</v>
      </c>
      <c r="H666" s="12">
        <v>3.83</v>
      </c>
      <c r="I666" s="12">
        <v>3.95</v>
      </c>
      <c r="J666" s="12">
        <v>4.28</v>
      </c>
      <c r="K666" s="12">
        <v>4.21</v>
      </c>
      <c r="L666" s="12">
        <v>3.83</v>
      </c>
      <c r="M666" s="12">
        <v>3.82</v>
      </c>
      <c r="N666" s="12">
        <v>4.54</v>
      </c>
      <c r="O666" s="12">
        <v>3.8</v>
      </c>
      <c r="P666" s="12">
        <f t="shared" si="61"/>
        <v>3.9300000000000006</v>
      </c>
      <c r="Q666" s="12">
        <f t="shared" si="62"/>
        <v>3.93</v>
      </c>
      <c r="R666" s="12">
        <f t="shared" si="63"/>
        <v>4.04</v>
      </c>
      <c r="S666" s="28">
        <f>IFERROR(INDEX('Clean Gamification Data'!$B:$B,MATCH($B666,'Clean Gamification Data'!$A:$A,0)),"Not Found")</f>
        <v>89.891474299999999</v>
      </c>
      <c r="T666" s="28">
        <f>IFERROR(INDEX('Clean Gamification Data'!$C:$C,MATCH($B666,'Clean Gamification Data'!$A:$A,0)),"Not Found")</f>
        <v>60</v>
      </c>
      <c r="U666" s="28">
        <f>IFERROR(INDEX('Clean Gamification Data'!$D:$D,MATCH($B666,'Clean Gamification Data'!$A:$A,0)),"Not Found")</f>
        <v>70</v>
      </c>
      <c r="V666" s="28">
        <f>IFERROR(INDEX('Clean Gamification Data'!$E:$E,MATCH($B666,'Clean Gamification Data'!$A:$A,0)),"Not Found")</f>
        <v>70.133284360000005</v>
      </c>
      <c r="W666" s="28">
        <f>IFERROR(INDEX('Clean Gamification Data'!$F:$F,MATCH($B666,'Clean Gamification Data'!$A:$A,0)),"Not Found")</f>
        <v>87.915279859999998</v>
      </c>
      <c r="X666" s="28">
        <f>IFERROR(INDEX('Clean Gamification Data'!$G:$G,MATCH($B666,'Clean Gamification Data'!$A:$A,0)),"Not Found")</f>
        <v>85</v>
      </c>
      <c r="Y666" s="28">
        <f>IFERROR(INDEX('Clean Gamification Data'!$H:$H,MATCH($B666,'Clean Gamification Data'!$A:$A,0)),"Not Found")</f>
        <v>71.765024519999997</v>
      </c>
      <c r="Z666" s="28">
        <f>IFERROR(INDEX('Clean Gamification Data'!$I:$I,MATCH($B666,'Clean Gamification Data'!$A:$A,0)),"Not Found")</f>
        <v>59.91454615</v>
      </c>
      <c r="AA666" s="28">
        <f>Table1[[#This Row],[Engagement (Gamification %)]]-Table1[[#This Row],[Engagement (Non-Gamification %)]]</f>
        <v>29.891474299999999</v>
      </c>
      <c r="AB666" s="28">
        <f>Table1[[#This Row],[Motivation (Gamification %)]]-Table1[[#This Row],[Motivation (Non-Gamification %)]]</f>
        <v>-0.13328436000000465</v>
      </c>
      <c r="AC666" s="28">
        <f>Table1[[#This Row],[Participation (Gamification %)]]-Table1[[#This Row],[Participation (Non-Gamification %)]]</f>
        <v>2.9152798599999983</v>
      </c>
      <c r="AD666" s="28">
        <f>Table1[[#This Row],[Learning Outcomes (Gamification %)]]-Table1[[#This Row],[Learning Outcomes (Non-Gamification %)]]</f>
        <v>11.850478369999998</v>
      </c>
      <c r="AE666" s="44" t="str">
        <f>IF(Table1[[#This Row],[Overall Effectiveness]]&lt;3.9,"Low",IF(Table1[[#This Row],[Overall Effectiveness]]&lt;4.2,"Medium","High"))</f>
        <v>Medium</v>
      </c>
      <c r="AF666" s="30" t="str">
        <f t="shared" si="64"/>
        <v>Online Tutorials</v>
      </c>
      <c r="AG666" s="30" t="str">
        <f t="shared" si="65"/>
        <v>Experiments</v>
      </c>
      <c r="AH666" s="27">
        <f>COUNTIF(Teacher_Master!$D$2:$D$16,AF666)</f>
        <v>3</v>
      </c>
      <c r="AI666" s="30" t="str">
        <f>INDEX(Teacher_Master!$B$2:$B$16,MATCH(AF666,Teacher_Master!$D$2:$D$16,0))</f>
        <v>Prof. Kavita Rao</v>
      </c>
    </row>
    <row r="667" spans="1:35" ht="14.25" customHeight="1" x14ac:dyDescent="0.3">
      <c r="A667" s="31" t="s">
        <v>1365</v>
      </c>
      <c r="B667" s="31" t="s">
        <v>2553</v>
      </c>
      <c r="C667" s="31" t="s">
        <v>2882</v>
      </c>
      <c r="D667" s="12">
        <f t="shared" ca="1" si="60"/>
        <v>21</v>
      </c>
      <c r="E667" s="12" t="str">
        <f ca="1">IF(Table1[[#This Row],[Age]]&lt;=22,"20-22",IF(Table1[[#This Row],[Age]]&lt;=25,"23-25",IF(Table1[[#This Row],[Age]]&lt;=28,"26-28","29-30")))</f>
        <v>20-22</v>
      </c>
      <c r="F667" s="12">
        <v>4.3</v>
      </c>
      <c r="G667" s="12">
        <v>4.53</v>
      </c>
      <c r="H667" s="12">
        <v>3.71</v>
      </c>
      <c r="I667" s="12">
        <v>3.23</v>
      </c>
      <c r="J667" s="12">
        <v>3.99</v>
      </c>
      <c r="K667" s="12">
        <v>3.95</v>
      </c>
      <c r="L667" s="12">
        <v>4.75</v>
      </c>
      <c r="M667" s="12">
        <v>4.13</v>
      </c>
      <c r="N667" s="12">
        <v>3.69</v>
      </c>
      <c r="O667" s="12">
        <v>4.17</v>
      </c>
      <c r="P667" s="12">
        <f t="shared" si="61"/>
        <v>3.9519999999999995</v>
      </c>
      <c r="Q667" s="12">
        <f t="shared" si="62"/>
        <v>3.95</v>
      </c>
      <c r="R667" s="12">
        <f t="shared" si="63"/>
        <v>4.1379999999999999</v>
      </c>
      <c r="S667" s="28">
        <f>IFERROR(INDEX('Clean Gamification Data'!$B:$B,MATCH($B667,'Clean Gamification Data'!$A:$A,0)),"Not Found")</f>
        <v>87.089013620000003</v>
      </c>
      <c r="T667" s="28">
        <f>IFERROR(INDEX('Clean Gamification Data'!$C:$C,MATCH($B667,'Clean Gamification Data'!$A:$A,0)),"Not Found")</f>
        <v>69.205745919999998</v>
      </c>
      <c r="U667" s="28">
        <f>IFERROR(INDEX('Clean Gamification Data'!$D:$D,MATCH($B667,'Clean Gamification Data'!$A:$A,0)),"Not Found")</f>
        <v>75.763482490000001</v>
      </c>
      <c r="V667" s="28">
        <f>IFERROR(INDEX('Clean Gamification Data'!$E:$E,MATCH($B667,'Clean Gamification Data'!$A:$A,0)),"Not Found")</f>
        <v>71.866613020000003</v>
      </c>
      <c r="W667" s="28">
        <f>IFERROR(INDEX('Clean Gamification Data'!$F:$F,MATCH($B667,'Clean Gamification Data'!$A:$A,0)),"Not Found")</f>
        <v>81.398680659999997</v>
      </c>
      <c r="X667" s="28">
        <f>IFERROR(INDEX('Clean Gamification Data'!$G:$G,MATCH($B667,'Clean Gamification Data'!$A:$A,0)),"Not Found")</f>
        <v>74.686793730000005</v>
      </c>
      <c r="Y667" s="28">
        <f>IFERROR(INDEX('Clean Gamification Data'!$H:$H,MATCH($B667,'Clean Gamification Data'!$A:$A,0)),"Not Found")</f>
        <v>65</v>
      </c>
      <c r="Z667" s="28">
        <f>IFERROR(INDEX('Clean Gamification Data'!$I:$I,MATCH($B667,'Clean Gamification Data'!$A:$A,0)),"Not Found")</f>
        <v>61.741791399999997</v>
      </c>
      <c r="AA667" s="28">
        <f>Table1[[#This Row],[Engagement (Gamification %)]]-Table1[[#This Row],[Engagement (Non-Gamification %)]]</f>
        <v>17.883267700000005</v>
      </c>
      <c r="AB667" s="28">
        <f>Table1[[#This Row],[Motivation (Gamification %)]]-Table1[[#This Row],[Motivation (Non-Gamification %)]]</f>
        <v>3.8968694699999986</v>
      </c>
      <c r="AC667" s="28">
        <f>Table1[[#This Row],[Participation (Gamification %)]]-Table1[[#This Row],[Participation (Non-Gamification %)]]</f>
        <v>6.7118869299999915</v>
      </c>
      <c r="AD667" s="28">
        <f>Table1[[#This Row],[Learning Outcomes (Gamification %)]]-Table1[[#This Row],[Learning Outcomes (Non-Gamification %)]]</f>
        <v>3.2582086000000032</v>
      </c>
      <c r="AE667" s="44" t="str">
        <f>IF(Table1[[#This Row],[Overall Effectiveness]]&lt;3.9,"Low",IF(Table1[[#This Row],[Overall Effectiveness]]&lt;4.2,"Medium","High"))</f>
        <v>Medium</v>
      </c>
      <c r="AF667" s="30" t="str">
        <f t="shared" si="64"/>
        <v>Case Studies</v>
      </c>
      <c r="AG667" s="30" t="str">
        <f t="shared" si="65"/>
        <v>Case Studies</v>
      </c>
      <c r="AH667" s="27">
        <f>COUNTIF(Teacher_Master!$D$2:$D$16,AF667)</f>
        <v>3</v>
      </c>
      <c r="AI667" s="30" t="str">
        <f>INDEX(Teacher_Master!$B$2:$B$16,MATCH(AF667,Teacher_Master!$D$2:$D$16,0))</f>
        <v>Prof. Rajesh Mukherjee</v>
      </c>
    </row>
    <row r="668" spans="1:35" ht="14.25" customHeight="1" x14ac:dyDescent="0.3">
      <c r="A668" s="31" t="s">
        <v>1367</v>
      </c>
      <c r="B668" s="31" t="s">
        <v>1368</v>
      </c>
      <c r="C668" s="31" t="s">
        <v>2882</v>
      </c>
      <c r="D668" s="12">
        <f t="shared" ca="1" si="60"/>
        <v>25</v>
      </c>
      <c r="E668" s="12" t="str">
        <f ca="1">IF(Table1[[#This Row],[Age]]&lt;=22,"20-22",IF(Table1[[#This Row],[Age]]&lt;=25,"23-25",IF(Table1[[#This Row],[Age]]&lt;=28,"26-28","29-30")))</f>
        <v>23-25</v>
      </c>
      <c r="F668" s="12">
        <v>3.24</v>
      </c>
      <c r="G668" s="12">
        <v>3.55</v>
      </c>
      <c r="H668" s="12">
        <v>4.0999999999999996</v>
      </c>
      <c r="I668" s="12">
        <v>4.49</v>
      </c>
      <c r="J668" s="12">
        <v>4.2699999999999996</v>
      </c>
      <c r="K668" s="12">
        <v>3.88</v>
      </c>
      <c r="L668" s="12">
        <v>4.01</v>
      </c>
      <c r="M668" s="12">
        <v>3.51</v>
      </c>
      <c r="N668" s="12">
        <v>3.97</v>
      </c>
      <c r="O668" s="12">
        <v>3.97</v>
      </c>
      <c r="P668" s="12">
        <f t="shared" si="61"/>
        <v>3.9299999999999997</v>
      </c>
      <c r="Q668" s="12">
        <f t="shared" si="62"/>
        <v>3.93</v>
      </c>
      <c r="R668" s="12">
        <f t="shared" si="63"/>
        <v>3.8679999999999999</v>
      </c>
      <c r="S668" s="28">
        <f>IFERROR(INDEX('Clean Gamification Data'!$B:$B,MATCH($B668,'Clean Gamification Data'!$A:$A,0)),"Not Found")</f>
        <v>82.405503190000005</v>
      </c>
      <c r="T668" s="28">
        <f>IFERROR(INDEX('Clean Gamification Data'!$C:$C,MATCH($B668,'Clean Gamification Data'!$A:$A,0)),"Not Found")</f>
        <v>74.487340939999996</v>
      </c>
      <c r="U668" s="28">
        <f>IFERROR(INDEX('Clean Gamification Data'!$D:$D,MATCH($B668,'Clean Gamification Data'!$A:$A,0)),"Not Found")</f>
        <v>88.324464610000007</v>
      </c>
      <c r="V668" s="28">
        <f>IFERROR(INDEX('Clean Gamification Data'!$E:$E,MATCH($B668,'Clean Gamification Data'!$A:$A,0)),"Not Found")</f>
        <v>62.705044020000003</v>
      </c>
      <c r="W668" s="28">
        <f>IFERROR(INDEX('Clean Gamification Data'!$F:$F,MATCH($B668,'Clean Gamification Data'!$A:$A,0)),"Not Found")</f>
        <v>80</v>
      </c>
      <c r="X668" s="28">
        <f>IFERROR(INDEX('Clean Gamification Data'!$G:$G,MATCH($B668,'Clean Gamification Data'!$A:$A,0)),"Not Found")</f>
        <v>73.526652350000006</v>
      </c>
      <c r="Y668" s="28">
        <f>IFERROR(INDEX('Clean Gamification Data'!$H:$H,MATCH($B668,'Clean Gamification Data'!$A:$A,0)),"Not Found")</f>
        <v>68.775561890000006</v>
      </c>
      <c r="Z668" s="28">
        <f>IFERROR(INDEX('Clean Gamification Data'!$I:$I,MATCH($B668,'Clean Gamification Data'!$A:$A,0)),"Not Found")</f>
        <v>66.770853310000007</v>
      </c>
      <c r="AA668" s="28">
        <f>Table1[[#This Row],[Engagement (Gamification %)]]-Table1[[#This Row],[Engagement (Non-Gamification %)]]</f>
        <v>7.9181622500000088</v>
      </c>
      <c r="AB668" s="28">
        <f>Table1[[#This Row],[Motivation (Gamification %)]]-Table1[[#This Row],[Motivation (Non-Gamification %)]]</f>
        <v>25.619420590000004</v>
      </c>
      <c r="AC668" s="28">
        <f>Table1[[#This Row],[Participation (Gamification %)]]-Table1[[#This Row],[Participation (Non-Gamification %)]]</f>
        <v>6.4733476499999938</v>
      </c>
      <c r="AD668" s="28">
        <f>Table1[[#This Row],[Learning Outcomes (Gamification %)]]-Table1[[#This Row],[Learning Outcomes (Non-Gamification %)]]</f>
        <v>2.0047085799999991</v>
      </c>
      <c r="AE668" s="44" t="str">
        <f>IF(Table1[[#This Row],[Overall Effectiveness]]&lt;3.9,"Low",IF(Table1[[#This Row],[Overall Effectiveness]]&lt;4.2,"Medium","High"))</f>
        <v>Medium</v>
      </c>
      <c r="AF668" s="30" t="str">
        <f t="shared" si="64"/>
        <v>Experiments</v>
      </c>
      <c r="AG668" s="30" t="str">
        <f t="shared" si="65"/>
        <v>Case Studies</v>
      </c>
      <c r="AH668" s="27">
        <f>COUNTIF(Teacher_Master!$D$2:$D$16,AF668)</f>
        <v>3</v>
      </c>
      <c r="AI668" s="30" t="str">
        <f>INDEX(Teacher_Master!$B$2:$B$16,MATCH(AF668,Teacher_Master!$D$2:$D$16,0))</f>
        <v>Prof. Rahul Singh</v>
      </c>
    </row>
    <row r="669" spans="1:35" ht="14.25" customHeight="1" x14ac:dyDescent="0.3">
      <c r="A669" s="31" t="s">
        <v>1369</v>
      </c>
      <c r="B669" s="31" t="s">
        <v>1370</v>
      </c>
      <c r="C669" s="31" t="s">
        <v>2882</v>
      </c>
      <c r="D669" s="12">
        <f t="shared" ca="1" si="60"/>
        <v>29</v>
      </c>
      <c r="E669" s="12" t="str">
        <f ca="1">IF(Table1[[#This Row],[Age]]&lt;=22,"20-22",IF(Table1[[#This Row],[Age]]&lt;=25,"23-25",IF(Table1[[#This Row],[Age]]&lt;=28,"26-28","29-30")))</f>
        <v>29-30</v>
      </c>
      <c r="F669" s="12">
        <v>4</v>
      </c>
      <c r="G669" s="12">
        <v>4.2300000000000004</v>
      </c>
      <c r="H669" s="12">
        <v>4.08</v>
      </c>
      <c r="I669" s="12">
        <v>4.1399999999999997</v>
      </c>
      <c r="J669" s="12">
        <v>4.43</v>
      </c>
      <c r="K669" s="12">
        <v>3.85</v>
      </c>
      <c r="L669" s="12">
        <v>4.54</v>
      </c>
      <c r="M669" s="12">
        <v>3.87</v>
      </c>
      <c r="N669" s="12">
        <v>3.93</v>
      </c>
      <c r="O669" s="12">
        <v>4.28</v>
      </c>
      <c r="P669" s="12">
        <f t="shared" si="61"/>
        <v>4.1760000000000002</v>
      </c>
      <c r="Q669" s="12">
        <f t="shared" si="62"/>
        <v>4.18</v>
      </c>
      <c r="R669" s="12">
        <f t="shared" si="63"/>
        <v>4.0940000000000003</v>
      </c>
      <c r="S669" s="28">
        <f>IFERROR(INDEX('Clean Gamification Data'!$B:$B,MATCH($B669,'Clean Gamification Data'!$A:$A,0)),"Not Found")</f>
        <v>86.994980769999998</v>
      </c>
      <c r="T669" s="28">
        <f>IFERROR(INDEX('Clean Gamification Data'!$C:$C,MATCH($B669,'Clean Gamification Data'!$A:$A,0)),"Not Found")</f>
        <v>65.113509339999993</v>
      </c>
      <c r="U669" s="28">
        <f>IFERROR(INDEX('Clean Gamification Data'!$D:$D,MATCH($B669,'Clean Gamification Data'!$A:$A,0)),"Not Found")</f>
        <v>76.93498271</v>
      </c>
      <c r="V669" s="28">
        <f>IFERROR(INDEX('Clean Gamification Data'!$E:$E,MATCH($B669,'Clean Gamification Data'!$A:$A,0)),"Not Found")</f>
        <v>71.062347889999998</v>
      </c>
      <c r="W669" s="28">
        <f>IFERROR(INDEX('Clean Gamification Data'!$F:$F,MATCH($B669,'Clean Gamification Data'!$A:$A,0)),"Not Found")</f>
        <v>91.620990359999993</v>
      </c>
      <c r="X669" s="28">
        <f>IFERROR(INDEX('Clean Gamification Data'!$G:$G,MATCH($B669,'Clean Gamification Data'!$A:$A,0)),"Not Found")</f>
        <v>82.887413260000002</v>
      </c>
      <c r="Y669" s="28">
        <f>IFERROR(INDEX('Clean Gamification Data'!$H:$H,MATCH($B669,'Clean Gamification Data'!$A:$A,0)),"Not Found")</f>
        <v>72.200988280000004</v>
      </c>
      <c r="Z669" s="28">
        <f>IFERROR(INDEX('Clean Gamification Data'!$I:$I,MATCH($B669,'Clean Gamification Data'!$A:$A,0)),"Not Found")</f>
        <v>56.544992749999999</v>
      </c>
      <c r="AA669" s="28">
        <f>Table1[[#This Row],[Engagement (Gamification %)]]-Table1[[#This Row],[Engagement (Non-Gamification %)]]</f>
        <v>21.881471430000005</v>
      </c>
      <c r="AB669" s="28">
        <f>Table1[[#This Row],[Motivation (Gamification %)]]-Table1[[#This Row],[Motivation (Non-Gamification %)]]</f>
        <v>5.8726348200000018</v>
      </c>
      <c r="AC669" s="28">
        <f>Table1[[#This Row],[Participation (Gamification %)]]-Table1[[#This Row],[Participation (Non-Gamification %)]]</f>
        <v>8.7335770999999909</v>
      </c>
      <c r="AD669" s="28">
        <f>Table1[[#This Row],[Learning Outcomes (Gamification %)]]-Table1[[#This Row],[Learning Outcomes (Non-Gamification %)]]</f>
        <v>15.655995530000006</v>
      </c>
      <c r="AE669" s="44" t="str">
        <f>IF(Table1[[#This Row],[Overall Effectiveness]]&lt;3.9,"Low",IF(Table1[[#This Row],[Overall Effectiveness]]&lt;4.2,"Medium","High"))</f>
        <v>Medium</v>
      </c>
      <c r="AF669" s="30" t="str">
        <f t="shared" si="64"/>
        <v>Online Tutorials</v>
      </c>
      <c r="AG669" s="30" t="str">
        <f t="shared" si="65"/>
        <v>Case Studies</v>
      </c>
      <c r="AH669" s="27">
        <f>COUNTIF(Teacher_Master!$D$2:$D$16,AF669)</f>
        <v>3</v>
      </c>
      <c r="AI669" s="30" t="str">
        <f>INDEX(Teacher_Master!$B$2:$B$16,MATCH(AF669,Teacher_Master!$D$2:$D$16,0))</f>
        <v>Prof. Kavita Rao</v>
      </c>
    </row>
    <row r="670" spans="1:35" ht="14.25" customHeight="1" x14ac:dyDescent="0.3">
      <c r="A670" s="31" t="s">
        <v>1371</v>
      </c>
      <c r="B670" s="31" t="s">
        <v>1372</v>
      </c>
      <c r="C670" s="31" t="s">
        <v>2882</v>
      </c>
      <c r="D670" s="12">
        <f t="shared" ca="1" si="60"/>
        <v>21</v>
      </c>
      <c r="E670" s="12" t="str">
        <f ca="1">IF(Table1[[#This Row],[Age]]&lt;=22,"20-22",IF(Table1[[#This Row],[Age]]&lt;=25,"23-25",IF(Table1[[#This Row],[Age]]&lt;=28,"26-28","29-30")))</f>
        <v>20-22</v>
      </c>
      <c r="F670" s="12">
        <v>4.1399999999999997</v>
      </c>
      <c r="G670" s="12">
        <v>3.73</v>
      </c>
      <c r="H670" s="12">
        <v>4.25</v>
      </c>
      <c r="I670" s="12">
        <v>3.56</v>
      </c>
      <c r="J670" s="12">
        <v>4.12</v>
      </c>
      <c r="K670" s="12">
        <v>4.57</v>
      </c>
      <c r="L670" s="12">
        <v>3.93</v>
      </c>
      <c r="M670" s="12">
        <v>4.2300000000000004</v>
      </c>
      <c r="N670" s="12">
        <v>4.72</v>
      </c>
      <c r="O670" s="12">
        <v>4.29</v>
      </c>
      <c r="P670" s="12">
        <f t="shared" si="61"/>
        <v>3.96</v>
      </c>
      <c r="Q670" s="12">
        <f t="shared" si="62"/>
        <v>3.96</v>
      </c>
      <c r="R670" s="12">
        <f t="shared" si="63"/>
        <v>4.3479999999999999</v>
      </c>
      <c r="S670" s="28">
        <f>IFERROR(INDEX('Clean Gamification Data'!$B:$B,MATCH($B670,'Clean Gamification Data'!$A:$A,0)),"Not Found")</f>
        <v>85.72385731</v>
      </c>
      <c r="T670" s="28">
        <f>IFERROR(INDEX('Clean Gamification Data'!$C:$C,MATCH($B670,'Clean Gamification Data'!$A:$A,0)),"Not Found")</f>
        <v>70.714110090000005</v>
      </c>
      <c r="U670" s="28">
        <f>IFERROR(INDEX('Clean Gamification Data'!$D:$D,MATCH($B670,'Clean Gamification Data'!$A:$A,0)),"Not Found")</f>
        <v>80.461183700000007</v>
      </c>
      <c r="V670" s="28">
        <f>IFERROR(INDEX('Clean Gamification Data'!$E:$E,MATCH($B670,'Clean Gamification Data'!$A:$A,0)),"Not Found")</f>
        <v>67.703815910000003</v>
      </c>
      <c r="W670" s="28">
        <f>IFERROR(INDEX('Clean Gamification Data'!$F:$F,MATCH($B670,'Clean Gamification Data'!$A:$A,0)),"Not Found")</f>
        <v>96.080071570000001</v>
      </c>
      <c r="X670" s="28">
        <f>IFERROR(INDEX('Clean Gamification Data'!$G:$G,MATCH($B670,'Clean Gamification Data'!$A:$A,0)),"Not Found")</f>
        <v>74.669647400000002</v>
      </c>
      <c r="Y670" s="28">
        <f>IFERROR(INDEX('Clean Gamification Data'!$H:$H,MATCH($B670,'Clean Gamification Data'!$A:$A,0)),"Not Found")</f>
        <v>67.545199120000007</v>
      </c>
      <c r="Z670" s="28">
        <f>IFERROR(INDEX('Clean Gamification Data'!$I:$I,MATCH($B670,'Clean Gamification Data'!$A:$A,0)),"Not Found")</f>
        <v>56.631620409999996</v>
      </c>
      <c r="AA670" s="28">
        <f>Table1[[#This Row],[Engagement (Gamification %)]]-Table1[[#This Row],[Engagement (Non-Gamification %)]]</f>
        <v>15.009747219999994</v>
      </c>
      <c r="AB670" s="28">
        <f>Table1[[#This Row],[Motivation (Gamification %)]]-Table1[[#This Row],[Motivation (Non-Gamification %)]]</f>
        <v>12.757367790000004</v>
      </c>
      <c r="AC670" s="28">
        <f>Table1[[#This Row],[Participation (Gamification %)]]-Table1[[#This Row],[Participation (Non-Gamification %)]]</f>
        <v>21.410424169999999</v>
      </c>
      <c r="AD670" s="28">
        <f>Table1[[#This Row],[Learning Outcomes (Gamification %)]]-Table1[[#This Row],[Learning Outcomes (Non-Gamification %)]]</f>
        <v>10.91357871000001</v>
      </c>
      <c r="AE670" s="44" t="str">
        <f>IF(Table1[[#This Row],[Overall Effectiveness]]&lt;3.9,"Low",IF(Table1[[#This Row],[Overall Effectiveness]]&lt;4.2,"Medium","High"))</f>
        <v>Medium</v>
      </c>
      <c r="AF670" s="30" t="str">
        <f t="shared" si="64"/>
        <v>Group Projects</v>
      </c>
      <c r="AG670" s="30" t="str">
        <f t="shared" si="65"/>
        <v>Experiments</v>
      </c>
      <c r="AH670" s="27">
        <f>COUNTIF(Teacher_Master!$D$2:$D$16,AF670)</f>
        <v>3</v>
      </c>
      <c r="AI670" s="30" t="str">
        <f>INDEX(Teacher_Master!$B$2:$B$16,MATCH(AF670,Teacher_Master!$D$2:$D$16,0))</f>
        <v>Dr. Rohan Dutta</v>
      </c>
    </row>
    <row r="671" spans="1:35" ht="14.25" customHeight="1" x14ac:dyDescent="0.3">
      <c r="A671" s="31" t="s">
        <v>1373</v>
      </c>
      <c r="B671" s="31" t="s">
        <v>2554</v>
      </c>
      <c r="C671" s="31" t="s">
        <v>2882</v>
      </c>
      <c r="D671" s="12">
        <f t="shared" ca="1" si="60"/>
        <v>23</v>
      </c>
      <c r="E671" s="12" t="str">
        <f ca="1">IF(Table1[[#This Row],[Age]]&lt;=22,"20-22",IF(Table1[[#This Row],[Age]]&lt;=25,"23-25",IF(Table1[[#This Row],[Age]]&lt;=28,"26-28","29-30")))</f>
        <v>23-25</v>
      </c>
      <c r="F671" s="12">
        <v>3.81</v>
      </c>
      <c r="G671" s="12">
        <v>3.85</v>
      </c>
      <c r="H671" s="12">
        <v>3.9</v>
      </c>
      <c r="I671" s="12">
        <v>4.3600000000000003</v>
      </c>
      <c r="J671" s="12">
        <v>4.7</v>
      </c>
      <c r="K671" s="12">
        <v>4.07</v>
      </c>
      <c r="L671" s="12">
        <v>4.24</v>
      </c>
      <c r="M671" s="12">
        <v>4.1399999999999997</v>
      </c>
      <c r="N671" s="12">
        <v>3.93</v>
      </c>
      <c r="O671" s="12">
        <v>3.92</v>
      </c>
      <c r="P671" s="12">
        <f t="shared" si="61"/>
        <v>4.1240000000000006</v>
      </c>
      <c r="Q671" s="12">
        <f t="shared" si="62"/>
        <v>4.12</v>
      </c>
      <c r="R671" s="12">
        <f t="shared" si="63"/>
        <v>4.0599999999999996</v>
      </c>
      <c r="S671" s="28">
        <f>IFERROR(INDEX('Clean Gamification Data'!$B:$B,MATCH($B671,'Clean Gamification Data'!$A:$A,0)),"Not Found")</f>
        <v>87.128772280000007</v>
      </c>
      <c r="T671" s="28">
        <f>IFERROR(INDEX('Clean Gamification Data'!$C:$C,MATCH($B671,'Clean Gamification Data'!$A:$A,0)),"Not Found")</f>
        <v>72.380481000000003</v>
      </c>
      <c r="U671" s="28">
        <f>IFERROR(INDEX('Clean Gamification Data'!$D:$D,MATCH($B671,'Clean Gamification Data'!$A:$A,0)),"Not Found")</f>
        <v>73.044661669999996</v>
      </c>
      <c r="V671" s="28">
        <f>IFERROR(INDEX('Clean Gamification Data'!$E:$E,MATCH($B671,'Clean Gamification Data'!$A:$A,0)),"Not Found")</f>
        <v>66.227241910000004</v>
      </c>
      <c r="W671" s="28">
        <f>IFERROR(INDEX('Clean Gamification Data'!$F:$F,MATCH($B671,'Clean Gamification Data'!$A:$A,0)),"Not Found")</f>
        <v>80</v>
      </c>
      <c r="X671" s="28">
        <f>IFERROR(INDEX('Clean Gamification Data'!$G:$G,MATCH($B671,'Clean Gamification Data'!$A:$A,0)),"Not Found")</f>
        <v>78.686721820000002</v>
      </c>
      <c r="Y671" s="28">
        <f>IFERROR(INDEX('Clean Gamification Data'!$H:$H,MATCH($B671,'Clean Gamification Data'!$A:$A,0)),"Not Found")</f>
        <v>72.608715489999994</v>
      </c>
      <c r="Z671" s="28">
        <f>IFERROR(INDEX('Clean Gamification Data'!$I:$I,MATCH($B671,'Clean Gamification Data'!$A:$A,0)),"Not Found")</f>
        <v>51.658909600000001</v>
      </c>
      <c r="AA671" s="28">
        <f>Table1[[#This Row],[Engagement (Gamification %)]]-Table1[[#This Row],[Engagement (Non-Gamification %)]]</f>
        <v>14.748291280000004</v>
      </c>
      <c r="AB671" s="28">
        <f>Table1[[#This Row],[Motivation (Gamification %)]]-Table1[[#This Row],[Motivation (Non-Gamification %)]]</f>
        <v>6.8174197599999928</v>
      </c>
      <c r="AC671" s="28">
        <f>Table1[[#This Row],[Participation (Gamification %)]]-Table1[[#This Row],[Participation (Non-Gamification %)]]</f>
        <v>1.3132781799999975</v>
      </c>
      <c r="AD671" s="28">
        <f>Table1[[#This Row],[Learning Outcomes (Gamification %)]]-Table1[[#This Row],[Learning Outcomes (Non-Gamification %)]]</f>
        <v>20.949805889999993</v>
      </c>
      <c r="AE671" s="44" t="str">
        <f>IF(Table1[[#This Row],[Overall Effectiveness]]&lt;3.9,"Low",IF(Table1[[#This Row],[Overall Effectiveness]]&lt;4.2,"Medium","High"))</f>
        <v>Medium</v>
      </c>
      <c r="AF671" s="30" t="str">
        <f t="shared" si="64"/>
        <v>Online Tutorials</v>
      </c>
      <c r="AG671" s="30" t="str">
        <f t="shared" si="65"/>
        <v>Case Studies</v>
      </c>
      <c r="AH671" s="27">
        <f>COUNTIF(Teacher_Master!$D$2:$D$16,AF671)</f>
        <v>3</v>
      </c>
      <c r="AI671" s="30" t="str">
        <f>INDEX(Teacher_Master!$B$2:$B$16,MATCH(AF671,Teacher_Master!$D$2:$D$16,0))</f>
        <v>Prof. Kavita Rao</v>
      </c>
    </row>
    <row r="672" spans="1:35" ht="14.25" customHeight="1" x14ac:dyDescent="0.3">
      <c r="A672" s="31" t="s">
        <v>1375</v>
      </c>
      <c r="B672" s="31" t="s">
        <v>2555</v>
      </c>
      <c r="C672" s="31" t="s">
        <v>2882</v>
      </c>
      <c r="D672" s="12">
        <f t="shared" ca="1" si="60"/>
        <v>27</v>
      </c>
      <c r="E672" s="12" t="str">
        <f ca="1">IF(Table1[[#This Row],[Age]]&lt;=22,"20-22",IF(Table1[[#This Row],[Age]]&lt;=25,"23-25",IF(Table1[[#This Row],[Age]]&lt;=28,"26-28","29-30")))</f>
        <v>26-28</v>
      </c>
      <c r="F672" s="12" t="s">
        <v>211</v>
      </c>
      <c r="G672" s="12">
        <v>4.28</v>
      </c>
      <c r="H672" s="12">
        <v>4.41</v>
      </c>
      <c r="I672" s="12">
        <v>3.4</v>
      </c>
      <c r="J672" s="12">
        <v>4.0599999999999996</v>
      </c>
      <c r="K672" s="12">
        <v>4.18</v>
      </c>
      <c r="L672" s="12">
        <v>4.01</v>
      </c>
      <c r="M672" s="12">
        <v>3.78</v>
      </c>
      <c r="N672" s="12">
        <v>4.01</v>
      </c>
      <c r="O672" s="12">
        <v>3.81</v>
      </c>
      <c r="P672" s="12">
        <f t="shared" si="61"/>
        <v>4.0375000000000005</v>
      </c>
      <c r="Q672" s="12">
        <f t="shared" si="62"/>
        <v>4.04</v>
      </c>
      <c r="R672" s="12">
        <f t="shared" si="63"/>
        <v>3.9579999999999997</v>
      </c>
      <c r="S672" s="28">
        <f>IFERROR(INDEX('Clean Gamification Data'!$B:$B,MATCH($B672,'Clean Gamification Data'!$A:$A,0)),"Not Found")</f>
        <v>96.422593829999997</v>
      </c>
      <c r="T672" s="28">
        <f>IFERROR(INDEX('Clean Gamification Data'!$C:$C,MATCH($B672,'Clean Gamification Data'!$A:$A,0)),"Not Found")</f>
        <v>73.434438069999999</v>
      </c>
      <c r="U672" s="28">
        <f>IFERROR(INDEX('Clean Gamification Data'!$D:$D,MATCH($B672,'Clean Gamification Data'!$A:$A,0)),"Not Found")</f>
        <v>70</v>
      </c>
      <c r="V672" s="28">
        <f>IFERROR(INDEX('Clean Gamification Data'!$E:$E,MATCH($B672,'Clean Gamification Data'!$A:$A,0)),"Not Found")</f>
        <v>59.089963640000001</v>
      </c>
      <c r="W672" s="28">
        <f>IFERROR(INDEX('Clean Gamification Data'!$F:$F,MATCH($B672,'Clean Gamification Data'!$A:$A,0)),"Not Found")</f>
        <v>90.454792889999993</v>
      </c>
      <c r="X672" s="28">
        <f>IFERROR(INDEX('Clean Gamification Data'!$G:$G,MATCH($B672,'Clean Gamification Data'!$A:$A,0)),"Not Found")</f>
        <v>83.930291139999994</v>
      </c>
      <c r="Y672" s="28">
        <f>IFERROR(INDEX('Clean Gamification Data'!$H:$H,MATCH($B672,'Clean Gamification Data'!$A:$A,0)),"Not Found")</f>
        <v>69.49336065</v>
      </c>
      <c r="Z672" s="28">
        <f>IFERROR(INDEX('Clean Gamification Data'!$I:$I,MATCH($B672,'Clean Gamification Data'!$A:$A,0)),"Not Found")</f>
        <v>60.533366600000001</v>
      </c>
      <c r="AA672" s="28">
        <f>Table1[[#This Row],[Engagement (Gamification %)]]-Table1[[#This Row],[Engagement (Non-Gamification %)]]</f>
        <v>22.988155759999998</v>
      </c>
      <c r="AB672" s="28">
        <f>Table1[[#This Row],[Motivation (Gamification %)]]-Table1[[#This Row],[Motivation (Non-Gamification %)]]</f>
        <v>10.910036359999999</v>
      </c>
      <c r="AC672" s="28">
        <f>Table1[[#This Row],[Participation (Gamification %)]]-Table1[[#This Row],[Participation (Non-Gamification %)]]</f>
        <v>6.5245017499999989</v>
      </c>
      <c r="AD672" s="28">
        <f>Table1[[#This Row],[Learning Outcomes (Gamification %)]]-Table1[[#This Row],[Learning Outcomes (Non-Gamification %)]]</f>
        <v>8.9599940499999988</v>
      </c>
      <c r="AE672" s="44" t="str">
        <f>IF(Table1[[#This Row],[Overall Effectiveness]]&lt;3.9,"Low",IF(Table1[[#This Row],[Overall Effectiveness]]&lt;4.2,"Medium","High"))</f>
        <v>Medium</v>
      </c>
      <c r="AF672" s="30" t="str">
        <f t="shared" si="64"/>
        <v>Group Projects</v>
      </c>
      <c r="AG672" s="30" t="str">
        <f t="shared" si="65"/>
        <v>Lectures</v>
      </c>
      <c r="AH672" s="27">
        <f>COUNTIF(Teacher_Master!$D$2:$D$16,AF672)</f>
        <v>3</v>
      </c>
      <c r="AI672" s="30" t="str">
        <f>INDEX(Teacher_Master!$B$2:$B$16,MATCH(AF672,Teacher_Master!$D$2:$D$16,0))</f>
        <v>Dr. Rohan Dutta</v>
      </c>
    </row>
    <row r="673" spans="1:35" ht="14.25" customHeight="1" x14ac:dyDescent="0.3">
      <c r="A673" s="31" t="s">
        <v>1377</v>
      </c>
      <c r="B673" s="31" t="s">
        <v>2556</v>
      </c>
      <c r="C673" s="31" t="s">
        <v>2882</v>
      </c>
      <c r="D673" s="12">
        <f t="shared" ca="1" si="60"/>
        <v>24</v>
      </c>
      <c r="E673" s="12" t="str">
        <f ca="1">IF(Table1[[#This Row],[Age]]&lt;=22,"20-22",IF(Table1[[#This Row],[Age]]&lt;=25,"23-25",IF(Table1[[#This Row],[Age]]&lt;=28,"26-28","29-30")))</f>
        <v>23-25</v>
      </c>
      <c r="F673" s="12">
        <v>3.91</v>
      </c>
      <c r="G673" s="12">
        <v>4.45</v>
      </c>
      <c r="H673" s="12">
        <v>4.26</v>
      </c>
      <c r="I673" s="12">
        <v>4.01</v>
      </c>
      <c r="J673" s="12">
        <v>4.29</v>
      </c>
      <c r="K673" s="12">
        <v>3.77</v>
      </c>
      <c r="L673" s="12">
        <v>4.34</v>
      </c>
      <c r="M673" s="12">
        <v>3.96</v>
      </c>
      <c r="N673" s="12">
        <v>3.79</v>
      </c>
      <c r="O673" s="12">
        <v>4.3</v>
      </c>
      <c r="P673" s="12">
        <f t="shared" si="61"/>
        <v>4.1839999999999993</v>
      </c>
      <c r="Q673" s="12">
        <f t="shared" si="62"/>
        <v>4.18</v>
      </c>
      <c r="R673" s="12">
        <f t="shared" si="63"/>
        <v>4.032</v>
      </c>
      <c r="S673" s="28">
        <f>IFERROR(INDEX('Clean Gamification Data'!$B:$B,MATCH($B673,'Clean Gamification Data'!$A:$A,0)),"Not Found")</f>
        <v>90.162418180000003</v>
      </c>
      <c r="T673" s="28">
        <f>IFERROR(INDEX('Clean Gamification Data'!$C:$C,MATCH($B673,'Clean Gamification Data'!$A:$A,0)),"Not Found")</f>
        <v>60.467711270000002</v>
      </c>
      <c r="U673" s="28">
        <f>IFERROR(INDEX('Clean Gamification Data'!$D:$D,MATCH($B673,'Clean Gamification Data'!$A:$A,0)),"Not Found")</f>
        <v>73.129089129999997</v>
      </c>
      <c r="V673" s="28">
        <f>IFERROR(INDEX('Clean Gamification Data'!$E:$E,MATCH($B673,'Clean Gamification Data'!$A:$A,0)),"Not Found")</f>
        <v>72.60445833</v>
      </c>
      <c r="W673" s="28">
        <f>IFERROR(INDEX('Clean Gamification Data'!$F:$F,MATCH($B673,'Clean Gamification Data'!$A:$A,0)),"Not Found")</f>
        <v>94.545979979999998</v>
      </c>
      <c r="X673" s="28">
        <f>IFERROR(INDEX('Clean Gamification Data'!$G:$G,MATCH($B673,'Clean Gamification Data'!$A:$A,0)),"Not Found")</f>
        <v>78.613231429999999</v>
      </c>
      <c r="Y673" s="28">
        <f>IFERROR(INDEX('Clean Gamification Data'!$H:$H,MATCH($B673,'Clean Gamification Data'!$A:$A,0)),"Not Found")</f>
        <v>77.512050369999997</v>
      </c>
      <c r="Z673" s="28">
        <f>IFERROR(INDEX('Clean Gamification Data'!$I:$I,MATCH($B673,'Clean Gamification Data'!$A:$A,0)),"Not Found")</f>
        <v>65.481716759999998</v>
      </c>
      <c r="AA673" s="28">
        <f>Table1[[#This Row],[Engagement (Gamification %)]]-Table1[[#This Row],[Engagement (Non-Gamification %)]]</f>
        <v>29.694706910000001</v>
      </c>
      <c r="AB673" s="28">
        <f>Table1[[#This Row],[Motivation (Gamification %)]]-Table1[[#This Row],[Motivation (Non-Gamification %)]]</f>
        <v>0.52463079999999707</v>
      </c>
      <c r="AC673" s="28">
        <f>Table1[[#This Row],[Participation (Gamification %)]]-Table1[[#This Row],[Participation (Non-Gamification %)]]</f>
        <v>15.932748549999999</v>
      </c>
      <c r="AD673" s="28">
        <f>Table1[[#This Row],[Learning Outcomes (Gamification %)]]-Table1[[#This Row],[Learning Outcomes (Non-Gamification %)]]</f>
        <v>12.03033361</v>
      </c>
      <c r="AE673" s="44" t="str">
        <f>IF(Table1[[#This Row],[Overall Effectiveness]]&lt;3.9,"Low",IF(Table1[[#This Row],[Overall Effectiveness]]&lt;4.2,"Medium","High"))</f>
        <v>Medium</v>
      </c>
      <c r="AF673" s="30" t="str">
        <f t="shared" si="64"/>
        <v>Case Studies</v>
      </c>
      <c r="AG673" s="30" t="str">
        <f t="shared" si="65"/>
        <v>Case Studies</v>
      </c>
      <c r="AH673" s="27">
        <f>COUNTIF(Teacher_Master!$D$2:$D$16,AF673)</f>
        <v>3</v>
      </c>
      <c r="AI673" s="30" t="str">
        <f>INDEX(Teacher_Master!$B$2:$B$16,MATCH(AF673,Teacher_Master!$D$2:$D$16,0))</f>
        <v>Prof. Rajesh Mukherjee</v>
      </c>
    </row>
    <row r="674" spans="1:35" ht="14.25" customHeight="1" x14ac:dyDescent="0.3">
      <c r="A674" s="31" t="s">
        <v>1379</v>
      </c>
      <c r="B674" s="31" t="s">
        <v>1380</v>
      </c>
      <c r="C674" s="31" t="s">
        <v>2882</v>
      </c>
      <c r="D674" s="12">
        <f t="shared" ca="1" si="60"/>
        <v>28</v>
      </c>
      <c r="E674" s="12" t="str">
        <f ca="1">IF(Table1[[#This Row],[Age]]&lt;=22,"20-22",IF(Table1[[#This Row],[Age]]&lt;=25,"23-25",IF(Table1[[#This Row],[Age]]&lt;=28,"26-28","29-30")))</f>
        <v>26-28</v>
      </c>
      <c r="F674" s="12">
        <v>3.79</v>
      </c>
      <c r="G674" s="12">
        <v>3.83</v>
      </c>
      <c r="H674" s="12">
        <v>4.49</v>
      </c>
      <c r="I674" s="12">
        <v>4.71</v>
      </c>
      <c r="J674" s="12">
        <v>3.51</v>
      </c>
      <c r="K674" s="12">
        <v>4.1100000000000003</v>
      </c>
      <c r="L674" s="12">
        <v>3.93</v>
      </c>
      <c r="M674" s="12" t="s">
        <v>211</v>
      </c>
      <c r="N674" s="12">
        <v>4.28</v>
      </c>
      <c r="O674" s="12">
        <v>3.9</v>
      </c>
      <c r="P674" s="12">
        <f t="shared" si="61"/>
        <v>4.0659999999999998</v>
      </c>
      <c r="Q674" s="12">
        <f t="shared" si="62"/>
        <v>4.07</v>
      </c>
      <c r="R674" s="12">
        <f t="shared" si="63"/>
        <v>4.0549999999999997</v>
      </c>
      <c r="S674" s="28">
        <f>IFERROR(INDEX('Clean Gamification Data'!$B:$B,MATCH($B674,'Clean Gamification Data'!$A:$A,0)),"Not Found")</f>
        <v>82.847326499999994</v>
      </c>
      <c r="T674" s="28">
        <f>IFERROR(INDEX('Clean Gamification Data'!$C:$C,MATCH($B674,'Clean Gamification Data'!$A:$A,0)),"Not Found")</f>
        <v>75.571679349999997</v>
      </c>
      <c r="U674" s="28">
        <f>IFERROR(INDEX('Clean Gamification Data'!$D:$D,MATCH($B674,'Clean Gamification Data'!$A:$A,0)),"Not Found")</f>
        <v>80.364614040000006</v>
      </c>
      <c r="V674" s="28">
        <f>IFERROR(INDEX('Clean Gamification Data'!$E:$E,MATCH($B674,'Clean Gamification Data'!$A:$A,0)),"Not Found")</f>
        <v>55</v>
      </c>
      <c r="W674" s="28">
        <f>IFERROR(INDEX('Clean Gamification Data'!$F:$F,MATCH($B674,'Clean Gamification Data'!$A:$A,0)),"Not Found")</f>
        <v>96.906262760000004</v>
      </c>
      <c r="X674" s="28">
        <f>IFERROR(INDEX('Clean Gamification Data'!$G:$G,MATCH($B674,'Clean Gamification Data'!$A:$A,0)),"Not Found")</f>
        <v>80.108350669999993</v>
      </c>
      <c r="Y674" s="28">
        <f>IFERROR(INDEX('Clean Gamification Data'!$H:$H,MATCH($B674,'Clean Gamification Data'!$A:$A,0)),"Not Found")</f>
        <v>68.320577249999999</v>
      </c>
      <c r="Z674" s="28">
        <f>IFERROR(INDEX('Clean Gamification Data'!$I:$I,MATCH($B674,'Clean Gamification Data'!$A:$A,0)),"Not Found")</f>
        <v>67.711326119999995</v>
      </c>
      <c r="AA674" s="28">
        <f>Table1[[#This Row],[Engagement (Gamification %)]]-Table1[[#This Row],[Engagement (Non-Gamification %)]]</f>
        <v>7.2756471499999975</v>
      </c>
      <c r="AB674" s="28">
        <f>Table1[[#This Row],[Motivation (Gamification %)]]-Table1[[#This Row],[Motivation (Non-Gamification %)]]</f>
        <v>25.364614040000006</v>
      </c>
      <c r="AC674" s="28">
        <f>Table1[[#This Row],[Participation (Gamification %)]]-Table1[[#This Row],[Participation (Non-Gamification %)]]</f>
        <v>16.797912090000011</v>
      </c>
      <c r="AD674" s="28">
        <f>Table1[[#This Row],[Learning Outcomes (Gamification %)]]-Table1[[#This Row],[Learning Outcomes (Non-Gamification %)]]</f>
        <v>0.60925113000000408</v>
      </c>
      <c r="AE674" s="44" t="str">
        <f>IF(Table1[[#This Row],[Overall Effectiveness]]&lt;3.9,"Low",IF(Table1[[#This Row],[Overall Effectiveness]]&lt;4.2,"Medium","High"))</f>
        <v>Medium</v>
      </c>
      <c r="AF674" s="30" t="str">
        <f t="shared" si="64"/>
        <v>Experiments</v>
      </c>
      <c r="AG674" s="30" t="str">
        <f t="shared" si="65"/>
        <v>Experiments</v>
      </c>
      <c r="AH674" s="27">
        <f>COUNTIF(Teacher_Master!$D$2:$D$16,AF674)</f>
        <v>3</v>
      </c>
      <c r="AI674" s="30" t="str">
        <f>INDEX(Teacher_Master!$B$2:$B$16,MATCH(AF674,Teacher_Master!$D$2:$D$16,0))</f>
        <v>Prof. Rahul Singh</v>
      </c>
    </row>
    <row r="675" spans="1:35" ht="14.25" customHeight="1" x14ac:dyDescent="0.3">
      <c r="A675" s="31" t="s">
        <v>1381</v>
      </c>
      <c r="B675" s="31" t="s">
        <v>1382</v>
      </c>
      <c r="C675" s="31" t="s">
        <v>2882</v>
      </c>
      <c r="D675" s="12">
        <f t="shared" ca="1" si="60"/>
        <v>28</v>
      </c>
      <c r="E675" s="12" t="str">
        <f ca="1">IF(Table1[[#This Row],[Age]]&lt;=22,"20-22",IF(Table1[[#This Row],[Age]]&lt;=25,"23-25",IF(Table1[[#This Row],[Age]]&lt;=28,"26-28","29-30")))</f>
        <v>26-28</v>
      </c>
      <c r="F675" s="12">
        <v>3.86</v>
      </c>
      <c r="G675" s="12">
        <v>3.99</v>
      </c>
      <c r="H675" s="12">
        <v>3.85</v>
      </c>
      <c r="I675" s="12">
        <v>4.24</v>
      </c>
      <c r="J675" s="12">
        <v>3.96</v>
      </c>
      <c r="K675" s="12">
        <v>4.45</v>
      </c>
      <c r="L675" s="12">
        <v>3.76</v>
      </c>
      <c r="M675" s="12">
        <v>4.08</v>
      </c>
      <c r="N675" s="12">
        <v>4</v>
      </c>
      <c r="O675" s="12">
        <v>3.84</v>
      </c>
      <c r="P675" s="12">
        <f t="shared" si="61"/>
        <v>3.9799999999999995</v>
      </c>
      <c r="Q675" s="12">
        <f t="shared" si="62"/>
        <v>3.98</v>
      </c>
      <c r="R675" s="12">
        <f t="shared" si="63"/>
        <v>4.0259999999999998</v>
      </c>
      <c r="S675" s="28">
        <f>IFERROR(INDEX('Clean Gamification Data'!$B:$B,MATCH($B675,'Clean Gamification Data'!$A:$A,0)),"Not Found")</f>
        <v>90.648524699999996</v>
      </c>
      <c r="T675" s="28">
        <f>IFERROR(INDEX('Clean Gamification Data'!$C:$C,MATCH($B675,'Clean Gamification Data'!$A:$A,0)),"Not Found")</f>
        <v>64.450324710000004</v>
      </c>
      <c r="U675" s="28">
        <f>IFERROR(INDEX('Clean Gamification Data'!$D:$D,MATCH($B675,'Clean Gamification Data'!$A:$A,0)),"Not Found")</f>
        <v>82.037558390000001</v>
      </c>
      <c r="V675" s="28">
        <f>IFERROR(INDEX('Clean Gamification Data'!$E:$E,MATCH($B675,'Clean Gamification Data'!$A:$A,0)),"Not Found")</f>
        <v>62.922875959999999</v>
      </c>
      <c r="W675" s="28">
        <f>IFERROR(INDEX('Clean Gamification Data'!$F:$F,MATCH($B675,'Clean Gamification Data'!$A:$A,0)),"Not Found")</f>
        <v>85.011987309999995</v>
      </c>
      <c r="X675" s="28">
        <f>IFERROR(INDEX('Clean Gamification Data'!$G:$G,MATCH($B675,'Clean Gamification Data'!$A:$A,0)),"Not Found")</f>
        <v>85</v>
      </c>
      <c r="Y675" s="28">
        <f>IFERROR(INDEX('Clean Gamification Data'!$H:$H,MATCH($B675,'Clean Gamification Data'!$A:$A,0)),"Not Found")</f>
        <v>72.176479479999998</v>
      </c>
      <c r="Z675" s="28">
        <f>IFERROR(INDEX('Clean Gamification Data'!$I:$I,MATCH($B675,'Clean Gamification Data'!$A:$A,0)),"Not Found")</f>
        <v>53.219173929999997</v>
      </c>
      <c r="AA675" s="28">
        <f>Table1[[#This Row],[Engagement (Gamification %)]]-Table1[[#This Row],[Engagement (Non-Gamification %)]]</f>
        <v>26.198199989999992</v>
      </c>
      <c r="AB675" s="28">
        <f>Table1[[#This Row],[Motivation (Gamification %)]]-Table1[[#This Row],[Motivation (Non-Gamification %)]]</f>
        <v>19.114682430000002</v>
      </c>
      <c r="AC675" s="28">
        <f>Table1[[#This Row],[Participation (Gamification %)]]-Table1[[#This Row],[Participation (Non-Gamification %)]]</f>
        <v>1.1987309999994977E-2</v>
      </c>
      <c r="AD675" s="28">
        <f>Table1[[#This Row],[Learning Outcomes (Gamification %)]]-Table1[[#This Row],[Learning Outcomes (Non-Gamification %)]]</f>
        <v>18.957305550000001</v>
      </c>
      <c r="AE675" s="44" t="str">
        <f>IF(Table1[[#This Row],[Overall Effectiveness]]&lt;3.9,"Low",IF(Table1[[#This Row],[Overall Effectiveness]]&lt;4.2,"Medium","High"))</f>
        <v>Medium</v>
      </c>
      <c r="AF675" s="30" t="str">
        <f t="shared" si="64"/>
        <v>Experiments</v>
      </c>
      <c r="AG675" s="30" t="str">
        <f t="shared" si="65"/>
        <v>Lectures</v>
      </c>
      <c r="AH675" s="27">
        <f>COUNTIF(Teacher_Master!$D$2:$D$16,AF675)</f>
        <v>3</v>
      </c>
      <c r="AI675" s="30" t="str">
        <f>INDEX(Teacher_Master!$B$2:$B$16,MATCH(AF675,Teacher_Master!$D$2:$D$16,0))</f>
        <v>Prof. Rahul Singh</v>
      </c>
    </row>
    <row r="676" spans="1:35" ht="14.25" customHeight="1" x14ac:dyDescent="0.3">
      <c r="A676" s="31" t="s">
        <v>1383</v>
      </c>
      <c r="B676" s="31" t="s">
        <v>2557</v>
      </c>
      <c r="C676" s="31" t="s">
        <v>2881</v>
      </c>
      <c r="D676" s="12">
        <f t="shared" ca="1" si="60"/>
        <v>27</v>
      </c>
      <c r="E676" s="12" t="str">
        <f ca="1">IF(Table1[[#This Row],[Age]]&lt;=22,"20-22",IF(Table1[[#This Row],[Age]]&lt;=25,"23-25",IF(Table1[[#This Row],[Age]]&lt;=28,"26-28","29-30")))</f>
        <v>26-28</v>
      </c>
      <c r="F676" s="12">
        <v>4.43</v>
      </c>
      <c r="G676" s="12">
        <v>4.08</v>
      </c>
      <c r="H676" s="12">
        <v>3.99</v>
      </c>
      <c r="I676" s="12">
        <v>3.68</v>
      </c>
      <c r="J676" s="12">
        <v>4.7300000000000004</v>
      </c>
      <c r="K676" s="12">
        <v>3.71</v>
      </c>
      <c r="L676" s="12">
        <v>4.3499999999999996</v>
      </c>
      <c r="M676" s="12">
        <v>3.99</v>
      </c>
      <c r="N676" s="12">
        <v>3.59</v>
      </c>
      <c r="O676" s="12">
        <v>4.08</v>
      </c>
      <c r="P676" s="12">
        <f t="shared" si="61"/>
        <v>4.1820000000000004</v>
      </c>
      <c r="Q676" s="12">
        <f t="shared" si="62"/>
        <v>4.18</v>
      </c>
      <c r="R676" s="12">
        <f t="shared" si="63"/>
        <v>3.944</v>
      </c>
      <c r="S676" s="28">
        <f>IFERROR(INDEX('Clean Gamification Data'!$B:$B,MATCH($B676,'Clean Gamification Data'!$A:$A,0)),"Not Found")</f>
        <v>81.095736819999999</v>
      </c>
      <c r="T676" s="28">
        <f>IFERROR(INDEX('Clean Gamification Data'!$C:$C,MATCH($B676,'Clean Gamification Data'!$A:$A,0)),"Not Found")</f>
        <v>60.56868669</v>
      </c>
      <c r="U676" s="28">
        <f>IFERROR(INDEX('Clean Gamification Data'!$D:$D,MATCH($B676,'Clean Gamification Data'!$A:$A,0)),"Not Found")</f>
        <v>70.647597410000003</v>
      </c>
      <c r="V676" s="28">
        <f>IFERROR(INDEX('Clean Gamification Data'!$E:$E,MATCH($B676,'Clean Gamification Data'!$A:$A,0)),"Not Found")</f>
        <v>65.579737089999995</v>
      </c>
      <c r="W676" s="28">
        <f>IFERROR(INDEX('Clean Gamification Data'!$F:$F,MATCH($B676,'Clean Gamification Data'!$A:$A,0)),"Not Found")</f>
        <v>99.9</v>
      </c>
      <c r="X676" s="28">
        <f>IFERROR(INDEX('Clean Gamification Data'!$G:$G,MATCH($B676,'Clean Gamification Data'!$A:$A,0)),"Not Found")</f>
        <v>71.960417410000005</v>
      </c>
      <c r="Y676" s="28">
        <f>IFERROR(INDEX('Clean Gamification Data'!$H:$H,MATCH($B676,'Clean Gamification Data'!$A:$A,0)),"Not Found")</f>
        <v>67.767742530000007</v>
      </c>
      <c r="Z676" s="28">
        <f>IFERROR(INDEX('Clean Gamification Data'!$I:$I,MATCH($B676,'Clean Gamification Data'!$A:$A,0)),"Not Found")</f>
        <v>59.934229690000002</v>
      </c>
      <c r="AA676" s="28">
        <f>Table1[[#This Row],[Engagement (Gamification %)]]-Table1[[#This Row],[Engagement (Non-Gamification %)]]</f>
        <v>20.527050129999999</v>
      </c>
      <c r="AB676" s="28">
        <f>Table1[[#This Row],[Motivation (Gamification %)]]-Table1[[#This Row],[Motivation (Non-Gamification %)]]</f>
        <v>5.0678603200000083</v>
      </c>
      <c r="AC676" s="28">
        <f>Table1[[#This Row],[Participation (Gamification %)]]-Table1[[#This Row],[Participation (Non-Gamification %)]]</f>
        <v>27.939582590000001</v>
      </c>
      <c r="AD676" s="28">
        <f>Table1[[#This Row],[Learning Outcomes (Gamification %)]]-Table1[[#This Row],[Learning Outcomes (Non-Gamification %)]]</f>
        <v>7.8335128400000045</v>
      </c>
      <c r="AE676" s="44" t="str">
        <f>IF(Table1[[#This Row],[Overall Effectiveness]]&lt;3.9,"Low",IF(Table1[[#This Row],[Overall Effectiveness]]&lt;4.2,"Medium","High"))</f>
        <v>Medium</v>
      </c>
      <c r="AF676" s="30" t="str">
        <f t="shared" si="64"/>
        <v>Online Tutorials</v>
      </c>
      <c r="AG676" s="30" t="str">
        <f t="shared" si="65"/>
        <v>Case Studies</v>
      </c>
      <c r="AH676" s="27">
        <f>COUNTIF(Teacher_Master!$D$2:$D$16,AF676)</f>
        <v>3</v>
      </c>
      <c r="AI676" s="30" t="str">
        <f>INDEX(Teacher_Master!$B$2:$B$16,MATCH(AF676,Teacher_Master!$D$2:$D$16,0))</f>
        <v>Prof. Kavita Rao</v>
      </c>
    </row>
    <row r="677" spans="1:35" ht="14.25" customHeight="1" x14ac:dyDescent="0.3">
      <c r="A677" s="31" t="s">
        <v>1385</v>
      </c>
      <c r="B677" s="31" t="s">
        <v>2558</v>
      </c>
      <c r="C677" s="31" t="s">
        <v>2882</v>
      </c>
      <c r="D677" s="12">
        <f t="shared" ca="1" si="60"/>
        <v>21</v>
      </c>
      <c r="E677" s="12" t="str">
        <f ca="1">IF(Table1[[#This Row],[Age]]&lt;=22,"20-22",IF(Table1[[#This Row],[Age]]&lt;=25,"23-25",IF(Table1[[#This Row],[Age]]&lt;=28,"26-28","29-30")))</f>
        <v>20-22</v>
      </c>
      <c r="F677" s="12">
        <v>3.97</v>
      </c>
      <c r="G677" s="12">
        <v>4.0999999999999996</v>
      </c>
      <c r="H677" s="12">
        <v>4.33</v>
      </c>
      <c r="I677" s="12">
        <v>3.9</v>
      </c>
      <c r="J677" s="12">
        <v>3.86</v>
      </c>
      <c r="K677" s="12">
        <v>3.97</v>
      </c>
      <c r="L677" s="12">
        <v>3.82</v>
      </c>
      <c r="M677" s="12">
        <v>4.1500000000000004</v>
      </c>
      <c r="N677" s="12">
        <v>4.49</v>
      </c>
      <c r="O677" s="12">
        <v>3.78</v>
      </c>
      <c r="P677" s="12">
        <f t="shared" si="61"/>
        <v>4.032</v>
      </c>
      <c r="Q677" s="12">
        <f t="shared" si="62"/>
        <v>4.03</v>
      </c>
      <c r="R677" s="12">
        <f t="shared" si="63"/>
        <v>4.0419999999999998</v>
      </c>
      <c r="S677" s="28">
        <f>IFERROR(INDEX('Clean Gamification Data'!$B:$B,MATCH($B677,'Clean Gamification Data'!$A:$A,0)),"Not Found")</f>
        <v>79.872470820000004</v>
      </c>
      <c r="T677" s="28">
        <f>IFERROR(INDEX('Clean Gamification Data'!$C:$C,MATCH($B677,'Clean Gamification Data'!$A:$A,0)),"Not Found")</f>
        <v>65.211516750000001</v>
      </c>
      <c r="U677" s="28">
        <f>IFERROR(INDEX('Clean Gamification Data'!$D:$D,MATCH($B677,'Clean Gamification Data'!$A:$A,0)),"Not Found")</f>
        <v>84.059897789999994</v>
      </c>
      <c r="V677" s="28">
        <f>IFERROR(INDEX('Clean Gamification Data'!$E:$E,MATCH($B677,'Clean Gamification Data'!$A:$A,0)),"Not Found")</f>
        <v>74.811041759999995</v>
      </c>
      <c r="W677" s="28">
        <f>IFERROR(INDEX('Clean Gamification Data'!$F:$F,MATCH($B677,'Clean Gamification Data'!$A:$A,0)),"Not Found")</f>
        <v>99.9</v>
      </c>
      <c r="X677" s="28">
        <f>IFERROR(INDEX('Clean Gamification Data'!$G:$G,MATCH($B677,'Clean Gamification Data'!$A:$A,0)),"Not Found")</f>
        <v>74.112411449999996</v>
      </c>
      <c r="Y677" s="28">
        <f>IFERROR(INDEX('Clean Gamification Data'!$H:$H,MATCH($B677,'Clean Gamification Data'!$A:$A,0)),"Not Found")</f>
        <v>69.536817220000003</v>
      </c>
      <c r="Z677" s="28">
        <f>IFERROR(INDEX('Clean Gamification Data'!$I:$I,MATCH($B677,'Clean Gamification Data'!$A:$A,0)),"Not Found")</f>
        <v>52.350845540000002</v>
      </c>
      <c r="AA677" s="28">
        <f>Table1[[#This Row],[Engagement (Gamification %)]]-Table1[[#This Row],[Engagement (Non-Gamification %)]]</f>
        <v>14.660954070000003</v>
      </c>
      <c r="AB677" s="28">
        <f>Table1[[#This Row],[Motivation (Gamification %)]]-Table1[[#This Row],[Motivation (Non-Gamification %)]]</f>
        <v>9.2488560299999989</v>
      </c>
      <c r="AC677" s="28">
        <f>Table1[[#This Row],[Participation (Gamification %)]]-Table1[[#This Row],[Participation (Non-Gamification %)]]</f>
        <v>25.787588550000009</v>
      </c>
      <c r="AD677" s="28">
        <f>Table1[[#This Row],[Learning Outcomes (Gamification %)]]-Table1[[#This Row],[Learning Outcomes (Non-Gamification %)]]</f>
        <v>17.185971680000002</v>
      </c>
      <c r="AE677" s="44" t="str">
        <f>IF(Table1[[#This Row],[Overall Effectiveness]]&lt;3.9,"Low",IF(Table1[[#This Row],[Overall Effectiveness]]&lt;4.2,"Medium","High"))</f>
        <v>Medium</v>
      </c>
      <c r="AF677" s="30" t="str">
        <f t="shared" si="64"/>
        <v>Group Projects</v>
      </c>
      <c r="AG677" s="30" t="str">
        <f t="shared" si="65"/>
        <v>Experiments</v>
      </c>
      <c r="AH677" s="27">
        <f>COUNTIF(Teacher_Master!$D$2:$D$16,AF677)</f>
        <v>3</v>
      </c>
      <c r="AI677" s="30" t="str">
        <f>INDEX(Teacher_Master!$B$2:$B$16,MATCH(AF677,Teacher_Master!$D$2:$D$16,0))</f>
        <v>Dr. Rohan Dutta</v>
      </c>
    </row>
    <row r="678" spans="1:35" ht="14.25" customHeight="1" x14ac:dyDescent="0.3">
      <c r="A678" s="31" t="s">
        <v>1387</v>
      </c>
      <c r="B678" s="31" t="s">
        <v>2559</v>
      </c>
      <c r="C678" s="31" t="s">
        <v>2881</v>
      </c>
      <c r="D678" s="12">
        <f t="shared" ca="1" si="60"/>
        <v>24</v>
      </c>
      <c r="E678" s="12" t="str">
        <f ca="1">IF(Table1[[#This Row],[Age]]&lt;=22,"20-22",IF(Table1[[#This Row],[Age]]&lt;=25,"23-25",IF(Table1[[#This Row],[Age]]&lt;=28,"26-28","29-30")))</f>
        <v>23-25</v>
      </c>
      <c r="F678" s="12">
        <v>3.85</v>
      </c>
      <c r="G678" s="12">
        <v>3.82</v>
      </c>
      <c r="H678" s="12">
        <v>4.3499999999999996</v>
      </c>
      <c r="I678" s="12">
        <v>4.16</v>
      </c>
      <c r="J678" s="12">
        <v>3.84</v>
      </c>
      <c r="K678" s="12">
        <v>4.16</v>
      </c>
      <c r="L678" s="12">
        <v>3.34</v>
      </c>
      <c r="M678" s="12">
        <v>4.1500000000000004</v>
      </c>
      <c r="N678" s="12">
        <v>3.73</v>
      </c>
      <c r="O678" s="12">
        <v>4.43</v>
      </c>
      <c r="P678" s="12">
        <f t="shared" si="61"/>
        <v>4.0039999999999996</v>
      </c>
      <c r="Q678" s="12">
        <f t="shared" si="62"/>
        <v>4</v>
      </c>
      <c r="R678" s="12">
        <f t="shared" si="63"/>
        <v>3.9620000000000006</v>
      </c>
      <c r="S678" s="28">
        <f>IFERROR(INDEX('Clean Gamification Data'!$B:$B,MATCH($B678,'Clean Gamification Data'!$A:$A,0)),"Not Found")</f>
        <v>79.308760329999998</v>
      </c>
      <c r="T678" s="28">
        <f>IFERROR(INDEX('Clean Gamification Data'!$C:$C,MATCH($B678,'Clean Gamification Data'!$A:$A,0)),"Not Found")</f>
        <v>69.509796769999994</v>
      </c>
      <c r="U678" s="28">
        <f>IFERROR(INDEX('Clean Gamification Data'!$D:$D,MATCH($B678,'Clean Gamification Data'!$A:$A,0)),"Not Found")</f>
        <v>70</v>
      </c>
      <c r="V678" s="28">
        <f>IFERROR(INDEX('Clean Gamification Data'!$E:$E,MATCH($B678,'Clean Gamification Data'!$A:$A,0)),"Not Found")</f>
        <v>65.051523919999994</v>
      </c>
      <c r="W678" s="28">
        <f>IFERROR(INDEX('Clean Gamification Data'!$F:$F,MATCH($B678,'Clean Gamification Data'!$A:$A,0)),"Not Found")</f>
        <v>86.546790119999997</v>
      </c>
      <c r="X678" s="28">
        <f>IFERROR(INDEX('Clean Gamification Data'!$G:$G,MATCH($B678,'Clean Gamification Data'!$A:$A,0)),"Not Found")</f>
        <v>79.84157802</v>
      </c>
      <c r="Y678" s="28">
        <f>IFERROR(INDEX('Clean Gamification Data'!$H:$H,MATCH($B678,'Clean Gamification Data'!$A:$A,0)),"Not Found")</f>
        <v>77.425398040000005</v>
      </c>
      <c r="Z678" s="28">
        <f>IFERROR(INDEX('Clean Gamification Data'!$I:$I,MATCH($B678,'Clean Gamification Data'!$A:$A,0)),"Not Found")</f>
        <v>58.817639620000001</v>
      </c>
      <c r="AA678" s="28">
        <f>Table1[[#This Row],[Engagement (Gamification %)]]-Table1[[#This Row],[Engagement (Non-Gamification %)]]</f>
        <v>9.7989635600000042</v>
      </c>
      <c r="AB678" s="28">
        <f>Table1[[#This Row],[Motivation (Gamification %)]]-Table1[[#This Row],[Motivation (Non-Gamification %)]]</f>
        <v>4.948476080000006</v>
      </c>
      <c r="AC678" s="28">
        <f>Table1[[#This Row],[Participation (Gamification %)]]-Table1[[#This Row],[Participation (Non-Gamification %)]]</f>
        <v>6.7052120999999971</v>
      </c>
      <c r="AD678" s="28">
        <f>Table1[[#This Row],[Learning Outcomes (Gamification %)]]-Table1[[#This Row],[Learning Outcomes (Non-Gamification %)]]</f>
        <v>18.607758420000003</v>
      </c>
      <c r="AE678" s="44" t="str">
        <f>IF(Table1[[#This Row],[Overall Effectiveness]]&lt;3.9,"Low",IF(Table1[[#This Row],[Overall Effectiveness]]&lt;4.2,"Medium","High"))</f>
        <v>Medium</v>
      </c>
      <c r="AF678" s="30" t="str">
        <f t="shared" si="64"/>
        <v>Group Projects</v>
      </c>
      <c r="AG678" s="30" t="str">
        <f t="shared" si="65"/>
        <v>Online Tutorials</v>
      </c>
      <c r="AH678" s="27">
        <f>COUNTIF(Teacher_Master!$D$2:$D$16,AF678)</f>
        <v>3</v>
      </c>
      <c r="AI678" s="30" t="str">
        <f>INDEX(Teacher_Master!$B$2:$B$16,MATCH(AF678,Teacher_Master!$D$2:$D$16,0))</f>
        <v>Dr. Rohan Dutta</v>
      </c>
    </row>
    <row r="679" spans="1:35" ht="14.25" customHeight="1" x14ac:dyDescent="0.3">
      <c r="A679" s="31" t="s">
        <v>1389</v>
      </c>
      <c r="B679" s="31" t="s">
        <v>2560</v>
      </c>
      <c r="C679" s="31" t="s">
        <v>2881</v>
      </c>
      <c r="D679" s="12">
        <f t="shared" ca="1" si="60"/>
        <v>22</v>
      </c>
      <c r="E679" s="12" t="str">
        <f ca="1">IF(Table1[[#This Row],[Age]]&lt;=22,"20-22",IF(Table1[[#This Row],[Age]]&lt;=25,"23-25",IF(Table1[[#This Row],[Age]]&lt;=28,"26-28","29-30")))</f>
        <v>20-22</v>
      </c>
      <c r="F679" s="12">
        <v>4.0199999999999996</v>
      </c>
      <c r="G679" s="12">
        <v>4.4000000000000004</v>
      </c>
      <c r="H679" s="12">
        <v>3.95</v>
      </c>
      <c r="I679" s="12">
        <v>3.83</v>
      </c>
      <c r="J679" s="12">
        <v>3.42</v>
      </c>
      <c r="K679" s="12">
        <v>3.58</v>
      </c>
      <c r="L679" s="12">
        <v>4.08</v>
      </c>
      <c r="M679" s="12">
        <v>4.01</v>
      </c>
      <c r="N679" s="12">
        <v>4.1100000000000003</v>
      </c>
      <c r="O679" s="12">
        <v>3.59</v>
      </c>
      <c r="P679" s="12">
        <f t="shared" si="61"/>
        <v>3.9240000000000008</v>
      </c>
      <c r="Q679" s="12">
        <f t="shared" si="62"/>
        <v>3.92</v>
      </c>
      <c r="R679" s="12">
        <f t="shared" si="63"/>
        <v>3.8740000000000001</v>
      </c>
      <c r="S679" s="28">
        <f>IFERROR(INDEX('Clean Gamification Data'!$B:$B,MATCH($B679,'Clean Gamification Data'!$A:$A,0)),"Not Found")</f>
        <v>90.180655700000003</v>
      </c>
      <c r="T679" s="28">
        <f>IFERROR(INDEX('Clean Gamification Data'!$C:$C,MATCH($B679,'Clean Gamification Data'!$A:$A,0)),"Not Found")</f>
        <v>69.926989430000006</v>
      </c>
      <c r="U679" s="28">
        <f>IFERROR(INDEX('Clean Gamification Data'!$D:$D,MATCH($B679,'Clean Gamification Data'!$A:$A,0)),"Not Found")</f>
        <v>75.310320219999994</v>
      </c>
      <c r="V679" s="28">
        <f>IFERROR(INDEX('Clean Gamification Data'!$E:$E,MATCH($B679,'Clean Gamification Data'!$A:$A,0)),"Not Found")</f>
        <v>61.41346325</v>
      </c>
      <c r="W679" s="28">
        <f>IFERROR(INDEX('Clean Gamification Data'!$F:$F,MATCH($B679,'Clean Gamification Data'!$A:$A,0)),"Not Found")</f>
        <v>99.9</v>
      </c>
      <c r="X679" s="28">
        <f>IFERROR(INDEX('Clean Gamification Data'!$G:$G,MATCH($B679,'Clean Gamification Data'!$A:$A,0)),"Not Found")</f>
        <v>79.046325280000005</v>
      </c>
      <c r="Y679" s="28">
        <f>IFERROR(INDEX('Clean Gamification Data'!$H:$H,MATCH($B679,'Clean Gamification Data'!$A:$A,0)),"Not Found")</f>
        <v>69.631400009999993</v>
      </c>
      <c r="Z679" s="28">
        <f>IFERROR(INDEX('Clean Gamification Data'!$I:$I,MATCH($B679,'Clean Gamification Data'!$A:$A,0)),"Not Found")</f>
        <v>64.149108679999998</v>
      </c>
      <c r="AA679" s="28">
        <f>Table1[[#This Row],[Engagement (Gamification %)]]-Table1[[#This Row],[Engagement (Non-Gamification %)]]</f>
        <v>20.253666269999997</v>
      </c>
      <c r="AB679" s="28">
        <f>Table1[[#This Row],[Motivation (Gamification %)]]-Table1[[#This Row],[Motivation (Non-Gamification %)]]</f>
        <v>13.896856969999995</v>
      </c>
      <c r="AC679" s="28">
        <f>Table1[[#This Row],[Participation (Gamification %)]]-Table1[[#This Row],[Participation (Non-Gamification %)]]</f>
        <v>20.853674720000001</v>
      </c>
      <c r="AD679" s="28">
        <f>Table1[[#This Row],[Learning Outcomes (Gamification %)]]-Table1[[#This Row],[Learning Outcomes (Non-Gamification %)]]</f>
        <v>5.4822913299999954</v>
      </c>
      <c r="AE679" s="44" t="str">
        <f>IF(Table1[[#This Row],[Overall Effectiveness]]&lt;3.9,"Low",IF(Table1[[#This Row],[Overall Effectiveness]]&lt;4.2,"Medium","High"))</f>
        <v>Medium</v>
      </c>
      <c r="AF679" s="30" t="str">
        <f t="shared" si="64"/>
        <v>Case Studies</v>
      </c>
      <c r="AG679" s="30" t="str">
        <f t="shared" si="65"/>
        <v>Experiments</v>
      </c>
      <c r="AH679" s="27">
        <f>COUNTIF(Teacher_Master!$D$2:$D$16,AF679)</f>
        <v>3</v>
      </c>
      <c r="AI679" s="30" t="str">
        <f>INDEX(Teacher_Master!$B$2:$B$16,MATCH(AF679,Teacher_Master!$D$2:$D$16,0))</f>
        <v>Prof. Rajesh Mukherjee</v>
      </c>
    </row>
    <row r="680" spans="1:35" ht="14.25" customHeight="1" x14ac:dyDescent="0.3">
      <c r="A680" s="31" t="s">
        <v>1391</v>
      </c>
      <c r="B680" s="31" t="s">
        <v>2561</v>
      </c>
      <c r="C680" s="31" t="s">
        <v>2882</v>
      </c>
      <c r="D680" s="12">
        <f t="shared" ca="1" si="60"/>
        <v>28</v>
      </c>
      <c r="E680" s="12" t="str">
        <f ca="1">IF(Table1[[#This Row],[Age]]&lt;=22,"20-22",IF(Table1[[#This Row],[Age]]&lt;=25,"23-25",IF(Table1[[#This Row],[Age]]&lt;=28,"26-28","29-30")))</f>
        <v>26-28</v>
      </c>
      <c r="F680" s="12">
        <v>3.81</v>
      </c>
      <c r="G680" s="12">
        <v>3.22</v>
      </c>
      <c r="H680" s="12">
        <v>4.66</v>
      </c>
      <c r="I680" s="12">
        <v>4.3899999999999997</v>
      </c>
      <c r="J680" s="12">
        <v>4.1900000000000004</v>
      </c>
      <c r="K680" s="12">
        <v>3.91</v>
      </c>
      <c r="L680" s="12">
        <v>3.61</v>
      </c>
      <c r="M680" s="12">
        <v>4.2699999999999996</v>
      </c>
      <c r="N680" s="12">
        <v>3.65</v>
      </c>
      <c r="O680" s="12" t="s">
        <v>211</v>
      </c>
      <c r="P680" s="12">
        <f t="shared" si="61"/>
        <v>4.0540000000000003</v>
      </c>
      <c r="Q680" s="12">
        <f t="shared" si="62"/>
        <v>4.05</v>
      </c>
      <c r="R680" s="12">
        <f t="shared" si="63"/>
        <v>3.86</v>
      </c>
      <c r="S680" s="28">
        <f>IFERROR(INDEX('Clean Gamification Data'!$B:$B,MATCH($B680,'Clean Gamification Data'!$A:$A,0)),"Not Found")</f>
        <v>82.368671070000005</v>
      </c>
      <c r="T680" s="28">
        <f>IFERROR(INDEX('Clean Gamification Data'!$C:$C,MATCH($B680,'Clean Gamification Data'!$A:$A,0)),"Not Found")</f>
        <v>62.927398310000001</v>
      </c>
      <c r="U680" s="28">
        <f>IFERROR(INDEX('Clean Gamification Data'!$D:$D,MATCH($B680,'Clean Gamification Data'!$A:$A,0)),"Not Found")</f>
        <v>78.498423000000003</v>
      </c>
      <c r="V680" s="28">
        <f>IFERROR(INDEX('Clean Gamification Data'!$E:$E,MATCH($B680,'Clean Gamification Data'!$A:$A,0)),"Not Found")</f>
        <v>65.941517849999997</v>
      </c>
      <c r="W680" s="28">
        <f>IFERROR(INDEX('Clean Gamification Data'!$F:$F,MATCH($B680,'Clean Gamification Data'!$A:$A,0)),"Not Found")</f>
        <v>92.829876409999997</v>
      </c>
      <c r="X680" s="28">
        <f>IFERROR(INDEX('Clean Gamification Data'!$G:$G,MATCH($B680,'Clean Gamification Data'!$A:$A,0)),"Not Found")</f>
        <v>76.944199580000003</v>
      </c>
      <c r="Y680" s="28">
        <f>IFERROR(INDEX('Clean Gamification Data'!$H:$H,MATCH($B680,'Clean Gamification Data'!$A:$A,0)),"Not Found")</f>
        <v>75.673083129999995</v>
      </c>
      <c r="Z680" s="28">
        <f>IFERROR(INDEX('Clean Gamification Data'!$I:$I,MATCH($B680,'Clean Gamification Data'!$A:$A,0)),"Not Found")</f>
        <v>50</v>
      </c>
      <c r="AA680" s="28">
        <f>Table1[[#This Row],[Engagement (Gamification %)]]-Table1[[#This Row],[Engagement (Non-Gamification %)]]</f>
        <v>19.441272760000004</v>
      </c>
      <c r="AB680" s="28">
        <f>Table1[[#This Row],[Motivation (Gamification %)]]-Table1[[#This Row],[Motivation (Non-Gamification %)]]</f>
        <v>12.556905150000006</v>
      </c>
      <c r="AC680" s="28">
        <f>Table1[[#This Row],[Participation (Gamification %)]]-Table1[[#This Row],[Participation (Non-Gamification %)]]</f>
        <v>15.885676829999994</v>
      </c>
      <c r="AD680" s="28">
        <f>Table1[[#This Row],[Learning Outcomes (Gamification %)]]-Table1[[#This Row],[Learning Outcomes (Non-Gamification %)]]</f>
        <v>25.673083129999995</v>
      </c>
      <c r="AE680" s="44" t="str">
        <f>IF(Table1[[#This Row],[Overall Effectiveness]]&lt;3.9,"Low",IF(Table1[[#This Row],[Overall Effectiveness]]&lt;4.2,"Medium","High"))</f>
        <v>Medium</v>
      </c>
      <c r="AF680" s="30" t="str">
        <f t="shared" si="64"/>
        <v>Group Projects</v>
      </c>
      <c r="AG680" s="30" t="str">
        <f t="shared" si="65"/>
        <v>Group Projects</v>
      </c>
      <c r="AH680" s="27">
        <f>COUNTIF(Teacher_Master!$D$2:$D$16,AF680)</f>
        <v>3</v>
      </c>
      <c r="AI680" s="30" t="str">
        <f>INDEX(Teacher_Master!$B$2:$B$16,MATCH(AF680,Teacher_Master!$D$2:$D$16,0))</f>
        <v>Dr. Rohan Dutta</v>
      </c>
    </row>
    <row r="681" spans="1:35" ht="14.25" customHeight="1" x14ac:dyDescent="0.3">
      <c r="A681" s="31" t="s">
        <v>1393</v>
      </c>
      <c r="B681" s="31" t="s">
        <v>2562</v>
      </c>
      <c r="C681" s="31" t="s">
        <v>2881</v>
      </c>
      <c r="D681" s="12">
        <f t="shared" ca="1" si="60"/>
        <v>21</v>
      </c>
      <c r="E681" s="12" t="str">
        <f ca="1">IF(Table1[[#This Row],[Age]]&lt;=22,"20-22",IF(Table1[[#This Row],[Age]]&lt;=25,"23-25",IF(Table1[[#This Row],[Age]]&lt;=28,"26-28","29-30")))</f>
        <v>20-22</v>
      </c>
      <c r="F681" s="12">
        <v>4</v>
      </c>
      <c r="G681" s="12">
        <v>3.52</v>
      </c>
      <c r="H681" s="12">
        <v>4.62</v>
      </c>
      <c r="I681" s="12">
        <v>3.75</v>
      </c>
      <c r="J681" s="12">
        <v>4.37</v>
      </c>
      <c r="K681" s="12">
        <v>4.3099999999999996</v>
      </c>
      <c r="L681" s="12">
        <v>4.22</v>
      </c>
      <c r="M681" s="12">
        <v>3.49</v>
      </c>
      <c r="N681" s="12">
        <v>4.0199999999999996</v>
      </c>
      <c r="O681" s="12">
        <v>4.2699999999999996</v>
      </c>
      <c r="P681" s="12">
        <f t="shared" si="61"/>
        <v>4.0520000000000005</v>
      </c>
      <c r="Q681" s="12">
        <f t="shared" si="62"/>
        <v>4.05</v>
      </c>
      <c r="R681" s="12">
        <f t="shared" si="63"/>
        <v>4.0619999999999994</v>
      </c>
      <c r="S681" s="28">
        <f>IFERROR(INDEX('Clean Gamification Data'!$B:$B,MATCH($B681,'Clean Gamification Data'!$A:$A,0)),"Not Found")</f>
        <v>81.386293820000006</v>
      </c>
      <c r="T681" s="28">
        <f>IFERROR(INDEX('Clean Gamification Data'!$C:$C,MATCH($B681,'Clean Gamification Data'!$A:$A,0)),"Not Found")</f>
        <v>73.964605800000001</v>
      </c>
      <c r="U681" s="28">
        <f>IFERROR(INDEX('Clean Gamification Data'!$D:$D,MATCH($B681,'Clean Gamification Data'!$A:$A,0)),"Not Found")</f>
        <v>77.232400819999995</v>
      </c>
      <c r="V681" s="28">
        <f>IFERROR(INDEX('Clean Gamification Data'!$E:$E,MATCH($B681,'Clean Gamification Data'!$A:$A,0)),"Not Found")</f>
        <v>58.604169929999998</v>
      </c>
      <c r="W681" s="28">
        <f>IFERROR(INDEX('Clean Gamification Data'!$F:$F,MATCH($B681,'Clean Gamification Data'!$A:$A,0)),"Not Found")</f>
        <v>86.681409610000003</v>
      </c>
      <c r="X681" s="28">
        <f>IFERROR(INDEX('Clean Gamification Data'!$G:$G,MATCH($B681,'Clean Gamification Data'!$A:$A,0)),"Not Found")</f>
        <v>71.301043309999997</v>
      </c>
      <c r="Y681" s="28">
        <f>IFERROR(INDEX('Clean Gamification Data'!$H:$H,MATCH($B681,'Clean Gamification Data'!$A:$A,0)),"Not Found")</f>
        <v>76.990430079999996</v>
      </c>
      <c r="Z681" s="28">
        <f>IFERROR(INDEX('Clean Gamification Data'!$I:$I,MATCH($B681,'Clean Gamification Data'!$A:$A,0)),"Not Found")</f>
        <v>50</v>
      </c>
      <c r="AA681" s="28">
        <f>Table1[[#This Row],[Engagement (Gamification %)]]-Table1[[#This Row],[Engagement (Non-Gamification %)]]</f>
        <v>7.4216880200000048</v>
      </c>
      <c r="AB681" s="28">
        <f>Table1[[#This Row],[Motivation (Gamification %)]]-Table1[[#This Row],[Motivation (Non-Gamification %)]]</f>
        <v>18.628230889999998</v>
      </c>
      <c r="AC681" s="28">
        <f>Table1[[#This Row],[Participation (Gamification %)]]-Table1[[#This Row],[Participation (Non-Gamification %)]]</f>
        <v>15.380366300000006</v>
      </c>
      <c r="AD681" s="28">
        <f>Table1[[#This Row],[Learning Outcomes (Gamification %)]]-Table1[[#This Row],[Learning Outcomes (Non-Gamification %)]]</f>
        <v>26.990430079999996</v>
      </c>
      <c r="AE681" s="44" t="str">
        <f>IF(Table1[[#This Row],[Overall Effectiveness]]&lt;3.9,"Low",IF(Table1[[#This Row],[Overall Effectiveness]]&lt;4.2,"Medium","High"))</f>
        <v>Medium</v>
      </c>
      <c r="AF681" s="30" t="str">
        <f t="shared" si="64"/>
        <v>Group Projects</v>
      </c>
      <c r="AG681" s="30" t="str">
        <f t="shared" si="65"/>
        <v>Lectures</v>
      </c>
      <c r="AH681" s="27">
        <f>COUNTIF(Teacher_Master!$D$2:$D$16,AF681)</f>
        <v>3</v>
      </c>
      <c r="AI681" s="30" t="str">
        <f>INDEX(Teacher_Master!$B$2:$B$16,MATCH(AF681,Teacher_Master!$D$2:$D$16,0))</f>
        <v>Dr. Rohan Dutta</v>
      </c>
    </row>
    <row r="682" spans="1:35" ht="14.25" customHeight="1" x14ac:dyDescent="0.3">
      <c r="A682" s="31" t="s">
        <v>1395</v>
      </c>
      <c r="B682" s="31" t="s">
        <v>2563</v>
      </c>
      <c r="C682" s="31" t="s">
        <v>2882</v>
      </c>
      <c r="D682" s="12">
        <f t="shared" ca="1" si="60"/>
        <v>30</v>
      </c>
      <c r="E682" s="12" t="str">
        <f ca="1">IF(Table1[[#This Row],[Age]]&lt;=22,"20-22",IF(Table1[[#This Row],[Age]]&lt;=25,"23-25",IF(Table1[[#This Row],[Age]]&lt;=28,"26-28","29-30")))</f>
        <v>29-30</v>
      </c>
      <c r="F682" s="12">
        <v>4.24</v>
      </c>
      <c r="G682" s="12">
        <v>4.0599999999999996</v>
      </c>
      <c r="H682" s="12">
        <v>3.91</v>
      </c>
      <c r="I682" s="12">
        <v>4.0599999999999996</v>
      </c>
      <c r="J682" s="12">
        <v>4.0999999999999996</v>
      </c>
      <c r="K682" s="12">
        <v>3.72</v>
      </c>
      <c r="L682" s="12">
        <v>3.82</v>
      </c>
      <c r="M682" s="12">
        <v>4.18</v>
      </c>
      <c r="N682" s="12">
        <v>3.87</v>
      </c>
      <c r="O682" s="12">
        <v>4.13</v>
      </c>
      <c r="P682" s="12">
        <f t="shared" si="61"/>
        <v>4.0739999999999998</v>
      </c>
      <c r="Q682" s="12">
        <f t="shared" si="62"/>
        <v>4.07</v>
      </c>
      <c r="R682" s="12">
        <f t="shared" si="63"/>
        <v>3.944</v>
      </c>
      <c r="S682" s="28">
        <f>IFERROR(INDEX('Clean Gamification Data'!$B:$B,MATCH($B682,'Clean Gamification Data'!$A:$A,0)),"Not Found")</f>
        <v>81.432562520000005</v>
      </c>
      <c r="T682" s="28">
        <f>IFERROR(INDEX('Clean Gamification Data'!$C:$C,MATCH($B682,'Clean Gamification Data'!$A:$A,0)),"Not Found")</f>
        <v>72.700281340000004</v>
      </c>
      <c r="U682" s="28">
        <f>IFERROR(INDEX('Clean Gamification Data'!$D:$D,MATCH($B682,'Clean Gamification Data'!$A:$A,0)),"Not Found")</f>
        <v>74.105631220000006</v>
      </c>
      <c r="V682" s="28">
        <f>IFERROR(INDEX('Clean Gamification Data'!$E:$E,MATCH($B682,'Clean Gamification Data'!$A:$A,0)),"Not Found")</f>
        <v>68.474509530000006</v>
      </c>
      <c r="W682" s="28">
        <f>IFERROR(INDEX('Clean Gamification Data'!$F:$F,MATCH($B682,'Clean Gamification Data'!$A:$A,0)),"Not Found")</f>
        <v>91.409447389999997</v>
      </c>
      <c r="X682" s="28">
        <f>IFERROR(INDEX('Clean Gamification Data'!$G:$G,MATCH($B682,'Clean Gamification Data'!$A:$A,0)),"Not Found")</f>
        <v>78.880290360000004</v>
      </c>
      <c r="Y682" s="28">
        <f>IFERROR(INDEX('Clean Gamification Data'!$H:$H,MATCH($B682,'Clean Gamification Data'!$A:$A,0)),"Not Found")</f>
        <v>70.984394080000001</v>
      </c>
      <c r="Z682" s="28">
        <f>IFERROR(INDEX('Clean Gamification Data'!$I:$I,MATCH($B682,'Clean Gamification Data'!$A:$A,0)),"Not Found")</f>
        <v>62.555330900000001</v>
      </c>
      <c r="AA682" s="28">
        <f>Table1[[#This Row],[Engagement (Gamification %)]]-Table1[[#This Row],[Engagement (Non-Gamification %)]]</f>
        <v>8.7322811800000011</v>
      </c>
      <c r="AB682" s="28">
        <f>Table1[[#This Row],[Motivation (Gamification %)]]-Table1[[#This Row],[Motivation (Non-Gamification %)]]</f>
        <v>5.6311216900000005</v>
      </c>
      <c r="AC682" s="28">
        <f>Table1[[#This Row],[Participation (Gamification %)]]-Table1[[#This Row],[Participation (Non-Gamification %)]]</f>
        <v>12.529157029999993</v>
      </c>
      <c r="AD682" s="28">
        <f>Table1[[#This Row],[Learning Outcomes (Gamification %)]]-Table1[[#This Row],[Learning Outcomes (Non-Gamification %)]]</f>
        <v>8.42906318</v>
      </c>
      <c r="AE682" s="44" t="str">
        <f>IF(Table1[[#This Row],[Overall Effectiveness]]&lt;3.9,"Low",IF(Table1[[#This Row],[Overall Effectiveness]]&lt;4.2,"Medium","High"))</f>
        <v>Medium</v>
      </c>
      <c r="AF682" s="30" t="str">
        <f t="shared" si="64"/>
        <v>Lectures</v>
      </c>
      <c r="AG682" s="30" t="str">
        <f t="shared" si="65"/>
        <v>Group Projects</v>
      </c>
      <c r="AH682" s="27">
        <f>COUNTIF(Teacher_Master!$D$2:$D$16,AF682)</f>
        <v>3</v>
      </c>
      <c r="AI682" s="30" t="str">
        <f>INDEX(Teacher_Master!$B$2:$B$16,MATCH(AF682,Teacher_Master!$D$2:$D$16,0))</f>
        <v>Prof. Vikram Gupta</v>
      </c>
    </row>
    <row r="683" spans="1:35" ht="14.25" customHeight="1" x14ac:dyDescent="0.3">
      <c r="A683" s="31" t="s">
        <v>1397</v>
      </c>
      <c r="B683" s="31" t="s">
        <v>2564</v>
      </c>
      <c r="C683" s="31" t="s">
        <v>2882</v>
      </c>
      <c r="D683" s="12">
        <f t="shared" ca="1" si="60"/>
        <v>25</v>
      </c>
      <c r="E683" s="12" t="str">
        <f ca="1">IF(Table1[[#This Row],[Age]]&lt;=22,"20-22",IF(Table1[[#This Row],[Age]]&lt;=25,"23-25",IF(Table1[[#This Row],[Age]]&lt;=28,"26-28","29-30")))</f>
        <v>23-25</v>
      </c>
      <c r="F683" s="12">
        <v>4.12</v>
      </c>
      <c r="G683" s="12">
        <v>4.24</v>
      </c>
      <c r="H683" s="12">
        <v>4.38</v>
      </c>
      <c r="I683" s="12">
        <v>3.94</v>
      </c>
      <c r="J683" s="12">
        <v>4.13</v>
      </c>
      <c r="K683" s="12">
        <v>3.86</v>
      </c>
      <c r="L683" s="12">
        <v>4.24</v>
      </c>
      <c r="M683" s="12">
        <v>4.12</v>
      </c>
      <c r="N683" s="12">
        <v>4.0599999999999996</v>
      </c>
      <c r="O683" s="12">
        <v>3.8</v>
      </c>
      <c r="P683" s="12">
        <f t="shared" si="61"/>
        <v>4.1619999999999999</v>
      </c>
      <c r="Q683" s="12">
        <f t="shared" si="62"/>
        <v>4.16</v>
      </c>
      <c r="R683" s="12">
        <f t="shared" si="63"/>
        <v>4.016</v>
      </c>
      <c r="S683" s="28">
        <f>IFERROR(INDEX('Clean Gamification Data'!$B:$B,MATCH($B683,'Clean Gamification Data'!$A:$A,0)),"Not Found")</f>
        <v>91.826291280000007</v>
      </c>
      <c r="T683" s="28">
        <f>IFERROR(INDEX('Clean Gamification Data'!$C:$C,MATCH($B683,'Clean Gamification Data'!$A:$A,0)),"Not Found")</f>
        <v>65.177429700000005</v>
      </c>
      <c r="U683" s="28">
        <f>IFERROR(INDEX('Clean Gamification Data'!$D:$D,MATCH($B683,'Clean Gamification Data'!$A:$A,0)),"Not Found")</f>
        <v>72.405403750000005</v>
      </c>
      <c r="V683" s="28">
        <f>IFERROR(INDEX('Clean Gamification Data'!$E:$E,MATCH($B683,'Clean Gamification Data'!$A:$A,0)),"Not Found")</f>
        <v>65.690759389999997</v>
      </c>
      <c r="W683" s="28">
        <f>IFERROR(INDEX('Clean Gamification Data'!$F:$F,MATCH($B683,'Clean Gamification Data'!$A:$A,0)),"Not Found")</f>
        <v>99.9</v>
      </c>
      <c r="X683" s="28">
        <f>IFERROR(INDEX('Clean Gamification Data'!$G:$G,MATCH($B683,'Clean Gamification Data'!$A:$A,0)),"Not Found")</f>
        <v>85</v>
      </c>
      <c r="Y683" s="28">
        <f>IFERROR(INDEX('Clean Gamification Data'!$H:$H,MATCH($B683,'Clean Gamification Data'!$A:$A,0)),"Not Found")</f>
        <v>72.262284620000003</v>
      </c>
      <c r="Z683" s="28">
        <f>IFERROR(INDEX('Clean Gamification Data'!$I:$I,MATCH($B683,'Clean Gamification Data'!$A:$A,0)),"Not Found")</f>
        <v>55.15208294</v>
      </c>
      <c r="AA683" s="28">
        <f>Table1[[#This Row],[Engagement (Gamification %)]]-Table1[[#This Row],[Engagement (Non-Gamification %)]]</f>
        <v>26.648861580000002</v>
      </c>
      <c r="AB683" s="28">
        <f>Table1[[#This Row],[Motivation (Gamification %)]]-Table1[[#This Row],[Motivation (Non-Gamification %)]]</f>
        <v>6.7146443600000083</v>
      </c>
      <c r="AC683" s="28">
        <f>Table1[[#This Row],[Participation (Gamification %)]]-Table1[[#This Row],[Participation (Non-Gamification %)]]</f>
        <v>14.900000000000006</v>
      </c>
      <c r="AD683" s="28">
        <f>Table1[[#This Row],[Learning Outcomes (Gamification %)]]-Table1[[#This Row],[Learning Outcomes (Non-Gamification %)]]</f>
        <v>17.110201680000003</v>
      </c>
      <c r="AE683" s="44" t="str">
        <f>IF(Table1[[#This Row],[Overall Effectiveness]]&lt;3.9,"Low",IF(Table1[[#This Row],[Overall Effectiveness]]&lt;4.2,"Medium","High"))</f>
        <v>Medium</v>
      </c>
      <c r="AF683" s="30" t="str">
        <f t="shared" si="64"/>
        <v>Group Projects</v>
      </c>
      <c r="AG683" s="30" t="str">
        <f t="shared" si="65"/>
        <v>Case Studies</v>
      </c>
      <c r="AH683" s="27">
        <f>COUNTIF(Teacher_Master!$D$2:$D$16,AF683)</f>
        <v>3</v>
      </c>
      <c r="AI683" s="30" t="str">
        <f>INDEX(Teacher_Master!$B$2:$B$16,MATCH(AF683,Teacher_Master!$D$2:$D$16,0))</f>
        <v>Dr. Rohan Dutta</v>
      </c>
    </row>
    <row r="684" spans="1:35" ht="14.25" customHeight="1" x14ac:dyDescent="0.3">
      <c r="A684" s="31" t="s">
        <v>1399</v>
      </c>
      <c r="B684" s="31" t="s">
        <v>2565</v>
      </c>
      <c r="C684" s="31" t="s">
        <v>2882</v>
      </c>
      <c r="D684" s="12">
        <f t="shared" ca="1" si="60"/>
        <v>26</v>
      </c>
      <c r="E684" s="12" t="str">
        <f ca="1">IF(Table1[[#This Row],[Age]]&lt;=22,"20-22",IF(Table1[[#This Row],[Age]]&lt;=25,"23-25",IF(Table1[[#This Row],[Age]]&lt;=28,"26-28","29-30")))</f>
        <v>26-28</v>
      </c>
      <c r="F684" s="12">
        <v>3.74</v>
      </c>
      <c r="G684" s="12">
        <v>3.73</v>
      </c>
      <c r="H684" s="12">
        <v>4.18</v>
      </c>
      <c r="I684" s="12">
        <v>3.91</v>
      </c>
      <c r="J684" s="12">
        <v>3.97</v>
      </c>
      <c r="K684" s="12">
        <v>4.3499999999999996</v>
      </c>
      <c r="L684" s="12">
        <v>4</v>
      </c>
      <c r="M684" s="12">
        <v>4.34</v>
      </c>
      <c r="N684" s="12">
        <v>3.74</v>
      </c>
      <c r="O684" s="12">
        <v>3.86</v>
      </c>
      <c r="P684" s="12">
        <f t="shared" si="61"/>
        <v>3.9060000000000001</v>
      </c>
      <c r="Q684" s="12">
        <f t="shared" si="62"/>
        <v>3.91</v>
      </c>
      <c r="R684" s="12">
        <f t="shared" si="63"/>
        <v>4.0579999999999998</v>
      </c>
      <c r="S684" s="28">
        <f>IFERROR(INDEX('Clean Gamification Data'!$B:$B,MATCH($B684,'Clean Gamification Data'!$A:$A,0)),"Not Found")</f>
        <v>79.796840939999996</v>
      </c>
      <c r="T684" s="28">
        <f>IFERROR(INDEX('Clean Gamification Data'!$C:$C,MATCH($B684,'Clean Gamification Data'!$A:$A,0)),"Not Found")</f>
        <v>69.756050200000004</v>
      </c>
      <c r="U684" s="28">
        <f>IFERROR(INDEX('Clean Gamification Data'!$D:$D,MATCH($B684,'Clean Gamification Data'!$A:$A,0)),"Not Found")</f>
        <v>76.350543619999996</v>
      </c>
      <c r="V684" s="28">
        <f>IFERROR(INDEX('Clean Gamification Data'!$E:$E,MATCH($B684,'Clean Gamification Data'!$A:$A,0)),"Not Found")</f>
        <v>64.779788289999999</v>
      </c>
      <c r="W684" s="28">
        <f>IFERROR(INDEX('Clean Gamification Data'!$F:$F,MATCH($B684,'Clean Gamification Data'!$A:$A,0)),"Not Found")</f>
        <v>83.699034819999994</v>
      </c>
      <c r="X684" s="28">
        <f>IFERROR(INDEX('Clean Gamification Data'!$G:$G,MATCH($B684,'Clean Gamification Data'!$A:$A,0)),"Not Found")</f>
        <v>80.205328129999998</v>
      </c>
      <c r="Y684" s="28">
        <f>IFERROR(INDEX('Clean Gamification Data'!$H:$H,MATCH($B684,'Clean Gamification Data'!$A:$A,0)),"Not Found")</f>
        <v>66.512474870000005</v>
      </c>
      <c r="Z684" s="28">
        <f>IFERROR(INDEX('Clean Gamification Data'!$I:$I,MATCH($B684,'Clean Gamification Data'!$A:$A,0)),"Not Found")</f>
        <v>52.4249492</v>
      </c>
      <c r="AA684" s="28">
        <f>Table1[[#This Row],[Engagement (Gamification %)]]-Table1[[#This Row],[Engagement (Non-Gamification %)]]</f>
        <v>10.040790739999991</v>
      </c>
      <c r="AB684" s="28">
        <f>Table1[[#This Row],[Motivation (Gamification %)]]-Table1[[#This Row],[Motivation (Non-Gamification %)]]</f>
        <v>11.570755329999997</v>
      </c>
      <c r="AC684" s="28">
        <f>Table1[[#This Row],[Participation (Gamification %)]]-Table1[[#This Row],[Participation (Non-Gamification %)]]</f>
        <v>3.4937066899999962</v>
      </c>
      <c r="AD684" s="28">
        <f>Table1[[#This Row],[Learning Outcomes (Gamification %)]]-Table1[[#This Row],[Learning Outcomes (Non-Gamification %)]]</f>
        <v>14.087525670000005</v>
      </c>
      <c r="AE684" s="44" t="str">
        <f>IF(Table1[[#This Row],[Overall Effectiveness]]&lt;3.9,"Low",IF(Table1[[#This Row],[Overall Effectiveness]]&lt;4.2,"Medium","High"))</f>
        <v>Medium</v>
      </c>
      <c r="AF684" s="30" t="str">
        <f t="shared" si="64"/>
        <v>Group Projects</v>
      </c>
      <c r="AG684" s="30" t="str">
        <f t="shared" si="65"/>
        <v>Lectures</v>
      </c>
      <c r="AH684" s="27">
        <f>COUNTIF(Teacher_Master!$D$2:$D$16,AF684)</f>
        <v>3</v>
      </c>
      <c r="AI684" s="30" t="str">
        <f>INDEX(Teacher_Master!$B$2:$B$16,MATCH(AF684,Teacher_Master!$D$2:$D$16,0))</f>
        <v>Dr. Rohan Dutta</v>
      </c>
    </row>
    <row r="685" spans="1:35" ht="14.25" customHeight="1" x14ac:dyDescent="0.3">
      <c r="A685" s="31" t="s">
        <v>1401</v>
      </c>
      <c r="B685" s="31" t="s">
        <v>2566</v>
      </c>
      <c r="C685" s="31" t="s">
        <v>2882</v>
      </c>
      <c r="D685" s="12">
        <f t="shared" ca="1" si="60"/>
        <v>22</v>
      </c>
      <c r="E685" s="12" t="str">
        <f ca="1">IF(Table1[[#This Row],[Age]]&lt;=22,"20-22",IF(Table1[[#This Row],[Age]]&lt;=25,"23-25",IF(Table1[[#This Row],[Age]]&lt;=28,"26-28","29-30")))</f>
        <v>20-22</v>
      </c>
      <c r="F685" s="12">
        <v>4.55</v>
      </c>
      <c r="G685" s="12">
        <v>4.25</v>
      </c>
      <c r="H685" s="12">
        <v>4.47</v>
      </c>
      <c r="I685" s="12">
        <v>4.07</v>
      </c>
      <c r="J685" s="12">
        <v>4.1900000000000004</v>
      </c>
      <c r="K685" s="12">
        <v>4.04</v>
      </c>
      <c r="L685" s="12">
        <v>4.01</v>
      </c>
      <c r="M685" s="12">
        <v>4.04</v>
      </c>
      <c r="N685" s="12">
        <v>3.3</v>
      </c>
      <c r="O685" s="12">
        <v>3.48</v>
      </c>
      <c r="P685" s="12">
        <f t="shared" si="61"/>
        <v>4.306</v>
      </c>
      <c r="Q685" s="12">
        <f t="shared" si="62"/>
        <v>4.3099999999999996</v>
      </c>
      <c r="R685" s="12">
        <f t="shared" si="63"/>
        <v>3.774</v>
      </c>
      <c r="S685" s="28">
        <f>IFERROR(INDEX('Clean Gamification Data'!$B:$B,MATCH($B685,'Clean Gamification Data'!$A:$A,0)),"Not Found")</f>
        <v>91.390832570000001</v>
      </c>
      <c r="T685" s="28">
        <f>IFERROR(INDEX('Clean Gamification Data'!$C:$C,MATCH($B685,'Clean Gamification Data'!$A:$A,0)),"Not Found")</f>
        <v>69.886884589999994</v>
      </c>
      <c r="U685" s="28">
        <f>IFERROR(INDEX('Clean Gamification Data'!$D:$D,MATCH($B685,'Clean Gamification Data'!$A:$A,0)),"Not Found")</f>
        <v>72.569946909999999</v>
      </c>
      <c r="V685" s="28">
        <f>IFERROR(INDEX('Clean Gamification Data'!$E:$E,MATCH($B685,'Clean Gamification Data'!$A:$A,0)),"Not Found")</f>
        <v>66.950741840000006</v>
      </c>
      <c r="W685" s="28">
        <f>IFERROR(INDEX('Clean Gamification Data'!$F:$F,MATCH($B685,'Clean Gamification Data'!$A:$A,0)),"Not Found")</f>
        <v>87.836595669999994</v>
      </c>
      <c r="X685" s="28">
        <f>IFERROR(INDEX('Clean Gamification Data'!$G:$G,MATCH($B685,'Clean Gamification Data'!$A:$A,0)),"Not Found")</f>
        <v>83.729316080000004</v>
      </c>
      <c r="Y685" s="28">
        <f>IFERROR(INDEX('Clean Gamification Data'!$H:$H,MATCH($B685,'Clean Gamification Data'!$A:$A,0)),"Not Found")</f>
        <v>66.534423970000006</v>
      </c>
      <c r="Z685" s="28">
        <f>IFERROR(INDEX('Clean Gamification Data'!$I:$I,MATCH($B685,'Clean Gamification Data'!$A:$A,0)),"Not Found")</f>
        <v>58.301090309999999</v>
      </c>
      <c r="AA685" s="28">
        <f>Table1[[#This Row],[Engagement (Gamification %)]]-Table1[[#This Row],[Engagement (Non-Gamification %)]]</f>
        <v>21.503947980000007</v>
      </c>
      <c r="AB685" s="28">
        <f>Table1[[#This Row],[Motivation (Gamification %)]]-Table1[[#This Row],[Motivation (Non-Gamification %)]]</f>
        <v>5.6192050699999925</v>
      </c>
      <c r="AC685" s="28">
        <f>Table1[[#This Row],[Participation (Gamification %)]]-Table1[[#This Row],[Participation (Non-Gamification %)]]</f>
        <v>4.1072795899999903</v>
      </c>
      <c r="AD685" s="28">
        <f>Table1[[#This Row],[Learning Outcomes (Gamification %)]]-Table1[[#This Row],[Learning Outcomes (Non-Gamification %)]]</f>
        <v>8.2333336600000067</v>
      </c>
      <c r="AE685" s="44" t="str">
        <f>IF(Table1[[#This Row],[Overall Effectiveness]]&lt;3.9,"Low",IF(Table1[[#This Row],[Overall Effectiveness]]&lt;4.2,"Medium","High"))</f>
        <v>High</v>
      </c>
      <c r="AF685" s="30" t="str">
        <f t="shared" si="64"/>
        <v>Lectures</v>
      </c>
      <c r="AG685" s="30" t="str">
        <f t="shared" si="65"/>
        <v>Lectures</v>
      </c>
      <c r="AH685" s="27">
        <f>COUNTIF(Teacher_Master!$D$2:$D$16,AF685)</f>
        <v>3</v>
      </c>
      <c r="AI685" s="30" t="str">
        <f>INDEX(Teacher_Master!$B$2:$B$16,MATCH(AF685,Teacher_Master!$D$2:$D$16,0))</f>
        <v>Prof. Vikram Gupta</v>
      </c>
    </row>
    <row r="686" spans="1:35" ht="14.25" customHeight="1" x14ac:dyDescent="0.3">
      <c r="A686" s="31" t="s">
        <v>1403</v>
      </c>
      <c r="B686" s="31" t="s">
        <v>2567</v>
      </c>
      <c r="C686" s="31" t="s">
        <v>2882</v>
      </c>
      <c r="D686" s="12">
        <f t="shared" ca="1" si="60"/>
        <v>23</v>
      </c>
      <c r="E686" s="12" t="str">
        <f ca="1">IF(Table1[[#This Row],[Age]]&lt;=22,"20-22",IF(Table1[[#This Row],[Age]]&lt;=25,"23-25",IF(Table1[[#This Row],[Age]]&lt;=28,"26-28","29-30")))</f>
        <v>23-25</v>
      </c>
      <c r="F686" s="12">
        <v>3.76</v>
      </c>
      <c r="G686" s="12">
        <v>4.0999999999999996</v>
      </c>
      <c r="H686" s="12">
        <v>3.77</v>
      </c>
      <c r="I686" s="12">
        <v>4.18</v>
      </c>
      <c r="J686" s="12">
        <v>5.01</v>
      </c>
      <c r="K686" s="12">
        <v>3.26</v>
      </c>
      <c r="L686" s="12">
        <v>4.3600000000000003</v>
      </c>
      <c r="M686" s="12">
        <v>3.35</v>
      </c>
      <c r="N686" s="12">
        <v>3.89</v>
      </c>
      <c r="O686" s="12">
        <v>3.78</v>
      </c>
      <c r="P686" s="12">
        <f t="shared" si="61"/>
        <v>4.1639999999999997</v>
      </c>
      <c r="Q686" s="12">
        <f t="shared" si="62"/>
        <v>4.16</v>
      </c>
      <c r="R686" s="12">
        <f t="shared" si="63"/>
        <v>3.7280000000000002</v>
      </c>
      <c r="S686" s="28">
        <f>IFERROR(INDEX('Clean Gamification Data'!$B:$B,MATCH($B686,'Clean Gamification Data'!$A:$A,0)),"Not Found")</f>
        <v>84.295555890000003</v>
      </c>
      <c r="T686" s="28">
        <f>IFERROR(INDEX('Clean Gamification Data'!$C:$C,MATCH($B686,'Clean Gamification Data'!$A:$A,0)),"Not Found")</f>
        <v>67.191998600000005</v>
      </c>
      <c r="U686" s="28">
        <f>IFERROR(INDEX('Clean Gamification Data'!$D:$D,MATCH($B686,'Clean Gamification Data'!$A:$A,0)),"Not Found")</f>
        <v>89.618427920000002</v>
      </c>
      <c r="V686" s="28">
        <f>IFERROR(INDEX('Clean Gamification Data'!$E:$E,MATCH($B686,'Clean Gamification Data'!$A:$A,0)),"Not Found")</f>
        <v>67.415233069999999</v>
      </c>
      <c r="W686" s="28">
        <f>IFERROR(INDEX('Clean Gamification Data'!$F:$F,MATCH($B686,'Clean Gamification Data'!$A:$A,0)),"Not Found")</f>
        <v>90.895778849999999</v>
      </c>
      <c r="X686" s="28">
        <f>IFERROR(INDEX('Clean Gamification Data'!$G:$G,MATCH($B686,'Clean Gamification Data'!$A:$A,0)),"Not Found")</f>
        <v>80.906007689999996</v>
      </c>
      <c r="Y686" s="28">
        <f>IFERROR(INDEX('Clean Gamification Data'!$H:$H,MATCH($B686,'Clean Gamification Data'!$A:$A,0)),"Not Found")</f>
        <v>65.815454250000002</v>
      </c>
      <c r="Z686" s="28">
        <f>IFERROR(INDEX('Clean Gamification Data'!$I:$I,MATCH($B686,'Clean Gamification Data'!$A:$A,0)),"Not Found")</f>
        <v>66.043216400000006</v>
      </c>
      <c r="AA686" s="28">
        <f>Table1[[#This Row],[Engagement (Gamification %)]]-Table1[[#This Row],[Engagement (Non-Gamification %)]]</f>
        <v>17.103557289999998</v>
      </c>
      <c r="AB686" s="28">
        <f>Table1[[#This Row],[Motivation (Gamification %)]]-Table1[[#This Row],[Motivation (Non-Gamification %)]]</f>
        <v>22.203194850000003</v>
      </c>
      <c r="AC686" s="28">
        <f>Table1[[#This Row],[Participation (Gamification %)]]-Table1[[#This Row],[Participation (Non-Gamification %)]]</f>
        <v>9.9897711600000036</v>
      </c>
      <c r="AD686" s="28">
        <f>Table1[[#This Row],[Learning Outcomes (Gamification %)]]-Table1[[#This Row],[Learning Outcomes (Non-Gamification %)]]</f>
        <v>-0.22776215000000377</v>
      </c>
      <c r="AE686" s="44" t="str">
        <f>IF(Table1[[#This Row],[Overall Effectiveness]]&lt;3.9,"Low",IF(Table1[[#This Row],[Overall Effectiveness]]&lt;4.2,"Medium","High"))</f>
        <v>Medium</v>
      </c>
      <c r="AF686" s="30" t="str">
        <f t="shared" si="64"/>
        <v>Online Tutorials</v>
      </c>
      <c r="AG686" s="30" t="str">
        <f t="shared" si="65"/>
        <v>Case Studies</v>
      </c>
      <c r="AH686" s="27">
        <f>COUNTIF(Teacher_Master!$D$2:$D$16,AF686)</f>
        <v>3</v>
      </c>
      <c r="AI686" s="30" t="str">
        <f>INDEX(Teacher_Master!$B$2:$B$16,MATCH(AF686,Teacher_Master!$D$2:$D$16,0))</f>
        <v>Prof. Kavita Rao</v>
      </c>
    </row>
    <row r="687" spans="1:35" ht="14.25" customHeight="1" x14ac:dyDescent="0.3">
      <c r="A687" s="31" t="s">
        <v>1405</v>
      </c>
      <c r="B687" s="31" t="s">
        <v>1406</v>
      </c>
      <c r="C687" s="31" t="s">
        <v>2882</v>
      </c>
      <c r="D687" s="12">
        <f t="shared" ca="1" si="60"/>
        <v>30</v>
      </c>
      <c r="E687" s="12" t="str">
        <f ca="1">IF(Table1[[#This Row],[Age]]&lt;=22,"20-22",IF(Table1[[#This Row],[Age]]&lt;=25,"23-25",IF(Table1[[#This Row],[Age]]&lt;=28,"26-28","29-30")))</f>
        <v>29-30</v>
      </c>
      <c r="F687" s="12">
        <v>4.45</v>
      </c>
      <c r="G687" s="12">
        <v>3.64</v>
      </c>
      <c r="H687" s="12">
        <v>4.7</v>
      </c>
      <c r="I687" s="12">
        <v>4.0599999999999996</v>
      </c>
      <c r="J687" s="12">
        <v>3.55</v>
      </c>
      <c r="K687" s="12">
        <v>4.4000000000000004</v>
      </c>
      <c r="L687" s="12">
        <v>4.12</v>
      </c>
      <c r="M687" s="12">
        <v>4.0199999999999996</v>
      </c>
      <c r="N687" s="12">
        <v>4.33</v>
      </c>
      <c r="O687" s="12">
        <v>4.32</v>
      </c>
      <c r="P687" s="12">
        <f t="shared" si="61"/>
        <v>4.08</v>
      </c>
      <c r="Q687" s="12">
        <f t="shared" si="62"/>
        <v>4.08</v>
      </c>
      <c r="R687" s="12">
        <f t="shared" si="63"/>
        <v>4.2379999999999995</v>
      </c>
      <c r="S687" s="28">
        <f>IFERROR(INDEX('Clean Gamification Data'!$B:$B,MATCH($B687,'Clean Gamification Data'!$A:$A,0)),"Not Found")</f>
        <v>85.889002090000005</v>
      </c>
      <c r="T687" s="28">
        <f>IFERROR(INDEX('Clean Gamification Data'!$C:$C,MATCH($B687,'Clean Gamification Data'!$A:$A,0)),"Not Found")</f>
        <v>73.692578350000005</v>
      </c>
      <c r="U687" s="28">
        <f>IFERROR(INDEX('Clean Gamification Data'!$D:$D,MATCH($B687,'Clean Gamification Data'!$A:$A,0)),"Not Found")</f>
        <v>85.668131900000006</v>
      </c>
      <c r="V687" s="28">
        <f>IFERROR(INDEX('Clean Gamification Data'!$E:$E,MATCH($B687,'Clean Gamification Data'!$A:$A,0)),"Not Found")</f>
        <v>61.611958729999998</v>
      </c>
      <c r="W687" s="28">
        <f>IFERROR(INDEX('Clean Gamification Data'!$F:$F,MATCH($B687,'Clean Gamification Data'!$A:$A,0)),"Not Found")</f>
        <v>97.858052689999994</v>
      </c>
      <c r="X687" s="28">
        <f>IFERROR(INDEX('Clean Gamification Data'!$G:$G,MATCH($B687,'Clean Gamification Data'!$A:$A,0)),"Not Found")</f>
        <v>75.711735059999995</v>
      </c>
      <c r="Y687" s="28">
        <f>IFERROR(INDEX('Clean Gamification Data'!$H:$H,MATCH($B687,'Clean Gamification Data'!$A:$A,0)),"Not Found")</f>
        <v>68.528873849999997</v>
      </c>
      <c r="Z687" s="28">
        <f>IFERROR(INDEX('Clean Gamification Data'!$I:$I,MATCH($B687,'Clean Gamification Data'!$A:$A,0)),"Not Found")</f>
        <v>57.500207809999999</v>
      </c>
      <c r="AA687" s="28">
        <f>Table1[[#This Row],[Engagement (Gamification %)]]-Table1[[#This Row],[Engagement (Non-Gamification %)]]</f>
        <v>12.19642374</v>
      </c>
      <c r="AB687" s="28">
        <f>Table1[[#This Row],[Motivation (Gamification %)]]-Table1[[#This Row],[Motivation (Non-Gamification %)]]</f>
        <v>24.056173170000008</v>
      </c>
      <c r="AC687" s="28">
        <f>Table1[[#This Row],[Participation (Gamification %)]]-Table1[[#This Row],[Participation (Non-Gamification %)]]</f>
        <v>22.146317629999999</v>
      </c>
      <c r="AD687" s="28">
        <f>Table1[[#This Row],[Learning Outcomes (Gamification %)]]-Table1[[#This Row],[Learning Outcomes (Non-Gamification %)]]</f>
        <v>11.028666039999997</v>
      </c>
      <c r="AE687" s="44" t="str">
        <f>IF(Table1[[#This Row],[Overall Effectiveness]]&lt;3.9,"Low",IF(Table1[[#This Row],[Overall Effectiveness]]&lt;4.2,"Medium","High"))</f>
        <v>Medium</v>
      </c>
      <c r="AF687" s="30" t="str">
        <f t="shared" si="64"/>
        <v>Group Projects</v>
      </c>
      <c r="AG687" s="30" t="str">
        <f t="shared" si="65"/>
        <v>Lectures</v>
      </c>
      <c r="AH687" s="27">
        <f>COUNTIF(Teacher_Master!$D$2:$D$16,AF687)</f>
        <v>3</v>
      </c>
      <c r="AI687" s="30" t="str">
        <f>INDEX(Teacher_Master!$B$2:$B$16,MATCH(AF687,Teacher_Master!$D$2:$D$16,0))</f>
        <v>Dr. Rohan Dutta</v>
      </c>
    </row>
    <row r="688" spans="1:35" ht="14.25" customHeight="1" x14ac:dyDescent="0.3">
      <c r="A688" s="31" t="s">
        <v>1407</v>
      </c>
      <c r="B688" s="31" t="s">
        <v>2568</v>
      </c>
      <c r="C688" s="31" t="s">
        <v>2882</v>
      </c>
      <c r="D688" s="12">
        <f t="shared" ca="1" si="60"/>
        <v>20</v>
      </c>
      <c r="E688" s="12" t="str">
        <f ca="1">IF(Table1[[#This Row],[Age]]&lt;=22,"20-22",IF(Table1[[#This Row],[Age]]&lt;=25,"23-25",IF(Table1[[#This Row],[Age]]&lt;=28,"26-28","29-30")))</f>
        <v>20-22</v>
      </c>
      <c r="F688" s="12">
        <v>3.58</v>
      </c>
      <c r="G688" s="12">
        <v>4.1900000000000004</v>
      </c>
      <c r="H688" s="12">
        <v>4.3099999999999996</v>
      </c>
      <c r="I688" s="12">
        <v>3.77</v>
      </c>
      <c r="J688" s="12">
        <v>4.04</v>
      </c>
      <c r="K688" s="12">
        <v>4.03</v>
      </c>
      <c r="L688" s="12">
        <v>3.56</v>
      </c>
      <c r="M688" s="12">
        <v>3.47</v>
      </c>
      <c r="N688" s="12">
        <v>3.85</v>
      </c>
      <c r="O688" s="12">
        <v>4.46</v>
      </c>
      <c r="P688" s="12">
        <f t="shared" si="61"/>
        <v>3.9780000000000002</v>
      </c>
      <c r="Q688" s="12">
        <f t="shared" si="62"/>
        <v>3.98</v>
      </c>
      <c r="R688" s="12">
        <f t="shared" si="63"/>
        <v>3.8740000000000001</v>
      </c>
      <c r="S688" s="28">
        <f>IFERROR(INDEX('Clean Gamification Data'!$B:$B,MATCH($B688,'Clean Gamification Data'!$A:$A,0)),"Not Found")</f>
        <v>81.863245480000003</v>
      </c>
      <c r="T688" s="28">
        <f>IFERROR(INDEX('Clean Gamification Data'!$C:$C,MATCH($B688,'Clean Gamification Data'!$A:$A,0)),"Not Found")</f>
        <v>70.455679430000004</v>
      </c>
      <c r="U688" s="28">
        <f>IFERROR(INDEX('Clean Gamification Data'!$D:$D,MATCH($B688,'Clean Gamification Data'!$A:$A,0)),"Not Found")</f>
        <v>70</v>
      </c>
      <c r="V688" s="28">
        <f>IFERROR(INDEX('Clean Gamification Data'!$E:$E,MATCH($B688,'Clean Gamification Data'!$A:$A,0)),"Not Found")</f>
        <v>71.015150009999999</v>
      </c>
      <c r="W688" s="28">
        <f>IFERROR(INDEX('Clean Gamification Data'!$F:$F,MATCH($B688,'Clean Gamification Data'!$A:$A,0)),"Not Found")</f>
        <v>91.092268450000006</v>
      </c>
      <c r="X688" s="28">
        <f>IFERROR(INDEX('Clean Gamification Data'!$G:$G,MATCH($B688,'Clean Gamification Data'!$A:$A,0)),"Not Found")</f>
        <v>85</v>
      </c>
      <c r="Y688" s="28">
        <f>IFERROR(INDEX('Clean Gamification Data'!$H:$H,MATCH($B688,'Clean Gamification Data'!$A:$A,0)),"Not Found")</f>
        <v>69.672802849999997</v>
      </c>
      <c r="Z688" s="28">
        <f>IFERROR(INDEX('Clean Gamification Data'!$I:$I,MATCH($B688,'Clean Gamification Data'!$A:$A,0)),"Not Found")</f>
        <v>57.341062360000002</v>
      </c>
      <c r="AA688" s="28">
        <f>Table1[[#This Row],[Engagement (Gamification %)]]-Table1[[#This Row],[Engagement (Non-Gamification %)]]</f>
        <v>11.40756605</v>
      </c>
      <c r="AB688" s="28">
        <f>Table1[[#This Row],[Motivation (Gamification %)]]-Table1[[#This Row],[Motivation (Non-Gamification %)]]</f>
        <v>-1.0151500099999993</v>
      </c>
      <c r="AC688" s="28">
        <f>Table1[[#This Row],[Participation (Gamification %)]]-Table1[[#This Row],[Participation (Non-Gamification %)]]</f>
        <v>6.0922684500000059</v>
      </c>
      <c r="AD688" s="28">
        <f>Table1[[#This Row],[Learning Outcomes (Gamification %)]]-Table1[[#This Row],[Learning Outcomes (Non-Gamification %)]]</f>
        <v>12.331740489999994</v>
      </c>
      <c r="AE688" s="44" t="str">
        <f>IF(Table1[[#This Row],[Overall Effectiveness]]&lt;3.9,"Low",IF(Table1[[#This Row],[Overall Effectiveness]]&lt;4.2,"Medium","High"))</f>
        <v>Medium</v>
      </c>
      <c r="AF688" s="30" t="str">
        <f t="shared" si="64"/>
        <v>Group Projects</v>
      </c>
      <c r="AG688" s="30" t="str">
        <f t="shared" si="65"/>
        <v>Online Tutorials</v>
      </c>
      <c r="AH688" s="27">
        <f>COUNTIF(Teacher_Master!$D$2:$D$16,AF688)</f>
        <v>3</v>
      </c>
      <c r="AI688" s="30" t="str">
        <f>INDEX(Teacher_Master!$B$2:$B$16,MATCH(AF688,Teacher_Master!$D$2:$D$16,0))</f>
        <v>Dr. Rohan Dutta</v>
      </c>
    </row>
    <row r="689" spans="1:35" ht="14.25" customHeight="1" x14ac:dyDescent="0.3">
      <c r="A689" s="31" t="s">
        <v>1409</v>
      </c>
      <c r="B689" s="31" t="s">
        <v>2569</v>
      </c>
      <c r="C689" s="31" t="s">
        <v>2881</v>
      </c>
      <c r="D689" s="12">
        <f t="shared" ca="1" si="60"/>
        <v>30</v>
      </c>
      <c r="E689" s="12" t="str">
        <f ca="1">IF(Table1[[#This Row],[Age]]&lt;=22,"20-22",IF(Table1[[#This Row],[Age]]&lt;=25,"23-25",IF(Table1[[#This Row],[Age]]&lt;=28,"26-28","29-30")))</f>
        <v>29-30</v>
      </c>
      <c r="F689" s="12">
        <v>3.95</v>
      </c>
      <c r="G689" s="12">
        <v>3.84</v>
      </c>
      <c r="H689" s="12">
        <v>3.53</v>
      </c>
      <c r="I689" s="12">
        <v>4.0999999999999996</v>
      </c>
      <c r="J689" s="12">
        <v>4.13</v>
      </c>
      <c r="K689" s="12">
        <v>3.77</v>
      </c>
      <c r="L689" s="12">
        <v>4.76</v>
      </c>
      <c r="M689" s="12">
        <v>3.77</v>
      </c>
      <c r="N689" s="12">
        <v>3.59</v>
      </c>
      <c r="O689" s="12">
        <v>4.12</v>
      </c>
      <c r="P689" s="12">
        <f t="shared" si="61"/>
        <v>3.91</v>
      </c>
      <c r="Q689" s="12">
        <f t="shared" si="62"/>
        <v>3.91</v>
      </c>
      <c r="R689" s="12">
        <f t="shared" si="63"/>
        <v>4.0019999999999998</v>
      </c>
      <c r="S689" s="28">
        <f>IFERROR(INDEX('Clean Gamification Data'!$B:$B,MATCH($B689,'Clean Gamification Data'!$A:$A,0)),"Not Found")</f>
        <v>96.200902049999996</v>
      </c>
      <c r="T689" s="28">
        <f>IFERROR(INDEX('Clean Gamification Data'!$C:$C,MATCH($B689,'Clean Gamification Data'!$A:$A,0)),"Not Found")</f>
        <v>73.12558473</v>
      </c>
      <c r="U689" s="28">
        <f>IFERROR(INDEX('Clean Gamification Data'!$D:$D,MATCH($B689,'Clean Gamification Data'!$A:$A,0)),"Not Found")</f>
        <v>79.056839350000004</v>
      </c>
      <c r="V689" s="28">
        <f>IFERROR(INDEX('Clean Gamification Data'!$E:$E,MATCH($B689,'Clean Gamification Data'!$A:$A,0)),"Not Found")</f>
        <v>63.831704629999997</v>
      </c>
      <c r="W689" s="28">
        <f>IFERROR(INDEX('Clean Gamification Data'!$F:$F,MATCH($B689,'Clean Gamification Data'!$A:$A,0)),"Not Found")</f>
        <v>80</v>
      </c>
      <c r="X689" s="28">
        <f>IFERROR(INDEX('Clean Gamification Data'!$G:$G,MATCH($B689,'Clean Gamification Data'!$A:$A,0)),"Not Found")</f>
        <v>85</v>
      </c>
      <c r="Y689" s="28">
        <f>IFERROR(INDEX('Clean Gamification Data'!$H:$H,MATCH($B689,'Clean Gamification Data'!$A:$A,0)),"Not Found")</f>
        <v>69.643005810000005</v>
      </c>
      <c r="Z689" s="28">
        <f>IFERROR(INDEX('Clean Gamification Data'!$I:$I,MATCH($B689,'Clean Gamification Data'!$A:$A,0)),"Not Found")</f>
        <v>53.624839459999997</v>
      </c>
      <c r="AA689" s="28">
        <f>Table1[[#This Row],[Engagement (Gamification %)]]-Table1[[#This Row],[Engagement (Non-Gamification %)]]</f>
        <v>23.075317319999996</v>
      </c>
      <c r="AB689" s="28">
        <f>Table1[[#This Row],[Motivation (Gamification %)]]-Table1[[#This Row],[Motivation (Non-Gamification %)]]</f>
        <v>15.225134720000007</v>
      </c>
      <c r="AC689" s="28">
        <f>Table1[[#This Row],[Participation (Gamification %)]]-Table1[[#This Row],[Participation (Non-Gamification %)]]</f>
        <v>-5</v>
      </c>
      <c r="AD689" s="28">
        <f>Table1[[#This Row],[Learning Outcomes (Gamification %)]]-Table1[[#This Row],[Learning Outcomes (Non-Gamification %)]]</f>
        <v>16.018166350000008</v>
      </c>
      <c r="AE689" s="44" t="str">
        <f>IF(Table1[[#This Row],[Overall Effectiveness]]&lt;3.9,"Low",IF(Table1[[#This Row],[Overall Effectiveness]]&lt;4.2,"Medium","High"))</f>
        <v>Medium</v>
      </c>
      <c r="AF689" s="30" t="str">
        <f t="shared" si="64"/>
        <v>Online Tutorials</v>
      </c>
      <c r="AG689" s="30" t="str">
        <f t="shared" si="65"/>
        <v>Case Studies</v>
      </c>
      <c r="AH689" s="27">
        <f>COUNTIF(Teacher_Master!$D$2:$D$16,AF689)</f>
        <v>3</v>
      </c>
      <c r="AI689" s="30" t="str">
        <f>INDEX(Teacher_Master!$B$2:$B$16,MATCH(AF689,Teacher_Master!$D$2:$D$16,0))</f>
        <v>Prof. Kavita Rao</v>
      </c>
    </row>
    <row r="690" spans="1:35" ht="14.25" customHeight="1" x14ac:dyDescent="0.3">
      <c r="A690" s="31" t="s">
        <v>1411</v>
      </c>
      <c r="B690" s="31" t="s">
        <v>2570</v>
      </c>
      <c r="C690" s="31" t="s">
        <v>2882</v>
      </c>
      <c r="D690" s="12">
        <f t="shared" ca="1" si="60"/>
        <v>22</v>
      </c>
      <c r="E690" s="12" t="str">
        <f ca="1">IF(Table1[[#This Row],[Age]]&lt;=22,"20-22",IF(Table1[[#This Row],[Age]]&lt;=25,"23-25",IF(Table1[[#This Row],[Age]]&lt;=28,"26-28","29-30")))</f>
        <v>20-22</v>
      </c>
      <c r="F690" s="12">
        <v>3.99</v>
      </c>
      <c r="G690" s="12">
        <v>4.25</v>
      </c>
      <c r="H690" s="12">
        <v>4.29</v>
      </c>
      <c r="I690" s="12">
        <v>4.3499999999999996</v>
      </c>
      <c r="J690" s="12">
        <v>3.48</v>
      </c>
      <c r="K690" s="12">
        <v>3.77</v>
      </c>
      <c r="L690" s="12">
        <v>3.88</v>
      </c>
      <c r="M690" s="12">
        <v>4.05</v>
      </c>
      <c r="N690" s="12">
        <v>4.13</v>
      </c>
      <c r="O690" s="12">
        <v>3.79</v>
      </c>
      <c r="P690" s="12">
        <f t="shared" si="61"/>
        <v>4.072000000000001</v>
      </c>
      <c r="Q690" s="12">
        <f t="shared" si="62"/>
        <v>4.07</v>
      </c>
      <c r="R690" s="12">
        <f t="shared" si="63"/>
        <v>3.9239999999999995</v>
      </c>
      <c r="S690" s="28">
        <f>IFERROR(INDEX('Clean Gamification Data'!$B:$B,MATCH($B690,'Clean Gamification Data'!$A:$A,0)),"Not Found")</f>
        <v>78.769344810000007</v>
      </c>
      <c r="T690" s="28">
        <f>IFERROR(INDEX('Clean Gamification Data'!$C:$C,MATCH($B690,'Clean Gamification Data'!$A:$A,0)),"Not Found")</f>
        <v>69.534085630000007</v>
      </c>
      <c r="U690" s="28">
        <f>IFERROR(INDEX('Clean Gamification Data'!$D:$D,MATCH($B690,'Clean Gamification Data'!$A:$A,0)),"Not Found")</f>
        <v>73.628412890000007</v>
      </c>
      <c r="V690" s="28">
        <f>IFERROR(INDEX('Clean Gamification Data'!$E:$E,MATCH($B690,'Clean Gamification Data'!$A:$A,0)),"Not Found")</f>
        <v>59.120904150000001</v>
      </c>
      <c r="W690" s="28">
        <f>IFERROR(INDEX('Clean Gamification Data'!$F:$F,MATCH($B690,'Clean Gamification Data'!$A:$A,0)),"Not Found")</f>
        <v>80</v>
      </c>
      <c r="X690" s="28">
        <f>IFERROR(INDEX('Clean Gamification Data'!$G:$G,MATCH($B690,'Clean Gamification Data'!$A:$A,0)),"Not Found")</f>
        <v>85</v>
      </c>
      <c r="Y690" s="28">
        <f>IFERROR(INDEX('Clean Gamification Data'!$H:$H,MATCH($B690,'Clean Gamification Data'!$A:$A,0)),"Not Found")</f>
        <v>77.955579880000002</v>
      </c>
      <c r="Z690" s="28">
        <f>IFERROR(INDEX('Clean Gamification Data'!$I:$I,MATCH($B690,'Clean Gamification Data'!$A:$A,0)),"Not Found")</f>
        <v>57.066139700000001</v>
      </c>
      <c r="AA690" s="28">
        <f>Table1[[#This Row],[Engagement (Gamification %)]]-Table1[[#This Row],[Engagement (Non-Gamification %)]]</f>
        <v>9.2352591799999999</v>
      </c>
      <c r="AB690" s="28">
        <f>Table1[[#This Row],[Motivation (Gamification %)]]-Table1[[#This Row],[Motivation (Non-Gamification %)]]</f>
        <v>14.507508740000006</v>
      </c>
      <c r="AC690" s="28">
        <f>Table1[[#This Row],[Participation (Gamification %)]]-Table1[[#This Row],[Participation (Non-Gamification %)]]</f>
        <v>-5</v>
      </c>
      <c r="AD690" s="28">
        <f>Table1[[#This Row],[Learning Outcomes (Gamification %)]]-Table1[[#This Row],[Learning Outcomes (Non-Gamification %)]]</f>
        <v>20.889440180000001</v>
      </c>
      <c r="AE690" s="44" t="str">
        <f>IF(Table1[[#This Row],[Overall Effectiveness]]&lt;3.9,"Low",IF(Table1[[#This Row],[Overall Effectiveness]]&lt;4.2,"Medium","High"))</f>
        <v>Medium</v>
      </c>
      <c r="AF690" s="30" t="str">
        <f t="shared" si="64"/>
        <v>Experiments</v>
      </c>
      <c r="AG690" s="30" t="str">
        <f t="shared" si="65"/>
        <v>Experiments</v>
      </c>
      <c r="AH690" s="27">
        <f>COUNTIF(Teacher_Master!$D$2:$D$16,AF690)</f>
        <v>3</v>
      </c>
      <c r="AI690" s="30" t="str">
        <f>INDEX(Teacher_Master!$B$2:$B$16,MATCH(AF690,Teacher_Master!$D$2:$D$16,0))</f>
        <v>Prof. Rahul Singh</v>
      </c>
    </row>
    <row r="691" spans="1:35" ht="14.25" customHeight="1" x14ac:dyDescent="0.3">
      <c r="A691" s="31" t="s">
        <v>1413</v>
      </c>
      <c r="B691" s="31" t="s">
        <v>2571</v>
      </c>
      <c r="C691" s="31" t="s">
        <v>2882</v>
      </c>
      <c r="D691" s="12">
        <f t="shared" ca="1" si="60"/>
        <v>28</v>
      </c>
      <c r="E691" s="12" t="str">
        <f ca="1">IF(Table1[[#This Row],[Age]]&lt;=22,"20-22",IF(Table1[[#This Row],[Age]]&lt;=25,"23-25",IF(Table1[[#This Row],[Age]]&lt;=28,"26-28","29-30")))</f>
        <v>26-28</v>
      </c>
      <c r="F691" s="12">
        <v>4.22</v>
      </c>
      <c r="G691" s="12">
        <v>4.3499999999999996</v>
      </c>
      <c r="H691" s="12">
        <v>4.4000000000000004</v>
      </c>
      <c r="I691" s="12">
        <v>4.3600000000000003</v>
      </c>
      <c r="J691" s="12">
        <v>4.0599999999999996</v>
      </c>
      <c r="K691" s="12">
        <v>4.2699999999999996</v>
      </c>
      <c r="L691" s="12">
        <v>4.0599999999999996</v>
      </c>
      <c r="M691" s="12">
        <v>3.58</v>
      </c>
      <c r="N691" s="12">
        <v>4.34</v>
      </c>
      <c r="O691" s="12">
        <v>4.2300000000000004</v>
      </c>
      <c r="P691" s="12">
        <f t="shared" si="61"/>
        <v>4.2780000000000005</v>
      </c>
      <c r="Q691" s="12">
        <f t="shared" si="62"/>
        <v>4.28</v>
      </c>
      <c r="R691" s="12">
        <f t="shared" si="63"/>
        <v>4.0960000000000001</v>
      </c>
      <c r="S691" s="28">
        <f>IFERROR(INDEX('Clean Gamification Data'!$B:$B,MATCH($B691,'Clean Gamification Data'!$A:$A,0)),"Not Found")</f>
        <v>82.333622730000002</v>
      </c>
      <c r="T691" s="28">
        <f>IFERROR(INDEX('Clean Gamification Data'!$C:$C,MATCH($B691,'Clean Gamification Data'!$A:$A,0)),"Not Found")</f>
        <v>75.289355700000002</v>
      </c>
      <c r="U691" s="28">
        <f>IFERROR(INDEX('Clean Gamification Data'!$D:$D,MATCH($B691,'Clean Gamification Data'!$A:$A,0)),"Not Found")</f>
        <v>73.024459550000003</v>
      </c>
      <c r="V691" s="28">
        <f>IFERROR(INDEX('Clean Gamification Data'!$E:$E,MATCH($B691,'Clean Gamification Data'!$A:$A,0)),"Not Found")</f>
        <v>62.67173588</v>
      </c>
      <c r="W691" s="28">
        <f>IFERROR(INDEX('Clean Gamification Data'!$F:$F,MATCH($B691,'Clean Gamification Data'!$A:$A,0)),"Not Found")</f>
        <v>82.040356220000007</v>
      </c>
      <c r="X691" s="28">
        <f>IFERROR(INDEX('Clean Gamification Data'!$G:$G,MATCH($B691,'Clean Gamification Data'!$A:$A,0)),"Not Found")</f>
        <v>79.566062520000003</v>
      </c>
      <c r="Y691" s="28">
        <f>IFERROR(INDEX('Clean Gamification Data'!$H:$H,MATCH($B691,'Clean Gamification Data'!$A:$A,0)),"Not Found")</f>
        <v>74.237128299999995</v>
      </c>
      <c r="Z691" s="28">
        <f>IFERROR(INDEX('Clean Gamification Data'!$I:$I,MATCH($B691,'Clean Gamification Data'!$A:$A,0)),"Not Found")</f>
        <v>51.962967130000003</v>
      </c>
      <c r="AA691" s="28">
        <f>Table1[[#This Row],[Engagement (Gamification %)]]-Table1[[#This Row],[Engagement (Non-Gamification %)]]</f>
        <v>7.0442670300000003</v>
      </c>
      <c r="AB691" s="28">
        <f>Table1[[#This Row],[Motivation (Gamification %)]]-Table1[[#This Row],[Motivation (Non-Gamification %)]]</f>
        <v>10.352723670000003</v>
      </c>
      <c r="AC691" s="28">
        <f>Table1[[#This Row],[Participation (Gamification %)]]-Table1[[#This Row],[Participation (Non-Gamification %)]]</f>
        <v>2.474293700000004</v>
      </c>
      <c r="AD691" s="28">
        <f>Table1[[#This Row],[Learning Outcomes (Gamification %)]]-Table1[[#This Row],[Learning Outcomes (Non-Gamification %)]]</f>
        <v>22.274161169999992</v>
      </c>
      <c r="AE691" s="44" t="str">
        <f>IF(Table1[[#This Row],[Overall Effectiveness]]&lt;3.9,"Low",IF(Table1[[#This Row],[Overall Effectiveness]]&lt;4.2,"Medium","High"))</f>
        <v>High</v>
      </c>
      <c r="AF691" s="30" t="str">
        <f t="shared" si="64"/>
        <v>Group Projects</v>
      </c>
      <c r="AG691" s="30" t="str">
        <f t="shared" si="65"/>
        <v>Experiments</v>
      </c>
      <c r="AH691" s="27">
        <f>COUNTIF(Teacher_Master!$D$2:$D$16,AF691)</f>
        <v>3</v>
      </c>
      <c r="AI691" s="30" t="str">
        <f>INDEX(Teacher_Master!$B$2:$B$16,MATCH(AF691,Teacher_Master!$D$2:$D$16,0))</f>
        <v>Dr. Rohan Dutta</v>
      </c>
    </row>
    <row r="692" spans="1:35" ht="14.25" customHeight="1" x14ac:dyDescent="0.3">
      <c r="A692" s="31" t="s">
        <v>1415</v>
      </c>
      <c r="B692" s="31" t="s">
        <v>2572</v>
      </c>
      <c r="C692" s="31" t="s">
        <v>2881</v>
      </c>
      <c r="D692" s="12">
        <f t="shared" ca="1" si="60"/>
        <v>26</v>
      </c>
      <c r="E692" s="12" t="str">
        <f ca="1">IF(Table1[[#This Row],[Age]]&lt;=22,"20-22",IF(Table1[[#This Row],[Age]]&lt;=25,"23-25",IF(Table1[[#This Row],[Age]]&lt;=28,"26-28","29-30")))</f>
        <v>26-28</v>
      </c>
      <c r="F692" s="12">
        <v>4.3099999999999996</v>
      </c>
      <c r="G692" s="12">
        <v>3.93</v>
      </c>
      <c r="H692" s="12">
        <v>3.86</v>
      </c>
      <c r="I692" s="12">
        <v>4.22</v>
      </c>
      <c r="J692" s="12">
        <v>3.96</v>
      </c>
      <c r="K692" s="12">
        <v>3.58</v>
      </c>
      <c r="L692" s="12">
        <v>4.5</v>
      </c>
      <c r="M692" s="12">
        <v>3.91</v>
      </c>
      <c r="N692" s="12">
        <v>3.68</v>
      </c>
      <c r="O692" s="12">
        <v>3.43</v>
      </c>
      <c r="P692" s="12">
        <f t="shared" si="61"/>
        <v>4.056</v>
      </c>
      <c r="Q692" s="12">
        <f t="shared" si="62"/>
        <v>4.0599999999999996</v>
      </c>
      <c r="R692" s="12">
        <f t="shared" si="63"/>
        <v>3.8200000000000003</v>
      </c>
      <c r="S692" s="28">
        <f>IFERROR(INDEX('Clean Gamification Data'!$B:$B,MATCH($B692,'Clean Gamification Data'!$A:$A,0)),"Not Found")</f>
        <v>84.568732549999993</v>
      </c>
      <c r="T692" s="28">
        <f>IFERROR(INDEX('Clean Gamification Data'!$C:$C,MATCH($B692,'Clean Gamification Data'!$A:$A,0)),"Not Found")</f>
        <v>68.522239279999994</v>
      </c>
      <c r="U692" s="28">
        <f>IFERROR(INDEX('Clean Gamification Data'!$D:$D,MATCH($B692,'Clean Gamification Data'!$A:$A,0)),"Not Found")</f>
        <v>72.650261670000006</v>
      </c>
      <c r="V692" s="28">
        <f>IFERROR(INDEX('Clean Gamification Data'!$E:$E,MATCH($B692,'Clean Gamification Data'!$A:$A,0)),"Not Found")</f>
        <v>66.405501990000005</v>
      </c>
      <c r="W692" s="28">
        <f>IFERROR(INDEX('Clean Gamification Data'!$F:$F,MATCH($B692,'Clean Gamification Data'!$A:$A,0)),"Not Found")</f>
        <v>99.9</v>
      </c>
      <c r="X692" s="28">
        <f>IFERROR(INDEX('Clean Gamification Data'!$G:$G,MATCH($B692,'Clean Gamification Data'!$A:$A,0)),"Not Found")</f>
        <v>68.233738399999993</v>
      </c>
      <c r="Y692" s="28">
        <f>IFERROR(INDEX('Clean Gamification Data'!$H:$H,MATCH($B692,'Clean Gamification Data'!$A:$A,0)),"Not Found")</f>
        <v>71.238264979999997</v>
      </c>
      <c r="Z692" s="28">
        <f>IFERROR(INDEX('Clean Gamification Data'!$I:$I,MATCH($B692,'Clean Gamification Data'!$A:$A,0)),"Not Found")</f>
        <v>52.777738200000002</v>
      </c>
      <c r="AA692" s="28">
        <f>Table1[[#This Row],[Engagement (Gamification %)]]-Table1[[#This Row],[Engagement (Non-Gamification %)]]</f>
        <v>16.046493269999999</v>
      </c>
      <c r="AB692" s="28">
        <f>Table1[[#This Row],[Motivation (Gamification %)]]-Table1[[#This Row],[Motivation (Non-Gamification %)]]</f>
        <v>6.2447596800000014</v>
      </c>
      <c r="AC692" s="28">
        <f>Table1[[#This Row],[Participation (Gamification %)]]-Table1[[#This Row],[Participation (Non-Gamification %)]]</f>
        <v>31.666261600000013</v>
      </c>
      <c r="AD692" s="28">
        <f>Table1[[#This Row],[Learning Outcomes (Gamification %)]]-Table1[[#This Row],[Learning Outcomes (Non-Gamification %)]]</f>
        <v>18.460526779999995</v>
      </c>
      <c r="AE692" s="44" t="str">
        <f>IF(Table1[[#This Row],[Overall Effectiveness]]&lt;3.9,"Low",IF(Table1[[#This Row],[Overall Effectiveness]]&lt;4.2,"Medium","High"))</f>
        <v>Medium</v>
      </c>
      <c r="AF692" s="30" t="str">
        <f t="shared" si="64"/>
        <v>Lectures</v>
      </c>
      <c r="AG692" s="30" t="str">
        <f t="shared" si="65"/>
        <v>Case Studies</v>
      </c>
      <c r="AH692" s="27">
        <f>COUNTIF(Teacher_Master!$D$2:$D$16,AF692)</f>
        <v>3</v>
      </c>
      <c r="AI692" s="30" t="str">
        <f>INDEX(Teacher_Master!$B$2:$B$16,MATCH(AF692,Teacher_Master!$D$2:$D$16,0))</f>
        <v>Prof. Vikram Gupta</v>
      </c>
    </row>
    <row r="693" spans="1:35" ht="14.25" customHeight="1" x14ac:dyDescent="0.3">
      <c r="A693" s="31" t="s">
        <v>1417</v>
      </c>
      <c r="B693" s="31" t="s">
        <v>2573</v>
      </c>
      <c r="C693" s="31" t="s">
        <v>2882</v>
      </c>
      <c r="D693" s="12">
        <f t="shared" ca="1" si="60"/>
        <v>27</v>
      </c>
      <c r="E693" s="12" t="str">
        <f ca="1">IF(Table1[[#This Row],[Age]]&lt;=22,"20-22",IF(Table1[[#This Row],[Age]]&lt;=25,"23-25",IF(Table1[[#This Row],[Age]]&lt;=28,"26-28","29-30")))</f>
        <v>26-28</v>
      </c>
      <c r="F693" s="12">
        <v>4.13</v>
      </c>
      <c r="G693" s="12">
        <v>3.77</v>
      </c>
      <c r="H693" s="12">
        <v>4.12</v>
      </c>
      <c r="I693" s="12">
        <v>4.46</v>
      </c>
      <c r="J693" s="12">
        <v>4.1500000000000004</v>
      </c>
      <c r="K693" s="12">
        <v>4</v>
      </c>
      <c r="L693" s="12">
        <v>3.66</v>
      </c>
      <c r="M693" s="12">
        <v>4.6399999999999997</v>
      </c>
      <c r="N693" s="12">
        <v>4.03</v>
      </c>
      <c r="O693" s="12">
        <v>3.54</v>
      </c>
      <c r="P693" s="12">
        <f t="shared" si="61"/>
        <v>4.1260000000000003</v>
      </c>
      <c r="Q693" s="12">
        <f t="shared" si="62"/>
        <v>4.13</v>
      </c>
      <c r="R693" s="12">
        <f t="shared" si="63"/>
        <v>3.9740000000000002</v>
      </c>
      <c r="S693" s="28">
        <f>IFERROR(INDEX('Clean Gamification Data'!$B:$B,MATCH($B693,'Clean Gamification Data'!$A:$A,0)),"Not Found")</f>
        <v>94.235928450000003</v>
      </c>
      <c r="T693" s="28">
        <f>IFERROR(INDEX('Clean Gamification Data'!$C:$C,MATCH($B693,'Clean Gamification Data'!$A:$A,0)),"Not Found")</f>
        <v>79.046884640000002</v>
      </c>
      <c r="U693" s="28">
        <f>IFERROR(INDEX('Clean Gamification Data'!$D:$D,MATCH($B693,'Clean Gamification Data'!$A:$A,0)),"Not Found")</f>
        <v>70</v>
      </c>
      <c r="V693" s="28">
        <f>IFERROR(INDEX('Clean Gamification Data'!$E:$E,MATCH($B693,'Clean Gamification Data'!$A:$A,0)),"Not Found")</f>
        <v>66.180751920000006</v>
      </c>
      <c r="W693" s="28">
        <f>IFERROR(INDEX('Clean Gamification Data'!$F:$F,MATCH($B693,'Clean Gamification Data'!$A:$A,0)),"Not Found")</f>
        <v>80</v>
      </c>
      <c r="X693" s="28">
        <f>IFERROR(INDEX('Clean Gamification Data'!$G:$G,MATCH($B693,'Clean Gamification Data'!$A:$A,0)),"Not Found")</f>
        <v>83.264090809999999</v>
      </c>
      <c r="Y693" s="28">
        <f>IFERROR(INDEX('Clean Gamification Data'!$H:$H,MATCH($B693,'Clean Gamification Data'!$A:$A,0)),"Not Found")</f>
        <v>71.041894679999999</v>
      </c>
      <c r="Z693" s="28">
        <f>IFERROR(INDEX('Clean Gamification Data'!$I:$I,MATCH($B693,'Clean Gamification Data'!$A:$A,0)),"Not Found")</f>
        <v>62.388367379999998</v>
      </c>
      <c r="AA693" s="28">
        <f>Table1[[#This Row],[Engagement (Gamification %)]]-Table1[[#This Row],[Engagement (Non-Gamification %)]]</f>
        <v>15.189043810000001</v>
      </c>
      <c r="AB693" s="28">
        <f>Table1[[#This Row],[Motivation (Gamification %)]]-Table1[[#This Row],[Motivation (Non-Gamification %)]]</f>
        <v>3.8192480799999942</v>
      </c>
      <c r="AC693" s="28">
        <f>Table1[[#This Row],[Participation (Gamification %)]]-Table1[[#This Row],[Participation (Non-Gamification %)]]</f>
        <v>-3.264090809999999</v>
      </c>
      <c r="AD693" s="28">
        <f>Table1[[#This Row],[Learning Outcomes (Gamification %)]]-Table1[[#This Row],[Learning Outcomes (Non-Gamification %)]]</f>
        <v>8.6535273000000004</v>
      </c>
      <c r="AE693" s="44" t="str">
        <f>IF(Table1[[#This Row],[Overall Effectiveness]]&lt;3.9,"Low",IF(Table1[[#This Row],[Overall Effectiveness]]&lt;4.2,"Medium","High"))</f>
        <v>Medium</v>
      </c>
      <c r="AF693" s="30" t="str">
        <f t="shared" si="64"/>
        <v>Experiments</v>
      </c>
      <c r="AG693" s="30" t="str">
        <f t="shared" si="65"/>
        <v>Group Projects</v>
      </c>
      <c r="AH693" s="27">
        <f>COUNTIF(Teacher_Master!$D$2:$D$16,AF693)</f>
        <v>3</v>
      </c>
      <c r="AI693" s="30" t="str">
        <f>INDEX(Teacher_Master!$B$2:$B$16,MATCH(AF693,Teacher_Master!$D$2:$D$16,0))</f>
        <v>Prof. Rahul Singh</v>
      </c>
    </row>
    <row r="694" spans="1:35" ht="14.25" customHeight="1" x14ac:dyDescent="0.3">
      <c r="A694" s="31" t="s">
        <v>1419</v>
      </c>
      <c r="B694" s="31" t="s">
        <v>2574</v>
      </c>
      <c r="C694" s="31" t="s">
        <v>2882</v>
      </c>
      <c r="D694" s="12">
        <f t="shared" ca="1" si="60"/>
        <v>26</v>
      </c>
      <c r="E694" s="12" t="str">
        <f ca="1">IF(Table1[[#This Row],[Age]]&lt;=22,"20-22",IF(Table1[[#This Row],[Age]]&lt;=25,"23-25",IF(Table1[[#This Row],[Age]]&lt;=28,"26-28","29-30")))</f>
        <v>26-28</v>
      </c>
      <c r="F694" s="12">
        <v>4.13</v>
      </c>
      <c r="G694" s="12">
        <v>3.84</v>
      </c>
      <c r="H694" s="12">
        <v>4.1500000000000004</v>
      </c>
      <c r="I694" s="12">
        <v>4.1399999999999997</v>
      </c>
      <c r="J694" s="12">
        <v>4.5</v>
      </c>
      <c r="K694" s="12">
        <v>4.33</v>
      </c>
      <c r="L694" s="12">
        <v>4.54</v>
      </c>
      <c r="M694" s="12">
        <v>3.85</v>
      </c>
      <c r="N694" s="12">
        <v>4.28</v>
      </c>
      <c r="O694" s="12">
        <v>4.25</v>
      </c>
      <c r="P694" s="12">
        <f t="shared" si="61"/>
        <v>4.1520000000000001</v>
      </c>
      <c r="Q694" s="12">
        <f t="shared" si="62"/>
        <v>4.1500000000000004</v>
      </c>
      <c r="R694" s="12">
        <f t="shared" si="63"/>
        <v>4.25</v>
      </c>
      <c r="S694" s="28">
        <f>IFERROR(INDEX('Clean Gamification Data'!$B:$B,MATCH($B694,'Clean Gamification Data'!$A:$A,0)),"Not Found")</f>
        <v>78.539589629999995</v>
      </c>
      <c r="T694" s="28">
        <f>IFERROR(INDEX('Clean Gamification Data'!$C:$C,MATCH($B694,'Clean Gamification Data'!$A:$A,0)),"Not Found")</f>
        <v>70.28492353</v>
      </c>
      <c r="U694" s="28">
        <f>IFERROR(INDEX('Clean Gamification Data'!$D:$D,MATCH($B694,'Clean Gamification Data'!$A:$A,0)),"Not Found")</f>
        <v>80.965457290000003</v>
      </c>
      <c r="V694" s="28">
        <f>IFERROR(INDEX('Clean Gamification Data'!$E:$E,MATCH($B694,'Clean Gamification Data'!$A:$A,0)),"Not Found")</f>
        <v>64.789710299999996</v>
      </c>
      <c r="W694" s="28">
        <f>IFERROR(INDEX('Clean Gamification Data'!$F:$F,MATCH($B694,'Clean Gamification Data'!$A:$A,0)),"Not Found")</f>
        <v>80</v>
      </c>
      <c r="X694" s="28">
        <f>IFERROR(INDEX('Clean Gamification Data'!$G:$G,MATCH($B694,'Clean Gamification Data'!$A:$A,0)),"Not Found")</f>
        <v>79.446636479999995</v>
      </c>
      <c r="Y694" s="28">
        <f>IFERROR(INDEX('Clean Gamification Data'!$H:$H,MATCH($B694,'Clean Gamification Data'!$A:$A,0)),"Not Found")</f>
        <v>71.088476920000005</v>
      </c>
      <c r="Z694" s="28">
        <f>IFERROR(INDEX('Clean Gamification Data'!$I:$I,MATCH($B694,'Clean Gamification Data'!$A:$A,0)),"Not Found")</f>
        <v>56.432183029999997</v>
      </c>
      <c r="AA694" s="28">
        <f>Table1[[#This Row],[Engagement (Gamification %)]]-Table1[[#This Row],[Engagement (Non-Gamification %)]]</f>
        <v>8.2546660999999943</v>
      </c>
      <c r="AB694" s="28">
        <f>Table1[[#This Row],[Motivation (Gamification %)]]-Table1[[#This Row],[Motivation (Non-Gamification %)]]</f>
        <v>16.175746990000007</v>
      </c>
      <c r="AC694" s="28">
        <f>Table1[[#This Row],[Participation (Gamification %)]]-Table1[[#This Row],[Participation (Non-Gamification %)]]</f>
        <v>0.55336352000000488</v>
      </c>
      <c r="AD694" s="28">
        <f>Table1[[#This Row],[Learning Outcomes (Gamification %)]]-Table1[[#This Row],[Learning Outcomes (Non-Gamification %)]]</f>
        <v>14.656293890000008</v>
      </c>
      <c r="AE694" s="44" t="str">
        <f>IF(Table1[[#This Row],[Overall Effectiveness]]&lt;3.9,"Low",IF(Table1[[#This Row],[Overall Effectiveness]]&lt;4.2,"Medium","High"))</f>
        <v>Medium</v>
      </c>
      <c r="AF694" s="30" t="str">
        <f t="shared" si="64"/>
        <v>Online Tutorials</v>
      </c>
      <c r="AG694" s="30" t="str">
        <f t="shared" si="65"/>
        <v>Case Studies</v>
      </c>
      <c r="AH694" s="27">
        <f>COUNTIF(Teacher_Master!$D$2:$D$16,AF694)</f>
        <v>3</v>
      </c>
      <c r="AI694" s="30" t="str">
        <f>INDEX(Teacher_Master!$B$2:$B$16,MATCH(AF694,Teacher_Master!$D$2:$D$16,0))</f>
        <v>Prof. Kavita Rao</v>
      </c>
    </row>
    <row r="695" spans="1:35" ht="14.25" customHeight="1" x14ac:dyDescent="0.3">
      <c r="A695" s="31" t="s">
        <v>1421</v>
      </c>
      <c r="B695" s="31" t="s">
        <v>2575</v>
      </c>
      <c r="C695" s="31" t="s">
        <v>2882</v>
      </c>
      <c r="D695" s="12">
        <f t="shared" ca="1" si="60"/>
        <v>24</v>
      </c>
      <c r="E695" s="12" t="str">
        <f ca="1">IF(Table1[[#This Row],[Age]]&lt;=22,"20-22",IF(Table1[[#This Row],[Age]]&lt;=25,"23-25",IF(Table1[[#This Row],[Age]]&lt;=28,"26-28","29-30")))</f>
        <v>23-25</v>
      </c>
      <c r="F695" s="12">
        <v>4.03</v>
      </c>
      <c r="G695" s="12">
        <v>4.04</v>
      </c>
      <c r="H695" s="12">
        <v>4.42</v>
      </c>
      <c r="I695" s="12">
        <v>4.2</v>
      </c>
      <c r="J695" s="12">
        <v>4.5599999999999996</v>
      </c>
      <c r="K695" s="12">
        <v>3.32</v>
      </c>
      <c r="L695" s="12">
        <v>3.92</v>
      </c>
      <c r="M695" s="12">
        <v>4.33</v>
      </c>
      <c r="N695" s="12">
        <v>3.8</v>
      </c>
      <c r="O695" s="12">
        <v>3.53</v>
      </c>
      <c r="P695" s="12">
        <f t="shared" si="61"/>
        <v>4.25</v>
      </c>
      <c r="Q695" s="12">
        <f t="shared" si="62"/>
        <v>4.25</v>
      </c>
      <c r="R695" s="12">
        <f t="shared" si="63"/>
        <v>3.7800000000000002</v>
      </c>
      <c r="S695" s="28">
        <f>IFERROR(INDEX('Clean Gamification Data'!$B:$B,MATCH($B695,'Clean Gamification Data'!$A:$A,0)),"Not Found")</f>
        <v>84.235160500000006</v>
      </c>
      <c r="T695" s="28">
        <f>IFERROR(INDEX('Clean Gamification Data'!$C:$C,MATCH($B695,'Clean Gamification Data'!$A:$A,0)),"Not Found")</f>
        <v>65.320995730000007</v>
      </c>
      <c r="U695" s="28">
        <f>IFERROR(INDEX('Clean Gamification Data'!$D:$D,MATCH($B695,'Clean Gamification Data'!$A:$A,0)),"Not Found")</f>
        <v>70</v>
      </c>
      <c r="V695" s="28">
        <f>IFERROR(INDEX('Clean Gamification Data'!$E:$E,MATCH($B695,'Clean Gamification Data'!$A:$A,0)),"Not Found")</f>
        <v>75</v>
      </c>
      <c r="W695" s="28">
        <f>IFERROR(INDEX('Clean Gamification Data'!$F:$F,MATCH($B695,'Clean Gamification Data'!$A:$A,0)),"Not Found")</f>
        <v>80.321849229999998</v>
      </c>
      <c r="X695" s="28">
        <f>IFERROR(INDEX('Clean Gamification Data'!$G:$G,MATCH($B695,'Clean Gamification Data'!$A:$A,0)),"Not Found")</f>
        <v>72.715509749999995</v>
      </c>
      <c r="Y695" s="28">
        <f>IFERROR(INDEX('Clean Gamification Data'!$H:$H,MATCH($B695,'Clean Gamification Data'!$A:$A,0)),"Not Found")</f>
        <v>72.712297070000005</v>
      </c>
      <c r="Z695" s="28">
        <f>IFERROR(INDEX('Clean Gamification Data'!$I:$I,MATCH($B695,'Clean Gamification Data'!$A:$A,0)),"Not Found")</f>
        <v>59.53007324</v>
      </c>
      <c r="AA695" s="28">
        <f>Table1[[#This Row],[Engagement (Gamification %)]]-Table1[[#This Row],[Engagement (Non-Gamification %)]]</f>
        <v>18.914164769999999</v>
      </c>
      <c r="AB695" s="28">
        <f>Table1[[#This Row],[Motivation (Gamification %)]]-Table1[[#This Row],[Motivation (Non-Gamification %)]]</f>
        <v>-5</v>
      </c>
      <c r="AC695" s="28">
        <f>Table1[[#This Row],[Participation (Gamification %)]]-Table1[[#This Row],[Participation (Non-Gamification %)]]</f>
        <v>7.6063394800000026</v>
      </c>
      <c r="AD695" s="28">
        <f>Table1[[#This Row],[Learning Outcomes (Gamification %)]]-Table1[[#This Row],[Learning Outcomes (Non-Gamification %)]]</f>
        <v>13.182223830000005</v>
      </c>
      <c r="AE695" s="44" t="str">
        <f>IF(Table1[[#This Row],[Overall Effectiveness]]&lt;3.9,"Low",IF(Table1[[#This Row],[Overall Effectiveness]]&lt;4.2,"Medium","High"))</f>
        <v>High</v>
      </c>
      <c r="AF695" s="30" t="str">
        <f t="shared" si="64"/>
        <v>Online Tutorials</v>
      </c>
      <c r="AG695" s="30" t="str">
        <f t="shared" si="65"/>
        <v>Group Projects</v>
      </c>
      <c r="AH695" s="27">
        <f>COUNTIF(Teacher_Master!$D$2:$D$16,AF695)</f>
        <v>3</v>
      </c>
      <c r="AI695" s="30" t="str">
        <f>INDEX(Teacher_Master!$B$2:$B$16,MATCH(AF695,Teacher_Master!$D$2:$D$16,0))</f>
        <v>Prof. Kavita Rao</v>
      </c>
    </row>
    <row r="696" spans="1:35" ht="14.25" customHeight="1" x14ac:dyDescent="0.3">
      <c r="A696" s="31" t="s">
        <v>1423</v>
      </c>
      <c r="B696" s="31" t="s">
        <v>2576</v>
      </c>
      <c r="C696" s="31" t="s">
        <v>2882</v>
      </c>
      <c r="D696" s="12">
        <f t="shared" ca="1" si="60"/>
        <v>23</v>
      </c>
      <c r="E696" s="12" t="str">
        <f ca="1">IF(Table1[[#This Row],[Age]]&lt;=22,"20-22",IF(Table1[[#This Row],[Age]]&lt;=25,"23-25",IF(Table1[[#This Row],[Age]]&lt;=28,"26-28","29-30")))</f>
        <v>23-25</v>
      </c>
      <c r="F696" s="12">
        <v>4.67</v>
      </c>
      <c r="G696" s="12">
        <v>4.09</v>
      </c>
      <c r="H696" s="12">
        <v>3.81</v>
      </c>
      <c r="I696" s="12">
        <v>4.59</v>
      </c>
      <c r="J696" s="12">
        <v>3.98</v>
      </c>
      <c r="K696" s="12">
        <v>4.2699999999999996</v>
      </c>
      <c r="L696" s="12">
        <v>3.97</v>
      </c>
      <c r="M696" s="12">
        <v>3.89</v>
      </c>
      <c r="N696" s="12">
        <v>3.94</v>
      </c>
      <c r="O696" s="12">
        <v>4.57</v>
      </c>
      <c r="P696" s="12">
        <f t="shared" si="61"/>
        <v>4.2279999999999998</v>
      </c>
      <c r="Q696" s="12">
        <f t="shared" si="62"/>
        <v>4.2300000000000004</v>
      </c>
      <c r="R696" s="12">
        <f t="shared" si="63"/>
        <v>4.1280000000000001</v>
      </c>
      <c r="S696" s="28">
        <f>IFERROR(INDEX('Clean Gamification Data'!$B:$B,MATCH($B696,'Clean Gamification Data'!$A:$A,0)),"Not Found")</f>
        <v>96.013061449999995</v>
      </c>
      <c r="T696" s="28">
        <f>IFERROR(INDEX('Clean Gamification Data'!$C:$C,MATCH($B696,'Clean Gamification Data'!$A:$A,0)),"Not Found")</f>
        <v>60</v>
      </c>
      <c r="U696" s="28">
        <f>IFERROR(INDEX('Clean Gamification Data'!$D:$D,MATCH($B696,'Clean Gamification Data'!$A:$A,0)),"Not Found")</f>
        <v>77.105001869999995</v>
      </c>
      <c r="V696" s="28">
        <f>IFERROR(INDEX('Clean Gamification Data'!$E:$E,MATCH($B696,'Clean Gamification Data'!$A:$A,0)),"Not Found")</f>
        <v>64.009522329999996</v>
      </c>
      <c r="W696" s="28">
        <f>IFERROR(INDEX('Clean Gamification Data'!$F:$F,MATCH($B696,'Clean Gamification Data'!$A:$A,0)),"Not Found")</f>
        <v>87.105160220000002</v>
      </c>
      <c r="X696" s="28">
        <f>IFERROR(INDEX('Clean Gamification Data'!$G:$G,MATCH($B696,'Clean Gamification Data'!$A:$A,0)),"Not Found")</f>
        <v>76.544462240000001</v>
      </c>
      <c r="Y696" s="28">
        <f>IFERROR(INDEX('Clean Gamification Data'!$H:$H,MATCH($B696,'Clean Gamification Data'!$A:$A,0)),"Not Found")</f>
        <v>65</v>
      </c>
      <c r="Z696" s="28">
        <f>IFERROR(INDEX('Clean Gamification Data'!$I:$I,MATCH($B696,'Clean Gamification Data'!$A:$A,0)),"Not Found")</f>
        <v>55.661783110000002</v>
      </c>
      <c r="AA696" s="28">
        <f>Table1[[#This Row],[Engagement (Gamification %)]]-Table1[[#This Row],[Engagement (Non-Gamification %)]]</f>
        <v>36.013061449999995</v>
      </c>
      <c r="AB696" s="28">
        <f>Table1[[#This Row],[Motivation (Gamification %)]]-Table1[[#This Row],[Motivation (Non-Gamification %)]]</f>
        <v>13.095479539999999</v>
      </c>
      <c r="AC696" s="28">
        <f>Table1[[#This Row],[Participation (Gamification %)]]-Table1[[#This Row],[Participation (Non-Gamification %)]]</f>
        <v>10.56069798</v>
      </c>
      <c r="AD696" s="28">
        <f>Table1[[#This Row],[Learning Outcomes (Gamification %)]]-Table1[[#This Row],[Learning Outcomes (Non-Gamification %)]]</f>
        <v>9.3382168899999982</v>
      </c>
      <c r="AE696" s="44" t="str">
        <f>IF(Table1[[#This Row],[Overall Effectiveness]]&lt;3.9,"Low",IF(Table1[[#This Row],[Overall Effectiveness]]&lt;4.2,"Medium","High"))</f>
        <v>High</v>
      </c>
      <c r="AF696" s="30" t="str">
        <f t="shared" si="64"/>
        <v>Lectures</v>
      </c>
      <c r="AG696" s="30" t="str">
        <f t="shared" si="65"/>
        <v>Online Tutorials</v>
      </c>
      <c r="AH696" s="27">
        <f>COUNTIF(Teacher_Master!$D$2:$D$16,AF696)</f>
        <v>3</v>
      </c>
      <c r="AI696" s="30" t="str">
        <f>INDEX(Teacher_Master!$B$2:$B$16,MATCH(AF696,Teacher_Master!$D$2:$D$16,0))</f>
        <v>Prof. Vikram Gupta</v>
      </c>
    </row>
    <row r="697" spans="1:35" ht="14.25" customHeight="1" x14ac:dyDescent="0.3">
      <c r="A697" s="31" t="s">
        <v>1425</v>
      </c>
      <c r="B697" s="31" t="s">
        <v>2577</v>
      </c>
      <c r="C697" s="31" t="s">
        <v>2882</v>
      </c>
      <c r="D697" s="12">
        <f t="shared" ca="1" si="60"/>
        <v>24</v>
      </c>
      <c r="E697" s="12" t="str">
        <f ca="1">IF(Table1[[#This Row],[Age]]&lt;=22,"20-22",IF(Table1[[#This Row],[Age]]&lt;=25,"23-25",IF(Table1[[#This Row],[Age]]&lt;=28,"26-28","29-30")))</f>
        <v>23-25</v>
      </c>
      <c r="F697" s="12">
        <v>3.7</v>
      </c>
      <c r="G697" s="12">
        <v>4.96</v>
      </c>
      <c r="H697" s="12">
        <v>4.83</v>
      </c>
      <c r="I697" s="12">
        <v>4.8099999999999996</v>
      </c>
      <c r="J697" s="12">
        <v>3.95</v>
      </c>
      <c r="K697" s="12">
        <v>3.7</v>
      </c>
      <c r="L697" s="12">
        <v>4.2300000000000004</v>
      </c>
      <c r="M697" s="12">
        <v>3.72</v>
      </c>
      <c r="N697" s="12">
        <v>3.96</v>
      </c>
      <c r="O697" s="12">
        <v>3.75</v>
      </c>
      <c r="P697" s="12">
        <f t="shared" si="61"/>
        <v>4.45</v>
      </c>
      <c r="Q697" s="12">
        <f t="shared" si="62"/>
        <v>4.45</v>
      </c>
      <c r="R697" s="12">
        <f t="shared" si="63"/>
        <v>3.8719999999999999</v>
      </c>
      <c r="S697" s="28">
        <f>IFERROR(INDEX('Clean Gamification Data'!$B:$B,MATCH($B697,'Clean Gamification Data'!$A:$A,0)),"Not Found")</f>
        <v>86.555299320000003</v>
      </c>
      <c r="T697" s="28">
        <f>IFERROR(INDEX('Clean Gamification Data'!$C:$C,MATCH($B697,'Clean Gamification Data'!$A:$A,0)),"Not Found")</f>
        <v>74.839215550000006</v>
      </c>
      <c r="U697" s="28">
        <f>IFERROR(INDEX('Clean Gamification Data'!$D:$D,MATCH($B697,'Clean Gamification Data'!$A:$A,0)),"Not Found")</f>
        <v>72.691983930000006</v>
      </c>
      <c r="V697" s="28">
        <f>IFERROR(INDEX('Clean Gamification Data'!$E:$E,MATCH($B697,'Clean Gamification Data'!$A:$A,0)),"Not Found")</f>
        <v>60.168168299999998</v>
      </c>
      <c r="W697" s="28">
        <f>IFERROR(INDEX('Clean Gamification Data'!$F:$F,MATCH($B697,'Clean Gamification Data'!$A:$A,0)),"Not Found")</f>
        <v>87.298954300000005</v>
      </c>
      <c r="X697" s="28">
        <f>IFERROR(INDEX('Clean Gamification Data'!$G:$G,MATCH($B697,'Clean Gamification Data'!$A:$A,0)),"Not Found")</f>
        <v>84.260775190000004</v>
      </c>
      <c r="Y697" s="28">
        <f>IFERROR(INDEX('Clean Gamification Data'!$H:$H,MATCH($B697,'Clean Gamification Data'!$A:$A,0)),"Not Found")</f>
        <v>72.146378909999996</v>
      </c>
      <c r="Z697" s="28">
        <f>IFERROR(INDEX('Clean Gamification Data'!$I:$I,MATCH($B697,'Clean Gamification Data'!$A:$A,0)),"Not Found")</f>
        <v>52.753586640000002</v>
      </c>
      <c r="AA697" s="28">
        <f>Table1[[#This Row],[Engagement (Gamification %)]]-Table1[[#This Row],[Engagement (Non-Gamification %)]]</f>
        <v>11.716083769999997</v>
      </c>
      <c r="AB697" s="28">
        <f>Table1[[#This Row],[Motivation (Gamification %)]]-Table1[[#This Row],[Motivation (Non-Gamification %)]]</f>
        <v>12.523815630000009</v>
      </c>
      <c r="AC697" s="28">
        <f>Table1[[#This Row],[Participation (Gamification %)]]-Table1[[#This Row],[Participation (Non-Gamification %)]]</f>
        <v>3.0381791100000015</v>
      </c>
      <c r="AD697" s="28">
        <f>Table1[[#This Row],[Learning Outcomes (Gamification %)]]-Table1[[#This Row],[Learning Outcomes (Non-Gamification %)]]</f>
        <v>19.392792269999994</v>
      </c>
      <c r="AE697" s="44" t="str">
        <f>IF(Table1[[#This Row],[Overall Effectiveness]]&lt;3.9,"Low",IF(Table1[[#This Row],[Overall Effectiveness]]&lt;4.2,"Medium","High"))</f>
        <v>High</v>
      </c>
      <c r="AF697" s="30" t="str">
        <f t="shared" si="64"/>
        <v>Case Studies</v>
      </c>
      <c r="AG697" s="30" t="str">
        <f t="shared" si="65"/>
        <v>Case Studies</v>
      </c>
      <c r="AH697" s="27">
        <f>COUNTIF(Teacher_Master!$D$2:$D$16,AF697)</f>
        <v>3</v>
      </c>
      <c r="AI697" s="30" t="str">
        <f>INDEX(Teacher_Master!$B$2:$B$16,MATCH(AF697,Teacher_Master!$D$2:$D$16,0))</f>
        <v>Prof. Rajesh Mukherjee</v>
      </c>
    </row>
    <row r="698" spans="1:35" ht="14.25" customHeight="1" x14ac:dyDescent="0.3">
      <c r="A698" s="31" t="s">
        <v>1427</v>
      </c>
      <c r="B698" s="31" t="s">
        <v>2578</v>
      </c>
      <c r="C698" s="31" t="s">
        <v>2881</v>
      </c>
      <c r="D698" s="12">
        <f t="shared" ca="1" si="60"/>
        <v>24</v>
      </c>
      <c r="E698" s="12" t="str">
        <f ca="1">IF(Table1[[#This Row],[Age]]&lt;=22,"20-22",IF(Table1[[#This Row],[Age]]&lt;=25,"23-25",IF(Table1[[#This Row],[Age]]&lt;=28,"26-28","29-30")))</f>
        <v>23-25</v>
      </c>
      <c r="F698" s="12">
        <v>4.1500000000000004</v>
      </c>
      <c r="G698" s="12">
        <v>3.86</v>
      </c>
      <c r="H698" s="12">
        <v>3.99</v>
      </c>
      <c r="I698" s="12">
        <v>3.47</v>
      </c>
      <c r="J698" s="12">
        <v>4.0199999999999996</v>
      </c>
      <c r="K698" s="12">
        <v>3.95</v>
      </c>
      <c r="L698" s="12">
        <v>4.18</v>
      </c>
      <c r="M698" s="12">
        <v>3.9</v>
      </c>
      <c r="N698" s="12">
        <v>3.73</v>
      </c>
      <c r="O698" s="12">
        <v>4.08</v>
      </c>
      <c r="P698" s="12">
        <f t="shared" si="61"/>
        <v>3.8980000000000006</v>
      </c>
      <c r="Q698" s="12">
        <f t="shared" si="62"/>
        <v>3.9</v>
      </c>
      <c r="R698" s="12">
        <f t="shared" si="63"/>
        <v>3.968</v>
      </c>
      <c r="S698" s="28">
        <f>IFERROR(INDEX('Clean Gamification Data'!$B:$B,MATCH($B698,'Clean Gamification Data'!$A:$A,0)),"Not Found")</f>
        <v>90.216621540000006</v>
      </c>
      <c r="T698" s="28">
        <f>IFERROR(INDEX('Clean Gamification Data'!$C:$C,MATCH($B698,'Clean Gamification Data'!$A:$A,0)),"Not Found")</f>
        <v>68.609310230000006</v>
      </c>
      <c r="U698" s="28">
        <f>IFERROR(INDEX('Clean Gamification Data'!$D:$D,MATCH($B698,'Clean Gamification Data'!$A:$A,0)),"Not Found")</f>
        <v>70</v>
      </c>
      <c r="V698" s="28">
        <f>IFERROR(INDEX('Clean Gamification Data'!$E:$E,MATCH($B698,'Clean Gamification Data'!$A:$A,0)),"Not Found")</f>
        <v>65.656722770000002</v>
      </c>
      <c r="W698" s="28">
        <f>IFERROR(INDEX('Clean Gamification Data'!$F:$F,MATCH($B698,'Clean Gamification Data'!$A:$A,0)),"Not Found")</f>
        <v>99.9</v>
      </c>
      <c r="X698" s="28">
        <f>IFERROR(INDEX('Clean Gamification Data'!$G:$G,MATCH($B698,'Clean Gamification Data'!$A:$A,0)),"Not Found")</f>
        <v>85</v>
      </c>
      <c r="Y698" s="28">
        <f>IFERROR(INDEX('Clean Gamification Data'!$H:$H,MATCH($B698,'Clean Gamification Data'!$A:$A,0)),"Not Found")</f>
        <v>67.871040059999999</v>
      </c>
      <c r="Z698" s="28">
        <f>IFERROR(INDEX('Clean Gamification Data'!$I:$I,MATCH($B698,'Clean Gamification Data'!$A:$A,0)),"Not Found")</f>
        <v>50.072989749999998</v>
      </c>
      <c r="AA698" s="28">
        <f>Table1[[#This Row],[Engagement (Gamification %)]]-Table1[[#This Row],[Engagement (Non-Gamification %)]]</f>
        <v>21.60731131</v>
      </c>
      <c r="AB698" s="28">
        <f>Table1[[#This Row],[Motivation (Gamification %)]]-Table1[[#This Row],[Motivation (Non-Gamification %)]]</f>
        <v>4.3432772299999982</v>
      </c>
      <c r="AC698" s="28">
        <f>Table1[[#This Row],[Participation (Gamification %)]]-Table1[[#This Row],[Participation (Non-Gamification %)]]</f>
        <v>14.900000000000006</v>
      </c>
      <c r="AD698" s="28">
        <f>Table1[[#This Row],[Learning Outcomes (Gamification %)]]-Table1[[#This Row],[Learning Outcomes (Non-Gamification %)]]</f>
        <v>17.798050310000001</v>
      </c>
      <c r="AE698" s="44" t="str">
        <f>IF(Table1[[#This Row],[Overall Effectiveness]]&lt;3.9,"Low",IF(Table1[[#This Row],[Overall Effectiveness]]&lt;4.2,"Medium","High"))</f>
        <v>Low</v>
      </c>
      <c r="AF698" s="30" t="str">
        <f t="shared" si="64"/>
        <v>Lectures</v>
      </c>
      <c r="AG698" s="30" t="str">
        <f t="shared" si="65"/>
        <v>Case Studies</v>
      </c>
      <c r="AH698" s="27">
        <f>COUNTIF(Teacher_Master!$D$2:$D$16,AF698)</f>
        <v>3</v>
      </c>
      <c r="AI698" s="30" t="str">
        <f>INDEX(Teacher_Master!$B$2:$B$16,MATCH(AF698,Teacher_Master!$D$2:$D$16,0))</f>
        <v>Prof. Vikram Gupta</v>
      </c>
    </row>
    <row r="699" spans="1:35" ht="14.25" customHeight="1" x14ac:dyDescent="0.3">
      <c r="A699" s="31" t="s">
        <v>1429</v>
      </c>
      <c r="B699" s="31" t="s">
        <v>1430</v>
      </c>
      <c r="C699" s="31" t="s">
        <v>2881</v>
      </c>
      <c r="D699" s="12">
        <f t="shared" ca="1" si="60"/>
        <v>22</v>
      </c>
      <c r="E699" s="12" t="str">
        <f ca="1">IF(Table1[[#This Row],[Age]]&lt;=22,"20-22",IF(Table1[[#This Row],[Age]]&lt;=25,"23-25",IF(Table1[[#This Row],[Age]]&lt;=28,"26-28","29-30")))</f>
        <v>20-22</v>
      </c>
      <c r="F699" s="12">
        <v>3.77</v>
      </c>
      <c r="G699" s="12">
        <v>3.96</v>
      </c>
      <c r="H699" s="12">
        <v>3.62</v>
      </c>
      <c r="I699" s="12">
        <v>3.17</v>
      </c>
      <c r="J699" s="12">
        <v>4.07</v>
      </c>
      <c r="K699" s="12">
        <v>3.73</v>
      </c>
      <c r="L699" s="12">
        <v>3.79</v>
      </c>
      <c r="M699" s="12" t="s">
        <v>211</v>
      </c>
      <c r="N699" s="12">
        <v>3.98</v>
      </c>
      <c r="O699" s="12">
        <v>3.85</v>
      </c>
      <c r="P699" s="12">
        <f t="shared" si="61"/>
        <v>3.7180000000000009</v>
      </c>
      <c r="Q699" s="12">
        <f t="shared" si="62"/>
        <v>3.72</v>
      </c>
      <c r="R699" s="12">
        <f t="shared" si="63"/>
        <v>3.8374999999999999</v>
      </c>
      <c r="S699" s="28">
        <f>IFERROR(INDEX('Clean Gamification Data'!$B:$B,MATCH($B699,'Clean Gamification Data'!$A:$A,0)),"Not Found")</f>
        <v>91.534426659999994</v>
      </c>
      <c r="T699" s="28">
        <f>IFERROR(INDEX('Clean Gamification Data'!$C:$C,MATCH($B699,'Clean Gamification Data'!$A:$A,0)),"Not Found")</f>
        <v>80</v>
      </c>
      <c r="U699" s="28">
        <f>IFERROR(INDEX('Clean Gamification Data'!$D:$D,MATCH($B699,'Clean Gamification Data'!$A:$A,0)),"Not Found")</f>
        <v>87.588391209999997</v>
      </c>
      <c r="V699" s="28">
        <f>IFERROR(INDEX('Clean Gamification Data'!$E:$E,MATCH($B699,'Clean Gamification Data'!$A:$A,0)),"Not Found")</f>
        <v>68.826205659999999</v>
      </c>
      <c r="W699" s="28">
        <f>IFERROR(INDEX('Clean Gamification Data'!$F:$F,MATCH($B699,'Clean Gamification Data'!$A:$A,0)),"Not Found")</f>
        <v>88.057529709999997</v>
      </c>
      <c r="X699" s="28">
        <f>IFERROR(INDEX('Clean Gamification Data'!$G:$G,MATCH($B699,'Clean Gamification Data'!$A:$A,0)),"Not Found")</f>
        <v>78.650158779999998</v>
      </c>
      <c r="Y699" s="28">
        <f>IFERROR(INDEX('Clean Gamification Data'!$H:$H,MATCH($B699,'Clean Gamification Data'!$A:$A,0)),"Not Found")</f>
        <v>69.769339479999999</v>
      </c>
      <c r="Z699" s="28">
        <f>IFERROR(INDEX('Clean Gamification Data'!$I:$I,MATCH($B699,'Clean Gamification Data'!$A:$A,0)),"Not Found")</f>
        <v>50</v>
      </c>
      <c r="AA699" s="28">
        <f>Table1[[#This Row],[Engagement (Gamification %)]]-Table1[[#This Row],[Engagement (Non-Gamification %)]]</f>
        <v>11.534426659999994</v>
      </c>
      <c r="AB699" s="28">
        <f>Table1[[#This Row],[Motivation (Gamification %)]]-Table1[[#This Row],[Motivation (Non-Gamification %)]]</f>
        <v>18.762185549999998</v>
      </c>
      <c r="AC699" s="28">
        <f>Table1[[#This Row],[Participation (Gamification %)]]-Table1[[#This Row],[Participation (Non-Gamification %)]]</f>
        <v>9.407370929999999</v>
      </c>
      <c r="AD699" s="28">
        <f>Table1[[#This Row],[Learning Outcomes (Gamification %)]]-Table1[[#This Row],[Learning Outcomes (Non-Gamification %)]]</f>
        <v>19.769339479999999</v>
      </c>
      <c r="AE699" s="44" t="str">
        <f>IF(Table1[[#This Row],[Overall Effectiveness]]&lt;3.9,"Low",IF(Table1[[#This Row],[Overall Effectiveness]]&lt;4.2,"Medium","High"))</f>
        <v>Low</v>
      </c>
      <c r="AF699" s="30" t="str">
        <f t="shared" si="64"/>
        <v>Online Tutorials</v>
      </c>
      <c r="AG699" s="30" t="str">
        <f t="shared" si="65"/>
        <v>Experiments</v>
      </c>
      <c r="AH699" s="27">
        <f>COUNTIF(Teacher_Master!$D$2:$D$16,AF699)</f>
        <v>3</v>
      </c>
      <c r="AI699" s="30" t="str">
        <f>INDEX(Teacher_Master!$B$2:$B$16,MATCH(AF699,Teacher_Master!$D$2:$D$16,0))</f>
        <v>Prof. Kavita Rao</v>
      </c>
    </row>
    <row r="700" spans="1:35" ht="14.25" customHeight="1" x14ac:dyDescent="0.3">
      <c r="A700" s="31" t="s">
        <v>1431</v>
      </c>
      <c r="B700" s="31" t="s">
        <v>1432</v>
      </c>
      <c r="C700" s="31" t="s">
        <v>2882</v>
      </c>
      <c r="D700" s="12">
        <f t="shared" ca="1" si="60"/>
        <v>29</v>
      </c>
      <c r="E700" s="12" t="str">
        <f ca="1">IF(Table1[[#This Row],[Age]]&lt;=22,"20-22",IF(Table1[[#This Row],[Age]]&lt;=25,"23-25",IF(Table1[[#This Row],[Age]]&lt;=28,"26-28","29-30")))</f>
        <v>29-30</v>
      </c>
      <c r="F700" s="12">
        <v>4.28</v>
      </c>
      <c r="G700" s="12">
        <v>4.21</v>
      </c>
      <c r="H700" s="12">
        <v>4.21</v>
      </c>
      <c r="I700" s="12">
        <v>3.43</v>
      </c>
      <c r="J700" s="12">
        <v>4.75</v>
      </c>
      <c r="K700" s="12">
        <v>4.3</v>
      </c>
      <c r="L700" s="12">
        <v>3.89</v>
      </c>
      <c r="M700" s="12">
        <v>4.49</v>
      </c>
      <c r="N700" s="12">
        <v>3.74</v>
      </c>
      <c r="O700" s="12">
        <v>3.89</v>
      </c>
      <c r="P700" s="12">
        <f t="shared" si="61"/>
        <v>4.1760000000000002</v>
      </c>
      <c r="Q700" s="12">
        <f t="shared" si="62"/>
        <v>4.18</v>
      </c>
      <c r="R700" s="12">
        <f t="shared" si="63"/>
        <v>4.0620000000000003</v>
      </c>
      <c r="S700" s="28">
        <f>IFERROR(INDEX('Clean Gamification Data'!$B:$B,MATCH($B700,'Clean Gamification Data'!$A:$A,0)),"Not Found")</f>
        <v>85.468231230000001</v>
      </c>
      <c r="T700" s="28">
        <f>IFERROR(INDEX('Clean Gamification Data'!$C:$C,MATCH($B700,'Clean Gamification Data'!$A:$A,0)),"Not Found")</f>
        <v>66.833485719999999</v>
      </c>
      <c r="U700" s="28">
        <f>IFERROR(INDEX('Clean Gamification Data'!$D:$D,MATCH($B700,'Clean Gamification Data'!$A:$A,0)),"Not Found")</f>
        <v>70.674371239999999</v>
      </c>
      <c r="V700" s="28">
        <f>IFERROR(INDEX('Clean Gamification Data'!$E:$E,MATCH($B700,'Clean Gamification Data'!$A:$A,0)),"Not Found")</f>
        <v>60.173491169999998</v>
      </c>
      <c r="W700" s="28">
        <f>IFERROR(INDEX('Clean Gamification Data'!$F:$F,MATCH($B700,'Clean Gamification Data'!$A:$A,0)),"Not Found")</f>
        <v>82.567489820000006</v>
      </c>
      <c r="X700" s="28">
        <f>IFERROR(INDEX('Clean Gamification Data'!$G:$G,MATCH($B700,'Clean Gamification Data'!$A:$A,0)),"Not Found")</f>
        <v>83.342456569999996</v>
      </c>
      <c r="Y700" s="28">
        <f>IFERROR(INDEX('Clean Gamification Data'!$H:$H,MATCH($B700,'Clean Gamification Data'!$A:$A,0)),"Not Found")</f>
        <v>77.49521781</v>
      </c>
      <c r="Z700" s="28">
        <f>IFERROR(INDEX('Clean Gamification Data'!$I:$I,MATCH($B700,'Clean Gamification Data'!$A:$A,0)),"Not Found")</f>
        <v>56.666739010000001</v>
      </c>
      <c r="AA700" s="28">
        <f>Table1[[#This Row],[Engagement (Gamification %)]]-Table1[[#This Row],[Engagement (Non-Gamification %)]]</f>
        <v>18.634745510000002</v>
      </c>
      <c r="AB700" s="28">
        <f>Table1[[#This Row],[Motivation (Gamification %)]]-Table1[[#This Row],[Motivation (Non-Gamification %)]]</f>
        <v>10.500880070000001</v>
      </c>
      <c r="AC700" s="28">
        <f>Table1[[#This Row],[Participation (Gamification %)]]-Table1[[#This Row],[Participation (Non-Gamification %)]]</f>
        <v>-0.77496674999999016</v>
      </c>
      <c r="AD700" s="28">
        <f>Table1[[#This Row],[Learning Outcomes (Gamification %)]]-Table1[[#This Row],[Learning Outcomes (Non-Gamification %)]]</f>
        <v>20.828478799999999</v>
      </c>
      <c r="AE700" s="44" t="str">
        <f>IF(Table1[[#This Row],[Overall Effectiveness]]&lt;3.9,"Low",IF(Table1[[#This Row],[Overall Effectiveness]]&lt;4.2,"Medium","High"))</f>
        <v>Medium</v>
      </c>
      <c r="AF700" s="30" t="str">
        <f t="shared" si="64"/>
        <v>Online Tutorials</v>
      </c>
      <c r="AG700" s="30" t="str">
        <f t="shared" si="65"/>
        <v>Group Projects</v>
      </c>
      <c r="AH700" s="27">
        <f>COUNTIF(Teacher_Master!$D$2:$D$16,AF700)</f>
        <v>3</v>
      </c>
      <c r="AI700" s="30" t="str">
        <f>INDEX(Teacher_Master!$B$2:$B$16,MATCH(AF700,Teacher_Master!$D$2:$D$16,0))</f>
        <v>Prof. Kavita Rao</v>
      </c>
    </row>
    <row r="701" spans="1:35" ht="14.25" customHeight="1" x14ac:dyDescent="0.3">
      <c r="A701" s="31" t="s">
        <v>1433</v>
      </c>
      <c r="B701" s="31" t="s">
        <v>2579</v>
      </c>
      <c r="C701" s="31" t="s">
        <v>2882</v>
      </c>
      <c r="D701" s="12">
        <f t="shared" ca="1" si="60"/>
        <v>26</v>
      </c>
      <c r="E701" s="12" t="str">
        <f ca="1">IF(Table1[[#This Row],[Age]]&lt;=22,"20-22",IF(Table1[[#This Row],[Age]]&lt;=25,"23-25",IF(Table1[[#This Row],[Age]]&lt;=28,"26-28","29-30")))</f>
        <v>26-28</v>
      </c>
      <c r="F701" s="12">
        <v>4.2300000000000004</v>
      </c>
      <c r="G701" s="12">
        <v>3.92</v>
      </c>
      <c r="H701" s="12">
        <v>4.12</v>
      </c>
      <c r="I701" s="12">
        <v>3.85</v>
      </c>
      <c r="J701" s="12">
        <v>3.87</v>
      </c>
      <c r="K701" s="12">
        <v>3.8</v>
      </c>
      <c r="L701" s="12">
        <v>4.1399999999999997</v>
      </c>
      <c r="M701" s="12">
        <v>3.93</v>
      </c>
      <c r="N701" s="12">
        <v>4.1900000000000004</v>
      </c>
      <c r="O701" s="12">
        <v>3.43</v>
      </c>
      <c r="P701" s="12">
        <f t="shared" si="61"/>
        <v>3.9980000000000002</v>
      </c>
      <c r="Q701" s="12">
        <f t="shared" si="62"/>
        <v>4</v>
      </c>
      <c r="R701" s="12">
        <f t="shared" si="63"/>
        <v>3.8979999999999997</v>
      </c>
      <c r="S701" s="28">
        <f>IFERROR(INDEX('Clean Gamification Data'!$B:$B,MATCH($B701,'Clean Gamification Data'!$A:$A,0)),"Not Found")</f>
        <v>86.010592009999996</v>
      </c>
      <c r="T701" s="28">
        <f>IFERROR(INDEX('Clean Gamification Data'!$C:$C,MATCH($B701,'Clean Gamification Data'!$A:$A,0)),"Not Found")</f>
        <v>65.98661645</v>
      </c>
      <c r="U701" s="28">
        <f>IFERROR(INDEX('Clean Gamification Data'!$D:$D,MATCH($B701,'Clean Gamification Data'!$A:$A,0)),"Not Found")</f>
        <v>77.395164539999996</v>
      </c>
      <c r="V701" s="28">
        <f>IFERROR(INDEX('Clean Gamification Data'!$E:$E,MATCH($B701,'Clean Gamification Data'!$A:$A,0)),"Not Found")</f>
        <v>75</v>
      </c>
      <c r="W701" s="28">
        <f>IFERROR(INDEX('Clean Gamification Data'!$F:$F,MATCH($B701,'Clean Gamification Data'!$A:$A,0)),"Not Found")</f>
        <v>91.661747800000001</v>
      </c>
      <c r="X701" s="28">
        <f>IFERROR(INDEX('Clean Gamification Data'!$G:$G,MATCH($B701,'Clean Gamification Data'!$A:$A,0)),"Not Found")</f>
        <v>66.829283079999996</v>
      </c>
      <c r="Y701" s="28">
        <f>IFERROR(INDEX('Clean Gamification Data'!$H:$H,MATCH($B701,'Clean Gamification Data'!$A:$A,0)),"Not Found")</f>
        <v>73.01389811</v>
      </c>
      <c r="Z701" s="28">
        <f>IFERROR(INDEX('Clean Gamification Data'!$I:$I,MATCH($B701,'Clean Gamification Data'!$A:$A,0)),"Not Found")</f>
        <v>50</v>
      </c>
      <c r="AA701" s="28">
        <f>Table1[[#This Row],[Engagement (Gamification %)]]-Table1[[#This Row],[Engagement (Non-Gamification %)]]</f>
        <v>20.023975559999997</v>
      </c>
      <c r="AB701" s="28">
        <f>Table1[[#This Row],[Motivation (Gamification %)]]-Table1[[#This Row],[Motivation (Non-Gamification %)]]</f>
        <v>2.3951645399999961</v>
      </c>
      <c r="AC701" s="28">
        <f>Table1[[#This Row],[Participation (Gamification %)]]-Table1[[#This Row],[Participation (Non-Gamification %)]]</f>
        <v>24.832464720000004</v>
      </c>
      <c r="AD701" s="28">
        <f>Table1[[#This Row],[Learning Outcomes (Gamification %)]]-Table1[[#This Row],[Learning Outcomes (Non-Gamification %)]]</f>
        <v>23.01389811</v>
      </c>
      <c r="AE701" s="44" t="str">
        <f>IF(Table1[[#This Row],[Overall Effectiveness]]&lt;3.9,"Low",IF(Table1[[#This Row],[Overall Effectiveness]]&lt;4.2,"Medium","High"))</f>
        <v>Medium</v>
      </c>
      <c r="AF701" s="30" t="str">
        <f t="shared" si="64"/>
        <v>Lectures</v>
      </c>
      <c r="AG701" s="30" t="str">
        <f t="shared" si="65"/>
        <v>Experiments</v>
      </c>
      <c r="AH701" s="27">
        <f>COUNTIF(Teacher_Master!$D$2:$D$16,AF701)</f>
        <v>3</v>
      </c>
      <c r="AI701" s="30" t="str">
        <f>INDEX(Teacher_Master!$B$2:$B$16,MATCH(AF701,Teacher_Master!$D$2:$D$16,0))</f>
        <v>Prof. Vikram Gupta</v>
      </c>
    </row>
    <row r="702" spans="1:35" ht="14.25" customHeight="1" x14ac:dyDescent="0.3">
      <c r="A702" s="31" t="s">
        <v>1435</v>
      </c>
      <c r="B702" s="31" t="s">
        <v>2580</v>
      </c>
      <c r="C702" s="31" t="s">
        <v>2882</v>
      </c>
      <c r="D702" s="12">
        <f t="shared" ca="1" si="60"/>
        <v>22</v>
      </c>
      <c r="E702" s="12" t="str">
        <f ca="1">IF(Table1[[#This Row],[Age]]&lt;=22,"20-22",IF(Table1[[#This Row],[Age]]&lt;=25,"23-25",IF(Table1[[#This Row],[Age]]&lt;=28,"26-28","29-30")))</f>
        <v>20-22</v>
      </c>
      <c r="F702" s="12">
        <v>3.97</v>
      </c>
      <c r="G702" s="12">
        <v>3.87</v>
      </c>
      <c r="H702" s="12">
        <v>4.33</v>
      </c>
      <c r="I702" s="12">
        <v>4.1500000000000004</v>
      </c>
      <c r="J702" s="12">
        <v>3.29</v>
      </c>
      <c r="K702" s="12">
        <v>4.18</v>
      </c>
      <c r="L702" s="12">
        <v>4.34</v>
      </c>
      <c r="M702" s="12">
        <v>4.3099999999999996</v>
      </c>
      <c r="N702" s="12">
        <v>3.87</v>
      </c>
      <c r="O702" s="12">
        <v>4.34</v>
      </c>
      <c r="P702" s="12">
        <f t="shared" si="61"/>
        <v>3.9219999999999997</v>
      </c>
      <c r="Q702" s="12">
        <f t="shared" si="62"/>
        <v>3.92</v>
      </c>
      <c r="R702" s="12">
        <f t="shared" si="63"/>
        <v>4.2080000000000002</v>
      </c>
      <c r="S702" s="28">
        <f>IFERROR(INDEX('Clean Gamification Data'!$B:$B,MATCH($B702,'Clean Gamification Data'!$A:$A,0)),"Not Found")</f>
        <v>90.941255060000003</v>
      </c>
      <c r="T702" s="28">
        <f>IFERROR(INDEX('Clean Gamification Data'!$C:$C,MATCH($B702,'Clean Gamification Data'!$A:$A,0)),"Not Found")</f>
        <v>69.022005410000006</v>
      </c>
      <c r="U702" s="28">
        <f>IFERROR(INDEX('Clean Gamification Data'!$D:$D,MATCH($B702,'Clean Gamification Data'!$A:$A,0)),"Not Found")</f>
        <v>81.964775520000003</v>
      </c>
      <c r="V702" s="28">
        <f>IFERROR(INDEX('Clean Gamification Data'!$E:$E,MATCH($B702,'Clean Gamification Data'!$A:$A,0)),"Not Found")</f>
        <v>69.191150030000003</v>
      </c>
      <c r="W702" s="28">
        <f>IFERROR(INDEX('Clean Gamification Data'!$F:$F,MATCH($B702,'Clean Gamification Data'!$A:$A,0)),"Not Found")</f>
        <v>85.447251850000001</v>
      </c>
      <c r="X702" s="28">
        <f>IFERROR(INDEX('Clean Gamification Data'!$G:$G,MATCH($B702,'Clean Gamification Data'!$A:$A,0)),"Not Found")</f>
        <v>82.533528899999993</v>
      </c>
      <c r="Y702" s="28">
        <f>IFERROR(INDEX('Clean Gamification Data'!$H:$H,MATCH($B702,'Clean Gamification Data'!$A:$A,0)),"Not Found")</f>
        <v>72.536058650000001</v>
      </c>
      <c r="Z702" s="28">
        <f>IFERROR(INDEX('Clean Gamification Data'!$I:$I,MATCH($B702,'Clean Gamification Data'!$A:$A,0)),"Not Found")</f>
        <v>60.172427980000002</v>
      </c>
      <c r="AA702" s="28">
        <f>Table1[[#This Row],[Engagement (Gamification %)]]-Table1[[#This Row],[Engagement (Non-Gamification %)]]</f>
        <v>21.919249649999998</v>
      </c>
      <c r="AB702" s="28">
        <f>Table1[[#This Row],[Motivation (Gamification %)]]-Table1[[#This Row],[Motivation (Non-Gamification %)]]</f>
        <v>12.773625490000001</v>
      </c>
      <c r="AC702" s="28">
        <f>Table1[[#This Row],[Participation (Gamification %)]]-Table1[[#This Row],[Participation (Non-Gamification %)]]</f>
        <v>2.9137229500000075</v>
      </c>
      <c r="AD702" s="28">
        <f>Table1[[#This Row],[Learning Outcomes (Gamification %)]]-Table1[[#This Row],[Learning Outcomes (Non-Gamification %)]]</f>
        <v>12.363630669999999</v>
      </c>
      <c r="AE702" s="44" t="str">
        <f>IF(Table1[[#This Row],[Overall Effectiveness]]&lt;3.9,"Low",IF(Table1[[#This Row],[Overall Effectiveness]]&lt;4.2,"Medium","High"))</f>
        <v>Medium</v>
      </c>
      <c r="AF702" s="30" t="str">
        <f t="shared" si="64"/>
        <v>Group Projects</v>
      </c>
      <c r="AG702" s="30" t="str">
        <f t="shared" si="65"/>
        <v>Case Studies</v>
      </c>
      <c r="AH702" s="27">
        <f>COUNTIF(Teacher_Master!$D$2:$D$16,AF702)</f>
        <v>3</v>
      </c>
      <c r="AI702" s="30" t="str">
        <f>INDEX(Teacher_Master!$B$2:$B$16,MATCH(AF702,Teacher_Master!$D$2:$D$16,0))</f>
        <v>Dr. Rohan Dutta</v>
      </c>
    </row>
    <row r="703" spans="1:35" ht="14.25" customHeight="1" x14ac:dyDescent="0.3">
      <c r="A703" s="31" t="s">
        <v>1437</v>
      </c>
      <c r="B703" s="31" t="s">
        <v>1438</v>
      </c>
      <c r="C703" s="31" t="s">
        <v>2881</v>
      </c>
      <c r="D703" s="12">
        <f t="shared" ca="1" si="60"/>
        <v>26</v>
      </c>
      <c r="E703" s="12" t="str">
        <f ca="1">IF(Table1[[#This Row],[Age]]&lt;=22,"20-22",IF(Table1[[#This Row],[Age]]&lt;=25,"23-25",IF(Table1[[#This Row],[Age]]&lt;=28,"26-28","29-30")))</f>
        <v>26-28</v>
      </c>
      <c r="F703" s="12">
        <v>4.0599999999999996</v>
      </c>
      <c r="G703" s="12">
        <v>4.21</v>
      </c>
      <c r="H703" s="12">
        <v>3.83</v>
      </c>
      <c r="I703" s="12">
        <v>4.21</v>
      </c>
      <c r="J703" s="12">
        <v>3.89</v>
      </c>
      <c r="K703" s="12">
        <v>3.94</v>
      </c>
      <c r="L703" s="12">
        <v>4.03</v>
      </c>
      <c r="M703" s="12">
        <v>3.5</v>
      </c>
      <c r="N703" s="12">
        <v>4.53</v>
      </c>
      <c r="O703" s="12">
        <v>4.0199999999999996</v>
      </c>
      <c r="P703" s="12">
        <f t="shared" si="61"/>
        <v>4.04</v>
      </c>
      <c r="Q703" s="12">
        <f t="shared" si="62"/>
        <v>4.04</v>
      </c>
      <c r="R703" s="12">
        <f t="shared" si="63"/>
        <v>4.0039999999999996</v>
      </c>
      <c r="S703" s="28">
        <f>IFERROR(INDEX('Clean Gamification Data'!$B:$B,MATCH($B703,'Clean Gamification Data'!$A:$A,0)),"Not Found")</f>
        <v>99.9</v>
      </c>
      <c r="T703" s="28">
        <f>IFERROR(INDEX('Clean Gamification Data'!$C:$C,MATCH($B703,'Clean Gamification Data'!$A:$A,0)),"Not Found")</f>
        <v>75.890485200000001</v>
      </c>
      <c r="U703" s="28">
        <f>IFERROR(INDEX('Clean Gamification Data'!$D:$D,MATCH($B703,'Clean Gamification Data'!$A:$A,0)),"Not Found")</f>
        <v>70</v>
      </c>
      <c r="V703" s="28">
        <f>IFERROR(INDEX('Clean Gamification Data'!$E:$E,MATCH($B703,'Clean Gamification Data'!$A:$A,0)),"Not Found")</f>
        <v>60.583428419999997</v>
      </c>
      <c r="W703" s="28">
        <f>IFERROR(INDEX('Clean Gamification Data'!$F:$F,MATCH($B703,'Clean Gamification Data'!$A:$A,0)),"Not Found")</f>
        <v>99.9</v>
      </c>
      <c r="X703" s="28">
        <f>IFERROR(INDEX('Clean Gamification Data'!$G:$G,MATCH($B703,'Clean Gamification Data'!$A:$A,0)),"Not Found")</f>
        <v>81.108619540000007</v>
      </c>
      <c r="Y703" s="28">
        <f>IFERROR(INDEX('Clean Gamification Data'!$H:$H,MATCH($B703,'Clean Gamification Data'!$A:$A,0)),"Not Found")</f>
        <v>69.619653409999998</v>
      </c>
      <c r="Z703" s="28">
        <f>IFERROR(INDEX('Clean Gamification Data'!$I:$I,MATCH($B703,'Clean Gamification Data'!$A:$A,0)),"Not Found")</f>
        <v>50</v>
      </c>
      <c r="AA703" s="28">
        <f>Table1[[#This Row],[Engagement (Gamification %)]]-Table1[[#This Row],[Engagement (Non-Gamification %)]]</f>
        <v>24.009514800000005</v>
      </c>
      <c r="AB703" s="28">
        <f>Table1[[#This Row],[Motivation (Gamification %)]]-Table1[[#This Row],[Motivation (Non-Gamification %)]]</f>
        <v>9.4165715800000029</v>
      </c>
      <c r="AC703" s="28">
        <f>Table1[[#This Row],[Participation (Gamification %)]]-Table1[[#This Row],[Participation (Non-Gamification %)]]</f>
        <v>18.791380459999999</v>
      </c>
      <c r="AD703" s="28">
        <f>Table1[[#This Row],[Learning Outcomes (Gamification %)]]-Table1[[#This Row],[Learning Outcomes (Non-Gamification %)]]</f>
        <v>19.619653409999998</v>
      </c>
      <c r="AE703" s="44" t="str">
        <f>IF(Table1[[#This Row],[Overall Effectiveness]]&lt;3.9,"Low",IF(Table1[[#This Row],[Overall Effectiveness]]&lt;4.2,"Medium","High"))</f>
        <v>Medium</v>
      </c>
      <c r="AF703" s="30" t="str">
        <f t="shared" si="64"/>
        <v>Case Studies</v>
      </c>
      <c r="AG703" s="30" t="str">
        <f t="shared" si="65"/>
        <v>Experiments</v>
      </c>
      <c r="AH703" s="27">
        <f>COUNTIF(Teacher_Master!$D$2:$D$16,AF703)</f>
        <v>3</v>
      </c>
      <c r="AI703" s="30" t="str">
        <f>INDEX(Teacher_Master!$B$2:$B$16,MATCH(AF703,Teacher_Master!$D$2:$D$16,0))</f>
        <v>Prof. Rajesh Mukherjee</v>
      </c>
    </row>
    <row r="704" spans="1:35" ht="14.25" customHeight="1" x14ac:dyDescent="0.3">
      <c r="A704" s="31" t="s">
        <v>1439</v>
      </c>
      <c r="B704" s="31" t="s">
        <v>1440</v>
      </c>
      <c r="C704" s="31" t="s">
        <v>2881</v>
      </c>
      <c r="D704" s="12">
        <f t="shared" ca="1" si="60"/>
        <v>23</v>
      </c>
      <c r="E704" s="12" t="str">
        <f ca="1">IF(Table1[[#This Row],[Age]]&lt;=22,"20-22",IF(Table1[[#This Row],[Age]]&lt;=25,"23-25",IF(Table1[[#This Row],[Age]]&lt;=28,"26-28","29-30")))</f>
        <v>23-25</v>
      </c>
      <c r="F704" s="12">
        <v>4.3600000000000003</v>
      </c>
      <c r="G704" s="12">
        <v>3.7</v>
      </c>
      <c r="H704" s="12">
        <v>3.98</v>
      </c>
      <c r="I704" s="12">
        <v>4.51</v>
      </c>
      <c r="J704" s="12">
        <v>3.94</v>
      </c>
      <c r="K704" s="12">
        <v>4.17</v>
      </c>
      <c r="L704" s="12">
        <v>4.37</v>
      </c>
      <c r="M704" s="12">
        <v>4.2300000000000004</v>
      </c>
      <c r="N704" s="12">
        <v>3.86</v>
      </c>
      <c r="O704" s="12">
        <v>3.72</v>
      </c>
      <c r="P704" s="12">
        <f t="shared" si="61"/>
        <v>4.0980000000000008</v>
      </c>
      <c r="Q704" s="12">
        <f t="shared" si="62"/>
        <v>4.0999999999999996</v>
      </c>
      <c r="R704" s="12">
        <f t="shared" si="63"/>
        <v>4.0699999999999994</v>
      </c>
      <c r="S704" s="28">
        <f>IFERROR(INDEX('Clean Gamification Data'!$B:$B,MATCH($B704,'Clean Gamification Data'!$A:$A,0)),"Not Found")</f>
        <v>80.374886939999996</v>
      </c>
      <c r="T704" s="28">
        <f>IFERROR(INDEX('Clean Gamification Data'!$C:$C,MATCH($B704,'Clean Gamification Data'!$A:$A,0)),"Not Found")</f>
        <v>65.499281890000006</v>
      </c>
      <c r="U704" s="28">
        <f>IFERROR(INDEX('Clean Gamification Data'!$D:$D,MATCH($B704,'Clean Gamification Data'!$A:$A,0)),"Not Found")</f>
        <v>80.184425649999994</v>
      </c>
      <c r="V704" s="28">
        <f>IFERROR(INDEX('Clean Gamification Data'!$E:$E,MATCH($B704,'Clean Gamification Data'!$A:$A,0)),"Not Found")</f>
        <v>71.775309530000001</v>
      </c>
      <c r="W704" s="28">
        <f>IFERROR(INDEX('Clean Gamification Data'!$F:$F,MATCH($B704,'Clean Gamification Data'!$A:$A,0)),"Not Found")</f>
        <v>88.83120246</v>
      </c>
      <c r="X704" s="28">
        <f>IFERROR(INDEX('Clean Gamification Data'!$G:$G,MATCH($B704,'Clean Gamification Data'!$A:$A,0)),"Not Found")</f>
        <v>76.511438429999998</v>
      </c>
      <c r="Y704" s="28">
        <f>IFERROR(INDEX('Clean Gamification Data'!$H:$H,MATCH($B704,'Clean Gamification Data'!$A:$A,0)),"Not Found")</f>
        <v>65</v>
      </c>
      <c r="Z704" s="28">
        <f>IFERROR(INDEX('Clean Gamification Data'!$I:$I,MATCH($B704,'Clean Gamification Data'!$A:$A,0)),"Not Found")</f>
        <v>53.695334150000001</v>
      </c>
      <c r="AA704" s="28">
        <f>Table1[[#This Row],[Engagement (Gamification %)]]-Table1[[#This Row],[Engagement (Non-Gamification %)]]</f>
        <v>14.87560504999999</v>
      </c>
      <c r="AB704" s="28">
        <f>Table1[[#This Row],[Motivation (Gamification %)]]-Table1[[#This Row],[Motivation (Non-Gamification %)]]</f>
        <v>8.4091161199999931</v>
      </c>
      <c r="AC704" s="28">
        <f>Table1[[#This Row],[Participation (Gamification %)]]-Table1[[#This Row],[Participation (Non-Gamification %)]]</f>
        <v>12.319764030000002</v>
      </c>
      <c r="AD704" s="28">
        <f>Table1[[#This Row],[Learning Outcomes (Gamification %)]]-Table1[[#This Row],[Learning Outcomes (Non-Gamification %)]]</f>
        <v>11.304665849999999</v>
      </c>
      <c r="AE704" s="44" t="str">
        <f>IF(Table1[[#This Row],[Overall Effectiveness]]&lt;3.9,"Low",IF(Table1[[#This Row],[Overall Effectiveness]]&lt;4.2,"Medium","High"))</f>
        <v>Medium</v>
      </c>
      <c r="AF704" s="30" t="str">
        <f t="shared" si="64"/>
        <v>Experiments</v>
      </c>
      <c r="AG704" s="30" t="str">
        <f t="shared" si="65"/>
        <v>Case Studies</v>
      </c>
      <c r="AH704" s="27">
        <f>COUNTIF(Teacher_Master!$D$2:$D$16,AF704)</f>
        <v>3</v>
      </c>
      <c r="AI704" s="30" t="str">
        <f>INDEX(Teacher_Master!$B$2:$B$16,MATCH(AF704,Teacher_Master!$D$2:$D$16,0))</f>
        <v>Prof. Rahul Singh</v>
      </c>
    </row>
    <row r="705" spans="1:35" ht="14.25" customHeight="1" x14ac:dyDescent="0.3">
      <c r="A705" s="31" t="s">
        <v>1441</v>
      </c>
      <c r="B705" s="31" t="s">
        <v>2581</v>
      </c>
      <c r="C705" s="31" t="s">
        <v>2881</v>
      </c>
      <c r="D705" s="12">
        <f t="shared" ca="1" si="60"/>
        <v>25</v>
      </c>
      <c r="E705" s="12" t="str">
        <f ca="1">IF(Table1[[#This Row],[Age]]&lt;=22,"20-22",IF(Table1[[#This Row],[Age]]&lt;=25,"23-25",IF(Table1[[#This Row],[Age]]&lt;=28,"26-28","29-30")))</f>
        <v>23-25</v>
      </c>
      <c r="F705" s="12">
        <v>3.97</v>
      </c>
      <c r="G705" s="12">
        <v>4.57</v>
      </c>
      <c r="H705" s="12">
        <v>4.1100000000000003</v>
      </c>
      <c r="I705" s="12">
        <v>3.86</v>
      </c>
      <c r="J705" s="12">
        <v>3.59</v>
      </c>
      <c r="K705" s="12">
        <v>4.0999999999999996</v>
      </c>
      <c r="L705" s="12">
        <v>3.67</v>
      </c>
      <c r="M705" s="12">
        <v>4.22</v>
      </c>
      <c r="N705" s="12">
        <v>4.1399999999999997</v>
      </c>
      <c r="O705" s="12">
        <v>4.12</v>
      </c>
      <c r="P705" s="12">
        <f t="shared" si="61"/>
        <v>4.0200000000000005</v>
      </c>
      <c r="Q705" s="12">
        <f t="shared" si="62"/>
        <v>4.0199999999999996</v>
      </c>
      <c r="R705" s="12">
        <f t="shared" si="63"/>
        <v>4.05</v>
      </c>
      <c r="S705" s="28">
        <f>IFERROR(INDEX('Clean Gamification Data'!$B:$B,MATCH($B705,'Clean Gamification Data'!$A:$A,0)),"Not Found")</f>
        <v>87.004916190000003</v>
      </c>
      <c r="T705" s="28">
        <f>IFERROR(INDEX('Clean Gamification Data'!$C:$C,MATCH($B705,'Clean Gamification Data'!$A:$A,0)),"Not Found")</f>
        <v>69.935082820000005</v>
      </c>
      <c r="U705" s="28">
        <f>IFERROR(INDEX('Clean Gamification Data'!$D:$D,MATCH($B705,'Clean Gamification Data'!$A:$A,0)),"Not Found")</f>
        <v>73.754001520000003</v>
      </c>
      <c r="V705" s="28">
        <f>IFERROR(INDEX('Clean Gamification Data'!$E:$E,MATCH($B705,'Clean Gamification Data'!$A:$A,0)),"Not Found")</f>
        <v>61.604604530000003</v>
      </c>
      <c r="W705" s="28">
        <f>IFERROR(INDEX('Clean Gamification Data'!$F:$F,MATCH($B705,'Clean Gamification Data'!$A:$A,0)),"Not Found")</f>
        <v>92.464745100000002</v>
      </c>
      <c r="X705" s="28">
        <f>IFERROR(INDEX('Clean Gamification Data'!$G:$G,MATCH($B705,'Clean Gamification Data'!$A:$A,0)),"Not Found")</f>
        <v>79.790780359999999</v>
      </c>
      <c r="Y705" s="28">
        <f>IFERROR(INDEX('Clean Gamification Data'!$H:$H,MATCH($B705,'Clean Gamification Data'!$A:$A,0)),"Not Found")</f>
        <v>66.500858699999995</v>
      </c>
      <c r="Z705" s="28">
        <f>IFERROR(INDEX('Clean Gamification Data'!$I:$I,MATCH($B705,'Clean Gamification Data'!$A:$A,0)),"Not Found")</f>
        <v>70</v>
      </c>
      <c r="AA705" s="28">
        <f>Table1[[#This Row],[Engagement (Gamification %)]]-Table1[[#This Row],[Engagement (Non-Gamification %)]]</f>
        <v>17.069833369999998</v>
      </c>
      <c r="AB705" s="28">
        <f>Table1[[#This Row],[Motivation (Gamification %)]]-Table1[[#This Row],[Motivation (Non-Gamification %)]]</f>
        <v>12.14939699</v>
      </c>
      <c r="AC705" s="28">
        <f>Table1[[#This Row],[Participation (Gamification %)]]-Table1[[#This Row],[Participation (Non-Gamification %)]]</f>
        <v>12.673964740000002</v>
      </c>
      <c r="AD705" s="28">
        <f>Table1[[#This Row],[Learning Outcomes (Gamification %)]]-Table1[[#This Row],[Learning Outcomes (Non-Gamification %)]]</f>
        <v>-3.4991413000000051</v>
      </c>
      <c r="AE705" s="44" t="str">
        <f>IF(Table1[[#This Row],[Overall Effectiveness]]&lt;3.9,"Low",IF(Table1[[#This Row],[Overall Effectiveness]]&lt;4.2,"Medium","High"))</f>
        <v>Medium</v>
      </c>
      <c r="AF705" s="30" t="str">
        <f t="shared" si="64"/>
        <v>Case Studies</v>
      </c>
      <c r="AG705" s="30" t="str">
        <f t="shared" si="65"/>
        <v>Group Projects</v>
      </c>
      <c r="AH705" s="27">
        <f>COUNTIF(Teacher_Master!$D$2:$D$16,AF705)</f>
        <v>3</v>
      </c>
      <c r="AI705" s="30" t="str">
        <f>INDEX(Teacher_Master!$B$2:$B$16,MATCH(AF705,Teacher_Master!$D$2:$D$16,0))</f>
        <v>Prof. Rajesh Mukherjee</v>
      </c>
    </row>
    <row r="706" spans="1:35" ht="14.25" customHeight="1" x14ac:dyDescent="0.3">
      <c r="A706" s="31" t="s">
        <v>1443</v>
      </c>
      <c r="B706" s="31" t="s">
        <v>2582</v>
      </c>
      <c r="C706" s="31" t="s">
        <v>2881</v>
      </c>
      <c r="D706" s="12">
        <f t="shared" ref="D706:D769" ca="1" si="66">RANDBETWEEN(20,30)</f>
        <v>21</v>
      </c>
      <c r="E706" s="12" t="str">
        <f ca="1">IF(Table1[[#This Row],[Age]]&lt;=22,"20-22",IF(Table1[[#This Row],[Age]]&lt;=25,"23-25",IF(Table1[[#This Row],[Age]]&lt;=28,"26-28","29-30")))</f>
        <v>20-22</v>
      </c>
      <c r="F706" s="12">
        <v>3.64</v>
      </c>
      <c r="G706" s="12">
        <v>4.33</v>
      </c>
      <c r="H706" s="12">
        <v>3.59</v>
      </c>
      <c r="I706" s="12">
        <v>4.42</v>
      </c>
      <c r="J706" s="12">
        <v>4.13</v>
      </c>
      <c r="K706" s="12">
        <v>3.67</v>
      </c>
      <c r="L706" s="12">
        <v>4.6100000000000003</v>
      </c>
      <c r="M706" s="12">
        <v>4.29</v>
      </c>
      <c r="N706" s="12">
        <v>3.48</v>
      </c>
      <c r="O706" s="12">
        <v>3.91</v>
      </c>
      <c r="P706" s="12">
        <f t="shared" ref="P706:P769" si="67">AVERAGE(F706:J706)</f>
        <v>4.0220000000000002</v>
      </c>
      <c r="Q706" s="12">
        <f t="shared" ref="Q706:Q769" si="68">ROUND(P706,2)</f>
        <v>4.0199999999999996</v>
      </c>
      <c r="R706" s="12">
        <f t="shared" ref="R706:R769" si="69">AVERAGE(K706:O706)</f>
        <v>3.992</v>
      </c>
      <c r="S706" s="28">
        <f>IFERROR(INDEX('Clean Gamification Data'!$B:$B,MATCH($B706,'Clean Gamification Data'!$A:$A,0)),"Not Found")</f>
        <v>83.639846019999993</v>
      </c>
      <c r="T706" s="28">
        <f>IFERROR(INDEX('Clean Gamification Data'!$C:$C,MATCH($B706,'Clean Gamification Data'!$A:$A,0)),"Not Found")</f>
        <v>60</v>
      </c>
      <c r="U706" s="28">
        <f>IFERROR(INDEX('Clean Gamification Data'!$D:$D,MATCH($B706,'Clean Gamification Data'!$A:$A,0)),"Not Found")</f>
        <v>83.206938890000004</v>
      </c>
      <c r="V706" s="28">
        <f>IFERROR(INDEX('Clean Gamification Data'!$E:$E,MATCH($B706,'Clean Gamification Data'!$A:$A,0)),"Not Found")</f>
        <v>60.256822470000003</v>
      </c>
      <c r="W706" s="28">
        <f>IFERROR(INDEX('Clean Gamification Data'!$F:$F,MATCH($B706,'Clean Gamification Data'!$A:$A,0)),"Not Found")</f>
        <v>94.005282410000007</v>
      </c>
      <c r="X706" s="28">
        <f>IFERROR(INDEX('Clean Gamification Data'!$G:$G,MATCH($B706,'Clean Gamification Data'!$A:$A,0)),"Not Found")</f>
        <v>76.09413198</v>
      </c>
      <c r="Y706" s="28">
        <f>IFERROR(INDEX('Clean Gamification Data'!$H:$H,MATCH($B706,'Clean Gamification Data'!$A:$A,0)),"Not Found")</f>
        <v>74.295667829999999</v>
      </c>
      <c r="Z706" s="28">
        <f>IFERROR(INDEX('Clean Gamification Data'!$I:$I,MATCH($B706,'Clean Gamification Data'!$A:$A,0)),"Not Found")</f>
        <v>59.00917948</v>
      </c>
      <c r="AA706" s="28">
        <f>Table1[[#This Row],[Engagement (Gamification %)]]-Table1[[#This Row],[Engagement (Non-Gamification %)]]</f>
        <v>23.639846019999993</v>
      </c>
      <c r="AB706" s="28">
        <f>Table1[[#This Row],[Motivation (Gamification %)]]-Table1[[#This Row],[Motivation (Non-Gamification %)]]</f>
        <v>22.950116420000001</v>
      </c>
      <c r="AC706" s="28">
        <f>Table1[[#This Row],[Participation (Gamification %)]]-Table1[[#This Row],[Participation (Non-Gamification %)]]</f>
        <v>17.911150430000006</v>
      </c>
      <c r="AD706" s="28">
        <f>Table1[[#This Row],[Learning Outcomes (Gamification %)]]-Table1[[#This Row],[Learning Outcomes (Non-Gamification %)]]</f>
        <v>15.286488349999999</v>
      </c>
      <c r="AE706" s="44" t="str">
        <f>IF(Table1[[#This Row],[Overall Effectiveness]]&lt;3.9,"Low",IF(Table1[[#This Row],[Overall Effectiveness]]&lt;4.2,"Medium","High"))</f>
        <v>Medium</v>
      </c>
      <c r="AF706" s="30" t="str">
        <f t="shared" ref="AF706:AF769" si="70">CHOOSE(MATCH(MAX(F706:J706),F706:J706,0),"Lectures","Case Studies","Group Projects","Experiments","Online Tutorials")</f>
        <v>Experiments</v>
      </c>
      <c r="AG706" s="30" t="str">
        <f t="shared" ref="AG706:AG769" si="71">CHOOSE(MATCH(MAX(K706:O706),K706:O706,0),"Lectures","Case Studies","Group Projects","Experiments","Online Tutorials")</f>
        <v>Case Studies</v>
      </c>
      <c r="AH706" s="27">
        <f>COUNTIF(Teacher_Master!$D$2:$D$16,AF706)</f>
        <v>3</v>
      </c>
      <c r="AI706" s="30" t="str">
        <f>INDEX(Teacher_Master!$B$2:$B$16,MATCH(AF706,Teacher_Master!$D$2:$D$16,0))</f>
        <v>Prof. Rahul Singh</v>
      </c>
    </row>
    <row r="707" spans="1:35" ht="14.25" customHeight="1" x14ac:dyDescent="0.3">
      <c r="A707" s="31" t="s">
        <v>1445</v>
      </c>
      <c r="B707" s="31" t="s">
        <v>2583</v>
      </c>
      <c r="C707" s="31" t="s">
        <v>2882</v>
      </c>
      <c r="D707" s="12">
        <f t="shared" ca="1" si="66"/>
        <v>29</v>
      </c>
      <c r="E707" s="12" t="str">
        <f ca="1">IF(Table1[[#This Row],[Age]]&lt;=22,"20-22",IF(Table1[[#This Row],[Age]]&lt;=25,"23-25",IF(Table1[[#This Row],[Age]]&lt;=28,"26-28","29-30")))</f>
        <v>29-30</v>
      </c>
      <c r="F707" s="12">
        <v>4.72</v>
      </c>
      <c r="G707" s="12">
        <v>3.9</v>
      </c>
      <c r="H707" s="12">
        <v>4.2300000000000004</v>
      </c>
      <c r="I707" s="12">
        <v>4.4400000000000004</v>
      </c>
      <c r="J707" s="12">
        <v>4.22</v>
      </c>
      <c r="K707" s="12">
        <v>4.42</v>
      </c>
      <c r="L707" s="12">
        <v>4.0999999999999996</v>
      </c>
      <c r="M707" s="12">
        <v>3.89</v>
      </c>
      <c r="N707" s="12">
        <v>4.2</v>
      </c>
      <c r="O707" s="12">
        <v>4.21</v>
      </c>
      <c r="P707" s="12">
        <f t="shared" si="67"/>
        <v>4.3019999999999996</v>
      </c>
      <c r="Q707" s="12">
        <f t="shared" si="68"/>
        <v>4.3</v>
      </c>
      <c r="R707" s="12">
        <f t="shared" si="69"/>
        <v>4.1639999999999997</v>
      </c>
      <c r="S707" s="28">
        <f>IFERROR(INDEX('Clean Gamification Data'!$B:$B,MATCH($B707,'Clean Gamification Data'!$A:$A,0)),"Not Found")</f>
        <v>79.415374479999997</v>
      </c>
      <c r="T707" s="28">
        <f>IFERROR(INDEX('Clean Gamification Data'!$C:$C,MATCH($B707,'Clean Gamification Data'!$A:$A,0)),"Not Found")</f>
        <v>70.013040110000006</v>
      </c>
      <c r="U707" s="28">
        <f>IFERROR(INDEX('Clean Gamification Data'!$D:$D,MATCH($B707,'Clean Gamification Data'!$A:$A,0)),"Not Found")</f>
        <v>78.63575041</v>
      </c>
      <c r="V707" s="28">
        <f>IFERROR(INDEX('Clean Gamification Data'!$E:$E,MATCH($B707,'Clean Gamification Data'!$A:$A,0)),"Not Found")</f>
        <v>61.84301541</v>
      </c>
      <c r="W707" s="28">
        <f>IFERROR(INDEX('Clean Gamification Data'!$F:$F,MATCH($B707,'Clean Gamification Data'!$A:$A,0)),"Not Found")</f>
        <v>91.019476089999998</v>
      </c>
      <c r="X707" s="28">
        <f>IFERROR(INDEX('Clean Gamification Data'!$G:$G,MATCH($B707,'Clean Gamification Data'!$A:$A,0)),"Not Found")</f>
        <v>82.680669699999996</v>
      </c>
      <c r="Y707" s="28">
        <f>IFERROR(INDEX('Clean Gamification Data'!$H:$H,MATCH($B707,'Clean Gamification Data'!$A:$A,0)),"Not Found")</f>
        <v>76.032004560000004</v>
      </c>
      <c r="Z707" s="28">
        <f>IFERROR(INDEX('Clean Gamification Data'!$I:$I,MATCH($B707,'Clean Gamification Data'!$A:$A,0)),"Not Found")</f>
        <v>58.938131919999996</v>
      </c>
      <c r="AA707" s="28">
        <f>Table1[[#This Row],[Engagement (Gamification %)]]-Table1[[#This Row],[Engagement (Non-Gamification %)]]</f>
        <v>9.4023343699999913</v>
      </c>
      <c r="AB707" s="28">
        <f>Table1[[#This Row],[Motivation (Gamification %)]]-Table1[[#This Row],[Motivation (Non-Gamification %)]]</f>
        <v>16.792735</v>
      </c>
      <c r="AC707" s="28">
        <f>Table1[[#This Row],[Participation (Gamification %)]]-Table1[[#This Row],[Participation (Non-Gamification %)]]</f>
        <v>8.338806390000002</v>
      </c>
      <c r="AD707" s="28">
        <f>Table1[[#This Row],[Learning Outcomes (Gamification %)]]-Table1[[#This Row],[Learning Outcomes (Non-Gamification %)]]</f>
        <v>17.093872640000008</v>
      </c>
      <c r="AE707" s="44" t="str">
        <f>IF(Table1[[#This Row],[Overall Effectiveness]]&lt;3.9,"Low",IF(Table1[[#This Row],[Overall Effectiveness]]&lt;4.2,"Medium","High"))</f>
        <v>High</v>
      </c>
      <c r="AF707" s="30" t="str">
        <f t="shared" si="70"/>
        <v>Lectures</v>
      </c>
      <c r="AG707" s="30" t="str">
        <f t="shared" si="71"/>
        <v>Lectures</v>
      </c>
      <c r="AH707" s="27">
        <f>COUNTIF(Teacher_Master!$D$2:$D$16,AF707)</f>
        <v>3</v>
      </c>
      <c r="AI707" s="30" t="str">
        <f>INDEX(Teacher_Master!$B$2:$B$16,MATCH(AF707,Teacher_Master!$D$2:$D$16,0))</f>
        <v>Prof. Vikram Gupta</v>
      </c>
    </row>
    <row r="708" spans="1:35" ht="14.25" customHeight="1" x14ac:dyDescent="0.3">
      <c r="A708" s="31" t="s">
        <v>1447</v>
      </c>
      <c r="B708" s="31" t="s">
        <v>2584</v>
      </c>
      <c r="C708" s="31" t="s">
        <v>2882</v>
      </c>
      <c r="D708" s="12">
        <f t="shared" ca="1" si="66"/>
        <v>26</v>
      </c>
      <c r="E708" s="12" t="str">
        <f ca="1">IF(Table1[[#This Row],[Age]]&lt;=22,"20-22",IF(Table1[[#This Row],[Age]]&lt;=25,"23-25",IF(Table1[[#This Row],[Age]]&lt;=28,"26-28","29-30")))</f>
        <v>26-28</v>
      </c>
      <c r="F708" s="12">
        <v>3.47</v>
      </c>
      <c r="G708" s="12">
        <v>3.81</v>
      </c>
      <c r="H708" s="12">
        <v>4.92</v>
      </c>
      <c r="I708" s="12">
        <v>4.25</v>
      </c>
      <c r="J708" s="12">
        <v>3.75</v>
      </c>
      <c r="K708" s="12">
        <v>4.04</v>
      </c>
      <c r="L708" s="12">
        <v>3.73</v>
      </c>
      <c r="M708" s="12">
        <v>3.96</v>
      </c>
      <c r="N708" s="12" t="s">
        <v>211</v>
      </c>
      <c r="O708" s="12">
        <v>4.05</v>
      </c>
      <c r="P708" s="12">
        <f t="shared" si="67"/>
        <v>4.04</v>
      </c>
      <c r="Q708" s="12">
        <f t="shared" si="68"/>
        <v>4.04</v>
      </c>
      <c r="R708" s="12">
        <f t="shared" si="69"/>
        <v>3.9450000000000003</v>
      </c>
      <c r="S708" s="28">
        <f>IFERROR(INDEX('Clean Gamification Data'!$B:$B,MATCH($B708,'Clean Gamification Data'!$A:$A,0)),"Not Found")</f>
        <v>81.151127349999996</v>
      </c>
      <c r="T708" s="28">
        <f>IFERROR(INDEX('Clean Gamification Data'!$C:$C,MATCH($B708,'Clean Gamification Data'!$A:$A,0)),"Not Found")</f>
        <v>65.863956490000007</v>
      </c>
      <c r="U708" s="28">
        <f>IFERROR(INDEX('Clean Gamification Data'!$D:$D,MATCH($B708,'Clean Gamification Data'!$A:$A,0)),"Not Found")</f>
        <v>85.20779512</v>
      </c>
      <c r="V708" s="28">
        <f>IFERROR(INDEX('Clean Gamification Data'!$E:$E,MATCH($B708,'Clean Gamification Data'!$A:$A,0)),"Not Found")</f>
        <v>68.767429949999993</v>
      </c>
      <c r="W708" s="28">
        <f>IFERROR(INDEX('Clean Gamification Data'!$F:$F,MATCH($B708,'Clean Gamification Data'!$A:$A,0)),"Not Found")</f>
        <v>88.623936659999998</v>
      </c>
      <c r="X708" s="28">
        <f>IFERROR(INDEX('Clean Gamification Data'!$G:$G,MATCH($B708,'Clean Gamification Data'!$A:$A,0)),"Not Found")</f>
        <v>81.963006419999999</v>
      </c>
      <c r="Y708" s="28">
        <f>IFERROR(INDEX('Clean Gamification Data'!$H:$H,MATCH($B708,'Clean Gamification Data'!$A:$A,0)),"Not Found")</f>
        <v>70.190182429999993</v>
      </c>
      <c r="Z708" s="28">
        <f>IFERROR(INDEX('Clean Gamification Data'!$I:$I,MATCH($B708,'Clean Gamification Data'!$A:$A,0)),"Not Found")</f>
        <v>53.567755429999998</v>
      </c>
      <c r="AA708" s="28">
        <f>Table1[[#This Row],[Engagement (Gamification %)]]-Table1[[#This Row],[Engagement (Non-Gamification %)]]</f>
        <v>15.287170859999989</v>
      </c>
      <c r="AB708" s="28">
        <f>Table1[[#This Row],[Motivation (Gamification %)]]-Table1[[#This Row],[Motivation (Non-Gamification %)]]</f>
        <v>16.440365170000007</v>
      </c>
      <c r="AC708" s="28">
        <f>Table1[[#This Row],[Participation (Gamification %)]]-Table1[[#This Row],[Participation (Non-Gamification %)]]</f>
        <v>6.660930239999999</v>
      </c>
      <c r="AD708" s="28">
        <f>Table1[[#This Row],[Learning Outcomes (Gamification %)]]-Table1[[#This Row],[Learning Outcomes (Non-Gamification %)]]</f>
        <v>16.622426999999995</v>
      </c>
      <c r="AE708" s="44" t="str">
        <f>IF(Table1[[#This Row],[Overall Effectiveness]]&lt;3.9,"Low",IF(Table1[[#This Row],[Overall Effectiveness]]&lt;4.2,"Medium","High"))</f>
        <v>Medium</v>
      </c>
      <c r="AF708" s="30" t="str">
        <f t="shared" si="70"/>
        <v>Group Projects</v>
      </c>
      <c r="AG708" s="30" t="str">
        <f t="shared" si="71"/>
        <v>Online Tutorials</v>
      </c>
      <c r="AH708" s="27">
        <f>COUNTIF(Teacher_Master!$D$2:$D$16,AF708)</f>
        <v>3</v>
      </c>
      <c r="AI708" s="30" t="str">
        <f>INDEX(Teacher_Master!$B$2:$B$16,MATCH(AF708,Teacher_Master!$D$2:$D$16,0))</f>
        <v>Dr. Rohan Dutta</v>
      </c>
    </row>
    <row r="709" spans="1:35" ht="14.25" customHeight="1" x14ac:dyDescent="0.3">
      <c r="A709" s="31" t="s">
        <v>1449</v>
      </c>
      <c r="B709" s="31" t="s">
        <v>2585</v>
      </c>
      <c r="C709" s="31" t="s">
        <v>2881</v>
      </c>
      <c r="D709" s="12">
        <f t="shared" ca="1" si="66"/>
        <v>26</v>
      </c>
      <c r="E709" s="12" t="str">
        <f ca="1">IF(Table1[[#This Row],[Age]]&lt;=22,"20-22",IF(Table1[[#This Row],[Age]]&lt;=25,"23-25",IF(Table1[[#This Row],[Age]]&lt;=28,"26-28","29-30")))</f>
        <v>26-28</v>
      </c>
      <c r="F709" s="12">
        <v>4.42</v>
      </c>
      <c r="G709" s="12">
        <v>3.92</v>
      </c>
      <c r="H709" s="12">
        <v>4.1500000000000004</v>
      </c>
      <c r="I709" s="12">
        <v>3.59</v>
      </c>
      <c r="J709" s="12">
        <v>3.66</v>
      </c>
      <c r="K709" s="12">
        <v>4.1900000000000004</v>
      </c>
      <c r="L709" s="12">
        <v>3.92</v>
      </c>
      <c r="M709" s="12">
        <v>3.68</v>
      </c>
      <c r="N709" s="12" t="s">
        <v>211</v>
      </c>
      <c r="O709" s="12">
        <v>4.0199999999999996</v>
      </c>
      <c r="P709" s="12">
        <f t="shared" si="67"/>
        <v>3.9479999999999995</v>
      </c>
      <c r="Q709" s="12">
        <f t="shared" si="68"/>
        <v>3.95</v>
      </c>
      <c r="R709" s="12">
        <f t="shared" si="69"/>
        <v>3.9524999999999997</v>
      </c>
      <c r="S709" s="28">
        <f>IFERROR(INDEX('Clean Gamification Data'!$B:$B,MATCH($B709,'Clean Gamification Data'!$A:$A,0)),"Not Found")</f>
        <v>79.933596620000003</v>
      </c>
      <c r="T709" s="28">
        <f>IFERROR(INDEX('Clean Gamification Data'!$C:$C,MATCH($B709,'Clean Gamification Data'!$A:$A,0)),"Not Found")</f>
        <v>62.47511677</v>
      </c>
      <c r="U709" s="28">
        <f>IFERROR(INDEX('Clean Gamification Data'!$D:$D,MATCH($B709,'Clean Gamification Data'!$A:$A,0)),"Not Found")</f>
        <v>87.855173039999997</v>
      </c>
      <c r="V709" s="28">
        <f>IFERROR(INDEX('Clean Gamification Data'!$E:$E,MATCH($B709,'Clean Gamification Data'!$A:$A,0)),"Not Found")</f>
        <v>60.320941640000001</v>
      </c>
      <c r="W709" s="28">
        <f>IFERROR(INDEX('Clean Gamification Data'!$F:$F,MATCH($B709,'Clean Gamification Data'!$A:$A,0)),"Not Found")</f>
        <v>85.924828849999997</v>
      </c>
      <c r="X709" s="28">
        <f>IFERROR(INDEX('Clean Gamification Data'!$G:$G,MATCH($B709,'Clean Gamification Data'!$A:$A,0)),"Not Found")</f>
        <v>76.787832300000005</v>
      </c>
      <c r="Y709" s="28">
        <f>IFERROR(INDEX('Clean Gamification Data'!$H:$H,MATCH($B709,'Clean Gamification Data'!$A:$A,0)),"Not Found")</f>
        <v>71.862785990000006</v>
      </c>
      <c r="Z709" s="28">
        <f>IFERROR(INDEX('Clean Gamification Data'!$I:$I,MATCH($B709,'Clean Gamification Data'!$A:$A,0)),"Not Found")</f>
        <v>69.161090790000003</v>
      </c>
      <c r="AA709" s="28">
        <f>Table1[[#This Row],[Engagement (Gamification %)]]-Table1[[#This Row],[Engagement (Non-Gamification %)]]</f>
        <v>17.458479850000003</v>
      </c>
      <c r="AB709" s="28">
        <f>Table1[[#This Row],[Motivation (Gamification %)]]-Table1[[#This Row],[Motivation (Non-Gamification %)]]</f>
        <v>27.534231399999996</v>
      </c>
      <c r="AC709" s="28">
        <f>Table1[[#This Row],[Participation (Gamification %)]]-Table1[[#This Row],[Participation (Non-Gamification %)]]</f>
        <v>9.1369965499999921</v>
      </c>
      <c r="AD709" s="28">
        <f>Table1[[#This Row],[Learning Outcomes (Gamification %)]]-Table1[[#This Row],[Learning Outcomes (Non-Gamification %)]]</f>
        <v>2.7016952000000032</v>
      </c>
      <c r="AE709" s="44" t="str">
        <f>IF(Table1[[#This Row],[Overall Effectiveness]]&lt;3.9,"Low",IF(Table1[[#This Row],[Overall Effectiveness]]&lt;4.2,"Medium","High"))</f>
        <v>Medium</v>
      </c>
      <c r="AF709" s="30" t="str">
        <f t="shared" si="70"/>
        <v>Lectures</v>
      </c>
      <c r="AG709" s="30" t="str">
        <f t="shared" si="71"/>
        <v>Lectures</v>
      </c>
      <c r="AH709" s="27">
        <f>COUNTIF(Teacher_Master!$D$2:$D$16,AF709)</f>
        <v>3</v>
      </c>
      <c r="AI709" s="30" t="str">
        <f>INDEX(Teacher_Master!$B$2:$B$16,MATCH(AF709,Teacher_Master!$D$2:$D$16,0))</f>
        <v>Prof. Vikram Gupta</v>
      </c>
    </row>
    <row r="710" spans="1:35" ht="14.25" customHeight="1" x14ac:dyDescent="0.3">
      <c r="A710" s="31" t="s">
        <v>1451</v>
      </c>
      <c r="B710" s="31" t="s">
        <v>2586</v>
      </c>
      <c r="C710" s="31" t="s">
        <v>2881</v>
      </c>
      <c r="D710" s="12">
        <f t="shared" ca="1" si="66"/>
        <v>27</v>
      </c>
      <c r="E710" s="12" t="str">
        <f ca="1">IF(Table1[[#This Row],[Age]]&lt;=22,"20-22",IF(Table1[[#This Row],[Age]]&lt;=25,"23-25",IF(Table1[[#This Row],[Age]]&lt;=28,"26-28","29-30")))</f>
        <v>26-28</v>
      </c>
      <c r="F710" s="12">
        <v>4.09</v>
      </c>
      <c r="G710" s="12">
        <v>4.1900000000000004</v>
      </c>
      <c r="H710" s="12">
        <v>4.1500000000000004</v>
      </c>
      <c r="I710" s="12">
        <v>3.84</v>
      </c>
      <c r="J710" s="12">
        <v>4.1500000000000004</v>
      </c>
      <c r="K710" s="12">
        <v>4.3</v>
      </c>
      <c r="L710" s="12">
        <v>4.45</v>
      </c>
      <c r="M710" s="12">
        <v>3.35</v>
      </c>
      <c r="N710" s="12">
        <v>3.87</v>
      </c>
      <c r="O710" s="12">
        <v>3.92</v>
      </c>
      <c r="P710" s="12">
        <f t="shared" si="67"/>
        <v>4.0840000000000005</v>
      </c>
      <c r="Q710" s="12">
        <f t="shared" si="68"/>
        <v>4.08</v>
      </c>
      <c r="R710" s="12">
        <f t="shared" si="69"/>
        <v>3.9780000000000002</v>
      </c>
      <c r="S710" s="28">
        <f>IFERROR(INDEX('Clean Gamification Data'!$B:$B,MATCH($B710,'Clean Gamification Data'!$A:$A,0)),"Not Found")</f>
        <v>89.460843269999998</v>
      </c>
      <c r="T710" s="28">
        <f>IFERROR(INDEX('Clean Gamification Data'!$C:$C,MATCH($B710,'Clean Gamification Data'!$A:$A,0)),"Not Found")</f>
        <v>76.876453130000002</v>
      </c>
      <c r="U710" s="28">
        <f>IFERROR(INDEX('Clean Gamification Data'!$D:$D,MATCH($B710,'Clean Gamification Data'!$A:$A,0)),"Not Found")</f>
        <v>81.834865449999995</v>
      </c>
      <c r="V710" s="28">
        <f>IFERROR(INDEX('Clean Gamification Data'!$E:$E,MATCH($B710,'Clean Gamification Data'!$A:$A,0)),"Not Found")</f>
        <v>60.187857559999998</v>
      </c>
      <c r="W710" s="28">
        <f>IFERROR(INDEX('Clean Gamification Data'!$F:$F,MATCH($B710,'Clean Gamification Data'!$A:$A,0)),"Not Found")</f>
        <v>98.356406070000006</v>
      </c>
      <c r="X710" s="28">
        <f>IFERROR(INDEX('Clean Gamification Data'!$G:$G,MATCH($B710,'Clean Gamification Data'!$A:$A,0)),"Not Found")</f>
        <v>74.954425110000003</v>
      </c>
      <c r="Y710" s="28">
        <f>IFERROR(INDEX('Clean Gamification Data'!$H:$H,MATCH($B710,'Clean Gamification Data'!$A:$A,0)),"Not Found")</f>
        <v>72.774205809999998</v>
      </c>
      <c r="Z710" s="28">
        <f>IFERROR(INDEX('Clean Gamification Data'!$I:$I,MATCH($B710,'Clean Gamification Data'!$A:$A,0)),"Not Found")</f>
        <v>60.560105559999997</v>
      </c>
      <c r="AA710" s="28">
        <f>Table1[[#This Row],[Engagement (Gamification %)]]-Table1[[#This Row],[Engagement (Non-Gamification %)]]</f>
        <v>12.584390139999996</v>
      </c>
      <c r="AB710" s="28">
        <f>Table1[[#This Row],[Motivation (Gamification %)]]-Table1[[#This Row],[Motivation (Non-Gamification %)]]</f>
        <v>21.647007889999998</v>
      </c>
      <c r="AC710" s="28">
        <f>Table1[[#This Row],[Participation (Gamification %)]]-Table1[[#This Row],[Participation (Non-Gamification %)]]</f>
        <v>23.401980960000003</v>
      </c>
      <c r="AD710" s="28">
        <f>Table1[[#This Row],[Learning Outcomes (Gamification %)]]-Table1[[#This Row],[Learning Outcomes (Non-Gamification %)]]</f>
        <v>12.214100250000001</v>
      </c>
      <c r="AE710" s="44" t="str">
        <f>IF(Table1[[#This Row],[Overall Effectiveness]]&lt;3.9,"Low",IF(Table1[[#This Row],[Overall Effectiveness]]&lt;4.2,"Medium","High"))</f>
        <v>Medium</v>
      </c>
      <c r="AF710" s="30" t="str">
        <f t="shared" si="70"/>
        <v>Case Studies</v>
      </c>
      <c r="AG710" s="30" t="str">
        <f t="shared" si="71"/>
        <v>Case Studies</v>
      </c>
      <c r="AH710" s="27">
        <f>COUNTIF(Teacher_Master!$D$2:$D$16,AF710)</f>
        <v>3</v>
      </c>
      <c r="AI710" s="30" t="str">
        <f>INDEX(Teacher_Master!$B$2:$B$16,MATCH(AF710,Teacher_Master!$D$2:$D$16,0))</f>
        <v>Prof. Rajesh Mukherjee</v>
      </c>
    </row>
    <row r="711" spans="1:35" ht="14.25" customHeight="1" x14ac:dyDescent="0.3">
      <c r="A711" s="31" t="s">
        <v>1453</v>
      </c>
      <c r="B711" s="31" t="s">
        <v>2587</v>
      </c>
      <c r="C711" s="31" t="s">
        <v>2882</v>
      </c>
      <c r="D711" s="12">
        <f t="shared" ca="1" si="66"/>
        <v>24</v>
      </c>
      <c r="E711" s="12" t="str">
        <f ca="1">IF(Table1[[#This Row],[Age]]&lt;=22,"20-22",IF(Table1[[#This Row],[Age]]&lt;=25,"23-25",IF(Table1[[#This Row],[Age]]&lt;=28,"26-28","29-30")))</f>
        <v>23-25</v>
      </c>
      <c r="F711" s="12">
        <v>4.3600000000000003</v>
      </c>
      <c r="G711" s="12">
        <v>4.37</v>
      </c>
      <c r="H711" s="12">
        <v>4.2699999999999996</v>
      </c>
      <c r="I711" s="12">
        <v>4.16</v>
      </c>
      <c r="J711" s="12">
        <v>3.54</v>
      </c>
      <c r="K711" s="12">
        <v>4.5199999999999996</v>
      </c>
      <c r="L711" s="12">
        <v>3.94</v>
      </c>
      <c r="M711" s="12">
        <v>4.13</v>
      </c>
      <c r="N711" s="12">
        <v>4.04</v>
      </c>
      <c r="O711" s="12">
        <v>4.3899999999999997</v>
      </c>
      <c r="P711" s="12">
        <f t="shared" si="67"/>
        <v>4.1399999999999997</v>
      </c>
      <c r="Q711" s="12">
        <f t="shared" si="68"/>
        <v>4.1399999999999997</v>
      </c>
      <c r="R711" s="12">
        <f t="shared" si="69"/>
        <v>4.2039999999999997</v>
      </c>
      <c r="S711" s="28">
        <f>IFERROR(INDEX('Clean Gamification Data'!$B:$B,MATCH($B711,'Clean Gamification Data'!$A:$A,0)),"Not Found")</f>
        <v>84.180012750000003</v>
      </c>
      <c r="T711" s="28">
        <f>IFERROR(INDEX('Clean Gamification Data'!$C:$C,MATCH($B711,'Clean Gamification Data'!$A:$A,0)),"Not Found")</f>
        <v>64.098391890000002</v>
      </c>
      <c r="U711" s="28">
        <f>IFERROR(INDEX('Clean Gamification Data'!$D:$D,MATCH($B711,'Clean Gamification Data'!$A:$A,0)),"Not Found")</f>
        <v>84.698595549999993</v>
      </c>
      <c r="V711" s="28">
        <f>IFERROR(INDEX('Clean Gamification Data'!$E:$E,MATCH($B711,'Clean Gamification Data'!$A:$A,0)),"Not Found")</f>
        <v>66.060742649999995</v>
      </c>
      <c r="W711" s="28">
        <f>IFERROR(INDEX('Clean Gamification Data'!$F:$F,MATCH($B711,'Clean Gamification Data'!$A:$A,0)),"Not Found")</f>
        <v>94.528356369999997</v>
      </c>
      <c r="X711" s="28">
        <f>IFERROR(INDEX('Clean Gamification Data'!$G:$G,MATCH($B711,'Clean Gamification Data'!$A:$A,0)),"Not Found")</f>
        <v>85</v>
      </c>
      <c r="Y711" s="28">
        <f>IFERROR(INDEX('Clean Gamification Data'!$H:$H,MATCH($B711,'Clean Gamification Data'!$A:$A,0)),"Not Found")</f>
        <v>72.705470730000002</v>
      </c>
      <c r="Z711" s="28">
        <f>IFERROR(INDEX('Clean Gamification Data'!$I:$I,MATCH($B711,'Clean Gamification Data'!$A:$A,0)),"Not Found")</f>
        <v>66.935650440000003</v>
      </c>
      <c r="AA711" s="28">
        <f>Table1[[#This Row],[Engagement (Gamification %)]]-Table1[[#This Row],[Engagement (Non-Gamification %)]]</f>
        <v>20.081620860000001</v>
      </c>
      <c r="AB711" s="28">
        <f>Table1[[#This Row],[Motivation (Gamification %)]]-Table1[[#This Row],[Motivation (Non-Gamification %)]]</f>
        <v>18.637852899999999</v>
      </c>
      <c r="AC711" s="28">
        <f>Table1[[#This Row],[Participation (Gamification %)]]-Table1[[#This Row],[Participation (Non-Gamification %)]]</f>
        <v>9.5283563699999974</v>
      </c>
      <c r="AD711" s="28">
        <f>Table1[[#This Row],[Learning Outcomes (Gamification %)]]-Table1[[#This Row],[Learning Outcomes (Non-Gamification %)]]</f>
        <v>5.7698202899999984</v>
      </c>
      <c r="AE711" s="44" t="str">
        <f>IF(Table1[[#This Row],[Overall Effectiveness]]&lt;3.9,"Low",IF(Table1[[#This Row],[Overall Effectiveness]]&lt;4.2,"Medium","High"))</f>
        <v>Medium</v>
      </c>
      <c r="AF711" s="30" t="str">
        <f t="shared" si="70"/>
        <v>Case Studies</v>
      </c>
      <c r="AG711" s="30" t="str">
        <f t="shared" si="71"/>
        <v>Lectures</v>
      </c>
      <c r="AH711" s="27">
        <f>COUNTIF(Teacher_Master!$D$2:$D$16,AF711)</f>
        <v>3</v>
      </c>
      <c r="AI711" s="30" t="str">
        <f>INDEX(Teacher_Master!$B$2:$B$16,MATCH(AF711,Teacher_Master!$D$2:$D$16,0))</f>
        <v>Prof. Rajesh Mukherjee</v>
      </c>
    </row>
    <row r="712" spans="1:35" ht="14.25" customHeight="1" x14ac:dyDescent="0.3">
      <c r="A712" s="31" t="s">
        <v>1455</v>
      </c>
      <c r="B712" s="31" t="s">
        <v>2588</v>
      </c>
      <c r="C712" s="31" t="s">
        <v>2881</v>
      </c>
      <c r="D712" s="12">
        <f t="shared" ca="1" si="66"/>
        <v>23</v>
      </c>
      <c r="E712" s="12" t="str">
        <f ca="1">IF(Table1[[#This Row],[Age]]&lt;=22,"20-22",IF(Table1[[#This Row],[Age]]&lt;=25,"23-25",IF(Table1[[#This Row],[Age]]&lt;=28,"26-28","29-30")))</f>
        <v>23-25</v>
      </c>
      <c r="F712" s="12">
        <v>4.18</v>
      </c>
      <c r="G712" s="12">
        <v>4.4800000000000004</v>
      </c>
      <c r="H712" s="12">
        <v>3.99</v>
      </c>
      <c r="I712" s="12">
        <v>4.5</v>
      </c>
      <c r="J712" s="12">
        <v>3.74</v>
      </c>
      <c r="K712" s="12">
        <v>3.65</v>
      </c>
      <c r="L712" s="12">
        <v>3.62</v>
      </c>
      <c r="M712" s="12">
        <v>3.87</v>
      </c>
      <c r="N712" s="12">
        <v>3.86</v>
      </c>
      <c r="O712" s="12">
        <v>4.04</v>
      </c>
      <c r="P712" s="12">
        <f t="shared" si="67"/>
        <v>4.1779999999999999</v>
      </c>
      <c r="Q712" s="12">
        <f t="shared" si="68"/>
        <v>4.18</v>
      </c>
      <c r="R712" s="12">
        <f t="shared" si="69"/>
        <v>3.8079999999999998</v>
      </c>
      <c r="S712" s="28">
        <f>IFERROR(INDEX('Clean Gamification Data'!$B:$B,MATCH($B712,'Clean Gamification Data'!$A:$A,0)),"Not Found")</f>
        <v>79.857198049999994</v>
      </c>
      <c r="T712" s="28">
        <f>IFERROR(INDEX('Clean Gamification Data'!$C:$C,MATCH($B712,'Clean Gamification Data'!$A:$A,0)),"Not Found")</f>
        <v>71.740309170000003</v>
      </c>
      <c r="U712" s="28">
        <f>IFERROR(INDEX('Clean Gamification Data'!$D:$D,MATCH($B712,'Clean Gamification Data'!$A:$A,0)),"Not Found")</f>
        <v>71.307143569999994</v>
      </c>
      <c r="V712" s="28">
        <f>IFERROR(INDEX('Clean Gamification Data'!$E:$E,MATCH($B712,'Clean Gamification Data'!$A:$A,0)),"Not Found")</f>
        <v>69.371668029999995</v>
      </c>
      <c r="W712" s="28">
        <f>IFERROR(INDEX('Clean Gamification Data'!$F:$F,MATCH($B712,'Clean Gamification Data'!$A:$A,0)),"Not Found")</f>
        <v>91.959343200000006</v>
      </c>
      <c r="X712" s="28">
        <f>IFERROR(INDEX('Clean Gamification Data'!$G:$G,MATCH($B712,'Clean Gamification Data'!$A:$A,0)),"Not Found")</f>
        <v>71.853517289999999</v>
      </c>
      <c r="Y712" s="28">
        <f>IFERROR(INDEX('Clean Gamification Data'!$H:$H,MATCH($B712,'Clean Gamification Data'!$A:$A,0)),"Not Found")</f>
        <v>72.232532300000003</v>
      </c>
      <c r="Z712" s="28">
        <f>IFERROR(INDEX('Clean Gamification Data'!$I:$I,MATCH($B712,'Clean Gamification Data'!$A:$A,0)),"Not Found")</f>
        <v>58.181081040000002</v>
      </c>
      <c r="AA712" s="28">
        <f>Table1[[#This Row],[Engagement (Gamification %)]]-Table1[[#This Row],[Engagement (Non-Gamification %)]]</f>
        <v>8.1168888799999905</v>
      </c>
      <c r="AB712" s="28">
        <f>Table1[[#This Row],[Motivation (Gamification %)]]-Table1[[#This Row],[Motivation (Non-Gamification %)]]</f>
        <v>1.9354755399999988</v>
      </c>
      <c r="AC712" s="28">
        <f>Table1[[#This Row],[Participation (Gamification %)]]-Table1[[#This Row],[Participation (Non-Gamification %)]]</f>
        <v>20.105825910000007</v>
      </c>
      <c r="AD712" s="28">
        <f>Table1[[#This Row],[Learning Outcomes (Gamification %)]]-Table1[[#This Row],[Learning Outcomes (Non-Gamification %)]]</f>
        <v>14.05145126</v>
      </c>
      <c r="AE712" s="44" t="str">
        <f>IF(Table1[[#This Row],[Overall Effectiveness]]&lt;3.9,"Low",IF(Table1[[#This Row],[Overall Effectiveness]]&lt;4.2,"Medium","High"))</f>
        <v>Medium</v>
      </c>
      <c r="AF712" s="30" t="str">
        <f t="shared" si="70"/>
        <v>Experiments</v>
      </c>
      <c r="AG712" s="30" t="str">
        <f t="shared" si="71"/>
        <v>Online Tutorials</v>
      </c>
      <c r="AH712" s="27">
        <f>COUNTIF(Teacher_Master!$D$2:$D$16,AF712)</f>
        <v>3</v>
      </c>
      <c r="AI712" s="30" t="str">
        <f>INDEX(Teacher_Master!$B$2:$B$16,MATCH(AF712,Teacher_Master!$D$2:$D$16,0))</f>
        <v>Prof. Rahul Singh</v>
      </c>
    </row>
    <row r="713" spans="1:35" ht="14.25" customHeight="1" x14ac:dyDescent="0.3">
      <c r="A713" s="31" t="s">
        <v>1457</v>
      </c>
      <c r="B713" s="31" t="s">
        <v>1458</v>
      </c>
      <c r="C713" s="31" t="s">
        <v>2882</v>
      </c>
      <c r="D713" s="12">
        <f t="shared" ca="1" si="66"/>
        <v>28</v>
      </c>
      <c r="E713" s="12" t="str">
        <f ca="1">IF(Table1[[#This Row],[Age]]&lt;=22,"20-22",IF(Table1[[#This Row],[Age]]&lt;=25,"23-25",IF(Table1[[#This Row],[Age]]&lt;=28,"26-28","29-30")))</f>
        <v>26-28</v>
      </c>
      <c r="F713" s="12">
        <v>4.3899999999999997</v>
      </c>
      <c r="G713" s="12">
        <v>4.03</v>
      </c>
      <c r="H713" s="12">
        <v>4.4800000000000004</v>
      </c>
      <c r="I713" s="12">
        <v>4.12</v>
      </c>
      <c r="J713" s="12">
        <v>4.2</v>
      </c>
      <c r="K713" s="12">
        <v>4.13</v>
      </c>
      <c r="L713" s="12">
        <v>4.3600000000000003</v>
      </c>
      <c r="M713" s="12">
        <v>4.3099999999999996</v>
      </c>
      <c r="N713" s="12">
        <v>4.47</v>
      </c>
      <c r="O713" s="12">
        <v>4.2300000000000004</v>
      </c>
      <c r="P713" s="12">
        <f t="shared" si="67"/>
        <v>4.2439999999999998</v>
      </c>
      <c r="Q713" s="12">
        <f t="shared" si="68"/>
        <v>4.24</v>
      </c>
      <c r="R713" s="12">
        <f t="shared" si="69"/>
        <v>4.3</v>
      </c>
      <c r="S713" s="28">
        <f>IFERROR(INDEX('Clean Gamification Data'!$B:$B,MATCH($B713,'Clean Gamification Data'!$A:$A,0)),"Not Found")</f>
        <v>94.470111779999996</v>
      </c>
      <c r="T713" s="28">
        <f>IFERROR(INDEX('Clean Gamification Data'!$C:$C,MATCH($B713,'Clean Gamification Data'!$A:$A,0)),"Not Found")</f>
        <v>72.368322610000007</v>
      </c>
      <c r="U713" s="28">
        <f>IFERROR(INDEX('Clean Gamification Data'!$D:$D,MATCH($B713,'Clean Gamification Data'!$A:$A,0)),"Not Found")</f>
        <v>75.155147990000003</v>
      </c>
      <c r="V713" s="28">
        <f>IFERROR(INDEX('Clean Gamification Data'!$E:$E,MATCH($B713,'Clean Gamification Data'!$A:$A,0)),"Not Found")</f>
        <v>63.508589489999999</v>
      </c>
      <c r="W713" s="28">
        <f>IFERROR(INDEX('Clean Gamification Data'!$F:$F,MATCH($B713,'Clean Gamification Data'!$A:$A,0)),"Not Found")</f>
        <v>95.966923609999995</v>
      </c>
      <c r="X713" s="28">
        <f>IFERROR(INDEX('Clean Gamification Data'!$G:$G,MATCH($B713,'Clean Gamification Data'!$A:$A,0)),"Not Found")</f>
        <v>85</v>
      </c>
      <c r="Y713" s="28">
        <f>IFERROR(INDEX('Clean Gamification Data'!$H:$H,MATCH($B713,'Clean Gamification Data'!$A:$A,0)),"Not Found")</f>
        <v>69.184738359999997</v>
      </c>
      <c r="Z713" s="28">
        <f>IFERROR(INDEX('Clean Gamification Data'!$I:$I,MATCH($B713,'Clean Gamification Data'!$A:$A,0)),"Not Found")</f>
        <v>53.506871969999999</v>
      </c>
      <c r="AA713" s="28">
        <f>Table1[[#This Row],[Engagement (Gamification %)]]-Table1[[#This Row],[Engagement (Non-Gamification %)]]</f>
        <v>22.101789169999989</v>
      </c>
      <c r="AB713" s="28">
        <f>Table1[[#This Row],[Motivation (Gamification %)]]-Table1[[#This Row],[Motivation (Non-Gamification %)]]</f>
        <v>11.646558500000005</v>
      </c>
      <c r="AC713" s="28">
        <f>Table1[[#This Row],[Participation (Gamification %)]]-Table1[[#This Row],[Participation (Non-Gamification %)]]</f>
        <v>10.966923609999995</v>
      </c>
      <c r="AD713" s="28">
        <f>Table1[[#This Row],[Learning Outcomes (Gamification %)]]-Table1[[#This Row],[Learning Outcomes (Non-Gamification %)]]</f>
        <v>15.677866389999998</v>
      </c>
      <c r="AE713" s="44" t="str">
        <f>IF(Table1[[#This Row],[Overall Effectiveness]]&lt;3.9,"Low",IF(Table1[[#This Row],[Overall Effectiveness]]&lt;4.2,"Medium","High"))</f>
        <v>High</v>
      </c>
      <c r="AF713" s="30" t="str">
        <f t="shared" si="70"/>
        <v>Group Projects</v>
      </c>
      <c r="AG713" s="30" t="str">
        <f t="shared" si="71"/>
        <v>Experiments</v>
      </c>
      <c r="AH713" s="27">
        <f>COUNTIF(Teacher_Master!$D$2:$D$16,AF713)</f>
        <v>3</v>
      </c>
      <c r="AI713" s="30" t="str">
        <f>INDEX(Teacher_Master!$B$2:$B$16,MATCH(AF713,Teacher_Master!$D$2:$D$16,0))</f>
        <v>Dr. Rohan Dutta</v>
      </c>
    </row>
    <row r="714" spans="1:35" ht="14.25" customHeight="1" x14ac:dyDescent="0.3">
      <c r="A714" s="31" t="s">
        <v>1459</v>
      </c>
      <c r="B714" s="31" t="s">
        <v>2589</v>
      </c>
      <c r="C714" s="31" t="s">
        <v>2882</v>
      </c>
      <c r="D714" s="12">
        <f t="shared" ca="1" si="66"/>
        <v>20</v>
      </c>
      <c r="E714" s="12" t="str">
        <f ca="1">IF(Table1[[#This Row],[Age]]&lt;=22,"20-22",IF(Table1[[#This Row],[Age]]&lt;=25,"23-25",IF(Table1[[#This Row],[Age]]&lt;=28,"26-28","29-30")))</f>
        <v>20-22</v>
      </c>
      <c r="F714" s="12">
        <v>4.08</v>
      </c>
      <c r="G714" s="12">
        <v>3.87</v>
      </c>
      <c r="H714" s="12">
        <v>4.13</v>
      </c>
      <c r="I714" s="12">
        <v>3.81</v>
      </c>
      <c r="J714" s="12" t="s">
        <v>211</v>
      </c>
      <c r="K714" s="12">
        <v>4.57</v>
      </c>
      <c r="L714" s="12">
        <v>4.1900000000000004</v>
      </c>
      <c r="M714" s="12">
        <v>4.83</v>
      </c>
      <c r="N714" s="12">
        <v>4.08</v>
      </c>
      <c r="O714" s="12">
        <v>3.89</v>
      </c>
      <c r="P714" s="12">
        <f t="shared" si="67"/>
        <v>3.9725000000000001</v>
      </c>
      <c r="Q714" s="12">
        <f t="shared" si="68"/>
        <v>3.97</v>
      </c>
      <c r="R714" s="12">
        <f t="shared" si="69"/>
        <v>4.3120000000000003</v>
      </c>
      <c r="S714" s="28">
        <f>IFERROR(INDEX('Clean Gamification Data'!$B:$B,MATCH($B714,'Clean Gamification Data'!$A:$A,0)),"Not Found")</f>
        <v>89.138773040000004</v>
      </c>
      <c r="T714" s="28">
        <f>IFERROR(INDEX('Clean Gamification Data'!$C:$C,MATCH($B714,'Clean Gamification Data'!$A:$A,0)),"Not Found")</f>
        <v>71.677510229999996</v>
      </c>
      <c r="U714" s="28">
        <f>IFERROR(INDEX('Clean Gamification Data'!$D:$D,MATCH($B714,'Clean Gamification Data'!$A:$A,0)),"Not Found")</f>
        <v>88.31995569</v>
      </c>
      <c r="V714" s="28">
        <f>IFERROR(INDEX('Clean Gamification Data'!$E:$E,MATCH($B714,'Clean Gamification Data'!$A:$A,0)),"Not Found")</f>
        <v>65.674629719999999</v>
      </c>
      <c r="W714" s="28">
        <f>IFERROR(INDEX('Clean Gamification Data'!$F:$F,MATCH($B714,'Clean Gamification Data'!$A:$A,0)),"Not Found")</f>
        <v>88.093165490000004</v>
      </c>
      <c r="X714" s="28">
        <f>IFERROR(INDEX('Clean Gamification Data'!$G:$G,MATCH($B714,'Clean Gamification Data'!$A:$A,0)),"Not Found")</f>
        <v>71.62944195</v>
      </c>
      <c r="Y714" s="28">
        <f>IFERROR(INDEX('Clean Gamification Data'!$H:$H,MATCH($B714,'Clean Gamification Data'!$A:$A,0)),"Not Found")</f>
        <v>68.966099080000006</v>
      </c>
      <c r="Z714" s="28">
        <f>IFERROR(INDEX('Clean Gamification Data'!$I:$I,MATCH($B714,'Clean Gamification Data'!$A:$A,0)),"Not Found")</f>
        <v>53.05169909</v>
      </c>
      <c r="AA714" s="28">
        <f>Table1[[#This Row],[Engagement (Gamification %)]]-Table1[[#This Row],[Engagement (Non-Gamification %)]]</f>
        <v>17.461262810000008</v>
      </c>
      <c r="AB714" s="28">
        <f>Table1[[#This Row],[Motivation (Gamification %)]]-Table1[[#This Row],[Motivation (Non-Gamification %)]]</f>
        <v>22.645325970000002</v>
      </c>
      <c r="AC714" s="28">
        <f>Table1[[#This Row],[Participation (Gamification %)]]-Table1[[#This Row],[Participation (Non-Gamification %)]]</f>
        <v>16.463723540000004</v>
      </c>
      <c r="AD714" s="28">
        <f>Table1[[#This Row],[Learning Outcomes (Gamification %)]]-Table1[[#This Row],[Learning Outcomes (Non-Gamification %)]]</f>
        <v>15.914399990000007</v>
      </c>
      <c r="AE714" s="44" t="str">
        <f>IF(Table1[[#This Row],[Overall Effectiveness]]&lt;3.9,"Low",IF(Table1[[#This Row],[Overall Effectiveness]]&lt;4.2,"Medium","High"))</f>
        <v>Medium</v>
      </c>
      <c r="AF714" s="30" t="str">
        <f t="shared" si="70"/>
        <v>Group Projects</v>
      </c>
      <c r="AG714" s="30" t="str">
        <f t="shared" si="71"/>
        <v>Group Projects</v>
      </c>
      <c r="AH714" s="27">
        <f>COUNTIF(Teacher_Master!$D$2:$D$16,AF714)</f>
        <v>3</v>
      </c>
      <c r="AI714" s="30" t="str">
        <f>INDEX(Teacher_Master!$B$2:$B$16,MATCH(AF714,Teacher_Master!$D$2:$D$16,0))</f>
        <v>Dr. Rohan Dutta</v>
      </c>
    </row>
    <row r="715" spans="1:35" ht="14.25" customHeight="1" x14ac:dyDescent="0.3">
      <c r="A715" s="31" t="s">
        <v>1461</v>
      </c>
      <c r="B715" s="31" t="s">
        <v>2590</v>
      </c>
      <c r="C715" s="31" t="s">
        <v>2881</v>
      </c>
      <c r="D715" s="12">
        <f t="shared" ca="1" si="66"/>
        <v>22</v>
      </c>
      <c r="E715" s="12" t="str">
        <f ca="1">IF(Table1[[#This Row],[Age]]&lt;=22,"20-22",IF(Table1[[#This Row],[Age]]&lt;=25,"23-25",IF(Table1[[#This Row],[Age]]&lt;=28,"26-28","29-30")))</f>
        <v>20-22</v>
      </c>
      <c r="F715" s="12">
        <v>3.56</v>
      </c>
      <c r="G715" s="12">
        <v>3.74</v>
      </c>
      <c r="H715" s="12">
        <v>4.29</v>
      </c>
      <c r="I715" s="12">
        <v>4.22</v>
      </c>
      <c r="J715" s="12">
        <v>3.82</v>
      </c>
      <c r="K715" s="12">
        <v>3.94</v>
      </c>
      <c r="L715" s="12">
        <v>4.03</v>
      </c>
      <c r="M715" s="12">
        <v>4.1900000000000004</v>
      </c>
      <c r="N715" s="12">
        <v>4.32</v>
      </c>
      <c r="O715" s="12">
        <v>4.13</v>
      </c>
      <c r="P715" s="12">
        <f t="shared" si="67"/>
        <v>3.9259999999999997</v>
      </c>
      <c r="Q715" s="12">
        <f t="shared" si="68"/>
        <v>3.93</v>
      </c>
      <c r="R715" s="12">
        <f t="shared" si="69"/>
        <v>4.1219999999999999</v>
      </c>
      <c r="S715" s="28">
        <f>IFERROR(INDEX('Clean Gamification Data'!$B:$B,MATCH($B715,'Clean Gamification Data'!$A:$A,0)),"Not Found")</f>
        <v>75</v>
      </c>
      <c r="T715" s="28">
        <f>IFERROR(INDEX('Clean Gamification Data'!$C:$C,MATCH($B715,'Clean Gamification Data'!$A:$A,0)),"Not Found")</f>
        <v>65.832896210000001</v>
      </c>
      <c r="U715" s="28">
        <f>IFERROR(INDEX('Clean Gamification Data'!$D:$D,MATCH($B715,'Clean Gamification Data'!$A:$A,0)),"Not Found")</f>
        <v>70</v>
      </c>
      <c r="V715" s="28">
        <f>IFERROR(INDEX('Clean Gamification Data'!$E:$E,MATCH($B715,'Clean Gamification Data'!$A:$A,0)),"Not Found")</f>
        <v>59.048145460000001</v>
      </c>
      <c r="W715" s="28">
        <f>IFERROR(INDEX('Clean Gamification Data'!$F:$F,MATCH($B715,'Clean Gamification Data'!$A:$A,0)),"Not Found")</f>
        <v>94.897386580000003</v>
      </c>
      <c r="X715" s="28">
        <f>IFERROR(INDEX('Clean Gamification Data'!$G:$G,MATCH($B715,'Clean Gamification Data'!$A:$A,0)),"Not Found")</f>
        <v>84.264093959999997</v>
      </c>
      <c r="Y715" s="28">
        <f>IFERROR(INDEX('Clean Gamification Data'!$H:$H,MATCH($B715,'Clean Gamification Data'!$A:$A,0)),"Not Found")</f>
        <v>70.375132100000002</v>
      </c>
      <c r="Z715" s="28">
        <f>IFERROR(INDEX('Clean Gamification Data'!$I:$I,MATCH($B715,'Clean Gamification Data'!$A:$A,0)),"Not Found")</f>
        <v>56.97275071</v>
      </c>
      <c r="AA715" s="28">
        <f>Table1[[#This Row],[Engagement (Gamification %)]]-Table1[[#This Row],[Engagement (Non-Gamification %)]]</f>
        <v>9.1671037899999988</v>
      </c>
      <c r="AB715" s="28">
        <f>Table1[[#This Row],[Motivation (Gamification %)]]-Table1[[#This Row],[Motivation (Non-Gamification %)]]</f>
        <v>10.951854539999999</v>
      </c>
      <c r="AC715" s="28">
        <f>Table1[[#This Row],[Participation (Gamification %)]]-Table1[[#This Row],[Participation (Non-Gamification %)]]</f>
        <v>10.633292620000006</v>
      </c>
      <c r="AD715" s="28">
        <f>Table1[[#This Row],[Learning Outcomes (Gamification %)]]-Table1[[#This Row],[Learning Outcomes (Non-Gamification %)]]</f>
        <v>13.402381390000002</v>
      </c>
      <c r="AE715" s="44" t="str">
        <f>IF(Table1[[#This Row],[Overall Effectiveness]]&lt;3.9,"Low",IF(Table1[[#This Row],[Overall Effectiveness]]&lt;4.2,"Medium","High"))</f>
        <v>Medium</v>
      </c>
      <c r="AF715" s="30" t="str">
        <f t="shared" si="70"/>
        <v>Group Projects</v>
      </c>
      <c r="AG715" s="30" t="str">
        <f t="shared" si="71"/>
        <v>Experiments</v>
      </c>
      <c r="AH715" s="27">
        <f>COUNTIF(Teacher_Master!$D$2:$D$16,AF715)</f>
        <v>3</v>
      </c>
      <c r="AI715" s="30" t="str">
        <f>INDEX(Teacher_Master!$B$2:$B$16,MATCH(AF715,Teacher_Master!$D$2:$D$16,0))</f>
        <v>Dr. Rohan Dutta</v>
      </c>
    </row>
    <row r="716" spans="1:35" ht="14.25" customHeight="1" x14ac:dyDescent="0.3">
      <c r="A716" s="31" t="s">
        <v>1463</v>
      </c>
      <c r="B716" s="31" t="s">
        <v>2591</v>
      </c>
      <c r="C716" s="31" t="s">
        <v>2882</v>
      </c>
      <c r="D716" s="12">
        <f t="shared" ca="1" si="66"/>
        <v>22</v>
      </c>
      <c r="E716" s="12" t="str">
        <f ca="1">IF(Table1[[#This Row],[Age]]&lt;=22,"20-22",IF(Table1[[#This Row],[Age]]&lt;=25,"23-25",IF(Table1[[#This Row],[Age]]&lt;=28,"26-28","29-30")))</f>
        <v>20-22</v>
      </c>
      <c r="F716" s="12">
        <v>3.75</v>
      </c>
      <c r="G716" s="12">
        <v>4.4800000000000004</v>
      </c>
      <c r="H716" s="12">
        <v>4.4400000000000004</v>
      </c>
      <c r="I716" s="12">
        <v>3.97</v>
      </c>
      <c r="J716" s="12">
        <v>3.53</v>
      </c>
      <c r="K716" s="12">
        <v>3.7</v>
      </c>
      <c r="L716" s="12">
        <v>3.88</v>
      </c>
      <c r="M716" s="12">
        <v>4.07</v>
      </c>
      <c r="N716" s="12">
        <v>4.43</v>
      </c>
      <c r="O716" s="12">
        <v>4.07</v>
      </c>
      <c r="P716" s="12">
        <f t="shared" si="67"/>
        <v>4.0340000000000007</v>
      </c>
      <c r="Q716" s="12">
        <f t="shared" si="68"/>
        <v>4.03</v>
      </c>
      <c r="R716" s="12">
        <f t="shared" si="69"/>
        <v>4.0299999999999994</v>
      </c>
      <c r="S716" s="28">
        <f>IFERROR(INDEX('Clean Gamification Data'!$B:$B,MATCH($B716,'Clean Gamification Data'!$A:$A,0)),"Not Found")</f>
        <v>93.961148379999997</v>
      </c>
      <c r="T716" s="28">
        <f>IFERROR(INDEX('Clean Gamification Data'!$C:$C,MATCH($B716,'Clean Gamification Data'!$A:$A,0)),"Not Found")</f>
        <v>63.055433520000001</v>
      </c>
      <c r="U716" s="28">
        <f>IFERROR(INDEX('Clean Gamification Data'!$D:$D,MATCH($B716,'Clean Gamification Data'!$A:$A,0)),"Not Found")</f>
        <v>80.110857539999998</v>
      </c>
      <c r="V716" s="28">
        <f>IFERROR(INDEX('Clean Gamification Data'!$E:$E,MATCH($B716,'Clean Gamification Data'!$A:$A,0)),"Not Found")</f>
        <v>66.526600999999999</v>
      </c>
      <c r="W716" s="28">
        <f>IFERROR(INDEX('Clean Gamification Data'!$F:$F,MATCH($B716,'Clean Gamification Data'!$A:$A,0)),"Not Found")</f>
        <v>80</v>
      </c>
      <c r="X716" s="28">
        <f>IFERROR(INDEX('Clean Gamification Data'!$G:$G,MATCH($B716,'Clean Gamification Data'!$A:$A,0)),"Not Found")</f>
        <v>79.206205870000005</v>
      </c>
      <c r="Y716" s="28">
        <f>IFERROR(INDEX('Clean Gamification Data'!$H:$H,MATCH($B716,'Clean Gamification Data'!$A:$A,0)),"Not Found")</f>
        <v>66.580947039999998</v>
      </c>
      <c r="Z716" s="28">
        <f>IFERROR(INDEX('Clean Gamification Data'!$I:$I,MATCH($B716,'Clean Gamification Data'!$A:$A,0)),"Not Found")</f>
        <v>50</v>
      </c>
      <c r="AA716" s="28">
        <f>Table1[[#This Row],[Engagement (Gamification %)]]-Table1[[#This Row],[Engagement (Non-Gamification %)]]</f>
        <v>30.905714859999996</v>
      </c>
      <c r="AB716" s="28">
        <f>Table1[[#This Row],[Motivation (Gamification %)]]-Table1[[#This Row],[Motivation (Non-Gamification %)]]</f>
        <v>13.584256539999998</v>
      </c>
      <c r="AC716" s="28">
        <f>Table1[[#This Row],[Participation (Gamification %)]]-Table1[[#This Row],[Participation (Non-Gamification %)]]</f>
        <v>0.79379412999999488</v>
      </c>
      <c r="AD716" s="28">
        <f>Table1[[#This Row],[Learning Outcomes (Gamification %)]]-Table1[[#This Row],[Learning Outcomes (Non-Gamification %)]]</f>
        <v>16.580947039999998</v>
      </c>
      <c r="AE716" s="44" t="str">
        <f>IF(Table1[[#This Row],[Overall Effectiveness]]&lt;3.9,"Low",IF(Table1[[#This Row],[Overall Effectiveness]]&lt;4.2,"Medium","High"))</f>
        <v>Medium</v>
      </c>
      <c r="AF716" s="30" t="str">
        <f t="shared" si="70"/>
        <v>Case Studies</v>
      </c>
      <c r="AG716" s="30" t="str">
        <f t="shared" si="71"/>
        <v>Experiments</v>
      </c>
      <c r="AH716" s="27">
        <f>COUNTIF(Teacher_Master!$D$2:$D$16,AF716)</f>
        <v>3</v>
      </c>
      <c r="AI716" s="30" t="str">
        <f>INDEX(Teacher_Master!$B$2:$B$16,MATCH(AF716,Teacher_Master!$D$2:$D$16,0))</f>
        <v>Prof. Rajesh Mukherjee</v>
      </c>
    </row>
    <row r="717" spans="1:35" ht="14.25" customHeight="1" x14ac:dyDescent="0.3">
      <c r="A717" s="31" t="s">
        <v>1465</v>
      </c>
      <c r="B717" s="31" t="s">
        <v>1466</v>
      </c>
      <c r="C717" s="31" t="s">
        <v>2882</v>
      </c>
      <c r="D717" s="12">
        <f t="shared" ca="1" si="66"/>
        <v>25</v>
      </c>
      <c r="E717" s="12" t="str">
        <f ca="1">IF(Table1[[#This Row],[Age]]&lt;=22,"20-22",IF(Table1[[#This Row],[Age]]&lt;=25,"23-25",IF(Table1[[#This Row],[Age]]&lt;=28,"26-28","29-30")))</f>
        <v>23-25</v>
      </c>
      <c r="F717" s="12">
        <v>4.3099999999999996</v>
      </c>
      <c r="G717" s="12">
        <v>4.37</v>
      </c>
      <c r="H717" s="12">
        <v>3.97</v>
      </c>
      <c r="I717" s="12" t="s">
        <v>211</v>
      </c>
      <c r="J717" s="12">
        <v>3.85</v>
      </c>
      <c r="K717" s="12">
        <v>3.81</v>
      </c>
      <c r="L717" s="12">
        <v>4.13</v>
      </c>
      <c r="M717" s="12">
        <v>3.58</v>
      </c>
      <c r="N717" s="12" t="s">
        <v>211</v>
      </c>
      <c r="O717" s="12">
        <v>4.22</v>
      </c>
      <c r="P717" s="12">
        <f t="shared" si="67"/>
        <v>4.125</v>
      </c>
      <c r="Q717" s="12">
        <f t="shared" si="68"/>
        <v>4.13</v>
      </c>
      <c r="R717" s="12">
        <f t="shared" si="69"/>
        <v>3.9349999999999996</v>
      </c>
      <c r="S717" s="28">
        <f>IFERROR(INDEX('Clean Gamification Data'!$B:$B,MATCH($B717,'Clean Gamification Data'!$A:$A,0)),"Not Found")</f>
        <v>77.727151719999995</v>
      </c>
      <c r="T717" s="28">
        <f>IFERROR(INDEX('Clean Gamification Data'!$C:$C,MATCH($B717,'Clean Gamification Data'!$A:$A,0)),"Not Found")</f>
        <v>66.887723739999998</v>
      </c>
      <c r="U717" s="28">
        <f>IFERROR(INDEX('Clean Gamification Data'!$D:$D,MATCH($B717,'Clean Gamification Data'!$A:$A,0)),"Not Found")</f>
        <v>70</v>
      </c>
      <c r="V717" s="28">
        <f>IFERROR(INDEX('Clean Gamification Data'!$E:$E,MATCH($B717,'Clean Gamification Data'!$A:$A,0)),"Not Found")</f>
        <v>70.537658969999995</v>
      </c>
      <c r="W717" s="28">
        <f>IFERROR(INDEX('Clean Gamification Data'!$F:$F,MATCH($B717,'Clean Gamification Data'!$A:$A,0)),"Not Found")</f>
        <v>85.51341506</v>
      </c>
      <c r="X717" s="28">
        <f>IFERROR(INDEX('Clean Gamification Data'!$G:$G,MATCH($B717,'Clean Gamification Data'!$A:$A,0)),"Not Found")</f>
        <v>80.313692669999995</v>
      </c>
      <c r="Y717" s="28">
        <f>IFERROR(INDEX('Clean Gamification Data'!$H:$H,MATCH($B717,'Clean Gamification Data'!$A:$A,0)),"Not Found")</f>
        <v>72.01967338</v>
      </c>
      <c r="Z717" s="28">
        <f>IFERROR(INDEX('Clean Gamification Data'!$I:$I,MATCH($B717,'Clean Gamification Data'!$A:$A,0)),"Not Found")</f>
        <v>50.396287469999997</v>
      </c>
      <c r="AA717" s="28">
        <f>Table1[[#This Row],[Engagement (Gamification %)]]-Table1[[#This Row],[Engagement (Non-Gamification %)]]</f>
        <v>10.839427979999996</v>
      </c>
      <c r="AB717" s="28">
        <f>Table1[[#This Row],[Motivation (Gamification %)]]-Table1[[#This Row],[Motivation (Non-Gamification %)]]</f>
        <v>-0.53765896999999541</v>
      </c>
      <c r="AC717" s="28">
        <f>Table1[[#This Row],[Participation (Gamification %)]]-Table1[[#This Row],[Participation (Non-Gamification %)]]</f>
        <v>5.1997223900000051</v>
      </c>
      <c r="AD717" s="28">
        <f>Table1[[#This Row],[Learning Outcomes (Gamification %)]]-Table1[[#This Row],[Learning Outcomes (Non-Gamification %)]]</f>
        <v>21.623385910000003</v>
      </c>
      <c r="AE717" s="44" t="str">
        <f>IF(Table1[[#This Row],[Overall Effectiveness]]&lt;3.9,"Low",IF(Table1[[#This Row],[Overall Effectiveness]]&lt;4.2,"Medium","High"))</f>
        <v>Medium</v>
      </c>
      <c r="AF717" s="30" t="str">
        <f t="shared" si="70"/>
        <v>Case Studies</v>
      </c>
      <c r="AG717" s="30" t="str">
        <f t="shared" si="71"/>
        <v>Online Tutorials</v>
      </c>
      <c r="AH717" s="27">
        <f>COUNTIF(Teacher_Master!$D$2:$D$16,AF717)</f>
        <v>3</v>
      </c>
      <c r="AI717" s="30" t="str">
        <f>INDEX(Teacher_Master!$B$2:$B$16,MATCH(AF717,Teacher_Master!$D$2:$D$16,0))</f>
        <v>Prof. Rajesh Mukherjee</v>
      </c>
    </row>
    <row r="718" spans="1:35" ht="14.25" customHeight="1" x14ac:dyDescent="0.3">
      <c r="A718" s="31" t="s">
        <v>1467</v>
      </c>
      <c r="B718" s="31" t="s">
        <v>2592</v>
      </c>
      <c r="C718" s="31" t="s">
        <v>2881</v>
      </c>
      <c r="D718" s="12">
        <f t="shared" ca="1" si="66"/>
        <v>28</v>
      </c>
      <c r="E718" s="12" t="str">
        <f ca="1">IF(Table1[[#This Row],[Age]]&lt;=22,"20-22",IF(Table1[[#This Row],[Age]]&lt;=25,"23-25",IF(Table1[[#This Row],[Age]]&lt;=28,"26-28","29-30")))</f>
        <v>26-28</v>
      </c>
      <c r="F718" s="12">
        <v>4.16</v>
      </c>
      <c r="G718" s="12">
        <v>3.69</v>
      </c>
      <c r="H718" s="12">
        <v>4</v>
      </c>
      <c r="I718" s="12">
        <v>4.38</v>
      </c>
      <c r="J718" s="12">
        <v>4.67</v>
      </c>
      <c r="K718" s="12">
        <v>3.81</v>
      </c>
      <c r="L718" s="12">
        <v>4.16</v>
      </c>
      <c r="M718" s="12">
        <v>3.8</v>
      </c>
      <c r="N718" s="12">
        <v>4.54</v>
      </c>
      <c r="O718" s="12">
        <v>3.45</v>
      </c>
      <c r="P718" s="12">
        <f t="shared" si="67"/>
        <v>4.18</v>
      </c>
      <c r="Q718" s="12">
        <f t="shared" si="68"/>
        <v>4.18</v>
      </c>
      <c r="R718" s="12">
        <f t="shared" si="69"/>
        <v>3.9519999999999995</v>
      </c>
      <c r="S718" s="28">
        <f>IFERROR(INDEX('Clean Gamification Data'!$B:$B,MATCH($B718,'Clean Gamification Data'!$A:$A,0)),"Not Found")</f>
        <v>89.901892630000006</v>
      </c>
      <c r="T718" s="28">
        <f>IFERROR(INDEX('Clean Gamification Data'!$C:$C,MATCH($B718,'Clean Gamification Data'!$A:$A,0)),"Not Found")</f>
        <v>60.153965599999999</v>
      </c>
      <c r="U718" s="28">
        <f>IFERROR(INDEX('Clean Gamification Data'!$D:$D,MATCH($B718,'Clean Gamification Data'!$A:$A,0)),"Not Found")</f>
        <v>70</v>
      </c>
      <c r="V718" s="28">
        <f>IFERROR(INDEX('Clean Gamification Data'!$E:$E,MATCH($B718,'Clean Gamification Data'!$A:$A,0)),"Not Found")</f>
        <v>57.687112419999998</v>
      </c>
      <c r="W718" s="28">
        <f>IFERROR(INDEX('Clean Gamification Data'!$F:$F,MATCH($B718,'Clean Gamification Data'!$A:$A,0)),"Not Found")</f>
        <v>82.577806440000003</v>
      </c>
      <c r="X718" s="28">
        <f>IFERROR(INDEX('Clean Gamification Data'!$G:$G,MATCH($B718,'Clean Gamification Data'!$A:$A,0)),"Not Found")</f>
        <v>84.236001400000006</v>
      </c>
      <c r="Y718" s="28">
        <f>IFERROR(INDEX('Clean Gamification Data'!$H:$H,MATCH($B718,'Clean Gamification Data'!$A:$A,0)),"Not Found")</f>
        <v>71.267634569999998</v>
      </c>
      <c r="Z718" s="28">
        <f>IFERROR(INDEX('Clean Gamification Data'!$I:$I,MATCH($B718,'Clean Gamification Data'!$A:$A,0)),"Not Found")</f>
        <v>50</v>
      </c>
      <c r="AA718" s="28">
        <f>Table1[[#This Row],[Engagement (Gamification %)]]-Table1[[#This Row],[Engagement (Non-Gamification %)]]</f>
        <v>29.747927030000007</v>
      </c>
      <c r="AB718" s="28">
        <f>Table1[[#This Row],[Motivation (Gamification %)]]-Table1[[#This Row],[Motivation (Non-Gamification %)]]</f>
        <v>12.312887580000002</v>
      </c>
      <c r="AC718" s="28">
        <f>Table1[[#This Row],[Participation (Gamification %)]]-Table1[[#This Row],[Participation (Non-Gamification %)]]</f>
        <v>-1.658194960000003</v>
      </c>
      <c r="AD718" s="28">
        <f>Table1[[#This Row],[Learning Outcomes (Gamification %)]]-Table1[[#This Row],[Learning Outcomes (Non-Gamification %)]]</f>
        <v>21.267634569999998</v>
      </c>
      <c r="AE718" s="44" t="str">
        <f>IF(Table1[[#This Row],[Overall Effectiveness]]&lt;3.9,"Low",IF(Table1[[#This Row],[Overall Effectiveness]]&lt;4.2,"Medium","High"))</f>
        <v>Medium</v>
      </c>
      <c r="AF718" s="30" t="str">
        <f t="shared" si="70"/>
        <v>Online Tutorials</v>
      </c>
      <c r="AG718" s="30" t="str">
        <f t="shared" si="71"/>
        <v>Experiments</v>
      </c>
      <c r="AH718" s="27">
        <f>COUNTIF(Teacher_Master!$D$2:$D$16,AF718)</f>
        <v>3</v>
      </c>
      <c r="AI718" s="30" t="str">
        <f>INDEX(Teacher_Master!$B$2:$B$16,MATCH(AF718,Teacher_Master!$D$2:$D$16,0))</f>
        <v>Prof. Kavita Rao</v>
      </c>
    </row>
    <row r="719" spans="1:35" ht="14.25" customHeight="1" x14ac:dyDescent="0.3">
      <c r="A719" s="31" t="s">
        <v>1469</v>
      </c>
      <c r="B719" s="31" t="s">
        <v>2593</v>
      </c>
      <c r="C719" s="31" t="s">
        <v>2882</v>
      </c>
      <c r="D719" s="12">
        <f t="shared" ca="1" si="66"/>
        <v>25</v>
      </c>
      <c r="E719" s="12" t="str">
        <f ca="1">IF(Table1[[#This Row],[Age]]&lt;=22,"20-22",IF(Table1[[#This Row],[Age]]&lt;=25,"23-25",IF(Table1[[#This Row],[Age]]&lt;=28,"26-28","29-30")))</f>
        <v>23-25</v>
      </c>
      <c r="F719" s="12">
        <v>4.3099999999999996</v>
      </c>
      <c r="G719" s="12">
        <v>3.67</v>
      </c>
      <c r="H719" s="12">
        <v>4.26</v>
      </c>
      <c r="I719" s="12">
        <v>4.16</v>
      </c>
      <c r="J719" s="12">
        <v>4.4000000000000004</v>
      </c>
      <c r="K719" s="12" t="s">
        <v>211</v>
      </c>
      <c r="L719" s="12">
        <v>4.28</v>
      </c>
      <c r="M719" s="12">
        <v>4.18</v>
      </c>
      <c r="N719" s="12">
        <v>4.58</v>
      </c>
      <c r="O719" s="12">
        <v>3.8</v>
      </c>
      <c r="P719" s="12">
        <f t="shared" si="67"/>
        <v>4.1599999999999993</v>
      </c>
      <c r="Q719" s="12">
        <f t="shared" si="68"/>
        <v>4.16</v>
      </c>
      <c r="R719" s="12">
        <f t="shared" si="69"/>
        <v>4.21</v>
      </c>
      <c r="S719" s="28">
        <f>IFERROR(INDEX('Clean Gamification Data'!$B:$B,MATCH($B719,'Clean Gamification Data'!$A:$A,0)),"Not Found")</f>
        <v>84.882018860000002</v>
      </c>
      <c r="T719" s="28">
        <f>IFERROR(INDEX('Clean Gamification Data'!$C:$C,MATCH($B719,'Clean Gamification Data'!$A:$A,0)),"Not Found")</f>
        <v>64.509725290000006</v>
      </c>
      <c r="U719" s="28">
        <f>IFERROR(INDEX('Clean Gamification Data'!$D:$D,MATCH($B719,'Clean Gamification Data'!$A:$A,0)),"Not Found")</f>
        <v>73.53606533</v>
      </c>
      <c r="V719" s="28">
        <f>IFERROR(INDEX('Clean Gamification Data'!$E:$E,MATCH($B719,'Clean Gamification Data'!$A:$A,0)),"Not Found")</f>
        <v>68.425304760000003</v>
      </c>
      <c r="W719" s="28">
        <f>IFERROR(INDEX('Clean Gamification Data'!$F:$F,MATCH($B719,'Clean Gamification Data'!$A:$A,0)),"Not Found")</f>
        <v>95.493416980000006</v>
      </c>
      <c r="X719" s="28">
        <f>IFERROR(INDEX('Clean Gamification Data'!$G:$G,MATCH($B719,'Clean Gamification Data'!$A:$A,0)),"Not Found")</f>
        <v>81.259162140000001</v>
      </c>
      <c r="Y719" s="28">
        <f>IFERROR(INDEX('Clean Gamification Data'!$H:$H,MATCH($B719,'Clean Gamification Data'!$A:$A,0)),"Not Found")</f>
        <v>68.451369499999998</v>
      </c>
      <c r="Z719" s="28">
        <f>IFERROR(INDEX('Clean Gamification Data'!$I:$I,MATCH($B719,'Clean Gamification Data'!$A:$A,0)),"Not Found")</f>
        <v>55.547766709999998</v>
      </c>
      <c r="AA719" s="28">
        <f>Table1[[#This Row],[Engagement (Gamification %)]]-Table1[[#This Row],[Engagement (Non-Gamification %)]]</f>
        <v>20.372293569999997</v>
      </c>
      <c r="AB719" s="28">
        <f>Table1[[#This Row],[Motivation (Gamification %)]]-Table1[[#This Row],[Motivation (Non-Gamification %)]]</f>
        <v>5.1107605699999965</v>
      </c>
      <c r="AC719" s="28">
        <f>Table1[[#This Row],[Participation (Gamification %)]]-Table1[[#This Row],[Participation (Non-Gamification %)]]</f>
        <v>14.234254840000006</v>
      </c>
      <c r="AD719" s="28">
        <f>Table1[[#This Row],[Learning Outcomes (Gamification %)]]-Table1[[#This Row],[Learning Outcomes (Non-Gamification %)]]</f>
        <v>12.903602790000001</v>
      </c>
      <c r="AE719" s="44" t="str">
        <f>IF(Table1[[#This Row],[Overall Effectiveness]]&lt;3.9,"Low",IF(Table1[[#This Row],[Overall Effectiveness]]&lt;4.2,"Medium","High"))</f>
        <v>Medium</v>
      </c>
      <c r="AF719" s="30" t="str">
        <f t="shared" si="70"/>
        <v>Online Tutorials</v>
      </c>
      <c r="AG719" s="30" t="str">
        <f t="shared" si="71"/>
        <v>Experiments</v>
      </c>
      <c r="AH719" s="27">
        <f>COUNTIF(Teacher_Master!$D$2:$D$16,AF719)</f>
        <v>3</v>
      </c>
      <c r="AI719" s="30" t="str">
        <f>INDEX(Teacher_Master!$B$2:$B$16,MATCH(AF719,Teacher_Master!$D$2:$D$16,0))</f>
        <v>Prof. Kavita Rao</v>
      </c>
    </row>
    <row r="720" spans="1:35" ht="14.25" customHeight="1" x14ac:dyDescent="0.3">
      <c r="A720" s="31" t="s">
        <v>1471</v>
      </c>
      <c r="B720" s="31" t="s">
        <v>2594</v>
      </c>
      <c r="C720" s="31" t="s">
        <v>2882</v>
      </c>
      <c r="D720" s="12">
        <f t="shared" ca="1" si="66"/>
        <v>22</v>
      </c>
      <c r="E720" s="12" t="str">
        <f ca="1">IF(Table1[[#This Row],[Age]]&lt;=22,"20-22",IF(Table1[[#This Row],[Age]]&lt;=25,"23-25",IF(Table1[[#This Row],[Age]]&lt;=28,"26-28","29-30")))</f>
        <v>20-22</v>
      </c>
      <c r="F720" s="12">
        <v>3.72</v>
      </c>
      <c r="G720" s="12">
        <v>3.38</v>
      </c>
      <c r="H720" s="12">
        <v>4.3</v>
      </c>
      <c r="I720" s="12">
        <v>4.33</v>
      </c>
      <c r="J720" s="12">
        <v>3.86</v>
      </c>
      <c r="K720" s="12">
        <v>3.61</v>
      </c>
      <c r="L720" s="12">
        <v>3.89</v>
      </c>
      <c r="M720" s="12">
        <v>4.0199999999999996</v>
      </c>
      <c r="N720" s="12">
        <v>4.26</v>
      </c>
      <c r="O720" s="12">
        <v>4.07</v>
      </c>
      <c r="P720" s="12">
        <f t="shared" si="67"/>
        <v>3.9180000000000001</v>
      </c>
      <c r="Q720" s="12">
        <f t="shared" si="68"/>
        <v>3.92</v>
      </c>
      <c r="R720" s="12">
        <f t="shared" si="69"/>
        <v>3.97</v>
      </c>
      <c r="S720" s="28">
        <f>IFERROR(INDEX('Clean Gamification Data'!$B:$B,MATCH($B720,'Clean Gamification Data'!$A:$A,0)),"Not Found")</f>
        <v>84.539353309999996</v>
      </c>
      <c r="T720" s="28">
        <f>IFERROR(INDEX('Clean Gamification Data'!$C:$C,MATCH($B720,'Clean Gamification Data'!$A:$A,0)),"Not Found")</f>
        <v>70.744104050000004</v>
      </c>
      <c r="U720" s="28">
        <f>IFERROR(INDEX('Clean Gamification Data'!$D:$D,MATCH($B720,'Clean Gamification Data'!$A:$A,0)),"Not Found")</f>
        <v>85.910295450000007</v>
      </c>
      <c r="V720" s="28">
        <f>IFERROR(INDEX('Clean Gamification Data'!$E:$E,MATCH($B720,'Clean Gamification Data'!$A:$A,0)),"Not Found")</f>
        <v>67.130231690000002</v>
      </c>
      <c r="W720" s="28">
        <f>IFERROR(INDEX('Clean Gamification Data'!$F:$F,MATCH($B720,'Clean Gamification Data'!$A:$A,0)),"Not Found")</f>
        <v>93.565000600000005</v>
      </c>
      <c r="X720" s="28">
        <f>IFERROR(INDEX('Clean Gamification Data'!$G:$G,MATCH($B720,'Clean Gamification Data'!$A:$A,0)),"Not Found")</f>
        <v>78.522736980000005</v>
      </c>
      <c r="Y720" s="28">
        <f>IFERROR(INDEX('Clean Gamification Data'!$H:$H,MATCH($B720,'Clean Gamification Data'!$A:$A,0)),"Not Found")</f>
        <v>72.010777709999999</v>
      </c>
      <c r="Z720" s="28">
        <f>IFERROR(INDEX('Clean Gamification Data'!$I:$I,MATCH($B720,'Clean Gamification Data'!$A:$A,0)),"Not Found")</f>
        <v>50</v>
      </c>
      <c r="AA720" s="28">
        <f>Table1[[#This Row],[Engagement (Gamification %)]]-Table1[[#This Row],[Engagement (Non-Gamification %)]]</f>
        <v>13.795249259999991</v>
      </c>
      <c r="AB720" s="28">
        <f>Table1[[#This Row],[Motivation (Gamification %)]]-Table1[[#This Row],[Motivation (Non-Gamification %)]]</f>
        <v>18.780063760000004</v>
      </c>
      <c r="AC720" s="28">
        <f>Table1[[#This Row],[Participation (Gamification %)]]-Table1[[#This Row],[Participation (Non-Gamification %)]]</f>
        <v>15.04226362</v>
      </c>
      <c r="AD720" s="28">
        <f>Table1[[#This Row],[Learning Outcomes (Gamification %)]]-Table1[[#This Row],[Learning Outcomes (Non-Gamification %)]]</f>
        <v>22.010777709999999</v>
      </c>
      <c r="AE720" s="44" t="str">
        <f>IF(Table1[[#This Row],[Overall Effectiveness]]&lt;3.9,"Low",IF(Table1[[#This Row],[Overall Effectiveness]]&lt;4.2,"Medium","High"))</f>
        <v>Medium</v>
      </c>
      <c r="AF720" s="30" t="str">
        <f t="shared" si="70"/>
        <v>Experiments</v>
      </c>
      <c r="AG720" s="30" t="str">
        <f t="shared" si="71"/>
        <v>Experiments</v>
      </c>
      <c r="AH720" s="27">
        <f>COUNTIF(Teacher_Master!$D$2:$D$16,AF720)</f>
        <v>3</v>
      </c>
      <c r="AI720" s="30" t="str">
        <f>INDEX(Teacher_Master!$B$2:$B$16,MATCH(AF720,Teacher_Master!$D$2:$D$16,0))</f>
        <v>Prof. Rahul Singh</v>
      </c>
    </row>
    <row r="721" spans="1:35" ht="14.25" customHeight="1" x14ac:dyDescent="0.3">
      <c r="A721" s="31" t="s">
        <v>1473</v>
      </c>
      <c r="B721" s="31" t="s">
        <v>2595</v>
      </c>
      <c r="C721" s="31" t="s">
        <v>2882</v>
      </c>
      <c r="D721" s="12">
        <f t="shared" ca="1" si="66"/>
        <v>27</v>
      </c>
      <c r="E721" s="12" t="str">
        <f ca="1">IF(Table1[[#This Row],[Age]]&lt;=22,"20-22",IF(Table1[[#This Row],[Age]]&lt;=25,"23-25",IF(Table1[[#This Row],[Age]]&lt;=28,"26-28","29-30")))</f>
        <v>26-28</v>
      </c>
      <c r="F721" s="12">
        <v>3.89</v>
      </c>
      <c r="G721" s="12">
        <v>3.54</v>
      </c>
      <c r="H721" s="12">
        <v>4.07</v>
      </c>
      <c r="I721" s="12">
        <v>4.57</v>
      </c>
      <c r="J721" s="12">
        <v>4.62</v>
      </c>
      <c r="K721" s="12">
        <v>3.87</v>
      </c>
      <c r="L721" s="12">
        <v>4.34</v>
      </c>
      <c r="M721" s="12">
        <v>3.78</v>
      </c>
      <c r="N721" s="12">
        <v>3.71</v>
      </c>
      <c r="O721" s="12">
        <v>3.77</v>
      </c>
      <c r="P721" s="12">
        <f t="shared" si="67"/>
        <v>4.1379999999999999</v>
      </c>
      <c r="Q721" s="12">
        <f t="shared" si="68"/>
        <v>4.1399999999999997</v>
      </c>
      <c r="R721" s="12">
        <f t="shared" si="69"/>
        <v>3.8939999999999997</v>
      </c>
      <c r="S721" s="28">
        <f>IFERROR(INDEX('Clean Gamification Data'!$B:$B,MATCH($B721,'Clean Gamification Data'!$A:$A,0)),"Not Found")</f>
        <v>83.622851420000003</v>
      </c>
      <c r="T721" s="28">
        <f>IFERROR(INDEX('Clean Gamification Data'!$C:$C,MATCH($B721,'Clean Gamification Data'!$A:$A,0)),"Not Found")</f>
        <v>73.790133330000003</v>
      </c>
      <c r="U721" s="28">
        <f>IFERROR(INDEX('Clean Gamification Data'!$D:$D,MATCH($B721,'Clean Gamification Data'!$A:$A,0)),"Not Found")</f>
        <v>79.280950939999997</v>
      </c>
      <c r="V721" s="28">
        <f>IFERROR(INDEX('Clean Gamification Data'!$E:$E,MATCH($B721,'Clean Gamification Data'!$A:$A,0)),"Not Found")</f>
        <v>75</v>
      </c>
      <c r="W721" s="28">
        <f>IFERROR(INDEX('Clean Gamification Data'!$F:$F,MATCH($B721,'Clean Gamification Data'!$A:$A,0)),"Not Found")</f>
        <v>82.801534450000005</v>
      </c>
      <c r="X721" s="28">
        <f>IFERROR(INDEX('Clean Gamification Data'!$G:$G,MATCH($B721,'Clean Gamification Data'!$A:$A,0)),"Not Found")</f>
        <v>74.104020599999998</v>
      </c>
      <c r="Y721" s="28">
        <f>IFERROR(INDEX('Clean Gamification Data'!$H:$H,MATCH($B721,'Clean Gamification Data'!$A:$A,0)),"Not Found")</f>
        <v>74.726212090000004</v>
      </c>
      <c r="Z721" s="28">
        <f>IFERROR(INDEX('Clean Gamification Data'!$I:$I,MATCH($B721,'Clean Gamification Data'!$A:$A,0)),"Not Found")</f>
        <v>55.43724272</v>
      </c>
      <c r="AA721" s="28">
        <f>Table1[[#This Row],[Engagement (Gamification %)]]-Table1[[#This Row],[Engagement (Non-Gamification %)]]</f>
        <v>9.8327180900000002</v>
      </c>
      <c r="AB721" s="28">
        <f>Table1[[#This Row],[Motivation (Gamification %)]]-Table1[[#This Row],[Motivation (Non-Gamification %)]]</f>
        <v>4.2809509399999968</v>
      </c>
      <c r="AC721" s="28">
        <f>Table1[[#This Row],[Participation (Gamification %)]]-Table1[[#This Row],[Participation (Non-Gamification %)]]</f>
        <v>8.6975138500000071</v>
      </c>
      <c r="AD721" s="28">
        <f>Table1[[#This Row],[Learning Outcomes (Gamification %)]]-Table1[[#This Row],[Learning Outcomes (Non-Gamification %)]]</f>
        <v>19.288969370000004</v>
      </c>
      <c r="AE721" s="44" t="str">
        <f>IF(Table1[[#This Row],[Overall Effectiveness]]&lt;3.9,"Low",IF(Table1[[#This Row],[Overall Effectiveness]]&lt;4.2,"Medium","High"))</f>
        <v>Medium</v>
      </c>
      <c r="AF721" s="30" t="str">
        <f t="shared" si="70"/>
        <v>Online Tutorials</v>
      </c>
      <c r="AG721" s="30" t="str">
        <f t="shared" si="71"/>
        <v>Case Studies</v>
      </c>
      <c r="AH721" s="27">
        <f>COUNTIF(Teacher_Master!$D$2:$D$16,AF721)</f>
        <v>3</v>
      </c>
      <c r="AI721" s="30" t="str">
        <f>INDEX(Teacher_Master!$B$2:$B$16,MATCH(AF721,Teacher_Master!$D$2:$D$16,0))</f>
        <v>Prof. Kavita Rao</v>
      </c>
    </row>
    <row r="722" spans="1:35" ht="14.25" customHeight="1" x14ac:dyDescent="0.3">
      <c r="A722" s="31" t="s">
        <v>1475</v>
      </c>
      <c r="B722" s="31" t="s">
        <v>1476</v>
      </c>
      <c r="C722" s="31" t="s">
        <v>2882</v>
      </c>
      <c r="D722" s="12">
        <f t="shared" ca="1" si="66"/>
        <v>23</v>
      </c>
      <c r="E722" s="12" t="str">
        <f ca="1">IF(Table1[[#This Row],[Age]]&lt;=22,"20-22",IF(Table1[[#This Row],[Age]]&lt;=25,"23-25",IF(Table1[[#This Row],[Age]]&lt;=28,"26-28","29-30")))</f>
        <v>23-25</v>
      </c>
      <c r="F722" s="12">
        <v>4.21</v>
      </c>
      <c r="G722" s="12">
        <v>3.94</v>
      </c>
      <c r="H722" s="12">
        <v>3.94</v>
      </c>
      <c r="I722" s="12">
        <v>4.18</v>
      </c>
      <c r="J722" s="12">
        <v>3.99</v>
      </c>
      <c r="K722" s="12">
        <v>4.13</v>
      </c>
      <c r="L722" s="12">
        <v>3.85</v>
      </c>
      <c r="M722" s="12">
        <v>4.0599999999999996</v>
      </c>
      <c r="N722" s="12">
        <v>4.34</v>
      </c>
      <c r="O722" s="12">
        <v>4</v>
      </c>
      <c r="P722" s="12">
        <f t="shared" si="67"/>
        <v>4.0519999999999996</v>
      </c>
      <c r="Q722" s="12">
        <f t="shared" si="68"/>
        <v>4.05</v>
      </c>
      <c r="R722" s="12">
        <f t="shared" si="69"/>
        <v>4.0759999999999996</v>
      </c>
      <c r="S722" s="28">
        <f>IFERROR(INDEX('Clean Gamification Data'!$B:$B,MATCH($B722,'Clean Gamification Data'!$A:$A,0)),"Not Found")</f>
        <v>83.658014600000001</v>
      </c>
      <c r="T722" s="28">
        <f>IFERROR(INDEX('Clean Gamification Data'!$C:$C,MATCH($B722,'Clean Gamification Data'!$A:$A,0)),"Not Found")</f>
        <v>78.671337129999998</v>
      </c>
      <c r="U722" s="28">
        <f>IFERROR(INDEX('Clean Gamification Data'!$D:$D,MATCH($B722,'Clean Gamification Data'!$A:$A,0)),"Not Found")</f>
        <v>71.984066310000003</v>
      </c>
      <c r="V722" s="28">
        <f>IFERROR(INDEX('Clean Gamification Data'!$E:$E,MATCH($B722,'Clean Gamification Data'!$A:$A,0)),"Not Found")</f>
        <v>56.702398510000002</v>
      </c>
      <c r="W722" s="28">
        <f>IFERROR(INDEX('Clean Gamification Data'!$F:$F,MATCH($B722,'Clean Gamification Data'!$A:$A,0)),"Not Found")</f>
        <v>98.382593830000005</v>
      </c>
      <c r="X722" s="28">
        <f>IFERROR(INDEX('Clean Gamification Data'!$G:$G,MATCH($B722,'Clean Gamification Data'!$A:$A,0)),"Not Found")</f>
        <v>69.711644199999995</v>
      </c>
      <c r="Y722" s="28">
        <f>IFERROR(INDEX('Clean Gamification Data'!$H:$H,MATCH($B722,'Clean Gamification Data'!$A:$A,0)),"Not Found")</f>
        <v>70.726646869999996</v>
      </c>
      <c r="Z722" s="28">
        <f>IFERROR(INDEX('Clean Gamification Data'!$I:$I,MATCH($B722,'Clean Gamification Data'!$A:$A,0)),"Not Found")</f>
        <v>63.340629560000004</v>
      </c>
      <c r="AA722" s="28">
        <f>Table1[[#This Row],[Engagement (Gamification %)]]-Table1[[#This Row],[Engagement (Non-Gamification %)]]</f>
        <v>4.9866774700000036</v>
      </c>
      <c r="AB722" s="28">
        <f>Table1[[#This Row],[Motivation (Gamification %)]]-Table1[[#This Row],[Motivation (Non-Gamification %)]]</f>
        <v>15.281667800000001</v>
      </c>
      <c r="AC722" s="28">
        <f>Table1[[#This Row],[Participation (Gamification %)]]-Table1[[#This Row],[Participation (Non-Gamification %)]]</f>
        <v>28.67094963000001</v>
      </c>
      <c r="AD722" s="28">
        <f>Table1[[#This Row],[Learning Outcomes (Gamification %)]]-Table1[[#This Row],[Learning Outcomes (Non-Gamification %)]]</f>
        <v>7.3860173099999926</v>
      </c>
      <c r="AE722" s="44" t="str">
        <f>IF(Table1[[#This Row],[Overall Effectiveness]]&lt;3.9,"Low",IF(Table1[[#This Row],[Overall Effectiveness]]&lt;4.2,"Medium","High"))</f>
        <v>Medium</v>
      </c>
      <c r="AF722" s="30" t="str">
        <f t="shared" si="70"/>
        <v>Lectures</v>
      </c>
      <c r="AG722" s="30" t="str">
        <f t="shared" si="71"/>
        <v>Experiments</v>
      </c>
      <c r="AH722" s="27">
        <f>COUNTIF(Teacher_Master!$D$2:$D$16,AF722)</f>
        <v>3</v>
      </c>
      <c r="AI722" s="30" t="str">
        <f>INDEX(Teacher_Master!$B$2:$B$16,MATCH(AF722,Teacher_Master!$D$2:$D$16,0))</f>
        <v>Prof. Vikram Gupta</v>
      </c>
    </row>
    <row r="723" spans="1:35" ht="14.25" customHeight="1" x14ac:dyDescent="0.3">
      <c r="A723" s="31" t="s">
        <v>1477</v>
      </c>
      <c r="B723" s="31" t="s">
        <v>1478</v>
      </c>
      <c r="C723" s="31" t="s">
        <v>2882</v>
      </c>
      <c r="D723" s="12">
        <f t="shared" ca="1" si="66"/>
        <v>28</v>
      </c>
      <c r="E723" s="12" t="str">
        <f ca="1">IF(Table1[[#This Row],[Age]]&lt;=22,"20-22",IF(Table1[[#This Row],[Age]]&lt;=25,"23-25",IF(Table1[[#This Row],[Age]]&lt;=28,"26-28","29-30")))</f>
        <v>26-28</v>
      </c>
      <c r="F723" s="12">
        <v>4.42</v>
      </c>
      <c r="G723" s="12">
        <v>3.54</v>
      </c>
      <c r="H723" s="12">
        <v>3.96</v>
      </c>
      <c r="I723" s="12">
        <v>4.41</v>
      </c>
      <c r="J723" s="12">
        <v>4.05</v>
      </c>
      <c r="K723" s="12">
        <v>4.07</v>
      </c>
      <c r="L723" s="12">
        <v>3.83</v>
      </c>
      <c r="M723" s="12">
        <v>3.82</v>
      </c>
      <c r="N723" s="12">
        <v>4.7</v>
      </c>
      <c r="O723" s="12">
        <v>3.71</v>
      </c>
      <c r="P723" s="12">
        <f t="shared" si="67"/>
        <v>4.0759999999999996</v>
      </c>
      <c r="Q723" s="12">
        <f t="shared" si="68"/>
        <v>4.08</v>
      </c>
      <c r="R723" s="12">
        <f t="shared" si="69"/>
        <v>4.0260000000000007</v>
      </c>
      <c r="S723" s="28">
        <f>IFERROR(INDEX('Clean Gamification Data'!$B:$B,MATCH($B723,'Clean Gamification Data'!$A:$A,0)),"Not Found")</f>
        <v>75</v>
      </c>
      <c r="T723" s="28">
        <f>IFERROR(INDEX('Clean Gamification Data'!$C:$C,MATCH($B723,'Clean Gamification Data'!$A:$A,0)),"Not Found")</f>
        <v>72.969206749999998</v>
      </c>
      <c r="U723" s="28">
        <f>IFERROR(INDEX('Clean Gamification Data'!$D:$D,MATCH($B723,'Clean Gamification Data'!$A:$A,0)),"Not Found")</f>
        <v>85.455816400000003</v>
      </c>
      <c r="V723" s="28">
        <f>IFERROR(INDEX('Clean Gamification Data'!$E:$E,MATCH($B723,'Clean Gamification Data'!$A:$A,0)),"Not Found")</f>
        <v>70.842140099999995</v>
      </c>
      <c r="W723" s="28">
        <f>IFERROR(INDEX('Clean Gamification Data'!$F:$F,MATCH($B723,'Clean Gamification Data'!$A:$A,0)),"Not Found")</f>
        <v>92.092888509999995</v>
      </c>
      <c r="X723" s="28">
        <f>IFERROR(INDEX('Clean Gamification Data'!$G:$G,MATCH($B723,'Clean Gamification Data'!$A:$A,0)),"Not Found")</f>
        <v>85</v>
      </c>
      <c r="Y723" s="28">
        <f>IFERROR(INDEX('Clean Gamification Data'!$H:$H,MATCH($B723,'Clean Gamification Data'!$A:$A,0)),"Not Found")</f>
        <v>76.424360280000002</v>
      </c>
      <c r="Z723" s="28">
        <f>IFERROR(INDEX('Clean Gamification Data'!$I:$I,MATCH($B723,'Clean Gamification Data'!$A:$A,0)),"Not Found")</f>
        <v>52.334772639999997</v>
      </c>
      <c r="AA723" s="28">
        <f>Table1[[#This Row],[Engagement (Gamification %)]]-Table1[[#This Row],[Engagement (Non-Gamification %)]]</f>
        <v>2.0307932500000021</v>
      </c>
      <c r="AB723" s="28">
        <f>Table1[[#This Row],[Motivation (Gamification %)]]-Table1[[#This Row],[Motivation (Non-Gamification %)]]</f>
        <v>14.613676300000009</v>
      </c>
      <c r="AC723" s="28">
        <f>Table1[[#This Row],[Participation (Gamification %)]]-Table1[[#This Row],[Participation (Non-Gamification %)]]</f>
        <v>7.0928885099999945</v>
      </c>
      <c r="AD723" s="28">
        <f>Table1[[#This Row],[Learning Outcomes (Gamification %)]]-Table1[[#This Row],[Learning Outcomes (Non-Gamification %)]]</f>
        <v>24.089587640000005</v>
      </c>
      <c r="AE723" s="44" t="str">
        <f>IF(Table1[[#This Row],[Overall Effectiveness]]&lt;3.9,"Low",IF(Table1[[#This Row],[Overall Effectiveness]]&lt;4.2,"Medium","High"))</f>
        <v>Medium</v>
      </c>
      <c r="AF723" s="30" t="str">
        <f t="shared" si="70"/>
        <v>Lectures</v>
      </c>
      <c r="AG723" s="30" t="str">
        <f t="shared" si="71"/>
        <v>Experiments</v>
      </c>
      <c r="AH723" s="27">
        <f>COUNTIF(Teacher_Master!$D$2:$D$16,AF723)</f>
        <v>3</v>
      </c>
      <c r="AI723" s="30" t="str">
        <f>INDEX(Teacher_Master!$B$2:$B$16,MATCH(AF723,Teacher_Master!$D$2:$D$16,0))</f>
        <v>Prof. Vikram Gupta</v>
      </c>
    </row>
    <row r="724" spans="1:35" ht="14.25" customHeight="1" x14ac:dyDescent="0.3">
      <c r="A724" s="31" t="s">
        <v>1479</v>
      </c>
      <c r="B724" s="31" t="s">
        <v>1480</v>
      </c>
      <c r="C724" s="31" t="s">
        <v>2882</v>
      </c>
      <c r="D724" s="12">
        <f t="shared" ca="1" si="66"/>
        <v>26</v>
      </c>
      <c r="E724" s="12" t="str">
        <f ca="1">IF(Table1[[#This Row],[Age]]&lt;=22,"20-22",IF(Table1[[#This Row],[Age]]&lt;=25,"23-25",IF(Table1[[#This Row],[Age]]&lt;=28,"26-28","29-30")))</f>
        <v>26-28</v>
      </c>
      <c r="F724" s="12">
        <v>4.67</v>
      </c>
      <c r="G724" s="12">
        <v>3.78</v>
      </c>
      <c r="H724" s="12">
        <v>4.1100000000000003</v>
      </c>
      <c r="I724" s="12">
        <v>3.96</v>
      </c>
      <c r="J724" s="12">
        <v>4.41</v>
      </c>
      <c r="K724" s="12">
        <v>4.0599999999999996</v>
      </c>
      <c r="L724" s="12">
        <v>4</v>
      </c>
      <c r="M724" s="12">
        <v>4.2</v>
      </c>
      <c r="N724" s="12">
        <v>3.75</v>
      </c>
      <c r="O724" s="12">
        <v>4.47</v>
      </c>
      <c r="P724" s="12">
        <f t="shared" si="67"/>
        <v>4.1859999999999999</v>
      </c>
      <c r="Q724" s="12">
        <f t="shared" si="68"/>
        <v>4.1900000000000004</v>
      </c>
      <c r="R724" s="12">
        <f t="shared" si="69"/>
        <v>4.0959999999999992</v>
      </c>
      <c r="S724" s="28">
        <f>IFERROR(INDEX('Clean Gamification Data'!$B:$B,MATCH($B724,'Clean Gamification Data'!$A:$A,0)),"Not Found")</f>
        <v>89.466572220000003</v>
      </c>
      <c r="T724" s="28">
        <f>IFERROR(INDEX('Clean Gamification Data'!$C:$C,MATCH($B724,'Clean Gamification Data'!$A:$A,0)),"Not Found")</f>
        <v>71.858715059999994</v>
      </c>
      <c r="U724" s="28">
        <f>IFERROR(INDEX('Clean Gamification Data'!$D:$D,MATCH($B724,'Clean Gamification Data'!$A:$A,0)),"Not Found")</f>
        <v>90</v>
      </c>
      <c r="V724" s="28">
        <f>IFERROR(INDEX('Clean Gamification Data'!$E:$E,MATCH($B724,'Clean Gamification Data'!$A:$A,0)),"Not Found")</f>
        <v>75</v>
      </c>
      <c r="W724" s="28">
        <f>IFERROR(INDEX('Clean Gamification Data'!$F:$F,MATCH($B724,'Clean Gamification Data'!$A:$A,0)),"Not Found")</f>
        <v>96.788954770000004</v>
      </c>
      <c r="X724" s="28">
        <f>IFERROR(INDEX('Clean Gamification Data'!$G:$G,MATCH($B724,'Clean Gamification Data'!$A:$A,0)),"Not Found")</f>
        <v>80.958577559999995</v>
      </c>
      <c r="Y724" s="28">
        <f>IFERROR(INDEX('Clean Gamification Data'!$H:$H,MATCH($B724,'Clean Gamification Data'!$A:$A,0)),"Not Found")</f>
        <v>70.542742840000003</v>
      </c>
      <c r="Z724" s="28">
        <f>IFERROR(INDEX('Clean Gamification Data'!$I:$I,MATCH($B724,'Clean Gamification Data'!$A:$A,0)),"Not Found")</f>
        <v>55.28916684</v>
      </c>
      <c r="AA724" s="28">
        <f>Table1[[#This Row],[Engagement (Gamification %)]]-Table1[[#This Row],[Engagement (Non-Gamification %)]]</f>
        <v>17.607857160000009</v>
      </c>
      <c r="AB724" s="28">
        <f>Table1[[#This Row],[Motivation (Gamification %)]]-Table1[[#This Row],[Motivation (Non-Gamification %)]]</f>
        <v>15</v>
      </c>
      <c r="AC724" s="28">
        <f>Table1[[#This Row],[Participation (Gamification %)]]-Table1[[#This Row],[Participation (Non-Gamification %)]]</f>
        <v>15.830377210000009</v>
      </c>
      <c r="AD724" s="28">
        <f>Table1[[#This Row],[Learning Outcomes (Gamification %)]]-Table1[[#This Row],[Learning Outcomes (Non-Gamification %)]]</f>
        <v>15.253576000000002</v>
      </c>
      <c r="AE724" s="44" t="str">
        <f>IF(Table1[[#This Row],[Overall Effectiveness]]&lt;3.9,"Low",IF(Table1[[#This Row],[Overall Effectiveness]]&lt;4.2,"Medium","High"))</f>
        <v>Medium</v>
      </c>
      <c r="AF724" s="30" t="str">
        <f t="shared" si="70"/>
        <v>Lectures</v>
      </c>
      <c r="AG724" s="30" t="str">
        <f t="shared" si="71"/>
        <v>Online Tutorials</v>
      </c>
      <c r="AH724" s="27">
        <f>COUNTIF(Teacher_Master!$D$2:$D$16,AF724)</f>
        <v>3</v>
      </c>
      <c r="AI724" s="30" t="str">
        <f>INDEX(Teacher_Master!$B$2:$B$16,MATCH(AF724,Teacher_Master!$D$2:$D$16,0))</f>
        <v>Prof. Vikram Gupta</v>
      </c>
    </row>
    <row r="725" spans="1:35" ht="14.25" customHeight="1" x14ac:dyDescent="0.3">
      <c r="A725" s="31" t="s">
        <v>1481</v>
      </c>
      <c r="B725" s="31" t="s">
        <v>2596</v>
      </c>
      <c r="C725" s="31" t="s">
        <v>2882</v>
      </c>
      <c r="D725" s="12">
        <f t="shared" ca="1" si="66"/>
        <v>30</v>
      </c>
      <c r="E725" s="12" t="str">
        <f ca="1">IF(Table1[[#This Row],[Age]]&lt;=22,"20-22",IF(Table1[[#This Row],[Age]]&lt;=25,"23-25",IF(Table1[[#This Row],[Age]]&lt;=28,"26-28","29-30")))</f>
        <v>29-30</v>
      </c>
      <c r="F725" s="12">
        <v>4.3899999999999997</v>
      </c>
      <c r="G725" s="12">
        <v>4.07</v>
      </c>
      <c r="H725" s="12">
        <v>4.18</v>
      </c>
      <c r="I725" s="12">
        <v>4.42</v>
      </c>
      <c r="J725" s="12">
        <v>4.3099999999999996</v>
      </c>
      <c r="K725" s="12">
        <v>3.85</v>
      </c>
      <c r="L725" s="12">
        <v>4.08</v>
      </c>
      <c r="M725" s="12">
        <v>4.03</v>
      </c>
      <c r="N725" s="12">
        <v>4.08</v>
      </c>
      <c r="O725" s="12">
        <v>3.81</v>
      </c>
      <c r="P725" s="12">
        <f t="shared" si="67"/>
        <v>4.274</v>
      </c>
      <c r="Q725" s="12">
        <f t="shared" si="68"/>
        <v>4.2699999999999996</v>
      </c>
      <c r="R725" s="12">
        <f t="shared" si="69"/>
        <v>3.9699999999999998</v>
      </c>
      <c r="S725" s="28">
        <f>IFERROR(INDEX('Clean Gamification Data'!$B:$B,MATCH($B725,'Clean Gamification Data'!$A:$A,0)),"Not Found")</f>
        <v>85.777527770000006</v>
      </c>
      <c r="T725" s="28">
        <f>IFERROR(INDEX('Clean Gamification Data'!$C:$C,MATCH($B725,'Clean Gamification Data'!$A:$A,0)),"Not Found")</f>
        <v>60</v>
      </c>
      <c r="U725" s="28">
        <f>IFERROR(INDEX('Clean Gamification Data'!$D:$D,MATCH($B725,'Clean Gamification Data'!$A:$A,0)),"Not Found")</f>
        <v>73.242793730000002</v>
      </c>
      <c r="V725" s="28">
        <f>IFERROR(INDEX('Clean Gamification Data'!$E:$E,MATCH($B725,'Clean Gamification Data'!$A:$A,0)),"Not Found")</f>
        <v>60.923067039999999</v>
      </c>
      <c r="W725" s="28">
        <f>IFERROR(INDEX('Clean Gamification Data'!$F:$F,MATCH($B725,'Clean Gamification Data'!$A:$A,0)),"Not Found")</f>
        <v>90.624888549999994</v>
      </c>
      <c r="X725" s="28">
        <f>IFERROR(INDEX('Clean Gamification Data'!$G:$G,MATCH($B725,'Clean Gamification Data'!$A:$A,0)),"Not Found")</f>
        <v>85</v>
      </c>
      <c r="Y725" s="28">
        <f>IFERROR(INDEX('Clean Gamification Data'!$H:$H,MATCH($B725,'Clean Gamification Data'!$A:$A,0)),"Not Found")</f>
        <v>69.767610959999999</v>
      </c>
      <c r="Z725" s="28">
        <f>IFERROR(INDEX('Clean Gamification Data'!$I:$I,MATCH($B725,'Clean Gamification Data'!$A:$A,0)),"Not Found")</f>
        <v>70</v>
      </c>
      <c r="AA725" s="28">
        <f>Table1[[#This Row],[Engagement (Gamification %)]]-Table1[[#This Row],[Engagement (Non-Gamification %)]]</f>
        <v>25.777527770000006</v>
      </c>
      <c r="AB725" s="28">
        <f>Table1[[#This Row],[Motivation (Gamification %)]]-Table1[[#This Row],[Motivation (Non-Gamification %)]]</f>
        <v>12.319726690000003</v>
      </c>
      <c r="AC725" s="28">
        <f>Table1[[#This Row],[Participation (Gamification %)]]-Table1[[#This Row],[Participation (Non-Gamification %)]]</f>
        <v>5.6248885499999943</v>
      </c>
      <c r="AD725" s="28">
        <f>Table1[[#This Row],[Learning Outcomes (Gamification %)]]-Table1[[#This Row],[Learning Outcomes (Non-Gamification %)]]</f>
        <v>-0.23238904000000105</v>
      </c>
      <c r="AE725" s="44" t="str">
        <f>IF(Table1[[#This Row],[Overall Effectiveness]]&lt;3.9,"Low",IF(Table1[[#This Row],[Overall Effectiveness]]&lt;4.2,"Medium","High"))</f>
        <v>High</v>
      </c>
      <c r="AF725" s="30" t="str">
        <f t="shared" si="70"/>
        <v>Experiments</v>
      </c>
      <c r="AG725" s="30" t="str">
        <f t="shared" si="71"/>
        <v>Case Studies</v>
      </c>
      <c r="AH725" s="27">
        <f>COUNTIF(Teacher_Master!$D$2:$D$16,AF725)</f>
        <v>3</v>
      </c>
      <c r="AI725" s="30" t="str">
        <f>INDEX(Teacher_Master!$B$2:$B$16,MATCH(AF725,Teacher_Master!$D$2:$D$16,0))</f>
        <v>Prof. Rahul Singh</v>
      </c>
    </row>
    <row r="726" spans="1:35" ht="14.25" customHeight="1" x14ac:dyDescent="0.3">
      <c r="A726" s="31" t="s">
        <v>1483</v>
      </c>
      <c r="B726" s="31" t="s">
        <v>2597</v>
      </c>
      <c r="C726" s="31" t="s">
        <v>2882</v>
      </c>
      <c r="D726" s="12">
        <f t="shared" ca="1" si="66"/>
        <v>24</v>
      </c>
      <c r="E726" s="12" t="str">
        <f ca="1">IF(Table1[[#This Row],[Age]]&lt;=22,"20-22",IF(Table1[[#This Row],[Age]]&lt;=25,"23-25",IF(Table1[[#This Row],[Age]]&lt;=28,"26-28","29-30")))</f>
        <v>23-25</v>
      </c>
      <c r="F726" s="12">
        <v>3.84</v>
      </c>
      <c r="G726" s="12">
        <v>4.2699999999999996</v>
      </c>
      <c r="H726" s="12">
        <v>4.3600000000000003</v>
      </c>
      <c r="I726" s="12">
        <v>3.8</v>
      </c>
      <c r="J726" s="12">
        <v>3.93</v>
      </c>
      <c r="K726" s="12">
        <v>5.01</v>
      </c>
      <c r="L726" s="12">
        <v>3.86</v>
      </c>
      <c r="M726" s="12">
        <v>3.76</v>
      </c>
      <c r="N726" s="12">
        <v>4.3899999999999997</v>
      </c>
      <c r="O726" s="12">
        <v>4.46</v>
      </c>
      <c r="P726" s="12">
        <f t="shared" si="67"/>
        <v>4.04</v>
      </c>
      <c r="Q726" s="12">
        <f t="shared" si="68"/>
        <v>4.04</v>
      </c>
      <c r="R726" s="12">
        <f t="shared" si="69"/>
        <v>4.2960000000000003</v>
      </c>
      <c r="S726" s="28">
        <f>IFERROR(INDEX('Clean Gamification Data'!$B:$B,MATCH($B726,'Clean Gamification Data'!$A:$A,0)),"Not Found")</f>
        <v>79.737414119999997</v>
      </c>
      <c r="T726" s="28">
        <f>IFERROR(INDEX('Clean Gamification Data'!$C:$C,MATCH($B726,'Clean Gamification Data'!$A:$A,0)),"Not Found")</f>
        <v>75.780519440000006</v>
      </c>
      <c r="U726" s="28">
        <f>IFERROR(INDEX('Clean Gamification Data'!$D:$D,MATCH($B726,'Clean Gamification Data'!$A:$A,0)),"Not Found")</f>
        <v>73.778122870000004</v>
      </c>
      <c r="V726" s="28">
        <f>IFERROR(INDEX('Clean Gamification Data'!$E:$E,MATCH($B726,'Clean Gamification Data'!$A:$A,0)),"Not Found")</f>
        <v>65.553788569999995</v>
      </c>
      <c r="W726" s="28">
        <f>IFERROR(INDEX('Clean Gamification Data'!$F:$F,MATCH($B726,'Clean Gamification Data'!$A:$A,0)),"Not Found")</f>
        <v>96.156781390000006</v>
      </c>
      <c r="X726" s="28">
        <f>IFERROR(INDEX('Clean Gamification Data'!$G:$G,MATCH($B726,'Clean Gamification Data'!$A:$A,0)),"Not Found")</f>
        <v>84.488826309999993</v>
      </c>
      <c r="Y726" s="28">
        <f>IFERROR(INDEX('Clean Gamification Data'!$H:$H,MATCH($B726,'Clean Gamification Data'!$A:$A,0)),"Not Found")</f>
        <v>75.015896740000002</v>
      </c>
      <c r="Z726" s="28">
        <f>IFERROR(INDEX('Clean Gamification Data'!$I:$I,MATCH($B726,'Clean Gamification Data'!$A:$A,0)),"Not Found")</f>
        <v>67.180769789999999</v>
      </c>
      <c r="AA726" s="28">
        <f>Table1[[#This Row],[Engagement (Gamification %)]]-Table1[[#This Row],[Engagement (Non-Gamification %)]]</f>
        <v>3.9568946799999907</v>
      </c>
      <c r="AB726" s="28">
        <f>Table1[[#This Row],[Motivation (Gamification %)]]-Table1[[#This Row],[Motivation (Non-Gamification %)]]</f>
        <v>8.2243343000000095</v>
      </c>
      <c r="AC726" s="28">
        <f>Table1[[#This Row],[Participation (Gamification %)]]-Table1[[#This Row],[Participation (Non-Gamification %)]]</f>
        <v>11.667955080000013</v>
      </c>
      <c r="AD726" s="28">
        <f>Table1[[#This Row],[Learning Outcomes (Gamification %)]]-Table1[[#This Row],[Learning Outcomes (Non-Gamification %)]]</f>
        <v>7.8351269500000029</v>
      </c>
      <c r="AE726" s="44" t="str">
        <f>IF(Table1[[#This Row],[Overall Effectiveness]]&lt;3.9,"Low",IF(Table1[[#This Row],[Overall Effectiveness]]&lt;4.2,"Medium","High"))</f>
        <v>Medium</v>
      </c>
      <c r="AF726" s="30" t="str">
        <f t="shared" si="70"/>
        <v>Group Projects</v>
      </c>
      <c r="AG726" s="30" t="str">
        <f t="shared" si="71"/>
        <v>Lectures</v>
      </c>
      <c r="AH726" s="27">
        <f>COUNTIF(Teacher_Master!$D$2:$D$16,AF726)</f>
        <v>3</v>
      </c>
      <c r="AI726" s="30" t="str">
        <f>INDEX(Teacher_Master!$B$2:$B$16,MATCH(AF726,Teacher_Master!$D$2:$D$16,0))</f>
        <v>Dr. Rohan Dutta</v>
      </c>
    </row>
    <row r="727" spans="1:35" ht="14.25" customHeight="1" x14ac:dyDescent="0.3">
      <c r="A727" s="31" t="s">
        <v>1485</v>
      </c>
      <c r="B727" s="31" t="s">
        <v>2598</v>
      </c>
      <c r="C727" s="31" t="s">
        <v>2882</v>
      </c>
      <c r="D727" s="12">
        <f t="shared" ca="1" si="66"/>
        <v>22</v>
      </c>
      <c r="E727" s="12" t="str">
        <f ca="1">IF(Table1[[#This Row],[Age]]&lt;=22,"20-22",IF(Table1[[#This Row],[Age]]&lt;=25,"23-25",IF(Table1[[#This Row],[Age]]&lt;=28,"26-28","29-30")))</f>
        <v>20-22</v>
      </c>
      <c r="F727" s="12">
        <v>4.42</v>
      </c>
      <c r="G727" s="12">
        <v>3.71</v>
      </c>
      <c r="H727" s="12">
        <v>4.25</v>
      </c>
      <c r="I727" s="12">
        <v>4.22</v>
      </c>
      <c r="J727" s="12">
        <v>4.2699999999999996</v>
      </c>
      <c r="K727" s="12">
        <v>4.3</v>
      </c>
      <c r="L727" s="12">
        <v>4.01</v>
      </c>
      <c r="M727" s="12">
        <v>4.12</v>
      </c>
      <c r="N727" s="12">
        <v>3.66</v>
      </c>
      <c r="O727" s="12">
        <v>3.38</v>
      </c>
      <c r="P727" s="12">
        <f t="shared" si="67"/>
        <v>4.1739999999999995</v>
      </c>
      <c r="Q727" s="12">
        <f t="shared" si="68"/>
        <v>4.17</v>
      </c>
      <c r="R727" s="12">
        <f t="shared" si="69"/>
        <v>3.8939999999999997</v>
      </c>
      <c r="S727" s="28">
        <f>IFERROR(INDEX('Clean Gamification Data'!$B:$B,MATCH($B727,'Clean Gamification Data'!$A:$A,0)),"Not Found")</f>
        <v>81.750834859999998</v>
      </c>
      <c r="T727" s="28">
        <f>IFERROR(INDEX('Clean Gamification Data'!$C:$C,MATCH($B727,'Clean Gamification Data'!$A:$A,0)),"Not Found")</f>
        <v>67.513367479999999</v>
      </c>
      <c r="U727" s="28">
        <f>IFERROR(INDEX('Clean Gamification Data'!$D:$D,MATCH($B727,'Clean Gamification Data'!$A:$A,0)),"Not Found")</f>
        <v>70</v>
      </c>
      <c r="V727" s="28">
        <f>IFERROR(INDEX('Clean Gamification Data'!$E:$E,MATCH($B727,'Clean Gamification Data'!$A:$A,0)),"Not Found")</f>
        <v>62.922261020000001</v>
      </c>
      <c r="W727" s="28">
        <f>IFERROR(INDEX('Clean Gamification Data'!$F:$F,MATCH($B727,'Clean Gamification Data'!$A:$A,0)),"Not Found")</f>
        <v>99.9</v>
      </c>
      <c r="X727" s="28">
        <f>IFERROR(INDEX('Clean Gamification Data'!$G:$G,MATCH($B727,'Clean Gamification Data'!$A:$A,0)),"Not Found")</f>
        <v>76.066254790000002</v>
      </c>
      <c r="Y727" s="28">
        <f>IFERROR(INDEX('Clean Gamification Data'!$H:$H,MATCH($B727,'Clean Gamification Data'!$A:$A,0)),"Not Found")</f>
        <v>75.144578100000004</v>
      </c>
      <c r="Z727" s="28">
        <f>IFERROR(INDEX('Clean Gamification Data'!$I:$I,MATCH($B727,'Clean Gamification Data'!$A:$A,0)),"Not Found")</f>
        <v>57.211768120000002</v>
      </c>
      <c r="AA727" s="28">
        <f>Table1[[#This Row],[Engagement (Gamification %)]]-Table1[[#This Row],[Engagement (Non-Gamification %)]]</f>
        <v>14.237467379999998</v>
      </c>
      <c r="AB727" s="28">
        <f>Table1[[#This Row],[Motivation (Gamification %)]]-Table1[[#This Row],[Motivation (Non-Gamification %)]]</f>
        <v>7.0777389799999995</v>
      </c>
      <c r="AC727" s="28">
        <f>Table1[[#This Row],[Participation (Gamification %)]]-Table1[[#This Row],[Participation (Non-Gamification %)]]</f>
        <v>23.833745210000004</v>
      </c>
      <c r="AD727" s="28">
        <f>Table1[[#This Row],[Learning Outcomes (Gamification %)]]-Table1[[#This Row],[Learning Outcomes (Non-Gamification %)]]</f>
        <v>17.932809980000002</v>
      </c>
      <c r="AE727" s="44" t="str">
        <f>IF(Table1[[#This Row],[Overall Effectiveness]]&lt;3.9,"Low",IF(Table1[[#This Row],[Overall Effectiveness]]&lt;4.2,"Medium","High"))</f>
        <v>Medium</v>
      </c>
      <c r="AF727" s="30" t="str">
        <f t="shared" si="70"/>
        <v>Lectures</v>
      </c>
      <c r="AG727" s="30" t="str">
        <f t="shared" si="71"/>
        <v>Lectures</v>
      </c>
      <c r="AH727" s="27">
        <f>COUNTIF(Teacher_Master!$D$2:$D$16,AF727)</f>
        <v>3</v>
      </c>
      <c r="AI727" s="30" t="str">
        <f>INDEX(Teacher_Master!$B$2:$B$16,MATCH(AF727,Teacher_Master!$D$2:$D$16,0))</f>
        <v>Prof. Vikram Gupta</v>
      </c>
    </row>
    <row r="728" spans="1:35" ht="14.25" customHeight="1" x14ac:dyDescent="0.3">
      <c r="A728" s="31" t="s">
        <v>1487</v>
      </c>
      <c r="B728" s="31" t="s">
        <v>2599</v>
      </c>
      <c r="C728" s="31" t="s">
        <v>2882</v>
      </c>
      <c r="D728" s="12">
        <f t="shared" ca="1" si="66"/>
        <v>23</v>
      </c>
      <c r="E728" s="12" t="str">
        <f ca="1">IF(Table1[[#This Row],[Age]]&lt;=22,"20-22",IF(Table1[[#This Row],[Age]]&lt;=25,"23-25",IF(Table1[[#This Row],[Age]]&lt;=28,"26-28","29-30")))</f>
        <v>23-25</v>
      </c>
      <c r="F728" s="12">
        <v>3.69</v>
      </c>
      <c r="G728" s="12">
        <v>4.24</v>
      </c>
      <c r="H728" s="12">
        <v>4.21</v>
      </c>
      <c r="I728" s="12" t="s">
        <v>211</v>
      </c>
      <c r="J728" s="12">
        <v>3.8</v>
      </c>
      <c r="K728" s="12">
        <v>4.53</v>
      </c>
      <c r="L728" s="12">
        <v>4.33</v>
      </c>
      <c r="M728" s="12">
        <v>3.79</v>
      </c>
      <c r="N728" s="12">
        <v>4.5999999999999996</v>
      </c>
      <c r="O728" s="12">
        <v>3.77</v>
      </c>
      <c r="P728" s="12">
        <f t="shared" si="67"/>
        <v>3.9850000000000003</v>
      </c>
      <c r="Q728" s="12">
        <f t="shared" si="68"/>
        <v>3.99</v>
      </c>
      <c r="R728" s="12">
        <f t="shared" si="69"/>
        <v>4.2039999999999997</v>
      </c>
      <c r="S728" s="28">
        <f>IFERROR(INDEX('Clean Gamification Data'!$B:$B,MATCH($B728,'Clean Gamification Data'!$A:$A,0)),"Not Found")</f>
        <v>86.153654149999994</v>
      </c>
      <c r="T728" s="28">
        <f>IFERROR(INDEX('Clean Gamification Data'!$C:$C,MATCH($B728,'Clean Gamification Data'!$A:$A,0)),"Not Found")</f>
        <v>70.076407660000001</v>
      </c>
      <c r="U728" s="28">
        <f>IFERROR(INDEX('Clean Gamification Data'!$D:$D,MATCH($B728,'Clean Gamification Data'!$A:$A,0)),"Not Found")</f>
        <v>70</v>
      </c>
      <c r="V728" s="28">
        <f>IFERROR(INDEX('Clean Gamification Data'!$E:$E,MATCH($B728,'Clean Gamification Data'!$A:$A,0)),"Not Found")</f>
        <v>66.40452793</v>
      </c>
      <c r="W728" s="28">
        <f>IFERROR(INDEX('Clean Gamification Data'!$F:$F,MATCH($B728,'Clean Gamification Data'!$A:$A,0)),"Not Found")</f>
        <v>80</v>
      </c>
      <c r="X728" s="28">
        <f>IFERROR(INDEX('Clean Gamification Data'!$G:$G,MATCH($B728,'Clean Gamification Data'!$A:$A,0)),"Not Found")</f>
        <v>71.924569829999996</v>
      </c>
      <c r="Y728" s="28">
        <f>IFERROR(INDEX('Clean Gamification Data'!$H:$H,MATCH($B728,'Clean Gamification Data'!$A:$A,0)),"Not Found")</f>
        <v>71.246414720000004</v>
      </c>
      <c r="Z728" s="28">
        <f>IFERROR(INDEX('Clean Gamification Data'!$I:$I,MATCH($B728,'Clean Gamification Data'!$A:$A,0)),"Not Found")</f>
        <v>50</v>
      </c>
      <c r="AA728" s="28">
        <f>Table1[[#This Row],[Engagement (Gamification %)]]-Table1[[#This Row],[Engagement (Non-Gamification %)]]</f>
        <v>16.077246489999993</v>
      </c>
      <c r="AB728" s="28">
        <f>Table1[[#This Row],[Motivation (Gamification %)]]-Table1[[#This Row],[Motivation (Non-Gamification %)]]</f>
        <v>3.5954720699999996</v>
      </c>
      <c r="AC728" s="28">
        <f>Table1[[#This Row],[Participation (Gamification %)]]-Table1[[#This Row],[Participation (Non-Gamification %)]]</f>
        <v>8.0754301700000042</v>
      </c>
      <c r="AD728" s="28">
        <f>Table1[[#This Row],[Learning Outcomes (Gamification %)]]-Table1[[#This Row],[Learning Outcomes (Non-Gamification %)]]</f>
        <v>21.246414720000004</v>
      </c>
      <c r="AE728" s="44" t="str">
        <f>IF(Table1[[#This Row],[Overall Effectiveness]]&lt;3.9,"Low",IF(Table1[[#This Row],[Overall Effectiveness]]&lt;4.2,"Medium","High"))</f>
        <v>Medium</v>
      </c>
      <c r="AF728" s="30" t="str">
        <f t="shared" si="70"/>
        <v>Case Studies</v>
      </c>
      <c r="AG728" s="30" t="str">
        <f t="shared" si="71"/>
        <v>Experiments</v>
      </c>
      <c r="AH728" s="27">
        <f>COUNTIF(Teacher_Master!$D$2:$D$16,AF728)</f>
        <v>3</v>
      </c>
      <c r="AI728" s="30" t="str">
        <f>INDEX(Teacher_Master!$B$2:$B$16,MATCH(AF728,Teacher_Master!$D$2:$D$16,0))</f>
        <v>Prof. Rajesh Mukherjee</v>
      </c>
    </row>
    <row r="729" spans="1:35" ht="14.25" customHeight="1" x14ac:dyDescent="0.3">
      <c r="A729" s="31" t="s">
        <v>1489</v>
      </c>
      <c r="B729" s="31" t="s">
        <v>2600</v>
      </c>
      <c r="C729" s="31" t="s">
        <v>2882</v>
      </c>
      <c r="D729" s="12">
        <f t="shared" ca="1" si="66"/>
        <v>23</v>
      </c>
      <c r="E729" s="12" t="str">
        <f ca="1">IF(Table1[[#This Row],[Age]]&lt;=22,"20-22",IF(Table1[[#This Row],[Age]]&lt;=25,"23-25",IF(Table1[[#This Row],[Age]]&lt;=28,"26-28","29-30")))</f>
        <v>23-25</v>
      </c>
      <c r="F729" s="12">
        <v>4.17</v>
      </c>
      <c r="G729" s="12">
        <v>4.1500000000000004</v>
      </c>
      <c r="H729" s="12">
        <v>4.2300000000000004</v>
      </c>
      <c r="I729" s="12">
        <v>4.07</v>
      </c>
      <c r="J729" s="12">
        <v>3.5</v>
      </c>
      <c r="K729" s="12">
        <v>4.05</v>
      </c>
      <c r="L729" s="12">
        <v>4.09</v>
      </c>
      <c r="M729" s="12">
        <v>4.53</v>
      </c>
      <c r="N729" s="12">
        <v>3.57</v>
      </c>
      <c r="O729" s="12">
        <v>4.78</v>
      </c>
      <c r="P729" s="12">
        <f t="shared" si="67"/>
        <v>4.024</v>
      </c>
      <c r="Q729" s="12">
        <f t="shared" si="68"/>
        <v>4.0199999999999996</v>
      </c>
      <c r="R729" s="12">
        <f t="shared" si="69"/>
        <v>4.2040000000000006</v>
      </c>
      <c r="S729" s="28">
        <f>IFERROR(INDEX('Clean Gamification Data'!$B:$B,MATCH($B729,'Clean Gamification Data'!$A:$A,0)),"Not Found")</f>
        <v>88.125957139999997</v>
      </c>
      <c r="T729" s="28">
        <f>IFERROR(INDEX('Clean Gamification Data'!$C:$C,MATCH($B729,'Clean Gamification Data'!$A:$A,0)),"Not Found")</f>
        <v>64.346106149999997</v>
      </c>
      <c r="U729" s="28">
        <f>IFERROR(INDEX('Clean Gamification Data'!$D:$D,MATCH($B729,'Clean Gamification Data'!$A:$A,0)),"Not Found")</f>
        <v>81.561542059999994</v>
      </c>
      <c r="V729" s="28">
        <f>IFERROR(INDEX('Clean Gamification Data'!$E:$E,MATCH($B729,'Clean Gamification Data'!$A:$A,0)),"Not Found")</f>
        <v>73.290568230000005</v>
      </c>
      <c r="W729" s="28">
        <f>IFERROR(INDEX('Clean Gamification Data'!$F:$F,MATCH($B729,'Clean Gamification Data'!$A:$A,0)),"Not Found")</f>
        <v>94.700636029999998</v>
      </c>
      <c r="X729" s="28">
        <f>IFERROR(INDEX('Clean Gamification Data'!$G:$G,MATCH($B729,'Clean Gamification Data'!$A:$A,0)),"Not Found")</f>
        <v>71.063015489999998</v>
      </c>
      <c r="Y729" s="28">
        <f>IFERROR(INDEX('Clean Gamification Data'!$H:$H,MATCH($B729,'Clean Gamification Data'!$A:$A,0)),"Not Found")</f>
        <v>71.441810660000002</v>
      </c>
      <c r="Z729" s="28">
        <f>IFERROR(INDEX('Clean Gamification Data'!$I:$I,MATCH($B729,'Clean Gamification Data'!$A:$A,0)),"Not Found")</f>
        <v>64.905158189999995</v>
      </c>
      <c r="AA729" s="28">
        <f>Table1[[#This Row],[Engagement (Gamification %)]]-Table1[[#This Row],[Engagement (Non-Gamification %)]]</f>
        <v>23.77985099</v>
      </c>
      <c r="AB729" s="28">
        <f>Table1[[#This Row],[Motivation (Gamification %)]]-Table1[[#This Row],[Motivation (Non-Gamification %)]]</f>
        <v>8.2709738299999884</v>
      </c>
      <c r="AC729" s="28">
        <f>Table1[[#This Row],[Participation (Gamification %)]]-Table1[[#This Row],[Participation (Non-Gamification %)]]</f>
        <v>23.63762054</v>
      </c>
      <c r="AD729" s="28">
        <f>Table1[[#This Row],[Learning Outcomes (Gamification %)]]-Table1[[#This Row],[Learning Outcomes (Non-Gamification %)]]</f>
        <v>6.536652470000007</v>
      </c>
      <c r="AE729" s="44" t="str">
        <f>IF(Table1[[#This Row],[Overall Effectiveness]]&lt;3.9,"Low",IF(Table1[[#This Row],[Overall Effectiveness]]&lt;4.2,"Medium","High"))</f>
        <v>Medium</v>
      </c>
      <c r="AF729" s="30" t="str">
        <f t="shared" si="70"/>
        <v>Group Projects</v>
      </c>
      <c r="AG729" s="30" t="str">
        <f t="shared" si="71"/>
        <v>Online Tutorials</v>
      </c>
      <c r="AH729" s="27">
        <f>COUNTIF(Teacher_Master!$D$2:$D$16,AF729)</f>
        <v>3</v>
      </c>
      <c r="AI729" s="30" t="str">
        <f>INDEX(Teacher_Master!$B$2:$B$16,MATCH(AF729,Teacher_Master!$D$2:$D$16,0))</f>
        <v>Dr. Rohan Dutta</v>
      </c>
    </row>
    <row r="730" spans="1:35" ht="14.25" customHeight="1" x14ac:dyDescent="0.3">
      <c r="A730" s="31" t="s">
        <v>1491</v>
      </c>
      <c r="B730" s="31" t="s">
        <v>2601</v>
      </c>
      <c r="C730" s="31" t="s">
        <v>2882</v>
      </c>
      <c r="D730" s="12">
        <f t="shared" ca="1" si="66"/>
        <v>29</v>
      </c>
      <c r="E730" s="12" t="str">
        <f ca="1">IF(Table1[[#This Row],[Age]]&lt;=22,"20-22",IF(Table1[[#This Row],[Age]]&lt;=25,"23-25",IF(Table1[[#This Row],[Age]]&lt;=28,"26-28","29-30")))</f>
        <v>29-30</v>
      </c>
      <c r="F730" s="12">
        <v>3.79</v>
      </c>
      <c r="G730" s="12">
        <v>4.08</v>
      </c>
      <c r="H730" s="12">
        <v>4.34</v>
      </c>
      <c r="I730" s="12">
        <v>4.22</v>
      </c>
      <c r="J730" s="12">
        <v>3.67</v>
      </c>
      <c r="K730" s="12">
        <v>3.7</v>
      </c>
      <c r="L730" s="12">
        <v>4.1500000000000004</v>
      </c>
      <c r="M730" s="12">
        <v>4.29</v>
      </c>
      <c r="N730" s="12">
        <v>4.24</v>
      </c>
      <c r="O730" s="12">
        <v>4.22</v>
      </c>
      <c r="P730" s="12">
        <f t="shared" si="67"/>
        <v>4.0200000000000005</v>
      </c>
      <c r="Q730" s="12">
        <f t="shared" si="68"/>
        <v>4.0199999999999996</v>
      </c>
      <c r="R730" s="12">
        <f t="shared" si="69"/>
        <v>4.12</v>
      </c>
      <c r="S730" s="28">
        <f>IFERROR(INDEX('Clean Gamification Data'!$B:$B,MATCH($B730,'Clean Gamification Data'!$A:$A,0)),"Not Found")</f>
        <v>89.749627140000001</v>
      </c>
      <c r="T730" s="28">
        <f>IFERROR(INDEX('Clean Gamification Data'!$C:$C,MATCH($B730,'Clean Gamification Data'!$A:$A,0)),"Not Found")</f>
        <v>78.872470030000002</v>
      </c>
      <c r="U730" s="28">
        <f>IFERROR(INDEX('Clean Gamification Data'!$D:$D,MATCH($B730,'Clean Gamification Data'!$A:$A,0)),"Not Found")</f>
        <v>70</v>
      </c>
      <c r="V730" s="28">
        <f>IFERROR(INDEX('Clean Gamification Data'!$E:$E,MATCH($B730,'Clean Gamification Data'!$A:$A,0)),"Not Found")</f>
        <v>70.111198639999998</v>
      </c>
      <c r="W730" s="28">
        <f>IFERROR(INDEX('Clean Gamification Data'!$F:$F,MATCH($B730,'Clean Gamification Data'!$A:$A,0)),"Not Found")</f>
        <v>94.085428010000001</v>
      </c>
      <c r="X730" s="28">
        <f>IFERROR(INDEX('Clean Gamification Data'!$G:$G,MATCH($B730,'Clean Gamification Data'!$A:$A,0)),"Not Found")</f>
        <v>77.578983480000005</v>
      </c>
      <c r="Y730" s="28">
        <f>IFERROR(INDEX('Clean Gamification Data'!$H:$H,MATCH($B730,'Clean Gamification Data'!$A:$A,0)),"Not Found")</f>
        <v>73.689781460000006</v>
      </c>
      <c r="Z730" s="28">
        <f>IFERROR(INDEX('Clean Gamification Data'!$I:$I,MATCH($B730,'Clean Gamification Data'!$A:$A,0)),"Not Found")</f>
        <v>57.902016789999998</v>
      </c>
      <c r="AA730" s="28">
        <f>Table1[[#This Row],[Engagement (Gamification %)]]-Table1[[#This Row],[Engagement (Non-Gamification %)]]</f>
        <v>10.877157109999999</v>
      </c>
      <c r="AB730" s="28">
        <f>Table1[[#This Row],[Motivation (Gamification %)]]-Table1[[#This Row],[Motivation (Non-Gamification %)]]</f>
        <v>-0.11119863999999779</v>
      </c>
      <c r="AC730" s="28">
        <f>Table1[[#This Row],[Participation (Gamification %)]]-Table1[[#This Row],[Participation (Non-Gamification %)]]</f>
        <v>16.506444529999996</v>
      </c>
      <c r="AD730" s="28">
        <f>Table1[[#This Row],[Learning Outcomes (Gamification %)]]-Table1[[#This Row],[Learning Outcomes (Non-Gamification %)]]</f>
        <v>15.787764670000008</v>
      </c>
      <c r="AE730" s="44" t="str">
        <f>IF(Table1[[#This Row],[Overall Effectiveness]]&lt;3.9,"Low",IF(Table1[[#This Row],[Overall Effectiveness]]&lt;4.2,"Medium","High"))</f>
        <v>Medium</v>
      </c>
      <c r="AF730" s="30" t="str">
        <f t="shared" si="70"/>
        <v>Group Projects</v>
      </c>
      <c r="AG730" s="30" t="str">
        <f t="shared" si="71"/>
        <v>Group Projects</v>
      </c>
      <c r="AH730" s="27">
        <f>COUNTIF(Teacher_Master!$D$2:$D$16,AF730)</f>
        <v>3</v>
      </c>
      <c r="AI730" s="30" t="str">
        <f>INDEX(Teacher_Master!$B$2:$B$16,MATCH(AF730,Teacher_Master!$D$2:$D$16,0))</f>
        <v>Dr. Rohan Dutta</v>
      </c>
    </row>
    <row r="731" spans="1:35" ht="14.25" customHeight="1" x14ac:dyDescent="0.3">
      <c r="A731" s="31" t="s">
        <v>1493</v>
      </c>
      <c r="B731" s="31" t="s">
        <v>2602</v>
      </c>
      <c r="C731" s="31" t="s">
        <v>2882</v>
      </c>
      <c r="D731" s="12">
        <f t="shared" ca="1" si="66"/>
        <v>25</v>
      </c>
      <c r="E731" s="12" t="str">
        <f ca="1">IF(Table1[[#This Row],[Age]]&lt;=22,"20-22",IF(Table1[[#This Row],[Age]]&lt;=25,"23-25",IF(Table1[[#This Row],[Age]]&lt;=28,"26-28","29-30")))</f>
        <v>23-25</v>
      </c>
      <c r="F731" s="12">
        <v>4.21</v>
      </c>
      <c r="G731" s="12">
        <v>4.5199999999999996</v>
      </c>
      <c r="H731" s="12">
        <v>4.2300000000000004</v>
      </c>
      <c r="I731" s="12">
        <v>3.59</v>
      </c>
      <c r="J731" s="12">
        <v>3.85</v>
      </c>
      <c r="K731" s="12">
        <v>4.05</v>
      </c>
      <c r="L731" s="12">
        <v>4.4800000000000004</v>
      </c>
      <c r="M731" s="12">
        <v>4.03</v>
      </c>
      <c r="N731" s="12">
        <v>3.9</v>
      </c>
      <c r="O731" s="12">
        <v>3.88</v>
      </c>
      <c r="P731" s="12">
        <f t="shared" si="67"/>
        <v>4.08</v>
      </c>
      <c r="Q731" s="12">
        <f t="shared" si="68"/>
        <v>4.08</v>
      </c>
      <c r="R731" s="12">
        <f t="shared" si="69"/>
        <v>4.0679999999999996</v>
      </c>
      <c r="S731" s="28">
        <f>IFERROR(INDEX('Clean Gamification Data'!$B:$B,MATCH($B731,'Clean Gamification Data'!$A:$A,0)),"Not Found")</f>
        <v>96.839974330000004</v>
      </c>
      <c r="T731" s="28">
        <f>IFERROR(INDEX('Clean Gamification Data'!$C:$C,MATCH($B731,'Clean Gamification Data'!$A:$A,0)),"Not Found")</f>
        <v>65.457735319999998</v>
      </c>
      <c r="U731" s="28">
        <f>IFERROR(INDEX('Clean Gamification Data'!$D:$D,MATCH($B731,'Clean Gamification Data'!$A:$A,0)),"Not Found")</f>
        <v>76.645139459999996</v>
      </c>
      <c r="V731" s="28">
        <f>IFERROR(INDEX('Clean Gamification Data'!$E:$E,MATCH($B731,'Clean Gamification Data'!$A:$A,0)),"Not Found")</f>
        <v>66.382630410000004</v>
      </c>
      <c r="W731" s="28">
        <f>IFERROR(INDEX('Clean Gamification Data'!$F:$F,MATCH($B731,'Clean Gamification Data'!$A:$A,0)),"Not Found")</f>
        <v>97.610597389999995</v>
      </c>
      <c r="X731" s="28">
        <f>IFERROR(INDEX('Clean Gamification Data'!$G:$G,MATCH($B731,'Clean Gamification Data'!$A:$A,0)),"Not Found")</f>
        <v>85</v>
      </c>
      <c r="Y731" s="28">
        <f>IFERROR(INDEX('Clean Gamification Data'!$H:$H,MATCH($B731,'Clean Gamification Data'!$A:$A,0)),"Not Found")</f>
        <v>77.349786379999998</v>
      </c>
      <c r="Z731" s="28">
        <f>IFERROR(INDEX('Clean Gamification Data'!$I:$I,MATCH($B731,'Clean Gamification Data'!$A:$A,0)),"Not Found")</f>
        <v>53.350713399999997</v>
      </c>
      <c r="AA731" s="28">
        <f>Table1[[#This Row],[Engagement (Gamification %)]]-Table1[[#This Row],[Engagement (Non-Gamification %)]]</f>
        <v>31.382239010000006</v>
      </c>
      <c r="AB731" s="28">
        <f>Table1[[#This Row],[Motivation (Gamification %)]]-Table1[[#This Row],[Motivation (Non-Gamification %)]]</f>
        <v>10.262509049999991</v>
      </c>
      <c r="AC731" s="28">
        <f>Table1[[#This Row],[Participation (Gamification %)]]-Table1[[#This Row],[Participation (Non-Gamification %)]]</f>
        <v>12.610597389999995</v>
      </c>
      <c r="AD731" s="28">
        <f>Table1[[#This Row],[Learning Outcomes (Gamification %)]]-Table1[[#This Row],[Learning Outcomes (Non-Gamification %)]]</f>
        <v>23.999072980000001</v>
      </c>
      <c r="AE731" s="44" t="str">
        <f>IF(Table1[[#This Row],[Overall Effectiveness]]&lt;3.9,"Low",IF(Table1[[#This Row],[Overall Effectiveness]]&lt;4.2,"Medium","High"))</f>
        <v>Medium</v>
      </c>
      <c r="AF731" s="30" t="str">
        <f t="shared" si="70"/>
        <v>Case Studies</v>
      </c>
      <c r="AG731" s="30" t="str">
        <f t="shared" si="71"/>
        <v>Case Studies</v>
      </c>
      <c r="AH731" s="27">
        <f>COUNTIF(Teacher_Master!$D$2:$D$16,AF731)</f>
        <v>3</v>
      </c>
      <c r="AI731" s="30" t="str">
        <f>INDEX(Teacher_Master!$B$2:$B$16,MATCH(AF731,Teacher_Master!$D$2:$D$16,0))</f>
        <v>Prof. Rajesh Mukherjee</v>
      </c>
    </row>
    <row r="732" spans="1:35" ht="14.25" customHeight="1" x14ac:dyDescent="0.3">
      <c r="A732" s="31" t="s">
        <v>1495</v>
      </c>
      <c r="B732" s="31" t="s">
        <v>2603</v>
      </c>
      <c r="C732" s="31" t="s">
        <v>2881</v>
      </c>
      <c r="D732" s="12">
        <f t="shared" ca="1" si="66"/>
        <v>29</v>
      </c>
      <c r="E732" s="12" t="str">
        <f ca="1">IF(Table1[[#This Row],[Age]]&lt;=22,"20-22",IF(Table1[[#This Row],[Age]]&lt;=25,"23-25",IF(Table1[[#This Row],[Age]]&lt;=28,"26-28","29-30")))</f>
        <v>29-30</v>
      </c>
      <c r="F732" s="12">
        <v>5</v>
      </c>
      <c r="G732" s="12">
        <v>4.28</v>
      </c>
      <c r="H732" s="12">
        <v>4.3499999999999996</v>
      </c>
      <c r="I732" s="12">
        <v>3.9</v>
      </c>
      <c r="J732" s="12">
        <v>3.95</v>
      </c>
      <c r="K732" s="12">
        <v>3.96</v>
      </c>
      <c r="L732" s="12">
        <v>4.3600000000000003</v>
      </c>
      <c r="M732" s="12">
        <v>4.1500000000000004</v>
      </c>
      <c r="N732" s="12">
        <v>3.89</v>
      </c>
      <c r="O732" s="12">
        <v>4.4800000000000004</v>
      </c>
      <c r="P732" s="12">
        <f t="shared" si="67"/>
        <v>4.2960000000000003</v>
      </c>
      <c r="Q732" s="12">
        <f t="shared" si="68"/>
        <v>4.3</v>
      </c>
      <c r="R732" s="12">
        <f t="shared" si="69"/>
        <v>4.1680000000000001</v>
      </c>
      <c r="S732" s="28">
        <f>IFERROR(INDEX('Clean Gamification Data'!$B:$B,MATCH($B732,'Clean Gamification Data'!$A:$A,0)),"Not Found")</f>
        <v>88.267054610000002</v>
      </c>
      <c r="T732" s="28">
        <f>IFERROR(INDEX('Clean Gamification Data'!$C:$C,MATCH($B732,'Clean Gamification Data'!$A:$A,0)),"Not Found")</f>
        <v>68.476573889999997</v>
      </c>
      <c r="U732" s="28">
        <f>IFERROR(INDEX('Clean Gamification Data'!$D:$D,MATCH($B732,'Clean Gamification Data'!$A:$A,0)),"Not Found")</f>
        <v>70</v>
      </c>
      <c r="V732" s="28">
        <f>IFERROR(INDEX('Clean Gamification Data'!$E:$E,MATCH($B732,'Clean Gamification Data'!$A:$A,0)),"Not Found")</f>
        <v>62.467403269999998</v>
      </c>
      <c r="W732" s="28">
        <f>IFERROR(INDEX('Clean Gamification Data'!$F:$F,MATCH($B732,'Clean Gamification Data'!$A:$A,0)),"Not Found")</f>
        <v>80</v>
      </c>
      <c r="X732" s="28">
        <f>IFERROR(INDEX('Clean Gamification Data'!$G:$G,MATCH($B732,'Clean Gamification Data'!$A:$A,0)),"Not Found")</f>
        <v>78.716704109999995</v>
      </c>
      <c r="Y732" s="28">
        <f>IFERROR(INDEX('Clean Gamification Data'!$H:$H,MATCH($B732,'Clean Gamification Data'!$A:$A,0)),"Not Found")</f>
        <v>71.746552280000003</v>
      </c>
      <c r="Z732" s="28">
        <f>IFERROR(INDEX('Clean Gamification Data'!$I:$I,MATCH($B732,'Clean Gamification Data'!$A:$A,0)),"Not Found")</f>
        <v>65.041931050000002</v>
      </c>
      <c r="AA732" s="28">
        <f>Table1[[#This Row],[Engagement (Gamification %)]]-Table1[[#This Row],[Engagement (Non-Gamification %)]]</f>
        <v>19.790480720000005</v>
      </c>
      <c r="AB732" s="28">
        <f>Table1[[#This Row],[Motivation (Gamification %)]]-Table1[[#This Row],[Motivation (Non-Gamification %)]]</f>
        <v>7.5325967300000016</v>
      </c>
      <c r="AC732" s="28">
        <f>Table1[[#This Row],[Participation (Gamification %)]]-Table1[[#This Row],[Participation (Non-Gamification %)]]</f>
        <v>1.2832958900000051</v>
      </c>
      <c r="AD732" s="28">
        <f>Table1[[#This Row],[Learning Outcomes (Gamification %)]]-Table1[[#This Row],[Learning Outcomes (Non-Gamification %)]]</f>
        <v>6.7046212300000008</v>
      </c>
      <c r="AE732" s="44" t="str">
        <f>IF(Table1[[#This Row],[Overall Effectiveness]]&lt;3.9,"Low",IF(Table1[[#This Row],[Overall Effectiveness]]&lt;4.2,"Medium","High"))</f>
        <v>High</v>
      </c>
      <c r="AF732" s="30" t="str">
        <f t="shared" si="70"/>
        <v>Lectures</v>
      </c>
      <c r="AG732" s="30" t="str">
        <f t="shared" si="71"/>
        <v>Online Tutorials</v>
      </c>
      <c r="AH732" s="27">
        <f>COUNTIF(Teacher_Master!$D$2:$D$16,AF732)</f>
        <v>3</v>
      </c>
      <c r="AI732" s="30" t="str">
        <f>INDEX(Teacher_Master!$B$2:$B$16,MATCH(AF732,Teacher_Master!$D$2:$D$16,0))</f>
        <v>Prof. Vikram Gupta</v>
      </c>
    </row>
    <row r="733" spans="1:35" ht="14.25" customHeight="1" x14ac:dyDescent="0.3">
      <c r="A733" s="31" t="s">
        <v>1497</v>
      </c>
      <c r="B733" s="31" t="s">
        <v>2604</v>
      </c>
      <c r="C733" s="31" t="s">
        <v>2882</v>
      </c>
      <c r="D733" s="12">
        <f t="shared" ca="1" si="66"/>
        <v>26</v>
      </c>
      <c r="E733" s="12" t="str">
        <f ca="1">IF(Table1[[#This Row],[Age]]&lt;=22,"20-22",IF(Table1[[#This Row],[Age]]&lt;=25,"23-25",IF(Table1[[#This Row],[Age]]&lt;=28,"26-28","29-30")))</f>
        <v>26-28</v>
      </c>
      <c r="F733" s="12">
        <v>3.86</v>
      </c>
      <c r="G733" s="12" t="s">
        <v>1499</v>
      </c>
      <c r="H733" s="12">
        <v>3.59</v>
      </c>
      <c r="I733" s="12">
        <v>4.0199999999999996</v>
      </c>
      <c r="J733" s="12">
        <v>3.97</v>
      </c>
      <c r="K733" s="12">
        <v>4.29</v>
      </c>
      <c r="L733" s="12">
        <v>3.99</v>
      </c>
      <c r="M733" s="12">
        <v>4.34</v>
      </c>
      <c r="N733" s="12">
        <v>3.81</v>
      </c>
      <c r="O733" s="12">
        <v>4.1900000000000004</v>
      </c>
      <c r="P733" s="12">
        <f t="shared" si="67"/>
        <v>3.86</v>
      </c>
      <c r="Q733" s="12">
        <f t="shared" si="68"/>
        <v>3.86</v>
      </c>
      <c r="R733" s="12">
        <f t="shared" si="69"/>
        <v>4.1240000000000006</v>
      </c>
      <c r="S733" s="28">
        <f>IFERROR(INDEX('Clean Gamification Data'!$B:$B,MATCH($B733,'Clean Gamification Data'!$A:$A,0)),"Not Found")</f>
        <v>90.823463390000001</v>
      </c>
      <c r="T733" s="28">
        <f>IFERROR(INDEX('Clean Gamification Data'!$C:$C,MATCH($B733,'Clean Gamification Data'!$A:$A,0)),"Not Found")</f>
        <v>66.486732309999994</v>
      </c>
      <c r="U733" s="28">
        <f>IFERROR(INDEX('Clean Gamification Data'!$D:$D,MATCH($B733,'Clean Gamification Data'!$A:$A,0)),"Not Found")</f>
        <v>70</v>
      </c>
      <c r="V733" s="28">
        <f>IFERROR(INDEX('Clean Gamification Data'!$E:$E,MATCH($B733,'Clean Gamification Data'!$A:$A,0)),"Not Found")</f>
        <v>55</v>
      </c>
      <c r="W733" s="28">
        <f>IFERROR(INDEX('Clean Gamification Data'!$F:$F,MATCH($B733,'Clean Gamification Data'!$A:$A,0)),"Not Found")</f>
        <v>91.530085679999999</v>
      </c>
      <c r="X733" s="28">
        <f>IFERROR(INDEX('Clean Gamification Data'!$G:$G,MATCH($B733,'Clean Gamification Data'!$A:$A,0)),"Not Found")</f>
        <v>77.714697090000001</v>
      </c>
      <c r="Y733" s="28">
        <f>IFERROR(INDEX('Clean Gamification Data'!$H:$H,MATCH($B733,'Clean Gamification Data'!$A:$A,0)),"Not Found")</f>
        <v>70.222314740000002</v>
      </c>
      <c r="Z733" s="28">
        <f>IFERROR(INDEX('Clean Gamification Data'!$I:$I,MATCH($B733,'Clean Gamification Data'!$A:$A,0)),"Not Found")</f>
        <v>59.516107150000003</v>
      </c>
      <c r="AA733" s="28">
        <f>Table1[[#This Row],[Engagement (Gamification %)]]-Table1[[#This Row],[Engagement (Non-Gamification %)]]</f>
        <v>24.336731080000007</v>
      </c>
      <c r="AB733" s="28">
        <f>Table1[[#This Row],[Motivation (Gamification %)]]-Table1[[#This Row],[Motivation (Non-Gamification %)]]</f>
        <v>15</v>
      </c>
      <c r="AC733" s="28">
        <f>Table1[[#This Row],[Participation (Gamification %)]]-Table1[[#This Row],[Participation (Non-Gamification %)]]</f>
        <v>13.815388589999998</v>
      </c>
      <c r="AD733" s="28">
        <f>Table1[[#This Row],[Learning Outcomes (Gamification %)]]-Table1[[#This Row],[Learning Outcomes (Non-Gamification %)]]</f>
        <v>10.706207589999998</v>
      </c>
      <c r="AE733" s="44" t="str">
        <f>IF(Table1[[#This Row],[Overall Effectiveness]]&lt;3.9,"Low",IF(Table1[[#This Row],[Overall Effectiveness]]&lt;4.2,"Medium","High"))</f>
        <v>Low</v>
      </c>
      <c r="AF733" s="30" t="str">
        <f t="shared" si="70"/>
        <v>Experiments</v>
      </c>
      <c r="AG733" s="30" t="str">
        <f t="shared" si="71"/>
        <v>Group Projects</v>
      </c>
      <c r="AH733" s="27">
        <f>COUNTIF(Teacher_Master!$D$2:$D$16,AF733)</f>
        <v>3</v>
      </c>
      <c r="AI733" s="30" t="str">
        <f>INDEX(Teacher_Master!$B$2:$B$16,MATCH(AF733,Teacher_Master!$D$2:$D$16,0))</f>
        <v>Prof. Rahul Singh</v>
      </c>
    </row>
    <row r="734" spans="1:35" ht="14.25" customHeight="1" x14ac:dyDescent="0.3">
      <c r="A734" s="31" t="s">
        <v>1500</v>
      </c>
      <c r="B734" s="31" t="s">
        <v>2605</v>
      </c>
      <c r="C734" s="31" t="s">
        <v>2882</v>
      </c>
      <c r="D734" s="12">
        <f t="shared" ca="1" si="66"/>
        <v>27</v>
      </c>
      <c r="E734" s="12" t="str">
        <f ca="1">IF(Table1[[#This Row],[Age]]&lt;=22,"20-22",IF(Table1[[#This Row],[Age]]&lt;=25,"23-25",IF(Table1[[#This Row],[Age]]&lt;=28,"26-28","29-30")))</f>
        <v>26-28</v>
      </c>
      <c r="F734" s="12">
        <v>4.1500000000000004</v>
      </c>
      <c r="G734" s="12">
        <v>4.08</v>
      </c>
      <c r="H734" s="12">
        <v>4.04</v>
      </c>
      <c r="I734" s="12">
        <v>3.83</v>
      </c>
      <c r="J734" s="12">
        <v>3.36</v>
      </c>
      <c r="K734" s="12" t="s">
        <v>1502</v>
      </c>
      <c r="L734" s="12">
        <v>4.21</v>
      </c>
      <c r="M734" s="12">
        <v>4.17</v>
      </c>
      <c r="N734" s="12">
        <v>4.34</v>
      </c>
      <c r="O734" s="12">
        <v>3.95</v>
      </c>
      <c r="P734" s="12">
        <f t="shared" si="67"/>
        <v>3.8920000000000003</v>
      </c>
      <c r="Q734" s="12">
        <f t="shared" si="68"/>
        <v>3.89</v>
      </c>
      <c r="R734" s="12">
        <f t="shared" si="69"/>
        <v>4.1674999999999995</v>
      </c>
      <c r="S734" s="28">
        <f>IFERROR(INDEX('Clean Gamification Data'!$B:$B,MATCH($B734,'Clean Gamification Data'!$A:$A,0)),"Not Found")</f>
        <v>88.830054529999998</v>
      </c>
      <c r="T734" s="28">
        <f>IFERROR(INDEX('Clean Gamification Data'!$C:$C,MATCH($B734,'Clean Gamification Data'!$A:$A,0)),"Not Found")</f>
        <v>71.243949529999995</v>
      </c>
      <c r="U734" s="28">
        <f>IFERROR(INDEX('Clean Gamification Data'!$D:$D,MATCH($B734,'Clean Gamification Data'!$A:$A,0)),"Not Found")</f>
        <v>75.387280000000004</v>
      </c>
      <c r="V734" s="28">
        <f>IFERROR(INDEX('Clean Gamification Data'!$E:$E,MATCH($B734,'Clean Gamification Data'!$A:$A,0)),"Not Found")</f>
        <v>65.670511619999999</v>
      </c>
      <c r="W734" s="28">
        <f>IFERROR(INDEX('Clean Gamification Data'!$F:$F,MATCH($B734,'Clean Gamification Data'!$A:$A,0)),"Not Found")</f>
        <v>93.360699990000001</v>
      </c>
      <c r="X734" s="28">
        <f>IFERROR(INDEX('Clean Gamification Data'!$G:$G,MATCH($B734,'Clean Gamification Data'!$A:$A,0)),"Not Found")</f>
        <v>84.590024220000004</v>
      </c>
      <c r="Y734" s="28">
        <f>IFERROR(INDEX('Clean Gamification Data'!$H:$H,MATCH($B734,'Clean Gamification Data'!$A:$A,0)),"Not Found")</f>
        <v>69.739692169999998</v>
      </c>
      <c r="Z734" s="28">
        <f>IFERROR(INDEX('Clean Gamification Data'!$I:$I,MATCH($B734,'Clean Gamification Data'!$A:$A,0)),"Not Found")</f>
        <v>63.911849940000003</v>
      </c>
      <c r="AA734" s="28">
        <f>Table1[[#This Row],[Engagement (Gamification %)]]-Table1[[#This Row],[Engagement (Non-Gamification %)]]</f>
        <v>17.586105000000003</v>
      </c>
      <c r="AB734" s="28">
        <f>Table1[[#This Row],[Motivation (Gamification %)]]-Table1[[#This Row],[Motivation (Non-Gamification %)]]</f>
        <v>9.7167683800000049</v>
      </c>
      <c r="AC734" s="28">
        <f>Table1[[#This Row],[Participation (Gamification %)]]-Table1[[#This Row],[Participation (Non-Gamification %)]]</f>
        <v>8.7706757699999969</v>
      </c>
      <c r="AD734" s="28">
        <f>Table1[[#This Row],[Learning Outcomes (Gamification %)]]-Table1[[#This Row],[Learning Outcomes (Non-Gamification %)]]</f>
        <v>5.8278422299999946</v>
      </c>
      <c r="AE734" s="44" t="str">
        <f>IF(Table1[[#This Row],[Overall Effectiveness]]&lt;3.9,"Low",IF(Table1[[#This Row],[Overall Effectiveness]]&lt;4.2,"Medium","High"))</f>
        <v>Low</v>
      </c>
      <c r="AF734" s="30" t="str">
        <f t="shared" si="70"/>
        <v>Lectures</v>
      </c>
      <c r="AG734" s="30" t="str">
        <f t="shared" si="71"/>
        <v>Experiments</v>
      </c>
      <c r="AH734" s="27">
        <f>COUNTIF(Teacher_Master!$D$2:$D$16,AF734)</f>
        <v>3</v>
      </c>
      <c r="AI734" s="30" t="str">
        <f>INDEX(Teacher_Master!$B$2:$B$16,MATCH(AF734,Teacher_Master!$D$2:$D$16,0))</f>
        <v>Prof. Vikram Gupta</v>
      </c>
    </row>
    <row r="735" spans="1:35" ht="14.25" customHeight="1" x14ac:dyDescent="0.3">
      <c r="A735" s="31" t="s">
        <v>1503</v>
      </c>
      <c r="B735" s="31" t="s">
        <v>2606</v>
      </c>
      <c r="C735" s="31" t="s">
        <v>2882</v>
      </c>
      <c r="D735" s="12">
        <f t="shared" ca="1" si="66"/>
        <v>22</v>
      </c>
      <c r="E735" s="12" t="str">
        <f ca="1">IF(Table1[[#This Row],[Age]]&lt;=22,"20-22",IF(Table1[[#This Row],[Age]]&lt;=25,"23-25",IF(Table1[[#This Row],[Age]]&lt;=28,"26-28","29-30")))</f>
        <v>20-22</v>
      </c>
      <c r="F735" s="12">
        <v>4.09</v>
      </c>
      <c r="G735" s="12">
        <v>4.08</v>
      </c>
      <c r="H735" s="12">
        <v>3.45</v>
      </c>
      <c r="I735" s="12">
        <v>3.85</v>
      </c>
      <c r="J735" s="12">
        <v>3.79</v>
      </c>
      <c r="K735" s="12">
        <v>4.51</v>
      </c>
      <c r="L735" s="12">
        <v>3.69</v>
      </c>
      <c r="M735" s="12">
        <v>4.4800000000000004</v>
      </c>
      <c r="N735" s="12">
        <v>3.75</v>
      </c>
      <c r="O735" s="12">
        <v>3.99</v>
      </c>
      <c r="P735" s="12">
        <f t="shared" si="67"/>
        <v>3.8520000000000003</v>
      </c>
      <c r="Q735" s="12">
        <f t="shared" si="68"/>
        <v>3.85</v>
      </c>
      <c r="R735" s="12">
        <f t="shared" si="69"/>
        <v>4.0840000000000005</v>
      </c>
      <c r="S735" s="28">
        <f>IFERROR(INDEX('Clean Gamification Data'!$B:$B,MATCH($B735,'Clean Gamification Data'!$A:$A,0)),"Not Found")</f>
        <v>96.343989480000005</v>
      </c>
      <c r="T735" s="28">
        <f>IFERROR(INDEX('Clean Gamification Data'!$C:$C,MATCH($B735,'Clean Gamification Data'!$A:$A,0)),"Not Found")</f>
        <v>65.160832069999998</v>
      </c>
      <c r="U735" s="28">
        <f>IFERROR(INDEX('Clean Gamification Data'!$D:$D,MATCH($B735,'Clean Gamification Data'!$A:$A,0)),"Not Found")</f>
        <v>87.66940185</v>
      </c>
      <c r="V735" s="28">
        <f>IFERROR(INDEX('Clean Gamification Data'!$E:$E,MATCH($B735,'Clean Gamification Data'!$A:$A,0)),"Not Found")</f>
        <v>66.755432490000004</v>
      </c>
      <c r="W735" s="28">
        <f>IFERROR(INDEX('Clean Gamification Data'!$F:$F,MATCH($B735,'Clean Gamification Data'!$A:$A,0)),"Not Found")</f>
        <v>89.716603829999997</v>
      </c>
      <c r="X735" s="28">
        <f>IFERROR(INDEX('Clean Gamification Data'!$G:$G,MATCH($B735,'Clean Gamification Data'!$A:$A,0)),"Not Found")</f>
        <v>82.049865359999998</v>
      </c>
      <c r="Y735" s="28">
        <f>IFERROR(INDEX('Clean Gamification Data'!$H:$H,MATCH($B735,'Clean Gamification Data'!$A:$A,0)),"Not Found")</f>
        <v>68.770609550000003</v>
      </c>
      <c r="Z735" s="28">
        <f>IFERROR(INDEX('Clean Gamification Data'!$I:$I,MATCH($B735,'Clean Gamification Data'!$A:$A,0)),"Not Found")</f>
        <v>57.416070449999999</v>
      </c>
      <c r="AA735" s="28">
        <f>Table1[[#This Row],[Engagement (Gamification %)]]-Table1[[#This Row],[Engagement (Non-Gamification %)]]</f>
        <v>31.183157410000007</v>
      </c>
      <c r="AB735" s="28">
        <f>Table1[[#This Row],[Motivation (Gamification %)]]-Table1[[#This Row],[Motivation (Non-Gamification %)]]</f>
        <v>20.913969359999996</v>
      </c>
      <c r="AC735" s="28">
        <f>Table1[[#This Row],[Participation (Gamification %)]]-Table1[[#This Row],[Participation (Non-Gamification %)]]</f>
        <v>7.6667384699999985</v>
      </c>
      <c r="AD735" s="28">
        <f>Table1[[#This Row],[Learning Outcomes (Gamification %)]]-Table1[[#This Row],[Learning Outcomes (Non-Gamification %)]]</f>
        <v>11.354539100000004</v>
      </c>
      <c r="AE735" s="44" t="str">
        <f>IF(Table1[[#This Row],[Overall Effectiveness]]&lt;3.9,"Low",IF(Table1[[#This Row],[Overall Effectiveness]]&lt;4.2,"Medium","High"))</f>
        <v>Low</v>
      </c>
      <c r="AF735" s="30" t="str">
        <f t="shared" si="70"/>
        <v>Lectures</v>
      </c>
      <c r="AG735" s="30" t="str">
        <f t="shared" si="71"/>
        <v>Lectures</v>
      </c>
      <c r="AH735" s="27">
        <f>COUNTIF(Teacher_Master!$D$2:$D$16,AF735)</f>
        <v>3</v>
      </c>
      <c r="AI735" s="30" t="str">
        <f>INDEX(Teacher_Master!$B$2:$B$16,MATCH(AF735,Teacher_Master!$D$2:$D$16,0))</f>
        <v>Prof. Vikram Gupta</v>
      </c>
    </row>
    <row r="736" spans="1:35" ht="14.25" customHeight="1" x14ac:dyDescent="0.3">
      <c r="A736" s="31" t="s">
        <v>1505</v>
      </c>
      <c r="B736" s="31" t="s">
        <v>2607</v>
      </c>
      <c r="C736" s="31" t="s">
        <v>2881</v>
      </c>
      <c r="D736" s="12">
        <f t="shared" ca="1" si="66"/>
        <v>29</v>
      </c>
      <c r="E736" s="12" t="str">
        <f ca="1">IF(Table1[[#This Row],[Age]]&lt;=22,"20-22",IF(Table1[[#This Row],[Age]]&lt;=25,"23-25",IF(Table1[[#This Row],[Age]]&lt;=28,"26-28","29-30")))</f>
        <v>29-30</v>
      </c>
      <c r="F736" s="12">
        <v>3.93</v>
      </c>
      <c r="G736" s="12">
        <v>3.98</v>
      </c>
      <c r="H736" s="12">
        <v>4.4000000000000004</v>
      </c>
      <c r="I736" s="12">
        <v>4.33</v>
      </c>
      <c r="J736" s="12">
        <v>3.98</v>
      </c>
      <c r="K736" s="12">
        <v>3.99</v>
      </c>
      <c r="L736" s="12">
        <v>4.7</v>
      </c>
      <c r="M736" s="12">
        <v>3.92</v>
      </c>
      <c r="N736" s="12">
        <v>4.1399999999999997</v>
      </c>
      <c r="O736" s="12">
        <v>3.86</v>
      </c>
      <c r="P736" s="12">
        <f t="shared" si="67"/>
        <v>4.1240000000000006</v>
      </c>
      <c r="Q736" s="12">
        <f t="shared" si="68"/>
        <v>4.12</v>
      </c>
      <c r="R736" s="12">
        <f t="shared" si="69"/>
        <v>4.1219999999999999</v>
      </c>
      <c r="S736" s="28">
        <f>IFERROR(INDEX('Clean Gamification Data'!$B:$B,MATCH($B736,'Clean Gamification Data'!$A:$A,0)),"Not Found")</f>
        <v>84.56782982</v>
      </c>
      <c r="T736" s="28">
        <f>IFERROR(INDEX('Clean Gamification Data'!$C:$C,MATCH($B736,'Clean Gamification Data'!$A:$A,0)),"Not Found")</f>
        <v>68.548651059999997</v>
      </c>
      <c r="U736" s="28">
        <f>IFERROR(INDEX('Clean Gamification Data'!$D:$D,MATCH($B736,'Clean Gamification Data'!$A:$A,0)),"Not Found")</f>
        <v>86.055876350000005</v>
      </c>
      <c r="V736" s="28">
        <f>IFERROR(INDEX('Clean Gamification Data'!$E:$E,MATCH($B736,'Clean Gamification Data'!$A:$A,0)),"Not Found")</f>
        <v>66.71368674</v>
      </c>
      <c r="W736" s="28">
        <f>IFERROR(INDEX('Clean Gamification Data'!$F:$F,MATCH($B736,'Clean Gamification Data'!$A:$A,0)),"Not Found")</f>
        <v>93.714439540000001</v>
      </c>
      <c r="X736" s="28">
        <f>IFERROR(INDEX('Clean Gamification Data'!$G:$G,MATCH($B736,'Clean Gamification Data'!$A:$A,0)),"Not Found")</f>
        <v>78.560624700000005</v>
      </c>
      <c r="Y736" s="28">
        <f>IFERROR(INDEX('Clean Gamification Data'!$H:$H,MATCH($B736,'Clean Gamification Data'!$A:$A,0)),"Not Found")</f>
        <v>66.601263099999997</v>
      </c>
      <c r="Z736" s="28">
        <f>IFERROR(INDEX('Clean Gamification Data'!$I:$I,MATCH($B736,'Clean Gamification Data'!$A:$A,0)),"Not Found")</f>
        <v>54.929389860000001</v>
      </c>
      <c r="AA736" s="28">
        <f>Table1[[#This Row],[Engagement (Gamification %)]]-Table1[[#This Row],[Engagement (Non-Gamification %)]]</f>
        <v>16.019178760000003</v>
      </c>
      <c r="AB736" s="28">
        <f>Table1[[#This Row],[Motivation (Gamification %)]]-Table1[[#This Row],[Motivation (Non-Gamification %)]]</f>
        <v>19.342189610000005</v>
      </c>
      <c r="AC736" s="28">
        <f>Table1[[#This Row],[Participation (Gamification %)]]-Table1[[#This Row],[Participation (Non-Gamification %)]]</f>
        <v>15.153814839999995</v>
      </c>
      <c r="AD736" s="28">
        <f>Table1[[#This Row],[Learning Outcomes (Gamification %)]]-Table1[[#This Row],[Learning Outcomes (Non-Gamification %)]]</f>
        <v>11.671873239999996</v>
      </c>
      <c r="AE736" s="44" t="str">
        <f>IF(Table1[[#This Row],[Overall Effectiveness]]&lt;3.9,"Low",IF(Table1[[#This Row],[Overall Effectiveness]]&lt;4.2,"Medium","High"))</f>
        <v>Medium</v>
      </c>
      <c r="AF736" s="30" t="str">
        <f t="shared" si="70"/>
        <v>Group Projects</v>
      </c>
      <c r="AG736" s="30" t="str">
        <f t="shared" si="71"/>
        <v>Case Studies</v>
      </c>
      <c r="AH736" s="27">
        <f>COUNTIF(Teacher_Master!$D$2:$D$16,AF736)</f>
        <v>3</v>
      </c>
      <c r="AI736" s="30" t="str">
        <f>INDEX(Teacher_Master!$B$2:$B$16,MATCH(AF736,Teacher_Master!$D$2:$D$16,0))</f>
        <v>Dr. Rohan Dutta</v>
      </c>
    </row>
    <row r="737" spans="1:35" ht="14.25" customHeight="1" x14ac:dyDescent="0.3">
      <c r="A737" s="31" t="s">
        <v>1507</v>
      </c>
      <c r="B737" s="31" t="s">
        <v>2608</v>
      </c>
      <c r="C737" s="31" t="s">
        <v>2882</v>
      </c>
      <c r="D737" s="12">
        <f t="shared" ca="1" si="66"/>
        <v>25</v>
      </c>
      <c r="E737" s="12" t="str">
        <f ca="1">IF(Table1[[#This Row],[Age]]&lt;=22,"20-22",IF(Table1[[#This Row],[Age]]&lt;=25,"23-25",IF(Table1[[#This Row],[Age]]&lt;=28,"26-28","29-30")))</f>
        <v>23-25</v>
      </c>
      <c r="F737" s="12">
        <v>4.41</v>
      </c>
      <c r="G737" s="12">
        <v>4.2300000000000004</v>
      </c>
      <c r="H737" s="12">
        <v>3.77</v>
      </c>
      <c r="I737" s="12">
        <v>4.4800000000000004</v>
      </c>
      <c r="J737" s="12">
        <v>4.26</v>
      </c>
      <c r="K737" s="12">
        <v>4.04</v>
      </c>
      <c r="L737" s="12">
        <v>4.03</v>
      </c>
      <c r="M737" s="12">
        <v>3.96</v>
      </c>
      <c r="N737" s="12">
        <v>4.1900000000000004</v>
      </c>
      <c r="O737" s="12">
        <v>4.43</v>
      </c>
      <c r="P737" s="12">
        <f t="shared" si="67"/>
        <v>4.2299999999999995</v>
      </c>
      <c r="Q737" s="12">
        <f t="shared" si="68"/>
        <v>4.2300000000000004</v>
      </c>
      <c r="R737" s="12">
        <f t="shared" si="69"/>
        <v>4.1300000000000008</v>
      </c>
      <c r="S737" s="28">
        <f>IFERROR(INDEX('Clean Gamification Data'!$B:$B,MATCH($B737,'Clean Gamification Data'!$A:$A,0)),"Not Found")</f>
        <v>83.534029410000002</v>
      </c>
      <c r="T737" s="28">
        <f>IFERROR(INDEX('Clean Gamification Data'!$C:$C,MATCH($B737,'Clean Gamification Data'!$A:$A,0)),"Not Found")</f>
        <v>66.75813771</v>
      </c>
      <c r="U737" s="28">
        <f>IFERROR(INDEX('Clean Gamification Data'!$D:$D,MATCH($B737,'Clean Gamification Data'!$A:$A,0)),"Not Found")</f>
        <v>70</v>
      </c>
      <c r="V737" s="28">
        <f>IFERROR(INDEX('Clean Gamification Data'!$E:$E,MATCH($B737,'Clean Gamification Data'!$A:$A,0)),"Not Found")</f>
        <v>74.094942990000007</v>
      </c>
      <c r="W737" s="28">
        <f>IFERROR(INDEX('Clean Gamification Data'!$F:$F,MATCH($B737,'Clean Gamification Data'!$A:$A,0)),"Not Found")</f>
        <v>92.792441030000006</v>
      </c>
      <c r="X737" s="28">
        <f>IFERROR(INDEX('Clean Gamification Data'!$G:$G,MATCH($B737,'Clean Gamification Data'!$A:$A,0)),"Not Found")</f>
        <v>85</v>
      </c>
      <c r="Y737" s="28">
        <f>IFERROR(INDEX('Clean Gamification Data'!$H:$H,MATCH($B737,'Clean Gamification Data'!$A:$A,0)),"Not Found")</f>
        <v>72.436442130000003</v>
      </c>
      <c r="Z737" s="28">
        <f>IFERROR(INDEX('Clean Gamification Data'!$I:$I,MATCH($B737,'Clean Gamification Data'!$A:$A,0)),"Not Found")</f>
        <v>52.609640579999997</v>
      </c>
      <c r="AA737" s="28">
        <f>Table1[[#This Row],[Engagement (Gamification %)]]-Table1[[#This Row],[Engagement (Non-Gamification %)]]</f>
        <v>16.775891700000003</v>
      </c>
      <c r="AB737" s="28">
        <f>Table1[[#This Row],[Motivation (Gamification %)]]-Table1[[#This Row],[Motivation (Non-Gamification %)]]</f>
        <v>-4.0949429900000069</v>
      </c>
      <c r="AC737" s="28">
        <f>Table1[[#This Row],[Participation (Gamification %)]]-Table1[[#This Row],[Participation (Non-Gamification %)]]</f>
        <v>7.7924410300000062</v>
      </c>
      <c r="AD737" s="28">
        <f>Table1[[#This Row],[Learning Outcomes (Gamification %)]]-Table1[[#This Row],[Learning Outcomes (Non-Gamification %)]]</f>
        <v>19.826801550000006</v>
      </c>
      <c r="AE737" s="44" t="str">
        <f>IF(Table1[[#This Row],[Overall Effectiveness]]&lt;3.9,"Low",IF(Table1[[#This Row],[Overall Effectiveness]]&lt;4.2,"Medium","High"))</f>
        <v>High</v>
      </c>
      <c r="AF737" s="30" t="str">
        <f t="shared" si="70"/>
        <v>Experiments</v>
      </c>
      <c r="AG737" s="30" t="str">
        <f t="shared" si="71"/>
        <v>Online Tutorials</v>
      </c>
      <c r="AH737" s="27">
        <f>COUNTIF(Teacher_Master!$D$2:$D$16,AF737)</f>
        <v>3</v>
      </c>
      <c r="AI737" s="30" t="str">
        <f>INDEX(Teacher_Master!$B$2:$B$16,MATCH(AF737,Teacher_Master!$D$2:$D$16,0))</f>
        <v>Prof. Rahul Singh</v>
      </c>
    </row>
    <row r="738" spans="1:35" ht="14.25" customHeight="1" x14ac:dyDescent="0.3">
      <c r="A738" s="31" t="s">
        <v>1509</v>
      </c>
      <c r="B738" s="31" t="s">
        <v>1510</v>
      </c>
      <c r="C738" s="31" t="s">
        <v>2882</v>
      </c>
      <c r="D738" s="12">
        <f t="shared" ca="1" si="66"/>
        <v>25</v>
      </c>
      <c r="E738" s="12" t="str">
        <f ca="1">IF(Table1[[#This Row],[Age]]&lt;=22,"20-22",IF(Table1[[#This Row],[Age]]&lt;=25,"23-25",IF(Table1[[#This Row],[Age]]&lt;=28,"26-28","29-30")))</f>
        <v>23-25</v>
      </c>
      <c r="F738" s="12">
        <v>4.33</v>
      </c>
      <c r="G738" s="12">
        <v>3.84</v>
      </c>
      <c r="H738" s="12">
        <v>3.91</v>
      </c>
      <c r="I738" s="12">
        <v>3.36</v>
      </c>
      <c r="J738" s="12">
        <v>4.3499999999999996</v>
      </c>
      <c r="K738" s="12">
        <v>4.1900000000000004</v>
      </c>
      <c r="L738" s="12">
        <v>4.3899999999999997</v>
      </c>
      <c r="M738" s="12">
        <v>3.89</v>
      </c>
      <c r="N738" s="12">
        <v>4.4800000000000004</v>
      </c>
      <c r="O738" s="12">
        <v>4.1100000000000003</v>
      </c>
      <c r="P738" s="12">
        <f t="shared" si="67"/>
        <v>3.9579999999999997</v>
      </c>
      <c r="Q738" s="12">
        <f t="shared" si="68"/>
        <v>3.96</v>
      </c>
      <c r="R738" s="12">
        <f t="shared" si="69"/>
        <v>4.2120000000000006</v>
      </c>
      <c r="S738" s="28">
        <f>IFERROR(INDEX('Clean Gamification Data'!$B:$B,MATCH($B738,'Clean Gamification Data'!$A:$A,0)),"Not Found")</f>
        <v>92.798418589999997</v>
      </c>
      <c r="T738" s="28">
        <f>IFERROR(INDEX('Clean Gamification Data'!$C:$C,MATCH($B738,'Clean Gamification Data'!$A:$A,0)),"Not Found")</f>
        <v>72.304133129999997</v>
      </c>
      <c r="U738" s="28">
        <f>IFERROR(INDEX('Clean Gamification Data'!$D:$D,MATCH($B738,'Clean Gamification Data'!$A:$A,0)),"Not Found")</f>
        <v>76.614538999999994</v>
      </c>
      <c r="V738" s="28">
        <f>IFERROR(INDEX('Clean Gamification Data'!$E:$E,MATCH($B738,'Clean Gamification Data'!$A:$A,0)),"Not Found")</f>
        <v>67.177624109999996</v>
      </c>
      <c r="W738" s="28">
        <f>IFERROR(INDEX('Clean Gamification Data'!$F:$F,MATCH($B738,'Clean Gamification Data'!$A:$A,0)),"Not Found")</f>
        <v>84.875173480000001</v>
      </c>
      <c r="X738" s="28">
        <f>IFERROR(INDEX('Clean Gamification Data'!$G:$G,MATCH($B738,'Clean Gamification Data'!$A:$A,0)),"Not Found")</f>
        <v>79.670659180000001</v>
      </c>
      <c r="Y738" s="28">
        <f>IFERROR(INDEX('Clean Gamification Data'!$H:$H,MATCH($B738,'Clean Gamification Data'!$A:$A,0)),"Not Found")</f>
        <v>69.002499130000004</v>
      </c>
      <c r="Z738" s="28">
        <f>IFERROR(INDEX('Clean Gamification Data'!$I:$I,MATCH($B738,'Clean Gamification Data'!$A:$A,0)),"Not Found")</f>
        <v>52.204250870000003</v>
      </c>
      <c r="AA738" s="28">
        <f>Table1[[#This Row],[Engagement (Gamification %)]]-Table1[[#This Row],[Engagement (Non-Gamification %)]]</f>
        <v>20.49428546</v>
      </c>
      <c r="AB738" s="28">
        <f>Table1[[#This Row],[Motivation (Gamification %)]]-Table1[[#This Row],[Motivation (Non-Gamification %)]]</f>
        <v>9.4369148899999971</v>
      </c>
      <c r="AC738" s="28">
        <f>Table1[[#This Row],[Participation (Gamification %)]]-Table1[[#This Row],[Participation (Non-Gamification %)]]</f>
        <v>5.2045142999999996</v>
      </c>
      <c r="AD738" s="28">
        <f>Table1[[#This Row],[Learning Outcomes (Gamification %)]]-Table1[[#This Row],[Learning Outcomes (Non-Gamification %)]]</f>
        <v>16.798248260000001</v>
      </c>
      <c r="AE738" s="44" t="str">
        <f>IF(Table1[[#This Row],[Overall Effectiveness]]&lt;3.9,"Low",IF(Table1[[#This Row],[Overall Effectiveness]]&lt;4.2,"Medium","High"))</f>
        <v>Medium</v>
      </c>
      <c r="AF738" s="30" t="str">
        <f t="shared" si="70"/>
        <v>Online Tutorials</v>
      </c>
      <c r="AG738" s="30" t="str">
        <f t="shared" si="71"/>
        <v>Experiments</v>
      </c>
      <c r="AH738" s="27">
        <f>COUNTIF(Teacher_Master!$D$2:$D$16,AF738)</f>
        <v>3</v>
      </c>
      <c r="AI738" s="30" t="str">
        <f>INDEX(Teacher_Master!$B$2:$B$16,MATCH(AF738,Teacher_Master!$D$2:$D$16,0))</f>
        <v>Prof. Kavita Rao</v>
      </c>
    </row>
    <row r="739" spans="1:35" ht="14.25" customHeight="1" x14ac:dyDescent="0.3">
      <c r="A739" s="31" t="s">
        <v>1511</v>
      </c>
      <c r="B739" s="31" t="s">
        <v>2609</v>
      </c>
      <c r="C739" s="31" t="s">
        <v>2881</v>
      </c>
      <c r="D739" s="12">
        <f t="shared" ca="1" si="66"/>
        <v>22</v>
      </c>
      <c r="E739" s="12" t="str">
        <f ca="1">IF(Table1[[#This Row],[Age]]&lt;=22,"20-22",IF(Table1[[#This Row],[Age]]&lt;=25,"23-25",IF(Table1[[#This Row],[Age]]&lt;=28,"26-28","29-30")))</f>
        <v>20-22</v>
      </c>
      <c r="F739" s="12">
        <v>4.45</v>
      </c>
      <c r="G739" s="12">
        <v>4.17</v>
      </c>
      <c r="H739" s="12">
        <v>4.1900000000000004</v>
      </c>
      <c r="I739" s="12">
        <v>3.58</v>
      </c>
      <c r="J739" s="12">
        <v>4.03</v>
      </c>
      <c r="K739" s="12">
        <v>3.73</v>
      </c>
      <c r="L739" s="12">
        <v>3.79</v>
      </c>
      <c r="M739" s="12">
        <v>3.46</v>
      </c>
      <c r="N739" s="12">
        <v>4.24</v>
      </c>
      <c r="O739" s="12">
        <v>4.0199999999999996</v>
      </c>
      <c r="P739" s="12">
        <f t="shared" si="67"/>
        <v>4.0840000000000005</v>
      </c>
      <c r="Q739" s="12">
        <f t="shared" si="68"/>
        <v>4.08</v>
      </c>
      <c r="R739" s="12">
        <f t="shared" si="69"/>
        <v>3.8480000000000003</v>
      </c>
      <c r="S739" s="28">
        <f>IFERROR(INDEX('Clean Gamification Data'!$B:$B,MATCH($B739,'Clean Gamification Data'!$A:$A,0)),"Not Found")</f>
        <v>84.853459009999995</v>
      </c>
      <c r="T739" s="28">
        <f>IFERROR(INDEX('Clean Gamification Data'!$C:$C,MATCH($B739,'Clean Gamification Data'!$A:$A,0)),"Not Found")</f>
        <v>65.776168080000005</v>
      </c>
      <c r="U739" s="28">
        <f>IFERROR(INDEX('Clean Gamification Data'!$D:$D,MATCH($B739,'Clean Gamification Data'!$A:$A,0)),"Not Found")</f>
        <v>77.674458880000003</v>
      </c>
      <c r="V739" s="28">
        <f>IFERROR(INDEX('Clean Gamification Data'!$E:$E,MATCH($B739,'Clean Gamification Data'!$A:$A,0)),"Not Found")</f>
        <v>65.308859749999996</v>
      </c>
      <c r="W739" s="28">
        <f>IFERROR(INDEX('Clean Gamification Data'!$F:$F,MATCH($B739,'Clean Gamification Data'!$A:$A,0)),"Not Found")</f>
        <v>99.9</v>
      </c>
      <c r="X739" s="28">
        <f>IFERROR(INDEX('Clean Gamification Data'!$G:$G,MATCH($B739,'Clean Gamification Data'!$A:$A,0)),"Not Found")</f>
        <v>81.486421250000006</v>
      </c>
      <c r="Y739" s="28">
        <f>IFERROR(INDEX('Clean Gamification Data'!$H:$H,MATCH($B739,'Clean Gamification Data'!$A:$A,0)),"Not Found")</f>
        <v>69.830001429999996</v>
      </c>
      <c r="Z739" s="28">
        <f>IFERROR(INDEX('Clean Gamification Data'!$I:$I,MATCH($B739,'Clean Gamification Data'!$A:$A,0)),"Not Found")</f>
        <v>65.525858299999996</v>
      </c>
      <c r="AA739" s="28">
        <f>Table1[[#This Row],[Engagement (Gamification %)]]-Table1[[#This Row],[Engagement (Non-Gamification %)]]</f>
        <v>19.07729092999999</v>
      </c>
      <c r="AB739" s="28">
        <f>Table1[[#This Row],[Motivation (Gamification %)]]-Table1[[#This Row],[Motivation (Non-Gamification %)]]</f>
        <v>12.365599130000007</v>
      </c>
      <c r="AC739" s="28">
        <f>Table1[[#This Row],[Participation (Gamification %)]]-Table1[[#This Row],[Participation (Non-Gamification %)]]</f>
        <v>18.413578749999999</v>
      </c>
      <c r="AD739" s="28">
        <f>Table1[[#This Row],[Learning Outcomes (Gamification %)]]-Table1[[#This Row],[Learning Outcomes (Non-Gamification %)]]</f>
        <v>4.3041431299999999</v>
      </c>
      <c r="AE739" s="44" t="str">
        <f>IF(Table1[[#This Row],[Overall Effectiveness]]&lt;3.9,"Low",IF(Table1[[#This Row],[Overall Effectiveness]]&lt;4.2,"Medium","High"))</f>
        <v>Medium</v>
      </c>
      <c r="AF739" s="30" t="str">
        <f t="shared" si="70"/>
        <v>Lectures</v>
      </c>
      <c r="AG739" s="30" t="str">
        <f t="shared" si="71"/>
        <v>Experiments</v>
      </c>
      <c r="AH739" s="27">
        <f>COUNTIF(Teacher_Master!$D$2:$D$16,AF739)</f>
        <v>3</v>
      </c>
      <c r="AI739" s="30" t="str">
        <f>INDEX(Teacher_Master!$B$2:$B$16,MATCH(AF739,Teacher_Master!$D$2:$D$16,0))</f>
        <v>Prof. Vikram Gupta</v>
      </c>
    </row>
    <row r="740" spans="1:35" ht="14.25" customHeight="1" x14ac:dyDescent="0.3">
      <c r="A740" s="31" t="s">
        <v>1513</v>
      </c>
      <c r="B740" s="31" t="s">
        <v>2610</v>
      </c>
      <c r="C740" s="31" t="s">
        <v>2881</v>
      </c>
      <c r="D740" s="12">
        <f t="shared" ca="1" si="66"/>
        <v>22</v>
      </c>
      <c r="E740" s="12" t="str">
        <f ca="1">IF(Table1[[#This Row],[Age]]&lt;=22,"20-22",IF(Table1[[#This Row],[Age]]&lt;=25,"23-25",IF(Table1[[#This Row],[Age]]&lt;=28,"26-28","29-30")))</f>
        <v>20-22</v>
      </c>
      <c r="F740" s="12">
        <v>3.76</v>
      </c>
      <c r="G740" s="12">
        <v>3.93</v>
      </c>
      <c r="H740" s="12">
        <v>3.88</v>
      </c>
      <c r="I740" s="12">
        <v>3.91</v>
      </c>
      <c r="J740" s="12">
        <v>4.47</v>
      </c>
      <c r="K740" s="12">
        <v>4.0599999999999996</v>
      </c>
      <c r="L740" s="12">
        <v>4.01</v>
      </c>
      <c r="M740" s="12">
        <v>4.03</v>
      </c>
      <c r="N740" s="12">
        <v>4.4000000000000004</v>
      </c>
      <c r="O740" s="12">
        <v>3.88</v>
      </c>
      <c r="P740" s="12">
        <f t="shared" si="67"/>
        <v>3.9899999999999998</v>
      </c>
      <c r="Q740" s="12">
        <f t="shared" si="68"/>
        <v>3.99</v>
      </c>
      <c r="R740" s="12">
        <f t="shared" si="69"/>
        <v>4.0759999999999996</v>
      </c>
      <c r="S740" s="28">
        <f>IFERROR(INDEX('Clean Gamification Data'!$B:$B,MATCH($B740,'Clean Gamification Data'!$A:$A,0)),"Not Found")</f>
        <v>79.593290449999998</v>
      </c>
      <c r="T740" s="28">
        <f>IFERROR(INDEX('Clean Gamification Data'!$C:$C,MATCH($B740,'Clean Gamification Data'!$A:$A,0)),"Not Found")</f>
        <v>69.947194800000005</v>
      </c>
      <c r="U740" s="28">
        <f>IFERROR(INDEX('Clean Gamification Data'!$D:$D,MATCH($B740,'Clean Gamification Data'!$A:$A,0)),"Not Found")</f>
        <v>83.343395979999997</v>
      </c>
      <c r="V740" s="28">
        <f>IFERROR(INDEX('Clean Gamification Data'!$E:$E,MATCH($B740,'Clean Gamification Data'!$A:$A,0)),"Not Found")</f>
        <v>73.399980909999996</v>
      </c>
      <c r="W740" s="28">
        <f>IFERROR(INDEX('Clean Gamification Data'!$F:$F,MATCH($B740,'Clean Gamification Data'!$A:$A,0)),"Not Found")</f>
        <v>99.9</v>
      </c>
      <c r="X740" s="28">
        <f>IFERROR(INDEX('Clean Gamification Data'!$G:$G,MATCH($B740,'Clean Gamification Data'!$A:$A,0)),"Not Found")</f>
        <v>71.880644910000001</v>
      </c>
      <c r="Y740" s="28">
        <f>IFERROR(INDEX('Clean Gamification Data'!$H:$H,MATCH($B740,'Clean Gamification Data'!$A:$A,0)),"Not Found")</f>
        <v>68.328769930000007</v>
      </c>
      <c r="Z740" s="28">
        <f>IFERROR(INDEX('Clean Gamification Data'!$I:$I,MATCH($B740,'Clean Gamification Data'!$A:$A,0)),"Not Found")</f>
        <v>61.210159419999997</v>
      </c>
      <c r="AA740" s="28">
        <f>Table1[[#This Row],[Engagement (Gamification %)]]-Table1[[#This Row],[Engagement (Non-Gamification %)]]</f>
        <v>9.6460956499999924</v>
      </c>
      <c r="AB740" s="28">
        <f>Table1[[#This Row],[Motivation (Gamification %)]]-Table1[[#This Row],[Motivation (Non-Gamification %)]]</f>
        <v>9.9434150700000004</v>
      </c>
      <c r="AC740" s="28">
        <f>Table1[[#This Row],[Participation (Gamification %)]]-Table1[[#This Row],[Participation (Non-Gamification %)]]</f>
        <v>28.019355090000005</v>
      </c>
      <c r="AD740" s="28">
        <f>Table1[[#This Row],[Learning Outcomes (Gamification %)]]-Table1[[#This Row],[Learning Outcomes (Non-Gamification %)]]</f>
        <v>7.1186105100000105</v>
      </c>
      <c r="AE740" s="44" t="str">
        <f>IF(Table1[[#This Row],[Overall Effectiveness]]&lt;3.9,"Low",IF(Table1[[#This Row],[Overall Effectiveness]]&lt;4.2,"Medium","High"))</f>
        <v>Medium</v>
      </c>
      <c r="AF740" s="30" t="str">
        <f t="shared" si="70"/>
        <v>Online Tutorials</v>
      </c>
      <c r="AG740" s="30" t="str">
        <f t="shared" si="71"/>
        <v>Experiments</v>
      </c>
      <c r="AH740" s="27">
        <f>COUNTIF(Teacher_Master!$D$2:$D$16,AF740)</f>
        <v>3</v>
      </c>
      <c r="AI740" s="30" t="str">
        <f>INDEX(Teacher_Master!$B$2:$B$16,MATCH(AF740,Teacher_Master!$D$2:$D$16,0))</f>
        <v>Prof. Kavita Rao</v>
      </c>
    </row>
    <row r="741" spans="1:35" ht="14.25" customHeight="1" x14ac:dyDescent="0.3">
      <c r="A741" s="31" t="s">
        <v>1515</v>
      </c>
      <c r="B741" s="31" t="s">
        <v>2611</v>
      </c>
      <c r="C741" s="31" t="s">
        <v>2882</v>
      </c>
      <c r="D741" s="12">
        <f t="shared" ca="1" si="66"/>
        <v>24</v>
      </c>
      <c r="E741" s="12" t="str">
        <f ca="1">IF(Table1[[#This Row],[Age]]&lt;=22,"20-22",IF(Table1[[#This Row],[Age]]&lt;=25,"23-25",IF(Table1[[#This Row],[Age]]&lt;=28,"26-28","29-30")))</f>
        <v>23-25</v>
      </c>
      <c r="F741" s="12">
        <v>4.0199999999999996</v>
      </c>
      <c r="G741" s="12">
        <v>4.68</v>
      </c>
      <c r="H741" s="12">
        <v>3.98</v>
      </c>
      <c r="I741" s="12">
        <v>4.29</v>
      </c>
      <c r="J741" s="12">
        <v>4.22</v>
      </c>
      <c r="K741" s="12" t="s">
        <v>211</v>
      </c>
      <c r="L741" s="12">
        <v>3.79</v>
      </c>
      <c r="M741" s="12">
        <v>3.99</v>
      </c>
      <c r="N741" s="12">
        <v>3.56</v>
      </c>
      <c r="O741" s="12">
        <v>3.46</v>
      </c>
      <c r="P741" s="12">
        <f t="shared" si="67"/>
        <v>4.2379999999999995</v>
      </c>
      <c r="Q741" s="12">
        <f t="shared" si="68"/>
        <v>4.24</v>
      </c>
      <c r="R741" s="12">
        <f t="shared" si="69"/>
        <v>3.7</v>
      </c>
      <c r="S741" s="28">
        <f>IFERROR(INDEX('Clean Gamification Data'!$B:$B,MATCH($B741,'Clean Gamification Data'!$A:$A,0)),"Not Found")</f>
        <v>96.541965289999993</v>
      </c>
      <c r="T741" s="28">
        <f>IFERROR(INDEX('Clean Gamification Data'!$C:$C,MATCH($B741,'Clean Gamification Data'!$A:$A,0)),"Not Found")</f>
        <v>64.86147253</v>
      </c>
      <c r="U741" s="28">
        <f>IFERROR(INDEX('Clean Gamification Data'!$D:$D,MATCH($B741,'Clean Gamification Data'!$A:$A,0)),"Not Found")</f>
        <v>81.603792909999996</v>
      </c>
      <c r="V741" s="28">
        <f>IFERROR(INDEX('Clean Gamification Data'!$E:$E,MATCH($B741,'Clean Gamification Data'!$A:$A,0)),"Not Found")</f>
        <v>67.472441489999994</v>
      </c>
      <c r="W741" s="28">
        <f>IFERROR(INDEX('Clean Gamification Data'!$F:$F,MATCH($B741,'Clean Gamification Data'!$A:$A,0)),"Not Found")</f>
        <v>80</v>
      </c>
      <c r="X741" s="28">
        <f>IFERROR(INDEX('Clean Gamification Data'!$G:$G,MATCH($B741,'Clean Gamification Data'!$A:$A,0)),"Not Found")</f>
        <v>78.367115380000001</v>
      </c>
      <c r="Y741" s="28">
        <f>IFERROR(INDEX('Clean Gamification Data'!$H:$H,MATCH($B741,'Clean Gamification Data'!$A:$A,0)),"Not Found")</f>
        <v>74.957413720000005</v>
      </c>
      <c r="Z741" s="28">
        <f>IFERROR(INDEX('Clean Gamification Data'!$I:$I,MATCH($B741,'Clean Gamification Data'!$A:$A,0)),"Not Found")</f>
        <v>53.284962419999999</v>
      </c>
      <c r="AA741" s="28">
        <f>Table1[[#This Row],[Engagement (Gamification %)]]-Table1[[#This Row],[Engagement (Non-Gamification %)]]</f>
        <v>31.680492759999993</v>
      </c>
      <c r="AB741" s="28">
        <f>Table1[[#This Row],[Motivation (Gamification %)]]-Table1[[#This Row],[Motivation (Non-Gamification %)]]</f>
        <v>14.131351420000001</v>
      </c>
      <c r="AC741" s="28">
        <f>Table1[[#This Row],[Participation (Gamification %)]]-Table1[[#This Row],[Participation (Non-Gamification %)]]</f>
        <v>1.6328846199999987</v>
      </c>
      <c r="AD741" s="28">
        <f>Table1[[#This Row],[Learning Outcomes (Gamification %)]]-Table1[[#This Row],[Learning Outcomes (Non-Gamification %)]]</f>
        <v>21.672451300000006</v>
      </c>
      <c r="AE741" s="44" t="str">
        <f>IF(Table1[[#This Row],[Overall Effectiveness]]&lt;3.9,"Low",IF(Table1[[#This Row],[Overall Effectiveness]]&lt;4.2,"Medium","High"))</f>
        <v>High</v>
      </c>
      <c r="AF741" s="30" t="str">
        <f t="shared" si="70"/>
        <v>Case Studies</v>
      </c>
      <c r="AG741" s="30" t="str">
        <f t="shared" si="71"/>
        <v>Group Projects</v>
      </c>
      <c r="AH741" s="27">
        <f>COUNTIF(Teacher_Master!$D$2:$D$16,AF741)</f>
        <v>3</v>
      </c>
      <c r="AI741" s="30" t="str">
        <f>INDEX(Teacher_Master!$B$2:$B$16,MATCH(AF741,Teacher_Master!$D$2:$D$16,0))</f>
        <v>Prof. Rajesh Mukherjee</v>
      </c>
    </row>
    <row r="742" spans="1:35" ht="14.25" customHeight="1" x14ac:dyDescent="0.3">
      <c r="A742" s="31" t="s">
        <v>1517</v>
      </c>
      <c r="B742" s="31" t="s">
        <v>1518</v>
      </c>
      <c r="C742" s="31" t="s">
        <v>2882</v>
      </c>
      <c r="D742" s="12">
        <f t="shared" ca="1" si="66"/>
        <v>29</v>
      </c>
      <c r="E742" s="12" t="str">
        <f ca="1">IF(Table1[[#This Row],[Age]]&lt;=22,"20-22",IF(Table1[[#This Row],[Age]]&lt;=25,"23-25",IF(Table1[[#This Row],[Age]]&lt;=28,"26-28","29-30")))</f>
        <v>29-30</v>
      </c>
      <c r="F742" s="12">
        <v>3.98</v>
      </c>
      <c r="G742" s="12">
        <v>4.6100000000000003</v>
      </c>
      <c r="H742" s="12">
        <v>3.9</v>
      </c>
      <c r="I742" s="12">
        <v>3.86</v>
      </c>
      <c r="J742" s="12">
        <v>4.2300000000000004</v>
      </c>
      <c r="K742" s="12">
        <v>3.7</v>
      </c>
      <c r="L742" s="12">
        <v>4.3499999999999996</v>
      </c>
      <c r="M742" s="12">
        <v>4.05</v>
      </c>
      <c r="N742" s="12">
        <v>3.81</v>
      </c>
      <c r="O742" s="12">
        <v>3.86</v>
      </c>
      <c r="P742" s="12">
        <f t="shared" si="67"/>
        <v>4.1160000000000005</v>
      </c>
      <c r="Q742" s="12">
        <f t="shared" si="68"/>
        <v>4.12</v>
      </c>
      <c r="R742" s="12">
        <f t="shared" si="69"/>
        <v>3.9540000000000006</v>
      </c>
      <c r="S742" s="28">
        <f>IFERROR(INDEX('Clean Gamification Data'!$B:$B,MATCH($B742,'Clean Gamification Data'!$A:$A,0)),"Not Found")</f>
        <v>80.867601820000004</v>
      </c>
      <c r="T742" s="28">
        <f>IFERROR(INDEX('Clean Gamification Data'!$C:$C,MATCH($B742,'Clean Gamification Data'!$A:$A,0)),"Not Found")</f>
        <v>68.456628539999997</v>
      </c>
      <c r="U742" s="28">
        <f>IFERROR(INDEX('Clean Gamification Data'!$D:$D,MATCH($B742,'Clean Gamification Data'!$A:$A,0)),"Not Found")</f>
        <v>70.174983440000005</v>
      </c>
      <c r="V742" s="28">
        <f>IFERROR(INDEX('Clean Gamification Data'!$E:$E,MATCH($B742,'Clean Gamification Data'!$A:$A,0)),"Not Found")</f>
        <v>67.946434249999996</v>
      </c>
      <c r="W742" s="28">
        <f>IFERROR(INDEX('Clean Gamification Data'!$F:$F,MATCH($B742,'Clean Gamification Data'!$A:$A,0)),"Not Found")</f>
        <v>87.835475400000007</v>
      </c>
      <c r="X742" s="28">
        <f>IFERROR(INDEX('Clean Gamification Data'!$G:$G,MATCH($B742,'Clean Gamification Data'!$A:$A,0)),"Not Found")</f>
        <v>72.320572639999995</v>
      </c>
      <c r="Y742" s="28">
        <f>IFERROR(INDEX('Clean Gamification Data'!$H:$H,MATCH($B742,'Clean Gamification Data'!$A:$A,0)),"Not Found")</f>
        <v>68.501405500000004</v>
      </c>
      <c r="Z742" s="28">
        <f>IFERROR(INDEX('Clean Gamification Data'!$I:$I,MATCH($B742,'Clean Gamification Data'!$A:$A,0)),"Not Found")</f>
        <v>53.533968010000002</v>
      </c>
      <c r="AA742" s="28">
        <f>Table1[[#This Row],[Engagement (Gamification %)]]-Table1[[#This Row],[Engagement (Non-Gamification %)]]</f>
        <v>12.410973280000007</v>
      </c>
      <c r="AB742" s="28">
        <f>Table1[[#This Row],[Motivation (Gamification %)]]-Table1[[#This Row],[Motivation (Non-Gamification %)]]</f>
        <v>2.2285491900000096</v>
      </c>
      <c r="AC742" s="28">
        <f>Table1[[#This Row],[Participation (Gamification %)]]-Table1[[#This Row],[Participation (Non-Gamification %)]]</f>
        <v>15.514902760000012</v>
      </c>
      <c r="AD742" s="28">
        <f>Table1[[#This Row],[Learning Outcomes (Gamification %)]]-Table1[[#This Row],[Learning Outcomes (Non-Gamification %)]]</f>
        <v>14.967437490000002</v>
      </c>
      <c r="AE742" s="44" t="str">
        <f>IF(Table1[[#This Row],[Overall Effectiveness]]&lt;3.9,"Low",IF(Table1[[#This Row],[Overall Effectiveness]]&lt;4.2,"Medium","High"))</f>
        <v>Medium</v>
      </c>
      <c r="AF742" s="30" t="str">
        <f t="shared" si="70"/>
        <v>Case Studies</v>
      </c>
      <c r="AG742" s="30" t="str">
        <f t="shared" si="71"/>
        <v>Case Studies</v>
      </c>
      <c r="AH742" s="27">
        <f>COUNTIF(Teacher_Master!$D$2:$D$16,AF742)</f>
        <v>3</v>
      </c>
      <c r="AI742" s="30" t="str">
        <f>INDEX(Teacher_Master!$B$2:$B$16,MATCH(AF742,Teacher_Master!$D$2:$D$16,0))</f>
        <v>Prof. Rajesh Mukherjee</v>
      </c>
    </row>
    <row r="743" spans="1:35" ht="14.25" customHeight="1" x14ac:dyDescent="0.3">
      <c r="A743" s="31" t="s">
        <v>1519</v>
      </c>
      <c r="B743" s="31" t="s">
        <v>2612</v>
      </c>
      <c r="C743" s="31" t="s">
        <v>2882</v>
      </c>
      <c r="D743" s="12">
        <f t="shared" ca="1" si="66"/>
        <v>22</v>
      </c>
      <c r="E743" s="12" t="str">
        <f ca="1">IF(Table1[[#This Row],[Age]]&lt;=22,"20-22",IF(Table1[[#This Row],[Age]]&lt;=25,"23-25",IF(Table1[[#This Row],[Age]]&lt;=28,"26-28","29-30")))</f>
        <v>20-22</v>
      </c>
      <c r="F743" s="12">
        <v>3.99</v>
      </c>
      <c r="G743" s="12">
        <v>3.73</v>
      </c>
      <c r="H743" s="12">
        <v>3.83</v>
      </c>
      <c r="I743" s="12">
        <v>3.87</v>
      </c>
      <c r="J743" s="12">
        <v>4.5999999999999996</v>
      </c>
      <c r="K743" s="12">
        <v>4.26</v>
      </c>
      <c r="L743" s="12">
        <v>4.1500000000000004</v>
      </c>
      <c r="M743" s="12">
        <v>3.85</v>
      </c>
      <c r="N743" s="12">
        <v>4.24</v>
      </c>
      <c r="O743" s="12">
        <v>4.01</v>
      </c>
      <c r="P743" s="12">
        <f t="shared" si="67"/>
        <v>4.0040000000000004</v>
      </c>
      <c r="Q743" s="12">
        <f t="shared" si="68"/>
        <v>4</v>
      </c>
      <c r="R743" s="12">
        <f t="shared" si="69"/>
        <v>4.1019999999999994</v>
      </c>
      <c r="S743" s="28">
        <f>IFERROR(INDEX('Clean Gamification Data'!$B:$B,MATCH($B743,'Clean Gamification Data'!$A:$A,0)),"Not Found")</f>
        <v>95.900101860000007</v>
      </c>
      <c r="T743" s="28">
        <f>IFERROR(INDEX('Clean Gamification Data'!$C:$C,MATCH($B743,'Clean Gamification Data'!$A:$A,0)),"Not Found")</f>
        <v>77.962224239999998</v>
      </c>
      <c r="U743" s="28">
        <f>IFERROR(INDEX('Clean Gamification Data'!$D:$D,MATCH($B743,'Clean Gamification Data'!$A:$A,0)),"Not Found")</f>
        <v>74.671005269999995</v>
      </c>
      <c r="V743" s="28">
        <f>IFERROR(INDEX('Clean Gamification Data'!$E:$E,MATCH($B743,'Clean Gamification Data'!$A:$A,0)),"Not Found")</f>
        <v>69.021578969999993</v>
      </c>
      <c r="W743" s="28">
        <f>IFERROR(INDEX('Clean Gamification Data'!$F:$F,MATCH($B743,'Clean Gamification Data'!$A:$A,0)),"Not Found")</f>
        <v>80.678468229999993</v>
      </c>
      <c r="X743" s="28">
        <f>IFERROR(INDEX('Clean Gamification Data'!$G:$G,MATCH($B743,'Clean Gamification Data'!$A:$A,0)),"Not Found")</f>
        <v>83.83476795</v>
      </c>
      <c r="Y743" s="28">
        <f>IFERROR(INDEX('Clean Gamification Data'!$H:$H,MATCH($B743,'Clean Gamification Data'!$A:$A,0)),"Not Found")</f>
        <v>66.492757139999995</v>
      </c>
      <c r="Z743" s="28">
        <f>IFERROR(INDEX('Clean Gamification Data'!$I:$I,MATCH($B743,'Clean Gamification Data'!$A:$A,0)),"Not Found")</f>
        <v>67.503757980000003</v>
      </c>
      <c r="AA743" s="28">
        <f>Table1[[#This Row],[Engagement (Gamification %)]]-Table1[[#This Row],[Engagement (Non-Gamification %)]]</f>
        <v>17.937877620000009</v>
      </c>
      <c r="AB743" s="28">
        <f>Table1[[#This Row],[Motivation (Gamification %)]]-Table1[[#This Row],[Motivation (Non-Gamification %)]]</f>
        <v>5.6494263000000018</v>
      </c>
      <c r="AC743" s="28">
        <f>Table1[[#This Row],[Participation (Gamification %)]]-Table1[[#This Row],[Participation (Non-Gamification %)]]</f>
        <v>-3.1562997200000069</v>
      </c>
      <c r="AD743" s="28">
        <f>Table1[[#This Row],[Learning Outcomes (Gamification %)]]-Table1[[#This Row],[Learning Outcomes (Non-Gamification %)]]</f>
        <v>-1.0110008400000083</v>
      </c>
      <c r="AE743" s="44" t="str">
        <f>IF(Table1[[#This Row],[Overall Effectiveness]]&lt;3.9,"Low",IF(Table1[[#This Row],[Overall Effectiveness]]&lt;4.2,"Medium","High"))</f>
        <v>Medium</v>
      </c>
      <c r="AF743" s="30" t="str">
        <f t="shared" si="70"/>
        <v>Online Tutorials</v>
      </c>
      <c r="AG743" s="30" t="str">
        <f t="shared" si="71"/>
        <v>Lectures</v>
      </c>
      <c r="AH743" s="27">
        <f>COUNTIF(Teacher_Master!$D$2:$D$16,AF743)</f>
        <v>3</v>
      </c>
      <c r="AI743" s="30" t="str">
        <f>INDEX(Teacher_Master!$B$2:$B$16,MATCH(AF743,Teacher_Master!$D$2:$D$16,0))</f>
        <v>Prof. Kavita Rao</v>
      </c>
    </row>
    <row r="744" spans="1:35" ht="14.25" customHeight="1" x14ac:dyDescent="0.3">
      <c r="A744" s="31" t="s">
        <v>1521</v>
      </c>
      <c r="B744" s="31" t="s">
        <v>2613</v>
      </c>
      <c r="C744" s="31" t="s">
        <v>2882</v>
      </c>
      <c r="D744" s="12">
        <f t="shared" ca="1" si="66"/>
        <v>26</v>
      </c>
      <c r="E744" s="12" t="str">
        <f ca="1">IF(Table1[[#This Row],[Age]]&lt;=22,"20-22",IF(Table1[[#This Row],[Age]]&lt;=25,"23-25",IF(Table1[[#This Row],[Age]]&lt;=28,"26-28","29-30")))</f>
        <v>26-28</v>
      </c>
      <c r="F744" s="12">
        <v>3.7</v>
      </c>
      <c r="G744" s="12" t="s">
        <v>211</v>
      </c>
      <c r="H744" s="12" t="s">
        <v>211</v>
      </c>
      <c r="I744" s="12">
        <v>3.89</v>
      </c>
      <c r="J744" s="12">
        <v>3.97</v>
      </c>
      <c r="K744" s="12">
        <v>3.57</v>
      </c>
      <c r="L744" s="12">
        <v>4.28</v>
      </c>
      <c r="M744" s="12">
        <v>3.97</v>
      </c>
      <c r="N744" s="12">
        <v>3.74</v>
      </c>
      <c r="O744" s="12">
        <v>3.74</v>
      </c>
      <c r="P744" s="12">
        <f t="shared" si="67"/>
        <v>3.8533333333333335</v>
      </c>
      <c r="Q744" s="12">
        <f t="shared" si="68"/>
        <v>3.85</v>
      </c>
      <c r="R744" s="12">
        <f t="shared" si="69"/>
        <v>3.8600000000000003</v>
      </c>
      <c r="S744" s="28">
        <f>IFERROR(INDEX('Clean Gamification Data'!$B:$B,MATCH($B744,'Clean Gamification Data'!$A:$A,0)),"Not Found")</f>
        <v>87.029775670000006</v>
      </c>
      <c r="T744" s="28">
        <f>IFERROR(INDEX('Clean Gamification Data'!$C:$C,MATCH($B744,'Clean Gamification Data'!$A:$A,0)),"Not Found")</f>
        <v>70.095678860000007</v>
      </c>
      <c r="U744" s="28">
        <f>IFERROR(INDEX('Clean Gamification Data'!$D:$D,MATCH($B744,'Clean Gamification Data'!$A:$A,0)),"Not Found")</f>
        <v>78.765565640000005</v>
      </c>
      <c r="V744" s="28">
        <f>IFERROR(INDEX('Clean Gamification Data'!$E:$E,MATCH($B744,'Clean Gamification Data'!$A:$A,0)),"Not Found")</f>
        <v>60.812269120000003</v>
      </c>
      <c r="W744" s="28">
        <f>IFERROR(INDEX('Clean Gamification Data'!$F:$F,MATCH($B744,'Clean Gamification Data'!$A:$A,0)),"Not Found")</f>
        <v>80</v>
      </c>
      <c r="X744" s="28">
        <f>IFERROR(INDEX('Clean Gamification Data'!$G:$G,MATCH($B744,'Clean Gamification Data'!$A:$A,0)),"Not Found")</f>
        <v>85</v>
      </c>
      <c r="Y744" s="28">
        <f>IFERROR(INDEX('Clean Gamification Data'!$H:$H,MATCH($B744,'Clean Gamification Data'!$A:$A,0)),"Not Found")</f>
        <v>73.053436970000007</v>
      </c>
      <c r="Z744" s="28">
        <f>IFERROR(INDEX('Clean Gamification Data'!$I:$I,MATCH($B744,'Clean Gamification Data'!$A:$A,0)),"Not Found")</f>
        <v>70</v>
      </c>
      <c r="AA744" s="28">
        <f>Table1[[#This Row],[Engagement (Gamification %)]]-Table1[[#This Row],[Engagement (Non-Gamification %)]]</f>
        <v>16.93409681</v>
      </c>
      <c r="AB744" s="28">
        <f>Table1[[#This Row],[Motivation (Gamification %)]]-Table1[[#This Row],[Motivation (Non-Gamification %)]]</f>
        <v>17.953296520000002</v>
      </c>
      <c r="AC744" s="28">
        <f>Table1[[#This Row],[Participation (Gamification %)]]-Table1[[#This Row],[Participation (Non-Gamification %)]]</f>
        <v>-5</v>
      </c>
      <c r="AD744" s="28">
        <f>Table1[[#This Row],[Learning Outcomes (Gamification %)]]-Table1[[#This Row],[Learning Outcomes (Non-Gamification %)]]</f>
        <v>3.053436970000007</v>
      </c>
      <c r="AE744" s="44" t="str">
        <f>IF(Table1[[#This Row],[Overall Effectiveness]]&lt;3.9,"Low",IF(Table1[[#This Row],[Overall Effectiveness]]&lt;4.2,"Medium","High"))</f>
        <v>Low</v>
      </c>
      <c r="AF744" s="30" t="str">
        <f t="shared" si="70"/>
        <v>Online Tutorials</v>
      </c>
      <c r="AG744" s="30" t="str">
        <f t="shared" si="71"/>
        <v>Case Studies</v>
      </c>
      <c r="AH744" s="27">
        <f>COUNTIF(Teacher_Master!$D$2:$D$16,AF744)</f>
        <v>3</v>
      </c>
      <c r="AI744" s="30" t="str">
        <f>INDEX(Teacher_Master!$B$2:$B$16,MATCH(AF744,Teacher_Master!$D$2:$D$16,0))</f>
        <v>Prof. Kavita Rao</v>
      </c>
    </row>
    <row r="745" spans="1:35" ht="14.25" customHeight="1" x14ac:dyDescent="0.3">
      <c r="A745" s="31" t="s">
        <v>1523</v>
      </c>
      <c r="B745" s="31" t="s">
        <v>2614</v>
      </c>
      <c r="C745" s="31" t="s">
        <v>2882</v>
      </c>
      <c r="D745" s="12">
        <f t="shared" ca="1" si="66"/>
        <v>22</v>
      </c>
      <c r="E745" s="12" t="str">
        <f ca="1">IF(Table1[[#This Row],[Age]]&lt;=22,"20-22",IF(Table1[[#This Row],[Age]]&lt;=25,"23-25",IF(Table1[[#This Row],[Age]]&lt;=28,"26-28","29-30")))</f>
        <v>20-22</v>
      </c>
      <c r="F745" s="12">
        <v>4.0999999999999996</v>
      </c>
      <c r="G745" s="12">
        <v>4.3</v>
      </c>
      <c r="H745" s="12">
        <v>3.54</v>
      </c>
      <c r="I745" s="12">
        <v>3.76</v>
      </c>
      <c r="J745" s="12">
        <v>4.05</v>
      </c>
      <c r="K745" s="12">
        <v>3.86</v>
      </c>
      <c r="L745" s="12">
        <v>4.1100000000000003</v>
      </c>
      <c r="M745" s="12">
        <v>4.5599999999999996</v>
      </c>
      <c r="N745" s="12">
        <v>3.58</v>
      </c>
      <c r="O745" s="12">
        <v>4.5599999999999996</v>
      </c>
      <c r="P745" s="12">
        <f t="shared" si="67"/>
        <v>3.9499999999999993</v>
      </c>
      <c r="Q745" s="12">
        <f t="shared" si="68"/>
        <v>3.95</v>
      </c>
      <c r="R745" s="12">
        <f t="shared" si="69"/>
        <v>4.1339999999999995</v>
      </c>
      <c r="S745" s="28">
        <f>IFERROR(INDEX('Clean Gamification Data'!$B:$B,MATCH($B745,'Clean Gamification Data'!$A:$A,0)),"Not Found")</f>
        <v>92.361713420000001</v>
      </c>
      <c r="T745" s="28">
        <f>IFERROR(INDEX('Clean Gamification Data'!$C:$C,MATCH($B745,'Clean Gamification Data'!$A:$A,0)),"Not Found")</f>
        <v>78.16922984</v>
      </c>
      <c r="U745" s="28">
        <f>IFERROR(INDEX('Clean Gamification Data'!$D:$D,MATCH($B745,'Clean Gamification Data'!$A:$A,0)),"Not Found")</f>
        <v>79.67466057</v>
      </c>
      <c r="V745" s="28">
        <f>IFERROR(INDEX('Clean Gamification Data'!$E:$E,MATCH($B745,'Clean Gamification Data'!$A:$A,0)),"Not Found")</f>
        <v>65.848241889999997</v>
      </c>
      <c r="W745" s="28">
        <f>IFERROR(INDEX('Clean Gamification Data'!$F:$F,MATCH($B745,'Clean Gamification Data'!$A:$A,0)),"Not Found")</f>
        <v>83.555690819999995</v>
      </c>
      <c r="X745" s="28">
        <f>IFERROR(INDEX('Clean Gamification Data'!$G:$G,MATCH($B745,'Clean Gamification Data'!$A:$A,0)),"Not Found")</f>
        <v>73.961830750000004</v>
      </c>
      <c r="Y745" s="28">
        <f>IFERROR(INDEX('Clean Gamification Data'!$H:$H,MATCH($B745,'Clean Gamification Data'!$A:$A,0)),"Not Found")</f>
        <v>65</v>
      </c>
      <c r="Z745" s="28">
        <f>IFERROR(INDEX('Clean Gamification Data'!$I:$I,MATCH($B745,'Clean Gamification Data'!$A:$A,0)),"Not Found")</f>
        <v>70</v>
      </c>
      <c r="AA745" s="28">
        <f>Table1[[#This Row],[Engagement (Gamification %)]]-Table1[[#This Row],[Engagement (Non-Gamification %)]]</f>
        <v>14.192483580000001</v>
      </c>
      <c r="AB745" s="28">
        <f>Table1[[#This Row],[Motivation (Gamification %)]]-Table1[[#This Row],[Motivation (Non-Gamification %)]]</f>
        <v>13.826418680000003</v>
      </c>
      <c r="AC745" s="28">
        <f>Table1[[#This Row],[Participation (Gamification %)]]-Table1[[#This Row],[Participation (Non-Gamification %)]]</f>
        <v>9.593860069999991</v>
      </c>
      <c r="AD745" s="28">
        <f>Table1[[#This Row],[Learning Outcomes (Gamification %)]]-Table1[[#This Row],[Learning Outcomes (Non-Gamification %)]]</f>
        <v>-5</v>
      </c>
      <c r="AE745" s="44" t="str">
        <f>IF(Table1[[#This Row],[Overall Effectiveness]]&lt;3.9,"Low",IF(Table1[[#This Row],[Overall Effectiveness]]&lt;4.2,"Medium","High"))</f>
        <v>Medium</v>
      </c>
      <c r="AF745" s="30" t="str">
        <f t="shared" si="70"/>
        <v>Case Studies</v>
      </c>
      <c r="AG745" s="30" t="str">
        <f t="shared" si="71"/>
        <v>Group Projects</v>
      </c>
      <c r="AH745" s="27">
        <f>COUNTIF(Teacher_Master!$D$2:$D$16,AF745)</f>
        <v>3</v>
      </c>
      <c r="AI745" s="30" t="str">
        <f>INDEX(Teacher_Master!$B$2:$B$16,MATCH(AF745,Teacher_Master!$D$2:$D$16,0))</f>
        <v>Prof. Rajesh Mukherjee</v>
      </c>
    </row>
    <row r="746" spans="1:35" ht="14.25" customHeight="1" x14ac:dyDescent="0.3">
      <c r="A746" s="31" t="s">
        <v>1525</v>
      </c>
      <c r="B746" s="31" t="s">
        <v>1526</v>
      </c>
      <c r="C746" s="31" t="s">
        <v>2882</v>
      </c>
      <c r="D746" s="12">
        <f t="shared" ca="1" si="66"/>
        <v>30</v>
      </c>
      <c r="E746" s="12" t="str">
        <f ca="1">IF(Table1[[#This Row],[Age]]&lt;=22,"20-22",IF(Table1[[#This Row],[Age]]&lt;=25,"23-25",IF(Table1[[#This Row],[Age]]&lt;=28,"26-28","29-30")))</f>
        <v>29-30</v>
      </c>
      <c r="F746" s="12">
        <v>4.1399999999999997</v>
      </c>
      <c r="G746" s="12">
        <v>4.24</v>
      </c>
      <c r="H746" s="12">
        <v>4.18</v>
      </c>
      <c r="I746" s="12">
        <v>3.89</v>
      </c>
      <c r="J746" s="12">
        <v>3.53</v>
      </c>
      <c r="K746" s="12">
        <v>4.08</v>
      </c>
      <c r="L746" s="12">
        <v>4.01</v>
      </c>
      <c r="M746" s="12">
        <v>4</v>
      </c>
      <c r="N746" s="12">
        <v>4.1500000000000004</v>
      </c>
      <c r="O746" s="12">
        <v>4.22</v>
      </c>
      <c r="P746" s="12">
        <f t="shared" si="67"/>
        <v>3.996</v>
      </c>
      <c r="Q746" s="12">
        <f t="shared" si="68"/>
        <v>4</v>
      </c>
      <c r="R746" s="12">
        <f t="shared" si="69"/>
        <v>4.0920000000000005</v>
      </c>
      <c r="S746" s="28">
        <f>IFERROR(INDEX('Clean Gamification Data'!$B:$B,MATCH($B746,'Clean Gamification Data'!$A:$A,0)),"Not Found")</f>
        <v>95.884332799999996</v>
      </c>
      <c r="T746" s="28">
        <f>IFERROR(INDEX('Clean Gamification Data'!$C:$C,MATCH($B746,'Clean Gamification Data'!$A:$A,0)),"Not Found")</f>
        <v>60</v>
      </c>
      <c r="U746" s="28">
        <f>IFERROR(INDEX('Clean Gamification Data'!$D:$D,MATCH($B746,'Clean Gamification Data'!$A:$A,0)),"Not Found")</f>
        <v>86.641998819999998</v>
      </c>
      <c r="V746" s="28">
        <f>IFERROR(INDEX('Clean Gamification Data'!$E:$E,MATCH($B746,'Clean Gamification Data'!$A:$A,0)),"Not Found")</f>
        <v>66.404607470000002</v>
      </c>
      <c r="W746" s="28">
        <f>IFERROR(INDEX('Clean Gamification Data'!$F:$F,MATCH($B746,'Clean Gamification Data'!$A:$A,0)),"Not Found")</f>
        <v>88.217969729999993</v>
      </c>
      <c r="X746" s="28">
        <f>IFERROR(INDEX('Clean Gamification Data'!$G:$G,MATCH($B746,'Clean Gamification Data'!$A:$A,0)),"Not Found")</f>
        <v>74.187673340000003</v>
      </c>
      <c r="Y746" s="28">
        <f>IFERROR(INDEX('Clean Gamification Data'!$H:$H,MATCH($B746,'Clean Gamification Data'!$A:$A,0)),"Not Found")</f>
        <v>66.622132350000001</v>
      </c>
      <c r="Z746" s="28">
        <f>IFERROR(INDEX('Clean Gamification Data'!$I:$I,MATCH($B746,'Clean Gamification Data'!$A:$A,0)),"Not Found")</f>
        <v>60.657131749999998</v>
      </c>
      <c r="AA746" s="28">
        <f>Table1[[#This Row],[Engagement (Gamification %)]]-Table1[[#This Row],[Engagement (Non-Gamification %)]]</f>
        <v>35.884332799999996</v>
      </c>
      <c r="AB746" s="28">
        <f>Table1[[#This Row],[Motivation (Gamification %)]]-Table1[[#This Row],[Motivation (Non-Gamification %)]]</f>
        <v>20.237391349999996</v>
      </c>
      <c r="AC746" s="28">
        <f>Table1[[#This Row],[Participation (Gamification %)]]-Table1[[#This Row],[Participation (Non-Gamification %)]]</f>
        <v>14.03029638999999</v>
      </c>
      <c r="AD746" s="28">
        <f>Table1[[#This Row],[Learning Outcomes (Gamification %)]]-Table1[[#This Row],[Learning Outcomes (Non-Gamification %)]]</f>
        <v>5.9650006000000033</v>
      </c>
      <c r="AE746" s="44" t="str">
        <f>IF(Table1[[#This Row],[Overall Effectiveness]]&lt;3.9,"Low",IF(Table1[[#This Row],[Overall Effectiveness]]&lt;4.2,"Medium","High"))</f>
        <v>Medium</v>
      </c>
      <c r="AF746" s="30" t="str">
        <f t="shared" si="70"/>
        <v>Case Studies</v>
      </c>
      <c r="AG746" s="30" t="str">
        <f t="shared" si="71"/>
        <v>Online Tutorials</v>
      </c>
      <c r="AH746" s="27">
        <f>COUNTIF(Teacher_Master!$D$2:$D$16,AF746)</f>
        <v>3</v>
      </c>
      <c r="AI746" s="30" t="str">
        <f>INDEX(Teacher_Master!$B$2:$B$16,MATCH(AF746,Teacher_Master!$D$2:$D$16,0))</f>
        <v>Prof. Rajesh Mukherjee</v>
      </c>
    </row>
    <row r="747" spans="1:35" ht="14.25" customHeight="1" x14ac:dyDescent="0.3">
      <c r="A747" s="31" t="s">
        <v>1527</v>
      </c>
      <c r="B747" s="31" t="s">
        <v>2615</v>
      </c>
      <c r="C747" s="31" t="s">
        <v>2882</v>
      </c>
      <c r="D747" s="12">
        <f t="shared" ca="1" si="66"/>
        <v>30</v>
      </c>
      <c r="E747" s="12" t="str">
        <f ca="1">IF(Table1[[#This Row],[Age]]&lt;=22,"20-22",IF(Table1[[#This Row],[Age]]&lt;=25,"23-25",IF(Table1[[#This Row],[Age]]&lt;=28,"26-28","29-30")))</f>
        <v>29-30</v>
      </c>
      <c r="F747" s="12">
        <v>4.16</v>
      </c>
      <c r="G747" s="12">
        <v>4.0999999999999996</v>
      </c>
      <c r="H747" s="12">
        <v>4.07</v>
      </c>
      <c r="I747" s="12">
        <v>4.75</v>
      </c>
      <c r="J747" s="12">
        <v>4.1900000000000004</v>
      </c>
      <c r="K747" s="12">
        <v>4.0199999999999996</v>
      </c>
      <c r="L747" s="12">
        <v>3.54</v>
      </c>
      <c r="M747" s="12">
        <v>3.96</v>
      </c>
      <c r="N747" s="12">
        <v>4.21</v>
      </c>
      <c r="O747" s="12">
        <v>3.64</v>
      </c>
      <c r="P747" s="12">
        <f t="shared" si="67"/>
        <v>4.2539999999999996</v>
      </c>
      <c r="Q747" s="12">
        <f t="shared" si="68"/>
        <v>4.25</v>
      </c>
      <c r="R747" s="12">
        <f t="shared" si="69"/>
        <v>3.8740000000000001</v>
      </c>
      <c r="S747" s="28">
        <f>IFERROR(INDEX('Clean Gamification Data'!$B:$B,MATCH($B747,'Clean Gamification Data'!$A:$A,0)),"Not Found")</f>
        <v>88.712161030000004</v>
      </c>
      <c r="T747" s="28">
        <f>IFERROR(INDEX('Clean Gamification Data'!$C:$C,MATCH($B747,'Clean Gamification Data'!$A:$A,0)),"Not Found")</f>
        <v>60</v>
      </c>
      <c r="U747" s="28">
        <f>IFERROR(INDEX('Clean Gamification Data'!$D:$D,MATCH($B747,'Clean Gamification Data'!$A:$A,0)),"Not Found")</f>
        <v>77.090925920000004</v>
      </c>
      <c r="V747" s="28">
        <f>IFERROR(INDEX('Clean Gamification Data'!$E:$E,MATCH($B747,'Clean Gamification Data'!$A:$A,0)),"Not Found")</f>
        <v>71.485135319999998</v>
      </c>
      <c r="W747" s="28">
        <f>IFERROR(INDEX('Clean Gamification Data'!$F:$F,MATCH($B747,'Clean Gamification Data'!$A:$A,0)),"Not Found")</f>
        <v>97.382282079999996</v>
      </c>
      <c r="X747" s="28">
        <f>IFERROR(INDEX('Clean Gamification Data'!$G:$G,MATCH($B747,'Clean Gamification Data'!$A:$A,0)),"Not Found")</f>
        <v>78.14563407</v>
      </c>
      <c r="Y747" s="28">
        <f>IFERROR(INDEX('Clean Gamification Data'!$H:$H,MATCH($B747,'Clean Gamification Data'!$A:$A,0)),"Not Found")</f>
        <v>65</v>
      </c>
      <c r="Z747" s="28">
        <f>IFERROR(INDEX('Clean Gamification Data'!$I:$I,MATCH($B747,'Clean Gamification Data'!$A:$A,0)),"Not Found")</f>
        <v>63.040669080000001</v>
      </c>
      <c r="AA747" s="28">
        <f>Table1[[#This Row],[Engagement (Gamification %)]]-Table1[[#This Row],[Engagement (Non-Gamification %)]]</f>
        <v>28.712161030000004</v>
      </c>
      <c r="AB747" s="28">
        <f>Table1[[#This Row],[Motivation (Gamification %)]]-Table1[[#This Row],[Motivation (Non-Gamification %)]]</f>
        <v>5.605790600000006</v>
      </c>
      <c r="AC747" s="28">
        <f>Table1[[#This Row],[Participation (Gamification %)]]-Table1[[#This Row],[Participation (Non-Gamification %)]]</f>
        <v>19.236648009999996</v>
      </c>
      <c r="AD747" s="28">
        <f>Table1[[#This Row],[Learning Outcomes (Gamification %)]]-Table1[[#This Row],[Learning Outcomes (Non-Gamification %)]]</f>
        <v>1.9593309199999993</v>
      </c>
      <c r="AE747" s="44" t="str">
        <f>IF(Table1[[#This Row],[Overall Effectiveness]]&lt;3.9,"Low",IF(Table1[[#This Row],[Overall Effectiveness]]&lt;4.2,"Medium","High"))</f>
        <v>High</v>
      </c>
      <c r="AF747" s="30" t="str">
        <f t="shared" si="70"/>
        <v>Experiments</v>
      </c>
      <c r="AG747" s="30" t="str">
        <f t="shared" si="71"/>
        <v>Experiments</v>
      </c>
      <c r="AH747" s="27">
        <f>COUNTIF(Teacher_Master!$D$2:$D$16,AF747)</f>
        <v>3</v>
      </c>
      <c r="AI747" s="30" t="str">
        <f>INDEX(Teacher_Master!$B$2:$B$16,MATCH(AF747,Teacher_Master!$D$2:$D$16,0))</f>
        <v>Prof. Rahul Singh</v>
      </c>
    </row>
    <row r="748" spans="1:35" ht="14.25" customHeight="1" x14ac:dyDescent="0.3">
      <c r="A748" s="31" t="s">
        <v>1529</v>
      </c>
      <c r="B748" s="31" t="s">
        <v>2616</v>
      </c>
      <c r="C748" s="31" t="s">
        <v>2882</v>
      </c>
      <c r="D748" s="12">
        <f t="shared" ca="1" si="66"/>
        <v>24</v>
      </c>
      <c r="E748" s="12" t="str">
        <f ca="1">IF(Table1[[#This Row],[Age]]&lt;=22,"20-22",IF(Table1[[#This Row],[Age]]&lt;=25,"23-25",IF(Table1[[#This Row],[Age]]&lt;=28,"26-28","29-30")))</f>
        <v>23-25</v>
      </c>
      <c r="F748" s="12">
        <v>4.6399999999999997</v>
      </c>
      <c r="G748" s="12">
        <v>4.13</v>
      </c>
      <c r="H748" s="12">
        <v>4.09</v>
      </c>
      <c r="I748" s="12">
        <v>3.59</v>
      </c>
      <c r="J748" s="12">
        <v>4.28</v>
      </c>
      <c r="K748" s="12">
        <v>4.12</v>
      </c>
      <c r="L748" s="12">
        <v>4.2</v>
      </c>
      <c r="M748" s="12" t="s">
        <v>211</v>
      </c>
      <c r="N748" s="12">
        <v>4.01</v>
      </c>
      <c r="O748" s="12">
        <v>4.01</v>
      </c>
      <c r="P748" s="12">
        <f t="shared" si="67"/>
        <v>4.1459999999999999</v>
      </c>
      <c r="Q748" s="12">
        <f t="shared" si="68"/>
        <v>4.1500000000000004</v>
      </c>
      <c r="R748" s="12">
        <f t="shared" si="69"/>
        <v>4.085</v>
      </c>
      <c r="S748" s="28">
        <f>IFERROR(INDEX('Clean Gamification Data'!$B:$B,MATCH($B748,'Clean Gamification Data'!$A:$A,0)),"Not Found")</f>
        <v>97.581153560000004</v>
      </c>
      <c r="T748" s="28">
        <f>IFERROR(INDEX('Clean Gamification Data'!$C:$C,MATCH($B748,'Clean Gamification Data'!$A:$A,0)),"Not Found")</f>
        <v>66.508161630000004</v>
      </c>
      <c r="U748" s="28">
        <f>IFERROR(INDEX('Clean Gamification Data'!$D:$D,MATCH($B748,'Clean Gamification Data'!$A:$A,0)),"Not Found")</f>
        <v>73.311640639999993</v>
      </c>
      <c r="V748" s="28">
        <f>IFERROR(INDEX('Clean Gamification Data'!$E:$E,MATCH($B748,'Clean Gamification Data'!$A:$A,0)),"Not Found")</f>
        <v>75</v>
      </c>
      <c r="W748" s="28">
        <f>IFERROR(INDEX('Clean Gamification Data'!$F:$F,MATCH($B748,'Clean Gamification Data'!$A:$A,0)),"Not Found")</f>
        <v>96.989217049999993</v>
      </c>
      <c r="X748" s="28">
        <f>IFERROR(INDEX('Clean Gamification Data'!$G:$G,MATCH($B748,'Clean Gamification Data'!$A:$A,0)),"Not Found")</f>
        <v>81.758809150000005</v>
      </c>
      <c r="Y748" s="28">
        <f>IFERROR(INDEX('Clean Gamification Data'!$H:$H,MATCH($B748,'Clean Gamification Data'!$A:$A,0)),"Not Found")</f>
        <v>65</v>
      </c>
      <c r="Z748" s="28">
        <f>IFERROR(INDEX('Clean Gamification Data'!$I:$I,MATCH($B748,'Clean Gamification Data'!$A:$A,0)),"Not Found")</f>
        <v>58.128233829999999</v>
      </c>
      <c r="AA748" s="28">
        <f>Table1[[#This Row],[Engagement (Gamification %)]]-Table1[[#This Row],[Engagement (Non-Gamification %)]]</f>
        <v>31.072991930000001</v>
      </c>
      <c r="AB748" s="28">
        <f>Table1[[#This Row],[Motivation (Gamification %)]]-Table1[[#This Row],[Motivation (Non-Gamification %)]]</f>
        <v>-1.6883593600000069</v>
      </c>
      <c r="AC748" s="28">
        <f>Table1[[#This Row],[Participation (Gamification %)]]-Table1[[#This Row],[Participation (Non-Gamification %)]]</f>
        <v>15.230407899999989</v>
      </c>
      <c r="AD748" s="28">
        <f>Table1[[#This Row],[Learning Outcomes (Gamification %)]]-Table1[[#This Row],[Learning Outcomes (Non-Gamification %)]]</f>
        <v>6.8717661700000008</v>
      </c>
      <c r="AE748" s="44" t="str">
        <f>IF(Table1[[#This Row],[Overall Effectiveness]]&lt;3.9,"Low",IF(Table1[[#This Row],[Overall Effectiveness]]&lt;4.2,"Medium","High"))</f>
        <v>Medium</v>
      </c>
      <c r="AF748" s="30" t="str">
        <f t="shared" si="70"/>
        <v>Lectures</v>
      </c>
      <c r="AG748" s="30" t="str">
        <f t="shared" si="71"/>
        <v>Case Studies</v>
      </c>
      <c r="AH748" s="27">
        <f>COUNTIF(Teacher_Master!$D$2:$D$16,AF748)</f>
        <v>3</v>
      </c>
      <c r="AI748" s="30" t="str">
        <f>INDEX(Teacher_Master!$B$2:$B$16,MATCH(AF748,Teacher_Master!$D$2:$D$16,0))</f>
        <v>Prof. Vikram Gupta</v>
      </c>
    </row>
    <row r="749" spans="1:35" ht="14.25" customHeight="1" x14ac:dyDescent="0.3">
      <c r="A749" s="31" t="s">
        <v>1531</v>
      </c>
      <c r="B749" s="31" t="s">
        <v>2617</v>
      </c>
      <c r="C749" s="31" t="s">
        <v>2882</v>
      </c>
      <c r="D749" s="12">
        <f t="shared" ca="1" si="66"/>
        <v>27</v>
      </c>
      <c r="E749" s="12" t="str">
        <f ca="1">IF(Table1[[#This Row],[Age]]&lt;=22,"20-22",IF(Table1[[#This Row],[Age]]&lt;=25,"23-25",IF(Table1[[#This Row],[Age]]&lt;=28,"26-28","29-30")))</f>
        <v>26-28</v>
      </c>
      <c r="F749" s="12">
        <v>3.48</v>
      </c>
      <c r="G749" s="12">
        <v>3.89</v>
      </c>
      <c r="H749" s="12">
        <v>4.13</v>
      </c>
      <c r="I749" s="12">
        <v>3.94</v>
      </c>
      <c r="J749" s="12">
        <v>4.4000000000000004</v>
      </c>
      <c r="K749" s="12">
        <v>4.46</v>
      </c>
      <c r="L749" s="12">
        <v>4.51</v>
      </c>
      <c r="M749" s="12">
        <v>3.68</v>
      </c>
      <c r="N749" s="12">
        <v>3.92</v>
      </c>
      <c r="O749" s="12">
        <v>4.3899999999999997</v>
      </c>
      <c r="P749" s="12">
        <f t="shared" si="67"/>
        <v>3.968</v>
      </c>
      <c r="Q749" s="12">
        <f t="shared" si="68"/>
        <v>3.97</v>
      </c>
      <c r="R749" s="12">
        <f t="shared" si="69"/>
        <v>4.1920000000000002</v>
      </c>
      <c r="S749" s="28">
        <f>IFERROR(INDEX('Clean Gamification Data'!$B:$B,MATCH($B749,'Clean Gamification Data'!$A:$A,0)),"Not Found")</f>
        <v>87.834311700000001</v>
      </c>
      <c r="T749" s="28">
        <f>IFERROR(INDEX('Clean Gamification Data'!$C:$C,MATCH($B749,'Clean Gamification Data'!$A:$A,0)),"Not Found")</f>
        <v>60.060103320000003</v>
      </c>
      <c r="U749" s="28">
        <f>IFERROR(INDEX('Clean Gamification Data'!$D:$D,MATCH($B749,'Clean Gamification Data'!$A:$A,0)),"Not Found")</f>
        <v>74.644189519999998</v>
      </c>
      <c r="V749" s="28">
        <f>IFERROR(INDEX('Clean Gamification Data'!$E:$E,MATCH($B749,'Clean Gamification Data'!$A:$A,0)),"Not Found")</f>
        <v>70.419044889999995</v>
      </c>
      <c r="W749" s="28">
        <f>IFERROR(INDEX('Clean Gamification Data'!$F:$F,MATCH($B749,'Clean Gamification Data'!$A:$A,0)),"Not Found")</f>
        <v>83.549707690000005</v>
      </c>
      <c r="X749" s="28">
        <f>IFERROR(INDEX('Clean Gamification Data'!$G:$G,MATCH($B749,'Clean Gamification Data'!$A:$A,0)),"Not Found")</f>
        <v>76.455276889999993</v>
      </c>
      <c r="Y749" s="28">
        <f>IFERROR(INDEX('Clean Gamification Data'!$H:$H,MATCH($B749,'Clean Gamification Data'!$A:$A,0)),"Not Found")</f>
        <v>74.115929010000002</v>
      </c>
      <c r="Z749" s="28">
        <f>IFERROR(INDEX('Clean Gamification Data'!$I:$I,MATCH($B749,'Clean Gamification Data'!$A:$A,0)),"Not Found")</f>
        <v>55.464882170000003</v>
      </c>
      <c r="AA749" s="28">
        <f>Table1[[#This Row],[Engagement (Gamification %)]]-Table1[[#This Row],[Engagement (Non-Gamification %)]]</f>
        <v>27.774208379999997</v>
      </c>
      <c r="AB749" s="28">
        <f>Table1[[#This Row],[Motivation (Gamification %)]]-Table1[[#This Row],[Motivation (Non-Gamification %)]]</f>
        <v>4.2251446300000026</v>
      </c>
      <c r="AC749" s="28">
        <f>Table1[[#This Row],[Participation (Gamification %)]]-Table1[[#This Row],[Participation (Non-Gamification %)]]</f>
        <v>7.094430800000012</v>
      </c>
      <c r="AD749" s="28">
        <f>Table1[[#This Row],[Learning Outcomes (Gamification %)]]-Table1[[#This Row],[Learning Outcomes (Non-Gamification %)]]</f>
        <v>18.651046839999999</v>
      </c>
      <c r="AE749" s="44" t="str">
        <f>IF(Table1[[#This Row],[Overall Effectiveness]]&lt;3.9,"Low",IF(Table1[[#This Row],[Overall Effectiveness]]&lt;4.2,"Medium","High"))</f>
        <v>Medium</v>
      </c>
      <c r="AF749" s="30" t="str">
        <f t="shared" si="70"/>
        <v>Online Tutorials</v>
      </c>
      <c r="AG749" s="30" t="str">
        <f t="shared" si="71"/>
        <v>Case Studies</v>
      </c>
      <c r="AH749" s="27">
        <f>COUNTIF(Teacher_Master!$D$2:$D$16,AF749)</f>
        <v>3</v>
      </c>
      <c r="AI749" s="30" t="str">
        <f>INDEX(Teacher_Master!$B$2:$B$16,MATCH(AF749,Teacher_Master!$D$2:$D$16,0))</f>
        <v>Prof. Kavita Rao</v>
      </c>
    </row>
    <row r="750" spans="1:35" ht="14.25" customHeight="1" x14ac:dyDescent="0.3">
      <c r="A750" s="31" t="s">
        <v>1533</v>
      </c>
      <c r="B750" s="31" t="s">
        <v>2618</v>
      </c>
      <c r="C750" s="31" t="s">
        <v>2882</v>
      </c>
      <c r="D750" s="12">
        <f t="shared" ca="1" si="66"/>
        <v>20</v>
      </c>
      <c r="E750" s="12" t="str">
        <f ca="1">IF(Table1[[#This Row],[Age]]&lt;=22,"20-22",IF(Table1[[#This Row],[Age]]&lt;=25,"23-25",IF(Table1[[#This Row],[Age]]&lt;=28,"26-28","29-30")))</f>
        <v>20-22</v>
      </c>
      <c r="F750" s="12" t="s">
        <v>211</v>
      </c>
      <c r="G750" s="12">
        <v>3.98</v>
      </c>
      <c r="H750" s="12">
        <v>3.99</v>
      </c>
      <c r="I750" s="12">
        <v>4.03</v>
      </c>
      <c r="J750" s="12">
        <v>4.4400000000000004</v>
      </c>
      <c r="K750" s="12">
        <v>4.16</v>
      </c>
      <c r="L750" s="12">
        <v>4.58</v>
      </c>
      <c r="M750" s="12">
        <v>4.45</v>
      </c>
      <c r="N750" s="12">
        <v>4.04</v>
      </c>
      <c r="O750" s="12">
        <v>4.0599999999999996</v>
      </c>
      <c r="P750" s="12">
        <f t="shared" si="67"/>
        <v>4.1100000000000003</v>
      </c>
      <c r="Q750" s="12">
        <f t="shared" si="68"/>
        <v>4.1100000000000003</v>
      </c>
      <c r="R750" s="12">
        <f t="shared" si="69"/>
        <v>4.258</v>
      </c>
      <c r="S750" s="28">
        <f>IFERROR(INDEX('Clean Gamification Data'!$B:$B,MATCH($B750,'Clean Gamification Data'!$A:$A,0)),"Not Found")</f>
        <v>91.034851290000006</v>
      </c>
      <c r="T750" s="28">
        <f>IFERROR(INDEX('Clean Gamification Data'!$C:$C,MATCH($B750,'Clean Gamification Data'!$A:$A,0)),"Not Found")</f>
        <v>71.344594079999993</v>
      </c>
      <c r="U750" s="28">
        <f>IFERROR(INDEX('Clean Gamification Data'!$D:$D,MATCH($B750,'Clean Gamification Data'!$A:$A,0)),"Not Found")</f>
        <v>74.55856747</v>
      </c>
      <c r="V750" s="28">
        <f>IFERROR(INDEX('Clean Gamification Data'!$E:$E,MATCH($B750,'Clean Gamification Data'!$A:$A,0)),"Not Found")</f>
        <v>64.366813089999994</v>
      </c>
      <c r="W750" s="28">
        <f>IFERROR(INDEX('Clean Gamification Data'!$F:$F,MATCH($B750,'Clean Gamification Data'!$A:$A,0)),"Not Found")</f>
        <v>85.854876300000001</v>
      </c>
      <c r="X750" s="28">
        <f>IFERROR(INDEX('Clean Gamification Data'!$G:$G,MATCH($B750,'Clean Gamification Data'!$A:$A,0)),"Not Found")</f>
        <v>85</v>
      </c>
      <c r="Y750" s="28">
        <f>IFERROR(INDEX('Clean Gamification Data'!$H:$H,MATCH($B750,'Clean Gamification Data'!$A:$A,0)),"Not Found")</f>
        <v>70.973784409999993</v>
      </c>
      <c r="Z750" s="28">
        <f>IFERROR(INDEX('Clean Gamification Data'!$I:$I,MATCH($B750,'Clean Gamification Data'!$A:$A,0)),"Not Found")</f>
        <v>70</v>
      </c>
      <c r="AA750" s="28">
        <f>Table1[[#This Row],[Engagement (Gamification %)]]-Table1[[#This Row],[Engagement (Non-Gamification %)]]</f>
        <v>19.690257210000013</v>
      </c>
      <c r="AB750" s="28">
        <f>Table1[[#This Row],[Motivation (Gamification %)]]-Table1[[#This Row],[Motivation (Non-Gamification %)]]</f>
        <v>10.191754380000006</v>
      </c>
      <c r="AC750" s="28">
        <f>Table1[[#This Row],[Participation (Gamification %)]]-Table1[[#This Row],[Participation (Non-Gamification %)]]</f>
        <v>0.85487630000000081</v>
      </c>
      <c r="AD750" s="28">
        <f>Table1[[#This Row],[Learning Outcomes (Gamification %)]]-Table1[[#This Row],[Learning Outcomes (Non-Gamification %)]]</f>
        <v>0.97378440999999327</v>
      </c>
      <c r="AE750" s="44" t="str">
        <f>IF(Table1[[#This Row],[Overall Effectiveness]]&lt;3.9,"Low",IF(Table1[[#This Row],[Overall Effectiveness]]&lt;4.2,"Medium","High"))</f>
        <v>Medium</v>
      </c>
      <c r="AF750" s="30" t="str">
        <f t="shared" si="70"/>
        <v>Online Tutorials</v>
      </c>
      <c r="AG750" s="30" t="str">
        <f t="shared" si="71"/>
        <v>Case Studies</v>
      </c>
      <c r="AH750" s="27">
        <f>COUNTIF(Teacher_Master!$D$2:$D$16,AF750)</f>
        <v>3</v>
      </c>
      <c r="AI750" s="30" t="str">
        <f>INDEX(Teacher_Master!$B$2:$B$16,MATCH(AF750,Teacher_Master!$D$2:$D$16,0))</f>
        <v>Prof. Kavita Rao</v>
      </c>
    </row>
    <row r="751" spans="1:35" ht="14.25" customHeight="1" x14ac:dyDescent="0.3">
      <c r="A751" s="31" t="s">
        <v>1535</v>
      </c>
      <c r="B751" s="31" t="s">
        <v>2619</v>
      </c>
      <c r="C751" s="31" t="s">
        <v>2882</v>
      </c>
      <c r="D751" s="12">
        <f t="shared" ca="1" si="66"/>
        <v>26</v>
      </c>
      <c r="E751" s="12" t="str">
        <f ca="1">IF(Table1[[#This Row],[Age]]&lt;=22,"20-22",IF(Table1[[#This Row],[Age]]&lt;=25,"23-25",IF(Table1[[#This Row],[Age]]&lt;=28,"26-28","29-30")))</f>
        <v>26-28</v>
      </c>
      <c r="F751" s="12">
        <v>4.0999999999999996</v>
      </c>
      <c r="G751" s="12">
        <v>4.3600000000000003</v>
      </c>
      <c r="H751" s="12">
        <v>3.89</v>
      </c>
      <c r="I751" s="12">
        <v>4.26</v>
      </c>
      <c r="J751" s="12">
        <v>4.4800000000000004</v>
      </c>
      <c r="K751" s="12">
        <v>3.82</v>
      </c>
      <c r="L751" s="12">
        <v>3.85</v>
      </c>
      <c r="M751" s="12">
        <v>3.58</v>
      </c>
      <c r="N751" s="12">
        <v>4.3499999999999996</v>
      </c>
      <c r="O751" s="12">
        <v>3.83</v>
      </c>
      <c r="P751" s="12">
        <f t="shared" si="67"/>
        <v>4.218</v>
      </c>
      <c r="Q751" s="12">
        <f t="shared" si="68"/>
        <v>4.22</v>
      </c>
      <c r="R751" s="12">
        <f t="shared" si="69"/>
        <v>3.8860000000000001</v>
      </c>
      <c r="S751" s="28">
        <f>IFERROR(INDEX('Clean Gamification Data'!$B:$B,MATCH($B751,'Clean Gamification Data'!$A:$A,0)),"Not Found")</f>
        <v>87.257511739999998</v>
      </c>
      <c r="T751" s="28">
        <f>IFERROR(INDEX('Clean Gamification Data'!$C:$C,MATCH($B751,'Clean Gamification Data'!$A:$A,0)),"Not Found")</f>
        <v>74.879782129999995</v>
      </c>
      <c r="U751" s="28">
        <f>IFERROR(INDEX('Clean Gamification Data'!$D:$D,MATCH($B751,'Clean Gamification Data'!$A:$A,0)),"Not Found")</f>
        <v>70</v>
      </c>
      <c r="V751" s="28">
        <f>IFERROR(INDEX('Clean Gamification Data'!$E:$E,MATCH($B751,'Clean Gamification Data'!$A:$A,0)),"Not Found")</f>
        <v>67.054618669999996</v>
      </c>
      <c r="W751" s="28">
        <f>IFERROR(INDEX('Clean Gamification Data'!$F:$F,MATCH($B751,'Clean Gamification Data'!$A:$A,0)),"Not Found")</f>
        <v>87.987788420000001</v>
      </c>
      <c r="X751" s="28">
        <f>IFERROR(INDEX('Clean Gamification Data'!$G:$G,MATCH($B751,'Clean Gamification Data'!$A:$A,0)),"Not Found")</f>
        <v>76.877322530000001</v>
      </c>
      <c r="Y751" s="28">
        <f>IFERROR(INDEX('Clean Gamification Data'!$H:$H,MATCH($B751,'Clean Gamification Data'!$A:$A,0)),"Not Found")</f>
        <v>67.229006990000002</v>
      </c>
      <c r="Z751" s="28">
        <f>IFERROR(INDEX('Clean Gamification Data'!$I:$I,MATCH($B751,'Clean Gamification Data'!$A:$A,0)),"Not Found")</f>
        <v>60.690227870000001</v>
      </c>
      <c r="AA751" s="28">
        <f>Table1[[#This Row],[Engagement (Gamification %)]]-Table1[[#This Row],[Engagement (Non-Gamification %)]]</f>
        <v>12.377729610000003</v>
      </c>
      <c r="AB751" s="28">
        <f>Table1[[#This Row],[Motivation (Gamification %)]]-Table1[[#This Row],[Motivation (Non-Gamification %)]]</f>
        <v>2.9453813300000036</v>
      </c>
      <c r="AC751" s="28">
        <f>Table1[[#This Row],[Participation (Gamification %)]]-Table1[[#This Row],[Participation (Non-Gamification %)]]</f>
        <v>11.11046589</v>
      </c>
      <c r="AD751" s="28">
        <f>Table1[[#This Row],[Learning Outcomes (Gamification %)]]-Table1[[#This Row],[Learning Outcomes (Non-Gamification %)]]</f>
        <v>6.5387791200000009</v>
      </c>
      <c r="AE751" s="44" t="str">
        <f>IF(Table1[[#This Row],[Overall Effectiveness]]&lt;3.9,"Low",IF(Table1[[#This Row],[Overall Effectiveness]]&lt;4.2,"Medium","High"))</f>
        <v>High</v>
      </c>
      <c r="AF751" s="30" t="str">
        <f t="shared" si="70"/>
        <v>Online Tutorials</v>
      </c>
      <c r="AG751" s="30" t="str">
        <f t="shared" si="71"/>
        <v>Experiments</v>
      </c>
      <c r="AH751" s="27">
        <f>COUNTIF(Teacher_Master!$D$2:$D$16,AF751)</f>
        <v>3</v>
      </c>
      <c r="AI751" s="30" t="str">
        <f>INDEX(Teacher_Master!$B$2:$B$16,MATCH(AF751,Teacher_Master!$D$2:$D$16,0))</f>
        <v>Prof. Kavita Rao</v>
      </c>
    </row>
    <row r="752" spans="1:35" ht="14.25" customHeight="1" x14ac:dyDescent="0.3">
      <c r="A752" s="31" t="s">
        <v>1537</v>
      </c>
      <c r="B752" s="31" t="s">
        <v>1538</v>
      </c>
      <c r="C752" s="31" t="s">
        <v>2882</v>
      </c>
      <c r="D752" s="12">
        <f t="shared" ca="1" si="66"/>
        <v>29</v>
      </c>
      <c r="E752" s="12" t="str">
        <f ca="1">IF(Table1[[#This Row],[Age]]&lt;=22,"20-22",IF(Table1[[#This Row],[Age]]&lt;=25,"23-25",IF(Table1[[#This Row],[Age]]&lt;=28,"26-28","29-30")))</f>
        <v>29-30</v>
      </c>
      <c r="F752" s="12">
        <v>4.6900000000000004</v>
      </c>
      <c r="G752" s="12">
        <v>4.53</v>
      </c>
      <c r="H752" s="12">
        <v>3.77</v>
      </c>
      <c r="I752" s="12">
        <v>4.4000000000000004</v>
      </c>
      <c r="J752" s="12">
        <v>4.58</v>
      </c>
      <c r="K752" s="12">
        <v>4.54</v>
      </c>
      <c r="L752" s="12">
        <v>4.6500000000000004</v>
      </c>
      <c r="M752" s="12">
        <v>3.72</v>
      </c>
      <c r="N752" s="12" t="s">
        <v>211</v>
      </c>
      <c r="O752" s="12">
        <v>3.93</v>
      </c>
      <c r="P752" s="12">
        <f t="shared" si="67"/>
        <v>4.3940000000000001</v>
      </c>
      <c r="Q752" s="12">
        <f t="shared" si="68"/>
        <v>4.3899999999999997</v>
      </c>
      <c r="R752" s="12">
        <f t="shared" si="69"/>
        <v>4.2100000000000009</v>
      </c>
      <c r="S752" s="28">
        <f>IFERROR(INDEX('Clean Gamification Data'!$B:$B,MATCH($B752,'Clean Gamification Data'!$A:$A,0)),"Not Found")</f>
        <v>87.842573360000003</v>
      </c>
      <c r="T752" s="28">
        <f>IFERROR(INDEX('Clean Gamification Data'!$C:$C,MATCH($B752,'Clean Gamification Data'!$A:$A,0)),"Not Found")</f>
        <v>64.173575139999997</v>
      </c>
      <c r="U752" s="28">
        <f>IFERROR(INDEX('Clean Gamification Data'!$D:$D,MATCH($B752,'Clean Gamification Data'!$A:$A,0)),"Not Found")</f>
        <v>74.089373420000001</v>
      </c>
      <c r="V752" s="28">
        <f>IFERROR(INDEX('Clean Gamification Data'!$E:$E,MATCH($B752,'Clean Gamification Data'!$A:$A,0)),"Not Found")</f>
        <v>70.886631109999996</v>
      </c>
      <c r="W752" s="28">
        <f>IFERROR(INDEX('Clean Gamification Data'!$F:$F,MATCH($B752,'Clean Gamification Data'!$A:$A,0)),"Not Found")</f>
        <v>88.153112969999995</v>
      </c>
      <c r="X752" s="28">
        <f>IFERROR(INDEX('Clean Gamification Data'!$G:$G,MATCH($B752,'Clean Gamification Data'!$A:$A,0)),"Not Found")</f>
        <v>81.435486539999999</v>
      </c>
      <c r="Y752" s="28">
        <f>IFERROR(INDEX('Clean Gamification Data'!$H:$H,MATCH($B752,'Clean Gamification Data'!$A:$A,0)),"Not Found")</f>
        <v>70.116969049999994</v>
      </c>
      <c r="Z752" s="28">
        <f>IFERROR(INDEX('Clean Gamification Data'!$I:$I,MATCH($B752,'Clean Gamification Data'!$A:$A,0)),"Not Found")</f>
        <v>68.851899149999994</v>
      </c>
      <c r="AA752" s="28">
        <f>Table1[[#This Row],[Engagement (Gamification %)]]-Table1[[#This Row],[Engagement (Non-Gamification %)]]</f>
        <v>23.668998220000006</v>
      </c>
      <c r="AB752" s="28">
        <f>Table1[[#This Row],[Motivation (Gamification %)]]-Table1[[#This Row],[Motivation (Non-Gamification %)]]</f>
        <v>3.202742310000005</v>
      </c>
      <c r="AC752" s="28">
        <f>Table1[[#This Row],[Participation (Gamification %)]]-Table1[[#This Row],[Participation (Non-Gamification %)]]</f>
        <v>6.7176264299999957</v>
      </c>
      <c r="AD752" s="28">
        <f>Table1[[#This Row],[Learning Outcomes (Gamification %)]]-Table1[[#This Row],[Learning Outcomes (Non-Gamification %)]]</f>
        <v>1.2650699000000003</v>
      </c>
      <c r="AE752" s="44" t="str">
        <f>IF(Table1[[#This Row],[Overall Effectiveness]]&lt;3.9,"Low",IF(Table1[[#This Row],[Overall Effectiveness]]&lt;4.2,"Medium","High"))</f>
        <v>High</v>
      </c>
      <c r="AF752" s="30" t="str">
        <f t="shared" si="70"/>
        <v>Lectures</v>
      </c>
      <c r="AG752" s="30" t="str">
        <f t="shared" si="71"/>
        <v>Case Studies</v>
      </c>
      <c r="AH752" s="27">
        <f>COUNTIF(Teacher_Master!$D$2:$D$16,AF752)</f>
        <v>3</v>
      </c>
      <c r="AI752" s="30" t="str">
        <f>INDEX(Teacher_Master!$B$2:$B$16,MATCH(AF752,Teacher_Master!$D$2:$D$16,0))</f>
        <v>Prof. Vikram Gupta</v>
      </c>
    </row>
    <row r="753" spans="1:35" ht="14.25" customHeight="1" x14ac:dyDescent="0.3">
      <c r="A753" s="31" t="s">
        <v>1539</v>
      </c>
      <c r="B753" s="31" t="s">
        <v>2620</v>
      </c>
      <c r="C753" s="31" t="s">
        <v>2881</v>
      </c>
      <c r="D753" s="12">
        <f t="shared" ca="1" si="66"/>
        <v>24</v>
      </c>
      <c r="E753" s="12" t="str">
        <f ca="1">IF(Table1[[#This Row],[Age]]&lt;=22,"20-22",IF(Table1[[#This Row],[Age]]&lt;=25,"23-25",IF(Table1[[#This Row],[Age]]&lt;=28,"26-28","29-30")))</f>
        <v>23-25</v>
      </c>
      <c r="F753" s="12">
        <v>3.66</v>
      </c>
      <c r="G753" s="12">
        <v>3.77</v>
      </c>
      <c r="H753" s="12">
        <v>4.33</v>
      </c>
      <c r="I753" s="12">
        <v>4.43</v>
      </c>
      <c r="J753" s="12">
        <v>3.86</v>
      </c>
      <c r="K753" s="12">
        <v>4.6100000000000003</v>
      </c>
      <c r="L753" s="12">
        <v>3.96</v>
      </c>
      <c r="M753" s="12">
        <v>4.17</v>
      </c>
      <c r="N753" s="12">
        <v>4.46</v>
      </c>
      <c r="O753" s="12">
        <v>3.81</v>
      </c>
      <c r="P753" s="12">
        <f t="shared" si="67"/>
        <v>4.01</v>
      </c>
      <c r="Q753" s="12">
        <f t="shared" si="68"/>
        <v>4.01</v>
      </c>
      <c r="R753" s="12">
        <f t="shared" si="69"/>
        <v>4.202</v>
      </c>
      <c r="S753" s="28">
        <f>IFERROR(INDEX('Clean Gamification Data'!$B:$B,MATCH($B753,'Clean Gamification Data'!$A:$A,0)),"Not Found")</f>
        <v>98.988128639999999</v>
      </c>
      <c r="T753" s="28">
        <f>IFERROR(INDEX('Clean Gamification Data'!$C:$C,MATCH($B753,'Clean Gamification Data'!$A:$A,0)),"Not Found")</f>
        <v>68.157734930000004</v>
      </c>
      <c r="U753" s="28">
        <f>IFERROR(INDEX('Clean Gamification Data'!$D:$D,MATCH($B753,'Clean Gamification Data'!$A:$A,0)),"Not Found")</f>
        <v>70</v>
      </c>
      <c r="V753" s="28">
        <f>IFERROR(INDEX('Clean Gamification Data'!$E:$E,MATCH($B753,'Clean Gamification Data'!$A:$A,0)),"Not Found")</f>
        <v>70.018329629999997</v>
      </c>
      <c r="W753" s="28">
        <f>IFERROR(INDEX('Clean Gamification Data'!$F:$F,MATCH($B753,'Clean Gamification Data'!$A:$A,0)),"Not Found")</f>
        <v>95.635598439999995</v>
      </c>
      <c r="X753" s="28">
        <f>IFERROR(INDEX('Clean Gamification Data'!$G:$G,MATCH($B753,'Clean Gamification Data'!$A:$A,0)),"Not Found")</f>
        <v>85</v>
      </c>
      <c r="Y753" s="28">
        <f>IFERROR(INDEX('Clean Gamification Data'!$H:$H,MATCH($B753,'Clean Gamification Data'!$A:$A,0)),"Not Found")</f>
        <v>67.511837240000006</v>
      </c>
      <c r="Z753" s="28">
        <f>IFERROR(INDEX('Clean Gamification Data'!$I:$I,MATCH($B753,'Clean Gamification Data'!$A:$A,0)),"Not Found")</f>
        <v>59.270702960000001</v>
      </c>
      <c r="AA753" s="28">
        <f>Table1[[#This Row],[Engagement (Gamification %)]]-Table1[[#This Row],[Engagement (Non-Gamification %)]]</f>
        <v>30.830393709999996</v>
      </c>
      <c r="AB753" s="28">
        <f>Table1[[#This Row],[Motivation (Gamification %)]]-Table1[[#This Row],[Motivation (Non-Gamification %)]]</f>
        <v>-1.8329629999996655E-2</v>
      </c>
      <c r="AC753" s="28">
        <f>Table1[[#This Row],[Participation (Gamification %)]]-Table1[[#This Row],[Participation (Non-Gamification %)]]</f>
        <v>10.635598439999995</v>
      </c>
      <c r="AD753" s="28">
        <f>Table1[[#This Row],[Learning Outcomes (Gamification %)]]-Table1[[#This Row],[Learning Outcomes (Non-Gamification %)]]</f>
        <v>8.2411342800000043</v>
      </c>
      <c r="AE753" s="44" t="str">
        <f>IF(Table1[[#This Row],[Overall Effectiveness]]&lt;3.9,"Low",IF(Table1[[#This Row],[Overall Effectiveness]]&lt;4.2,"Medium","High"))</f>
        <v>Medium</v>
      </c>
      <c r="AF753" s="30" t="str">
        <f t="shared" si="70"/>
        <v>Experiments</v>
      </c>
      <c r="AG753" s="30" t="str">
        <f t="shared" si="71"/>
        <v>Lectures</v>
      </c>
      <c r="AH753" s="27">
        <f>COUNTIF(Teacher_Master!$D$2:$D$16,AF753)</f>
        <v>3</v>
      </c>
      <c r="AI753" s="30" t="str">
        <f>INDEX(Teacher_Master!$B$2:$B$16,MATCH(AF753,Teacher_Master!$D$2:$D$16,0))</f>
        <v>Prof. Rahul Singh</v>
      </c>
    </row>
    <row r="754" spans="1:35" ht="14.25" customHeight="1" x14ac:dyDescent="0.3">
      <c r="A754" s="31" t="s">
        <v>1541</v>
      </c>
      <c r="B754" s="31" t="s">
        <v>1542</v>
      </c>
      <c r="C754" s="31" t="s">
        <v>2882</v>
      </c>
      <c r="D754" s="12">
        <f t="shared" ca="1" si="66"/>
        <v>20</v>
      </c>
      <c r="E754" s="12" t="str">
        <f ca="1">IF(Table1[[#This Row],[Age]]&lt;=22,"20-22",IF(Table1[[#This Row],[Age]]&lt;=25,"23-25",IF(Table1[[#This Row],[Age]]&lt;=28,"26-28","29-30")))</f>
        <v>20-22</v>
      </c>
      <c r="F754" s="12">
        <v>4.2</v>
      </c>
      <c r="G754" s="12">
        <v>3.43</v>
      </c>
      <c r="H754" s="12">
        <v>4.5999999999999996</v>
      </c>
      <c r="I754" s="12">
        <v>3.97</v>
      </c>
      <c r="J754" s="12">
        <v>4.16</v>
      </c>
      <c r="K754" s="12">
        <v>4.1900000000000004</v>
      </c>
      <c r="L754" s="12">
        <v>3.51</v>
      </c>
      <c r="M754" s="12">
        <v>4.24</v>
      </c>
      <c r="N754" s="12">
        <v>4.63</v>
      </c>
      <c r="O754" s="12">
        <v>3.96</v>
      </c>
      <c r="P754" s="12">
        <f t="shared" si="67"/>
        <v>4.0720000000000001</v>
      </c>
      <c r="Q754" s="12">
        <f t="shared" si="68"/>
        <v>4.07</v>
      </c>
      <c r="R754" s="12">
        <f t="shared" si="69"/>
        <v>4.1059999999999999</v>
      </c>
      <c r="S754" s="28">
        <f>IFERROR(INDEX('Clean Gamification Data'!$B:$B,MATCH($B754,'Clean Gamification Data'!$A:$A,0)),"Not Found")</f>
        <v>81.182182429999997</v>
      </c>
      <c r="T754" s="28">
        <f>IFERROR(INDEX('Clean Gamification Data'!$C:$C,MATCH($B754,'Clean Gamification Data'!$A:$A,0)),"Not Found")</f>
        <v>65.723417319999996</v>
      </c>
      <c r="U754" s="28">
        <f>IFERROR(INDEX('Clean Gamification Data'!$D:$D,MATCH($B754,'Clean Gamification Data'!$A:$A,0)),"Not Found")</f>
        <v>71.875426439999998</v>
      </c>
      <c r="V754" s="28">
        <f>IFERROR(INDEX('Clean Gamification Data'!$E:$E,MATCH($B754,'Clean Gamification Data'!$A:$A,0)),"Not Found")</f>
        <v>69.008592739999997</v>
      </c>
      <c r="W754" s="28">
        <f>IFERROR(INDEX('Clean Gamification Data'!$F:$F,MATCH($B754,'Clean Gamification Data'!$A:$A,0)),"Not Found")</f>
        <v>99.9</v>
      </c>
      <c r="X754" s="28">
        <f>IFERROR(INDEX('Clean Gamification Data'!$G:$G,MATCH($B754,'Clean Gamification Data'!$A:$A,0)),"Not Found")</f>
        <v>72.973157920000006</v>
      </c>
      <c r="Y754" s="28">
        <f>IFERROR(INDEX('Clean Gamification Data'!$H:$H,MATCH($B754,'Clean Gamification Data'!$A:$A,0)),"Not Found")</f>
        <v>73.96978301</v>
      </c>
      <c r="Z754" s="28">
        <f>IFERROR(INDEX('Clean Gamification Data'!$I:$I,MATCH($B754,'Clean Gamification Data'!$A:$A,0)),"Not Found")</f>
        <v>60.118451729999997</v>
      </c>
      <c r="AA754" s="28">
        <f>Table1[[#This Row],[Engagement (Gamification %)]]-Table1[[#This Row],[Engagement (Non-Gamification %)]]</f>
        <v>15.458765110000002</v>
      </c>
      <c r="AB754" s="28">
        <f>Table1[[#This Row],[Motivation (Gamification %)]]-Table1[[#This Row],[Motivation (Non-Gamification %)]]</f>
        <v>2.8668337000000008</v>
      </c>
      <c r="AC754" s="28">
        <f>Table1[[#This Row],[Participation (Gamification %)]]-Table1[[#This Row],[Participation (Non-Gamification %)]]</f>
        <v>26.92684208</v>
      </c>
      <c r="AD754" s="28">
        <f>Table1[[#This Row],[Learning Outcomes (Gamification %)]]-Table1[[#This Row],[Learning Outcomes (Non-Gamification %)]]</f>
        <v>13.851331280000004</v>
      </c>
      <c r="AE754" s="44" t="str">
        <f>IF(Table1[[#This Row],[Overall Effectiveness]]&lt;3.9,"Low",IF(Table1[[#This Row],[Overall Effectiveness]]&lt;4.2,"Medium","High"))</f>
        <v>Medium</v>
      </c>
      <c r="AF754" s="30" t="str">
        <f t="shared" si="70"/>
        <v>Group Projects</v>
      </c>
      <c r="AG754" s="30" t="str">
        <f t="shared" si="71"/>
        <v>Experiments</v>
      </c>
      <c r="AH754" s="27">
        <f>COUNTIF(Teacher_Master!$D$2:$D$16,AF754)</f>
        <v>3</v>
      </c>
      <c r="AI754" s="30" t="str">
        <f>INDEX(Teacher_Master!$B$2:$B$16,MATCH(AF754,Teacher_Master!$D$2:$D$16,0))</f>
        <v>Dr. Rohan Dutta</v>
      </c>
    </row>
    <row r="755" spans="1:35" ht="14.25" customHeight="1" x14ac:dyDescent="0.3">
      <c r="A755" s="31" t="s">
        <v>1543</v>
      </c>
      <c r="B755" s="31" t="s">
        <v>2621</v>
      </c>
      <c r="C755" s="31" t="s">
        <v>2881</v>
      </c>
      <c r="D755" s="12">
        <f t="shared" ca="1" si="66"/>
        <v>20</v>
      </c>
      <c r="E755" s="12" t="str">
        <f ca="1">IF(Table1[[#This Row],[Age]]&lt;=22,"20-22",IF(Table1[[#This Row],[Age]]&lt;=25,"23-25",IF(Table1[[#This Row],[Age]]&lt;=28,"26-28","29-30")))</f>
        <v>20-22</v>
      </c>
      <c r="F755" s="12">
        <v>4.3</v>
      </c>
      <c r="G755" s="12">
        <v>3.99</v>
      </c>
      <c r="H755" s="12">
        <v>4.92</v>
      </c>
      <c r="I755" s="12">
        <v>4.6100000000000003</v>
      </c>
      <c r="J755" s="12">
        <v>4.18</v>
      </c>
      <c r="K755" s="12">
        <v>4.34</v>
      </c>
      <c r="L755" s="12">
        <v>3.91</v>
      </c>
      <c r="M755" s="12">
        <v>4.3499999999999996</v>
      </c>
      <c r="N755" s="12">
        <v>3.93</v>
      </c>
      <c r="O755" s="12">
        <v>3.74</v>
      </c>
      <c r="P755" s="12">
        <f t="shared" si="67"/>
        <v>4.4000000000000004</v>
      </c>
      <c r="Q755" s="12">
        <f t="shared" si="68"/>
        <v>4.4000000000000004</v>
      </c>
      <c r="R755" s="12">
        <f t="shared" si="69"/>
        <v>4.0540000000000003</v>
      </c>
      <c r="S755" s="28">
        <f>IFERROR(INDEX('Clean Gamification Data'!$B:$B,MATCH($B755,'Clean Gamification Data'!$A:$A,0)),"Not Found")</f>
        <v>82.172470349999998</v>
      </c>
      <c r="T755" s="28">
        <f>IFERROR(INDEX('Clean Gamification Data'!$C:$C,MATCH($B755,'Clean Gamification Data'!$A:$A,0)),"Not Found")</f>
        <v>69.463334489999994</v>
      </c>
      <c r="U755" s="28">
        <f>IFERROR(INDEX('Clean Gamification Data'!$D:$D,MATCH($B755,'Clean Gamification Data'!$A:$A,0)),"Not Found")</f>
        <v>86.046178119999993</v>
      </c>
      <c r="V755" s="28">
        <f>IFERROR(INDEX('Clean Gamification Data'!$E:$E,MATCH($B755,'Clean Gamification Data'!$A:$A,0)),"Not Found")</f>
        <v>65.167256710000004</v>
      </c>
      <c r="W755" s="28">
        <f>IFERROR(INDEX('Clean Gamification Data'!$F:$F,MATCH($B755,'Clean Gamification Data'!$A:$A,0)),"Not Found")</f>
        <v>81.481649270000005</v>
      </c>
      <c r="X755" s="28">
        <f>IFERROR(INDEX('Clean Gamification Data'!$G:$G,MATCH($B755,'Clean Gamification Data'!$A:$A,0)),"Not Found")</f>
        <v>85</v>
      </c>
      <c r="Y755" s="28">
        <f>IFERROR(INDEX('Clean Gamification Data'!$H:$H,MATCH($B755,'Clean Gamification Data'!$A:$A,0)),"Not Found")</f>
        <v>69.698983650000002</v>
      </c>
      <c r="Z755" s="28">
        <f>IFERROR(INDEX('Clean Gamification Data'!$I:$I,MATCH($B755,'Clean Gamification Data'!$A:$A,0)),"Not Found")</f>
        <v>50.77904212</v>
      </c>
      <c r="AA755" s="28">
        <f>Table1[[#This Row],[Engagement (Gamification %)]]-Table1[[#This Row],[Engagement (Non-Gamification %)]]</f>
        <v>12.709135860000004</v>
      </c>
      <c r="AB755" s="28">
        <f>Table1[[#This Row],[Motivation (Gamification %)]]-Table1[[#This Row],[Motivation (Non-Gamification %)]]</f>
        <v>20.87892140999999</v>
      </c>
      <c r="AC755" s="28">
        <f>Table1[[#This Row],[Participation (Gamification %)]]-Table1[[#This Row],[Participation (Non-Gamification %)]]</f>
        <v>-3.5183507299999945</v>
      </c>
      <c r="AD755" s="28">
        <f>Table1[[#This Row],[Learning Outcomes (Gamification %)]]-Table1[[#This Row],[Learning Outcomes (Non-Gamification %)]]</f>
        <v>18.919941530000003</v>
      </c>
      <c r="AE755" s="44" t="str">
        <f>IF(Table1[[#This Row],[Overall Effectiveness]]&lt;3.9,"Low",IF(Table1[[#This Row],[Overall Effectiveness]]&lt;4.2,"Medium","High"))</f>
        <v>High</v>
      </c>
      <c r="AF755" s="30" t="str">
        <f t="shared" si="70"/>
        <v>Group Projects</v>
      </c>
      <c r="AG755" s="30" t="str">
        <f t="shared" si="71"/>
        <v>Group Projects</v>
      </c>
      <c r="AH755" s="27">
        <f>COUNTIF(Teacher_Master!$D$2:$D$16,AF755)</f>
        <v>3</v>
      </c>
      <c r="AI755" s="30" t="str">
        <f>INDEX(Teacher_Master!$B$2:$B$16,MATCH(AF755,Teacher_Master!$D$2:$D$16,0))</f>
        <v>Dr. Rohan Dutta</v>
      </c>
    </row>
    <row r="756" spans="1:35" ht="14.25" customHeight="1" x14ac:dyDescent="0.3">
      <c r="A756" s="31" t="s">
        <v>1545</v>
      </c>
      <c r="B756" s="31" t="s">
        <v>2622</v>
      </c>
      <c r="C756" s="31" t="s">
        <v>2881</v>
      </c>
      <c r="D756" s="12">
        <f t="shared" ca="1" si="66"/>
        <v>22</v>
      </c>
      <c r="E756" s="12" t="str">
        <f ca="1">IF(Table1[[#This Row],[Age]]&lt;=22,"20-22",IF(Table1[[#This Row],[Age]]&lt;=25,"23-25",IF(Table1[[#This Row],[Age]]&lt;=28,"26-28","29-30")))</f>
        <v>20-22</v>
      </c>
      <c r="F756" s="12" t="s">
        <v>1547</v>
      </c>
      <c r="G756" s="12">
        <v>3.61</v>
      </c>
      <c r="H756" s="12">
        <v>4.0599999999999996</v>
      </c>
      <c r="I756" s="12">
        <v>4.38</v>
      </c>
      <c r="J756" s="12">
        <v>3.65</v>
      </c>
      <c r="K756" s="12">
        <v>4.0599999999999996</v>
      </c>
      <c r="L756" s="12">
        <v>3.47</v>
      </c>
      <c r="M756" s="12">
        <v>3.93</v>
      </c>
      <c r="N756" s="12">
        <v>3.73</v>
      </c>
      <c r="O756" s="12">
        <v>4.33</v>
      </c>
      <c r="P756" s="12">
        <f t="shared" si="67"/>
        <v>3.9250000000000003</v>
      </c>
      <c r="Q756" s="12">
        <f t="shared" si="68"/>
        <v>3.93</v>
      </c>
      <c r="R756" s="12">
        <f t="shared" si="69"/>
        <v>3.9039999999999999</v>
      </c>
      <c r="S756" s="28">
        <f>IFERROR(INDEX('Clean Gamification Data'!$B:$B,MATCH($B756,'Clean Gamification Data'!$A:$A,0)),"Not Found")</f>
        <v>83.035561970000003</v>
      </c>
      <c r="T756" s="28">
        <f>IFERROR(INDEX('Clean Gamification Data'!$C:$C,MATCH($B756,'Clean Gamification Data'!$A:$A,0)),"Not Found")</f>
        <v>76.361943539999999</v>
      </c>
      <c r="U756" s="28">
        <f>IFERROR(INDEX('Clean Gamification Data'!$D:$D,MATCH($B756,'Clean Gamification Data'!$A:$A,0)),"Not Found")</f>
        <v>86.182144399999999</v>
      </c>
      <c r="V756" s="28">
        <f>IFERROR(INDEX('Clean Gamification Data'!$E:$E,MATCH($B756,'Clean Gamification Data'!$A:$A,0)),"Not Found")</f>
        <v>63.866585870000002</v>
      </c>
      <c r="W756" s="28">
        <f>IFERROR(INDEX('Clean Gamification Data'!$F:$F,MATCH($B756,'Clean Gamification Data'!$A:$A,0)),"Not Found")</f>
        <v>83.884526600000001</v>
      </c>
      <c r="X756" s="28">
        <f>IFERROR(INDEX('Clean Gamification Data'!$G:$G,MATCH($B756,'Clean Gamification Data'!$A:$A,0)),"Not Found")</f>
        <v>80.399334800000005</v>
      </c>
      <c r="Y756" s="28">
        <f>IFERROR(INDEX('Clean Gamification Data'!$H:$H,MATCH($B756,'Clean Gamification Data'!$A:$A,0)),"Not Found")</f>
        <v>71.445376710000005</v>
      </c>
      <c r="Z756" s="28">
        <f>IFERROR(INDEX('Clean Gamification Data'!$I:$I,MATCH($B756,'Clean Gamification Data'!$A:$A,0)),"Not Found")</f>
        <v>69.403461980000003</v>
      </c>
      <c r="AA756" s="28">
        <f>Table1[[#This Row],[Engagement (Gamification %)]]-Table1[[#This Row],[Engagement (Non-Gamification %)]]</f>
        <v>6.6736184300000048</v>
      </c>
      <c r="AB756" s="28">
        <f>Table1[[#This Row],[Motivation (Gamification %)]]-Table1[[#This Row],[Motivation (Non-Gamification %)]]</f>
        <v>22.315558529999997</v>
      </c>
      <c r="AC756" s="28">
        <f>Table1[[#This Row],[Participation (Gamification %)]]-Table1[[#This Row],[Participation (Non-Gamification %)]]</f>
        <v>3.4851917999999955</v>
      </c>
      <c r="AD756" s="28">
        <f>Table1[[#This Row],[Learning Outcomes (Gamification %)]]-Table1[[#This Row],[Learning Outcomes (Non-Gamification %)]]</f>
        <v>2.041914730000002</v>
      </c>
      <c r="AE756" s="44" t="str">
        <f>IF(Table1[[#This Row],[Overall Effectiveness]]&lt;3.9,"Low",IF(Table1[[#This Row],[Overall Effectiveness]]&lt;4.2,"Medium","High"))</f>
        <v>Medium</v>
      </c>
      <c r="AF756" s="30" t="str">
        <f t="shared" si="70"/>
        <v>Experiments</v>
      </c>
      <c r="AG756" s="30" t="str">
        <f t="shared" si="71"/>
        <v>Online Tutorials</v>
      </c>
      <c r="AH756" s="27">
        <f>COUNTIF(Teacher_Master!$D$2:$D$16,AF756)</f>
        <v>3</v>
      </c>
      <c r="AI756" s="30" t="str">
        <f>INDEX(Teacher_Master!$B$2:$B$16,MATCH(AF756,Teacher_Master!$D$2:$D$16,0))</f>
        <v>Prof. Rahul Singh</v>
      </c>
    </row>
    <row r="757" spans="1:35" ht="14.25" customHeight="1" x14ac:dyDescent="0.3">
      <c r="A757" s="31" t="s">
        <v>1548</v>
      </c>
      <c r="B757" s="31" t="s">
        <v>2623</v>
      </c>
      <c r="C757" s="31" t="s">
        <v>2882</v>
      </c>
      <c r="D757" s="12">
        <f t="shared" ca="1" si="66"/>
        <v>21</v>
      </c>
      <c r="E757" s="12" t="str">
        <f ca="1">IF(Table1[[#This Row],[Age]]&lt;=22,"20-22",IF(Table1[[#This Row],[Age]]&lt;=25,"23-25",IF(Table1[[#This Row],[Age]]&lt;=28,"26-28","29-30")))</f>
        <v>20-22</v>
      </c>
      <c r="F757" s="12">
        <v>3.62</v>
      </c>
      <c r="G757" s="12">
        <v>3.82</v>
      </c>
      <c r="H757" s="12">
        <v>4.04</v>
      </c>
      <c r="I757" s="12">
        <v>3.55</v>
      </c>
      <c r="J757" s="12">
        <v>4.05</v>
      </c>
      <c r="K757" s="12">
        <v>4.07</v>
      </c>
      <c r="L757" s="12">
        <v>4.1100000000000003</v>
      </c>
      <c r="M757" s="12">
        <v>4.05</v>
      </c>
      <c r="N757" s="12">
        <v>3.3</v>
      </c>
      <c r="O757" s="12">
        <v>3.76</v>
      </c>
      <c r="P757" s="12">
        <f t="shared" si="67"/>
        <v>3.8160000000000003</v>
      </c>
      <c r="Q757" s="12">
        <f t="shared" si="68"/>
        <v>3.82</v>
      </c>
      <c r="R757" s="12">
        <f t="shared" si="69"/>
        <v>3.8579999999999997</v>
      </c>
      <c r="S757" s="28">
        <f>IFERROR(INDEX('Clean Gamification Data'!$B:$B,MATCH($B757,'Clean Gamification Data'!$A:$A,0)),"Not Found")</f>
        <v>82.123846319999998</v>
      </c>
      <c r="T757" s="28">
        <f>IFERROR(INDEX('Clean Gamification Data'!$C:$C,MATCH($B757,'Clean Gamification Data'!$A:$A,0)),"Not Found")</f>
        <v>67.336317570000006</v>
      </c>
      <c r="U757" s="28">
        <f>IFERROR(INDEX('Clean Gamification Data'!$D:$D,MATCH($B757,'Clean Gamification Data'!$A:$A,0)),"Not Found")</f>
        <v>82.677497630000005</v>
      </c>
      <c r="V757" s="28">
        <f>IFERROR(INDEX('Clean Gamification Data'!$E:$E,MATCH($B757,'Clean Gamification Data'!$A:$A,0)),"Not Found")</f>
        <v>65.469899659999996</v>
      </c>
      <c r="W757" s="28">
        <f>IFERROR(INDEX('Clean Gamification Data'!$F:$F,MATCH($B757,'Clean Gamification Data'!$A:$A,0)),"Not Found")</f>
        <v>81.368990940000003</v>
      </c>
      <c r="X757" s="28">
        <f>IFERROR(INDEX('Clean Gamification Data'!$G:$G,MATCH($B757,'Clean Gamification Data'!$A:$A,0)),"Not Found")</f>
        <v>84.201671820000001</v>
      </c>
      <c r="Y757" s="28">
        <f>IFERROR(INDEX('Clean Gamification Data'!$H:$H,MATCH($B757,'Clean Gamification Data'!$A:$A,0)),"Not Found")</f>
        <v>65</v>
      </c>
      <c r="Z757" s="28">
        <f>IFERROR(INDEX('Clean Gamification Data'!$I:$I,MATCH($B757,'Clean Gamification Data'!$A:$A,0)),"Not Found")</f>
        <v>62.319280409999998</v>
      </c>
      <c r="AA757" s="28">
        <f>Table1[[#This Row],[Engagement (Gamification %)]]-Table1[[#This Row],[Engagement (Non-Gamification %)]]</f>
        <v>14.787528749999993</v>
      </c>
      <c r="AB757" s="28">
        <f>Table1[[#This Row],[Motivation (Gamification %)]]-Table1[[#This Row],[Motivation (Non-Gamification %)]]</f>
        <v>17.207597970000009</v>
      </c>
      <c r="AC757" s="28">
        <f>Table1[[#This Row],[Participation (Gamification %)]]-Table1[[#This Row],[Participation (Non-Gamification %)]]</f>
        <v>-2.8326808799999981</v>
      </c>
      <c r="AD757" s="28">
        <f>Table1[[#This Row],[Learning Outcomes (Gamification %)]]-Table1[[#This Row],[Learning Outcomes (Non-Gamification %)]]</f>
        <v>2.6807195900000025</v>
      </c>
      <c r="AE757" s="44" t="str">
        <f>IF(Table1[[#This Row],[Overall Effectiveness]]&lt;3.9,"Low",IF(Table1[[#This Row],[Overall Effectiveness]]&lt;4.2,"Medium","High"))</f>
        <v>Low</v>
      </c>
      <c r="AF757" s="30" t="str">
        <f t="shared" si="70"/>
        <v>Online Tutorials</v>
      </c>
      <c r="AG757" s="30" t="str">
        <f t="shared" si="71"/>
        <v>Case Studies</v>
      </c>
      <c r="AH757" s="27">
        <f>COUNTIF(Teacher_Master!$D$2:$D$16,AF757)</f>
        <v>3</v>
      </c>
      <c r="AI757" s="30" t="str">
        <f>INDEX(Teacher_Master!$B$2:$B$16,MATCH(AF757,Teacher_Master!$D$2:$D$16,0))</f>
        <v>Prof. Kavita Rao</v>
      </c>
    </row>
    <row r="758" spans="1:35" ht="14.25" customHeight="1" x14ac:dyDescent="0.3">
      <c r="A758" s="31" t="s">
        <v>1550</v>
      </c>
      <c r="B758" s="31" t="s">
        <v>2624</v>
      </c>
      <c r="C758" s="31" t="s">
        <v>2881</v>
      </c>
      <c r="D758" s="12">
        <f t="shared" ca="1" si="66"/>
        <v>20</v>
      </c>
      <c r="E758" s="12" t="str">
        <f ca="1">IF(Table1[[#This Row],[Age]]&lt;=22,"20-22",IF(Table1[[#This Row],[Age]]&lt;=25,"23-25",IF(Table1[[#This Row],[Age]]&lt;=28,"26-28","29-30")))</f>
        <v>20-22</v>
      </c>
      <c r="F758" s="12">
        <v>4.3099999999999996</v>
      </c>
      <c r="G758" s="12">
        <v>3.89</v>
      </c>
      <c r="H758" s="12">
        <v>4.37</v>
      </c>
      <c r="I758" s="12">
        <v>3.6</v>
      </c>
      <c r="J758" s="12">
        <v>4.28</v>
      </c>
      <c r="K758" s="12">
        <v>4.32</v>
      </c>
      <c r="L758" s="12">
        <v>4.26</v>
      </c>
      <c r="M758" s="12">
        <v>3.7</v>
      </c>
      <c r="N758" s="12">
        <v>4.3499999999999996</v>
      </c>
      <c r="O758" s="12">
        <v>3.91</v>
      </c>
      <c r="P758" s="12">
        <f t="shared" si="67"/>
        <v>4.0900000000000007</v>
      </c>
      <c r="Q758" s="12">
        <f t="shared" si="68"/>
        <v>4.09</v>
      </c>
      <c r="R758" s="12">
        <f t="shared" si="69"/>
        <v>4.1080000000000005</v>
      </c>
      <c r="S758" s="28">
        <f>IFERROR(INDEX('Clean Gamification Data'!$B:$B,MATCH($B758,'Clean Gamification Data'!$A:$A,0)),"Not Found")</f>
        <v>91.942554450000003</v>
      </c>
      <c r="T758" s="28">
        <f>IFERROR(INDEX('Clean Gamification Data'!$C:$C,MATCH($B758,'Clean Gamification Data'!$A:$A,0)),"Not Found")</f>
        <v>74.771168869999997</v>
      </c>
      <c r="U758" s="28">
        <f>IFERROR(INDEX('Clean Gamification Data'!$D:$D,MATCH($B758,'Clean Gamification Data'!$A:$A,0)),"Not Found")</f>
        <v>70</v>
      </c>
      <c r="V758" s="28">
        <f>IFERROR(INDEX('Clean Gamification Data'!$E:$E,MATCH($B758,'Clean Gamification Data'!$A:$A,0)),"Not Found")</f>
        <v>65.058255639999999</v>
      </c>
      <c r="W758" s="28">
        <f>IFERROR(INDEX('Clean Gamification Data'!$F:$F,MATCH($B758,'Clean Gamification Data'!$A:$A,0)),"Not Found")</f>
        <v>83.037547529999998</v>
      </c>
      <c r="X758" s="28">
        <f>IFERROR(INDEX('Clean Gamification Data'!$G:$G,MATCH($B758,'Clean Gamification Data'!$A:$A,0)),"Not Found")</f>
        <v>85</v>
      </c>
      <c r="Y758" s="28">
        <f>IFERROR(INDEX('Clean Gamification Data'!$H:$H,MATCH($B758,'Clean Gamification Data'!$A:$A,0)),"Not Found")</f>
        <v>67.657035800000003</v>
      </c>
      <c r="Z758" s="28">
        <f>IFERROR(INDEX('Clean Gamification Data'!$I:$I,MATCH($B758,'Clean Gamification Data'!$A:$A,0)),"Not Found")</f>
        <v>54.344246130000002</v>
      </c>
      <c r="AA758" s="28">
        <f>Table1[[#This Row],[Engagement (Gamification %)]]-Table1[[#This Row],[Engagement (Non-Gamification %)]]</f>
        <v>17.171385580000006</v>
      </c>
      <c r="AB758" s="28">
        <f>Table1[[#This Row],[Motivation (Gamification %)]]-Table1[[#This Row],[Motivation (Non-Gamification %)]]</f>
        <v>4.9417443600000013</v>
      </c>
      <c r="AC758" s="28">
        <f>Table1[[#This Row],[Participation (Gamification %)]]-Table1[[#This Row],[Participation (Non-Gamification %)]]</f>
        <v>-1.9624524700000023</v>
      </c>
      <c r="AD758" s="28">
        <f>Table1[[#This Row],[Learning Outcomes (Gamification %)]]-Table1[[#This Row],[Learning Outcomes (Non-Gamification %)]]</f>
        <v>13.312789670000001</v>
      </c>
      <c r="AE758" s="44" t="str">
        <f>IF(Table1[[#This Row],[Overall Effectiveness]]&lt;3.9,"Low",IF(Table1[[#This Row],[Overall Effectiveness]]&lt;4.2,"Medium","High"))</f>
        <v>Medium</v>
      </c>
      <c r="AF758" s="30" t="str">
        <f t="shared" si="70"/>
        <v>Group Projects</v>
      </c>
      <c r="AG758" s="30" t="str">
        <f t="shared" si="71"/>
        <v>Experiments</v>
      </c>
      <c r="AH758" s="27">
        <f>COUNTIF(Teacher_Master!$D$2:$D$16,AF758)</f>
        <v>3</v>
      </c>
      <c r="AI758" s="30" t="str">
        <f>INDEX(Teacher_Master!$B$2:$B$16,MATCH(AF758,Teacher_Master!$D$2:$D$16,0))</f>
        <v>Dr. Rohan Dutta</v>
      </c>
    </row>
    <row r="759" spans="1:35" ht="14.25" customHeight="1" x14ac:dyDescent="0.3">
      <c r="A759" s="31" t="s">
        <v>1552</v>
      </c>
      <c r="B759" s="31" t="s">
        <v>2625</v>
      </c>
      <c r="C759" s="31" t="s">
        <v>2882</v>
      </c>
      <c r="D759" s="12">
        <f t="shared" ca="1" si="66"/>
        <v>23</v>
      </c>
      <c r="E759" s="12" t="str">
        <f ca="1">IF(Table1[[#This Row],[Age]]&lt;=22,"20-22",IF(Table1[[#This Row],[Age]]&lt;=25,"23-25",IF(Table1[[#This Row],[Age]]&lt;=28,"26-28","29-30")))</f>
        <v>23-25</v>
      </c>
      <c r="F759" s="12">
        <v>4.21</v>
      </c>
      <c r="G759" s="12">
        <v>4.1100000000000003</v>
      </c>
      <c r="H759" s="12">
        <v>4.54</v>
      </c>
      <c r="I759" s="12" t="s">
        <v>211</v>
      </c>
      <c r="J759" s="12">
        <v>4</v>
      </c>
      <c r="K759" s="12">
        <v>4.0999999999999996</v>
      </c>
      <c r="L759" s="12">
        <v>4.3499999999999996</v>
      </c>
      <c r="M759" s="12">
        <v>3.98</v>
      </c>
      <c r="N759" s="12">
        <v>3.91</v>
      </c>
      <c r="O759" s="12">
        <v>3.6</v>
      </c>
      <c r="P759" s="12">
        <f t="shared" si="67"/>
        <v>4.2149999999999999</v>
      </c>
      <c r="Q759" s="12">
        <f t="shared" si="68"/>
        <v>4.22</v>
      </c>
      <c r="R759" s="12">
        <f t="shared" si="69"/>
        <v>3.9880000000000004</v>
      </c>
      <c r="S759" s="28">
        <f>IFERROR(INDEX('Clean Gamification Data'!$B:$B,MATCH($B759,'Clean Gamification Data'!$A:$A,0)),"Not Found")</f>
        <v>81.978330339999999</v>
      </c>
      <c r="T759" s="28">
        <f>IFERROR(INDEX('Clean Gamification Data'!$C:$C,MATCH($B759,'Clean Gamification Data'!$A:$A,0)),"Not Found")</f>
        <v>60</v>
      </c>
      <c r="U759" s="28">
        <f>IFERROR(INDEX('Clean Gamification Data'!$D:$D,MATCH($B759,'Clean Gamification Data'!$A:$A,0)),"Not Found")</f>
        <v>70</v>
      </c>
      <c r="V759" s="28">
        <f>IFERROR(INDEX('Clean Gamification Data'!$E:$E,MATCH($B759,'Clean Gamification Data'!$A:$A,0)),"Not Found")</f>
        <v>62.260468940000003</v>
      </c>
      <c r="W759" s="28">
        <f>IFERROR(INDEX('Clean Gamification Data'!$F:$F,MATCH($B759,'Clean Gamification Data'!$A:$A,0)),"Not Found")</f>
        <v>98.028699419999995</v>
      </c>
      <c r="X759" s="28">
        <f>IFERROR(INDEX('Clean Gamification Data'!$G:$G,MATCH($B759,'Clean Gamification Data'!$A:$A,0)),"Not Found")</f>
        <v>74.681776260000007</v>
      </c>
      <c r="Y759" s="28">
        <f>IFERROR(INDEX('Clean Gamification Data'!$H:$H,MATCH($B759,'Clean Gamification Data'!$A:$A,0)),"Not Found")</f>
        <v>70.951836729999997</v>
      </c>
      <c r="Z759" s="28">
        <f>IFERROR(INDEX('Clean Gamification Data'!$I:$I,MATCH($B759,'Clean Gamification Data'!$A:$A,0)),"Not Found")</f>
        <v>56.249801910000002</v>
      </c>
      <c r="AA759" s="28">
        <f>Table1[[#This Row],[Engagement (Gamification %)]]-Table1[[#This Row],[Engagement (Non-Gamification %)]]</f>
        <v>21.978330339999999</v>
      </c>
      <c r="AB759" s="28">
        <f>Table1[[#This Row],[Motivation (Gamification %)]]-Table1[[#This Row],[Motivation (Non-Gamification %)]]</f>
        <v>7.7395310599999974</v>
      </c>
      <c r="AC759" s="28">
        <f>Table1[[#This Row],[Participation (Gamification %)]]-Table1[[#This Row],[Participation (Non-Gamification %)]]</f>
        <v>23.346923159999989</v>
      </c>
      <c r="AD759" s="28">
        <f>Table1[[#This Row],[Learning Outcomes (Gamification %)]]-Table1[[#This Row],[Learning Outcomes (Non-Gamification %)]]</f>
        <v>14.702034819999994</v>
      </c>
      <c r="AE759" s="44" t="str">
        <f>IF(Table1[[#This Row],[Overall Effectiveness]]&lt;3.9,"Low",IF(Table1[[#This Row],[Overall Effectiveness]]&lt;4.2,"Medium","High"))</f>
        <v>High</v>
      </c>
      <c r="AF759" s="30" t="str">
        <f t="shared" si="70"/>
        <v>Group Projects</v>
      </c>
      <c r="AG759" s="30" t="str">
        <f t="shared" si="71"/>
        <v>Case Studies</v>
      </c>
      <c r="AH759" s="27">
        <f>COUNTIF(Teacher_Master!$D$2:$D$16,AF759)</f>
        <v>3</v>
      </c>
      <c r="AI759" s="30" t="str">
        <f>INDEX(Teacher_Master!$B$2:$B$16,MATCH(AF759,Teacher_Master!$D$2:$D$16,0))</f>
        <v>Dr. Rohan Dutta</v>
      </c>
    </row>
    <row r="760" spans="1:35" ht="14.25" customHeight="1" x14ac:dyDescent="0.3">
      <c r="A760" s="31" t="s">
        <v>1554</v>
      </c>
      <c r="B760" s="31" t="s">
        <v>2626</v>
      </c>
      <c r="C760" s="31" t="s">
        <v>2882</v>
      </c>
      <c r="D760" s="12">
        <f t="shared" ca="1" si="66"/>
        <v>29</v>
      </c>
      <c r="E760" s="12" t="str">
        <f ca="1">IF(Table1[[#This Row],[Age]]&lt;=22,"20-22",IF(Table1[[#This Row],[Age]]&lt;=25,"23-25",IF(Table1[[#This Row],[Age]]&lt;=28,"26-28","29-30")))</f>
        <v>29-30</v>
      </c>
      <c r="F760" s="12">
        <v>4.3899999999999997</v>
      </c>
      <c r="G760" s="12">
        <v>3.5</v>
      </c>
      <c r="H760" s="12">
        <v>4.3499999999999996</v>
      </c>
      <c r="I760" s="12">
        <v>4.1100000000000003</v>
      </c>
      <c r="J760" s="12" t="s">
        <v>211</v>
      </c>
      <c r="K760" s="12">
        <v>4.1100000000000003</v>
      </c>
      <c r="L760" s="12">
        <v>3.52</v>
      </c>
      <c r="M760" s="12">
        <v>3.8</v>
      </c>
      <c r="N760" s="12">
        <v>4.17</v>
      </c>
      <c r="O760" s="12">
        <v>4.21</v>
      </c>
      <c r="P760" s="12">
        <f t="shared" si="67"/>
        <v>4.0874999999999995</v>
      </c>
      <c r="Q760" s="12">
        <f t="shared" si="68"/>
        <v>4.09</v>
      </c>
      <c r="R760" s="12">
        <f t="shared" si="69"/>
        <v>3.9619999999999997</v>
      </c>
      <c r="S760" s="28">
        <f>IFERROR(INDEX('Clean Gamification Data'!$B:$B,MATCH($B760,'Clean Gamification Data'!$A:$A,0)),"Not Found")</f>
        <v>92.119355119999994</v>
      </c>
      <c r="T760" s="28">
        <f>IFERROR(INDEX('Clean Gamification Data'!$C:$C,MATCH($B760,'Clean Gamification Data'!$A:$A,0)),"Not Found")</f>
        <v>64.625339269999998</v>
      </c>
      <c r="U760" s="28">
        <f>IFERROR(INDEX('Clean Gamification Data'!$D:$D,MATCH($B760,'Clean Gamification Data'!$A:$A,0)),"Not Found")</f>
        <v>74.206572379999997</v>
      </c>
      <c r="V760" s="28">
        <f>IFERROR(INDEX('Clean Gamification Data'!$E:$E,MATCH($B760,'Clean Gamification Data'!$A:$A,0)),"Not Found")</f>
        <v>64.86744874</v>
      </c>
      <c r="W760" s="28">
        <f>IFERROR(INDEX('Clean Gamification Data'!$F:$F,MATCH($B760,'Clean Gamification Data'!$A:$A,0)),"Not Found")</f>
        <v>93.588286719999999</v>
      </c>
      <c r="X760" s="28">
        <f>IFERROR(INDEX('Clean Gamification Data'!$G:$G,MATCH($B760,'Clean Gamification Data'!$A:$A,0)),"Not Found")</f>
        <v>76.916501370000006</v>
      </c>
      <c r="Y760" s="28">
        <f>IFERROR(INDEX('Clean Gamification Data'!$H:$H,MATCH($B760,'Clean Gamification Data'!$A:$A,0)),"Not Found")</f>
        <v>72.906282289999993</v>
      </c>
      <c r="Z760" s="28">
        <f>IFERROR(INDEX('Clean Gamification Data'!$I:$I,MATCH($B760,'Clean Gamification Data'!$A:$A,0)),"Not Found")</f>
        <v>61.978328269999999</v>
      </c>
      <c r="AA760" s="28">
        <f>Table1[[#This Row],[Engagement (Gamification %)]]-Table1[[#This Row],[Engagement (Non-Gamification %)]]</f>
        <v>27.494015849999997</v>
      </c>
      <c r="AB760" s="28">
        <f>Table1[[#This Row],[Motivation (Gamification %)]]-Table1[[#This Row],[Motivation (Non-Gamification %)]]</f>
        <v>9.3391236399999968</v>
      </c>
      <c r="AC760" s="28">
        <f>Table1[[#This Row],[Participation (Gamification %)]]-Table1[[#This Row],[Participation (Non-Gamification %)]]</f>
        <v>16.671785349999993</v>
      </c>
      <c r="AD760" s="28">
        <f>Table1[[#This Row],[Learning Outcomes (Gamification %)]]-Table1[[#This Row],[Learning Outcomes (Non-Gamification %)]]</f>
        <v>10.927954019999994</v>
      </c>
      <c r="AE760" s="44" t="str">
        <f>IF(Table1[[#This Row],[Overall Effectiveness]]&lt;3.9,"Low",IF(Table1[[#This Row],[Overall Effectiveness]]&lt;4.2,"Medium","High"))</f>
        <v>Medium</v>
      </c>
      <c r="AF760" s="30" t="str">
        <f t="shared" si="70"/>
        <v>Lectures</v>
      </c>
      <c r="AG760" s="30" t="str">
        <f t="shared" si="71"/>
        <v>Online Tutorials</v>
      </c>
      <c r="AH760" s="27">
        <f>COUNTIF(Teacher_Master!$D$2:$D$16,AF760)</f>
        <v>3</v>
      </c>
      <c r="AI760" s="30" t="str">
        <f>INDEX(Teacher_Master!$B$2:$B$16,MATCH(AF760,Teacher_Master!$D$2:$D$16,0))</f>
        <v>Prof. Vikram Gupta</v>
      </c>
    </row>
    <row r="761" spans="1:35" ht="14.25" customHeight="1" x14ac:dyDescent="0.3">
      <c r="A761" s="31" t="s">
        <v>1556</v>
      </c>
      <c r="B761" s="31" t="s">
        <v>2627</v>
      </c>
      <c r="C761" s="31" t="s">
        <v>2882</v>
      </c>
      <c r="D761" s="12">
        <f t="shared" ca="1" si="66"/>
        <v>24</v>
      </c>
      <c r="E761" s="12" t="str">
        <f ca="1">IF(Table1[[#This Row],[Age]]&lt;=22,"20-22",IF(Table1[[#This Row],[Age]]&lt;=25,"23-25",IF(Table1[[#This Row],[Age]]&lt;=28,"26-28","29-30")))</f>
        <v>23-25</v>
      </c>
      <c r="F761" s="12">
        <v>3.96</v>
      </c>
      <c r="G761" s="12">
        <v>3.79</v>
      </c>
      <c r="H761" s="12">
        <v>3.8</v>
      </c>
      <c r="I761" s="12">
        <v>4.2</v>
      </c>
      <c r="J761" s="12">
        <v>4.1500000000000004</v>
      </c>
      <c r="K761" s="12">
        <v>3.57</v>
      </c>
      <c r="L761" s="12">
        <v>4.01</v>
      </c>
      <c r="M761" s="12">
        <v>4.2300000000000004</v>
      </c>
      <c r="N761" s="12">
        <v>4.1100000000000003</v>
      </c>
      <c r="O761" s="12">
        <v>3.99</v>
      </c>
      <c r="P761" s="12">
        <f t="shared" si="67"/>
        <v>3.9799999999999995</v>
      </c>
      <c r="Q761" s="12">
        <f t="shared" si="68"/>
        <v>3.98</v>
      </c>
      <c r="R761" s="12">
        <f t="shared" si="69"/>
        <v>3.9820000000000007</v>
      </c>
      <c r="S761" s="28">
        <f>IFERROR(INDEX('Clean Gamification Data'!$B:$B,MATCH($B761,'Clean Gamification Data'!$A:$A,0)),"Not Found")</f>
        <v>80.245115310000003</v>
      </c>
      <c r="T761" s="28">
        <f>IFERROR(INDEX('Clean Gamification Data'!$C:$C,MATCH($B761,'Clean Gamification Data'!$A:$A,0)),"Not Found")</f>
        <v>73.860580119999995</v>
      </c>
      <c r="U761" s="28">
        <f>IFERROR(INDEX('Clean Gamification Data'!$D:$D,MATCH($B761,'Clean Gamification Data'!$A:$A,0)),"Not Found")</f>
        <v>76.415124469999995</v>
      </c>
      <c r="V761" s="28">
        <f>IFERROR(INDEX('Clean Gamification Data'!$E:$E,MATCH($B761,'Clean Gamification Data'!$A:$A,0)),"Not Found")</f>
        <v>68.03086433</v>
      </c>
      <c r="W761" s="28">
        <f>IFERROR(INDEX('Clean Gamification Data'!$F:$F,MATCH($B761,'Clean Gamification Data'!$A:$A,0)),"Not Found")</f>
        <v>87.466463529999999</v>
      </c>
      <c r="X761" s="28">
        <f>IFERROR(INDEX('Clean Gamification Data'!$G:$G,MATCH($B761,'Clean Gamification Data'!$A:$A,0)),"Not Found")</f>
        <v>67.881188570000006</v>
      </c>
      <c r="Y761" s="28">
        <f>IFERROR(INDEX('Clean Gamification Data'!$H:$H,MATCH($B761,'Clean Gamification Data'!$A:$A,0)),"Not Found")</f>
        <v>76.189265719999995</v>
      </c>
      <c r="Z761" s="28">
        <f>IFERROR(INDEX('Clean Gamification Data'!$I:$I,MATCH($B761,'Clean Gamification Data'!$A:$A,0)),"Not Found")</f>
        <v>59.649788739999998</v>
      </c>
      <c r="AA761" s="28">
        <f>Table1[[#This Row],[Engagement (Gamification %)]]-Table1[[#This Row],[Engagement (Non-Gamification %)]]</f>
        <v>6.3845351900000082</v>
      </c>
      <c r="AB761" s="28">
        <f>Table1[[#This Row],[Motivation (Gamification %)]]-Table1[[#This Row],[Motivation (Non-Gamification %)]]</f>
        <v>8.384260139999995</v>
      </c>
      <c r="AC761" s="28">
        <f>Table1[[#This Row],[Participation (Gamification %)]]-Table1[[#This Row],[Participation (Non-Gamification %)]]</f>
        <v>19.585274959999992</v>
      </c>
      <c r="AD761" s="28">
        <f>Table1[[#This Row],[Learning Outcomes (Gamification %)]]-Table1[[#This Row],[Learning Outcomes (Non-Gamification %)]]</f>
        <v>16.539476979999996</v>
      </c>
      <c r="AE761" s="44" t="str">
        <f>IF(Table1[[#This Row],[Overall Effectiveness]]&lt;3.9,"Low",IF(Table1[[#This Row],[Overall Effectiveness]]&lt;4.2,"Medium","High"))</f>
        <v>Medium</v>
      </c>
      <c r="AF761" s="30" t="str">
        <f t="shared" si="70"/>
        <v>Experiments</v>
      </c>
      <c r="AG761" s="30" t="str">
        <f t="shared" si="71"/>
        <v>Group Projects</v>
      </c>
      <c r="AH761" s="27">
        <f>COUNTIF(Teacher_Master!$D$2:$D$16,AF761)</f>
        <v>3</v>
      </c>
      <c r="AI761" s="30" t="str">
        <f>INDEX(Teacher_Master!$B$2:$B$16,MATCH(AF761,Teacher_Master!$D$2:$D$16,0))</f>
        <v>Prof. Rahul Singh</v>
      </c>
    </row>
    <row r="762" spans="1:35" ht="14.25" customHeight="1" x14ac:dyDescent="0.3">
      <c r="A762" s="31" t="s">
        <v>1558</v>
      </c>
      <c r="B762" s="31" t="s">
        <v>2628</v>
      </c>
      <c r="C762" s="31" t="s">
        <v>2881</v>
      </c>
      <c r="D762" s="12">
        <f t="shared" ca="1" si="66"/>
        <v>29</v>
      </c>
      <c r="E762" s="12" t="str">
        <f ca="1">IF(Table1[[#This Row],[Age]]&lt;=22,"20-22",IF(Table1[[#This Row],[Age]]&lt;=25,"23-25",IF(Table1[[#This Row],[Age]]&lt;=28,"26-28","29-30")))</f>
        <v>29-30</v>
      </c>
      <c r="F762" s="12">
        <v>4.22</v>
      </c>
      <c r="G762" s="12">
        <v>4.32</v>
      </c>
      <c r="H762" s="12">
        <v>3.36</v>
      </c>
      <c r="I762" s="12">
        <v>4.41</v>
      </c>
      <c r="J762" s="12">
        <v>3.57</v>
      </c>
      <c r="K762" s="12">
        <v>4.1900000000000004</v>
      </c>
      <c r="L762" s="12">
        <v>4.03</v>
      </c>
      <c r="M762" s="12">
        <v>4.47</v>
      </c>
      <c r="N762" s="12">
        <v>3.97</v>
      </c>
      <c r="O762" s="12">
        <v>4.2699999999999996</v>
      </c>
      <c r="P762" s="12">
        <f t="shared" si="67"/>
        <v>3.976</v>
      </c>
      <c r="Q762" s="12">
        <f t="shared" si="68"/>
        <v>3.98</v>
      </c>
      <c r="R762" s="12">
        <f t="shared" si="69"/>
        <v>4.1859999999999999</v>
      </c>
      <c r="S762" s="28">
        <f>IFERROR(INDEX('Clean Gamification Data'!$B:$B,MATCH($B762,'Clean Gamification Data'!$A:$A,0)),"Not Found")</f>
        <v>89.652188940000002</v>
      </c>
      <c r="T762" s="28">
        <f>IFERROR(INDEX('Clean Gamification Data'!$C:$C,MATCH($B762,'Clean Gamification Data'!$A:$A,0)),"Not Found")</f>
        <v>70.495307060000002</v>
      </c>
      <c r="U762" s="28">
        <f>IFERROR(INDEX('Clean Gamification Data'!$D:$D,MATCH($B762,'Clean Gamification Data'!$A:$A,0)),"Not Found")</f>
        <v>70</v>
      </c>
      <c r="V762" s="28">
        <f>IFERROR(INDEX('Clean Gamification Data'!$E:$E,MATCH($B762,'Clean Gamification Data'!$A:$A,0)),"Not Found")</f>
        <v>65.625603679999998</v>
      </c>
      <c r="W762" s="28">
        <f>IFERROR(INDEX('Clean Gamification Data'!$F:$F,MATCH($B762,'Clean Gamification Data'!$A:$A,0)),"Not Found")</f>
        <v>95.263052959999996</v>
      </c>
      <c r="X762" s="28">
        <f>IFERROR(INDEX('Clean Gamification Data'!$G:$G,MATCH($B762,'Clean Gamification Data'!$A:$A,0)),"Not Found")</f>
        <v>81.425610730000002</v>
      </c>
      <c r="Y762" s="28">
        <f>IFERROR(INDEX('Clean Gamification Data'!$H:$H,MATCH($B762,'Clean Gamification Data'!$A:$A,0)),"Not Found")</f>
        <v>76.649175200000002</v>
      </c>
      <c r="Z762" s="28">
        <f>IFERROR(INDEX('Clean Gamification Data'!$I:$I,MATCH($B762,'Clean Gamification Data'!$A:$A,0)),"Not Found")</f>
        <v>59.121789219999997</v>
      </c>
      <c r="AA762" s="28">
        <f>Table1[[#This Row],[Engagement (Gamification %)]]-Table1[[#This Row],[Engagement (Non-Gamification %)]]</f>
        <v>19.15688188</v>
      </c>
      <c r="AB762" s="28">
        <f>Table1[[#This Row],[Motivation (Gamification %)]]-Table1[[#This Row],[Motivation (Non-Gamification %)]]</f>
        <v>4.3743963200000024</v>
      </c>
      <c r="AC762" s="28">
        <f>Table1[[#This Row],[Participation (Gamification %)]]-Table1[[#This Row],[Participation (Non-Gamification %)]]</f>
        <v>13.837442229999994</v>
      </c>
      <c r="AD762" s="28">
        <f>Table1[[#This Row],[Learning Outcomes (Gamification %)]]-Table1[[#This Row],[Learning Outcomes (Non-Gamification %)]]</f>
        <v>17.527385980000005</v>
      </c>
      <c r="AE762" s="44" t="str">
        <f>IF(Table1[[#This Row],[Overall Effectiveness]]&lt;3.9,"Low",IF(Table1[[#This Row],[Overall Effectiveness]]&lt;4.2,"Medium","High"))</f>
        <v>Medium</v>
      </c>
      <c r="AF762" s="30" t="str">
        <f t="shared" si="70"/>
        <v>Experiments</v>
      </c>
      <c r="AG762" s="30" t="str">
        <f t="shared" si="71"/>
        <v>Group Projects</v>
      </c>
      <c r="AH762" s="27">
        <f>COUNTIF(Teacher_Master!$D$2:$D$16,AF762)</f>
        <v>3</v>
      </c>
      <c r="AI762" s="30" t="str">
        <f>INDEX(Teacher_Master!$B$2:$B$16,MATCH(AF762,Teacher_Master!$D$2:$D$16,0))</f>
        <v>Prof. Rahul Singh</v>
      </c>
    </row>
    <row r="763" spans="1:35" ht="14.25" customHeight="1" x14ac:dyDescent="0.3">
      <c r="A763" s="31" t="s">
        <v>1560</v>
      </c>
      <c r="B763" s="31" t="s">
        <v>2629</v>
      </c>
      <c r="C763" s="31" t="s">
        <v>2881</v>
      </c>
      <c r="D763" s="12">
        <f t="shared" ca="1" si="66"/>
        <v>23</v>
      </c>
      <c r="E763" s="12" t="str">
        <f ca="1">IF(Table1[[#This Row],[Age]]&lt;=22,"20-22",IF(Table1[[#This Row],[Age]]&lt;=25,"23-25",IF(Table1[[#This Row],[Age]]&lt;=28,"26-28","29-30")))</f>
        <v>23-25</v>
      </c>
      <c r="F763" s="12">
        <v>4.43</v>
      </c>
      <c r="G763" s="12" t="s">
        <v>211</v>
      </c>
      <c r="H763" s="12">
        <v>4.21</v>
      </c>
      <c r="I763" s="12">
        <v>4.03</v>
      </c>
      <c r="J763" s="12">
        <v>4.16</v>
      </c>
      <c r="K763" s="12">
        <v>4.4800000000000004</v>
      </c>
      <c r="L763" s="12">
        <v>4.09</v>
      </c>
      <c r="M763" s="12">
        <v>4.25</v>
      </c>
      <c r="N763" s="12">
        <v>4.04</v>
      </c>
      <c r="O763" s="12">
        <v>3.64</v>
      </c>
      <c r="P763" s="12">
        <f t="shared" si="67"/>
        <v>4.2075000000000005</v>
      </c>
      <c r="Q763" s="12">
        <f t="shared" si="68"/>
        <v>4.21</v>
      </c>
      <c r="R763" s="12">
        <f t="shared" si="69"/>
        <v>4.0999999999999996</v>
      </c>
      <c r="S763" s="28">
        <f>IFERROR(INDEX('Clean Gamification Data'!$B:$B,MATCH($B763,'Clean Gamification Data'!$A:$A,0)),"Not Found")</f>
        <v>96.634476149999998</v>
      </c>
      <c r="T763" s="28">
        <f>IFERROR(INDEX('Clean Gamification Data'!$C:$C,MATCH($B763,'Clean Gamification Data'!$A:$A,0)),"Not Found")</f>
        <v>75.630567350000007</v>
      </c>
      <c r="U763" s="28">
        <f>IFERROR(INDEX('Clean Gamification Data'!$D:$D,MATCH($B763,'Clean Gamification Data'!$A:$A,0)),"Not Found")</f>
        <v>71.709718089999996</v>
      </c>
      <c r="V763" s="28">
        <f>IFERROR(INDEX('Clean Gamification Data'!$E:$E,MATCH($B763,'Clean Gamification Data'!$A:$A,0)),"Not Found")</f>
        <v>63.742898719999999</v>
      </c>
      <c r="W763" s="28">
        <f>IFERROR(INDEX('Clean Gamification Data'!$F:$F,MATCH($B763,'Clean Gamification Data'!$A:$A,0)),"Not Found")</f>
        <v>97.691350139999997</v>
      </c>
      <c r="X763" s="28">
        <f>IFERROR(INDEX('Clean Gamification Data'!$G:$G,MATCH($B763,'Clean Gamification Data'!$A:$A,0)),"Not Found")</f>
        <v>79.980122679999994</v>
      </c>
      <c r="Y763" s="28">
        <f>IFERROR(INDEX('Clean Gamification Data'!$H:$H,MATCH($B763,'Clean Gamification Data'!$A:$A,0)),"Not Found")</f>
        <v>76.840381429999994</v>
      </c>
      <c r="Z763" s="28">
        <f>IFERROR(INDEX('Clean Gamification Data'!$I:$I,MATCH($B763,'Clean Gamification Data'!$A:$A,0)),"Not Found")</f>
        <v>53.685716909999996</v>
      </c>
      <c r="AA763" s="28">
        <f>Table1[[#This Row],[Engagement (Gamification %)]]-Table1[[#This Row],[Engagement (Non-Gamification %)]]</f>
        <v>21.003908799999991</v>
      </c>
      <c r="AB763" s="28">
        <f>Table1[[#This Row],[Motivation (Gamification %)]]-Table1[[#This Row],[Motivation (Non-Gamification %)]]</f>
        <v>7.9668193699999961</v>
      </c>
      <c r="AC763" s="28">
        <f>Table1[[#This Row],[Participation (Gamification %)]]-Table1[[#This Row],[Participation (Non-Gamification %)]]</f>
        <v>17.711227460000003</v>
      </c>
      <c r="AD763" s="28">
        <f>Table1[[#This Row],[Learning Outcomes (Gamification %)]]-Table1[[#This Row],[Learning Outcomes (Non-Gamification %)]]</f>
        <v>23.154664519999997</v>
      </c>
      <c r="AE763" s="44" t="str">
        <f>IF(Table1[[#This Row],[Overall Effectiveness]]&lt;3.9,"Low",IF(Table1[[#This Row],[Overall Effectiveness]]&lt;4.2,"Medium","High"))</f>
        <v>High</v>
      </c>
      <c r="AF763" s="30" t="str">
        <f t="shared" si="70"/>
        <v>Lectures</v>
      </c>
      <c r="AG763" s="30" t="str">
        <f t="shared" si="71"/>
        <v>Lectures</v>
      </c>
      <c r="AH763" s="27">
        <f>COUNTIF(Teacher_Master!$D$2:$D$16,AF763)</f>
        <v>3</v>
      </c>
      <c r="AI763" s="30" t="str">
        <f>INDEX(Teacher_Master!$B$2:$B$16,MATCH(AF763,Teacher_Master!$D$2:$D$16,0))</f>
        <v>Prof. Vikram Gupta</v>
      </c>
    </row>
    <row r="764" spans="1:35" ht="14.25" customHeight="1" x14ac:dyDescent="0.3">
      <c r="A764" s="31" t="s">
        <v>1562</v>
      </c>
      <c r="B764" s="31" t="s">
        <v>2630</v>
      </c>
      <c r="C764" s="31" t="s">
        <v>2881</v>
      </c>
      <c r="D764" s="12">
        <f t="shared" ca="1" si="66"/>
        <v>25</v>
      </c>
      <c r="E764" s="12" t="str">
        <f ca="1">IF(Table1[[#This Row],[Age]]&lt;=22,"20-22",IF(Table1[[#This Row],[Age]]&lt;=25,"23-25",IF(Table1[[#This Row],[Age]]&lt;=28,"26-28","29-30")))</f>
        <v>23-25</v>
      </c>
      <c r="F764" s="12">
        <v>3.59</v>
      </c>
      <c r="G764" s="12">
        <v>4.12</v>
      </c>
      <c r="H764" s="12">
        <v>3.79</v>
      </c>
      <c r="I764" s="12">
        <v>4.2300000000000004</v>
      </c>
      <c r="J764" s="12">
        <v>4.34</v>
      </c>
      <c r="K764" s="12">
        <v>4.1500000000000004</v>
      </c>
      <c r="L764" s="12">
        <v>3.82</v>
      </c>
      <c r="M764" s="12">
        <v>4.17</v>
      </c>
      <c r="N764" s="12">
        <v>4.29</v>
      </c>
      <c r="O764" s="12">
        <v>4.24</v>
      </c>
      <c r="P764" s="12">
        <f t="shared" si="67"/>
        <v>4.0140000000000002</v>
      </c>
      <c r="Q764" s="12">
        <f t="shared" si="68"/>
        <v>4.01</v>
      </c>
      <c r="R764" s="12">
        <f t="shared" si="69"/>
        <v>4.1340000000000003</v>
      </c>
      <c r="S764" s="28">
        <f>IFERROR(INDEX('Clean Gamification Data'!$B:$B,MATCH($B764,'Clean Gamification Data'!$A:$A,0)),"Not Found")</f>
        <v>92.331969670000007</v>
      </c>
      <c r="T764" s="28">
        <f>IFERROR(INDEX('Clean Gamification Data'!$C:$C,MATCH($B764,'Clean Gamification Data'!$A:$A,0)),"Not Found")</f>
        <v>62.535818890000002</v>
      </c>
      <c r="U764" s="28">
        <f>IFERROR(INDEX('Clean Gamification Data'!$D:$D,MATCH($B764,'Clean Gamification Data'!$A:$A,0)),"Not Found")</f>
        <v>80.707161729999996</v>
      </c>
      <c r="V764" s="28">
        <f>IFERROR(INDEX('Clean Gamification Data'!$E:$E,MATCH($B764,'Clean Gamification Data'!$A:$A,0)),"Not Found")</f>
        <v>63.524407750000002</v>
      </c>
      <c r="W764" s="28">
        <f>IFERROR(INDEX('Clean Gamification Data'!$F:$F,MATCH($B764,'Clean Gamification Data'!$A:$A,0)),"Not Found")</f>
        <v>93.299971009999993</v>
      </c>
      <c r="X764" s="28">
        <f>IFERROR(INDEX('Clean Gamification Data'!$G:$G,MATCH($B764,'Clean Gamification Data'!$A:$A,0)),"Not Found")</f>
        <v>77.389255559999995</v>
      </c>
      <c r="Y764" s="28">
        <f>IFERROR(INDEX('Clean Gamification Data'!$H:$H,MATCH($B764,'Clean Gamification Data'!$A:$A,0)),"Not Found")</f>
        <v>76.007186039999993</v>
      </c>
      <c r="Z764" s="28">
        <f>IFERROR(INDEX('Clean Gamification Data'!$I:$I,MATCH($B764,'Clean Gamification Data'!$A:$A,0)),"Not Found")</f>
        <v>50</v>
      </c>
      <c r="AA764" s="28">
        <f>Table1[[#This Row],[Engagement (Gamification %)]]-Table1[[#This Row],[Engagement (Non-Gamification %)]]</f>
        <v>29.796150780000005</v>
      </c>
      <c r="AB764" s="28">
        <f>Table1[[#This Row],[Motivation (Gamification %)]]-Table1[[#This Row],[Motivation (Non-Gamification %)]]</f>
        <v>17.182753979999994</v>
      </c>
      <c r="AC764" s="28">
        <f>Table1[[#This Row],[Participation (Gamification %)]]-Table1[[#This Row],[Participation (Non-Gamification %)]]</f>
        <v>15.910715449999998</v>
      </c>
      <c r="AD764" s="28">
        <f>Table1[[#This Row],[Learning Outcomes (Gamification %)]]-Table1[[#This Row],[Learning Outcomes (Non-Gamification %)]]</f>
        <v>26.007186039999993</v>
      </c>
      <c r="AE764" s="44" t="str">
        <f>IF(Table1[[#This Row],[Overall Effectiveness]]&lt;3.9,"Low",IF(Table1[[#This Row],[Overall Effectiveness]]&lt;4.2,"Medium","High"))</f>
        <v>Medium</v>
      </c>
      <c r="AF764" s="30" t="str">
        <f t="shared" si="70"/>
        <v>Online Tutorials</v>
      </c>
      <c r="AG764" s="30" t="str">
        <f t="shared" si="71"/>
        <v>Experiments</v>
      </c>
      <c r="AH764" s="27">
        <f>COUNTIF(Teacher_Master!$D$2:$D$16,AF764)</f>
        <v>3</v>
      </c>
      <c r="AI764" s="30" t="str">
        <f>INDEX(Teacher_Master!$B$2:$B$16,MATCH(AF764,Teacher_Master!$D$2:$D$16,0))</f>
        <v>Prof. Kavita Rao</v>
      </c>
    </row>
    <row r="765" spans="1:35" ht="14.25" customHeight="1" x14ac:dyDescent="0.3">
      <c r="A765" s="31" t="s">
        <v>1564</v>
      </c>
      <c r="B765" s="31" t="s">
        <v>2631</v>
      </c>
      <c r="C765" s="31" t="s">
        <v>2881</v>
      </c>
      <c r="D765" s="12">
        <f t="shared" ca="1" si="66"/>
        <v>25</v>
      </c>
      <c r="E765" s="12" t="str">
        <f ca="1">IF(Table1[[#This Row],[Age]]&lt;=22,"20-22",IF(Table1[[#This Row],[Age]]&lt;=25,"23-25",IF(Table1[[#This Row],[Age]]&lt;=28,"26-28","29-30")))</f>
        <v>23-25</v>
      </c>
      <c r="F765" s="12">
        <v>4.0599999999999996</v>
      </c>
      <c r="G765" s="12">
        <v>4.24</v>
      </c>
      <c r="H765" s="12">
        <v>4.22</v>
      </c>
      <c r="I765" s="12">
        <v>4.1900000000000004</v>
      </c>
      <c r="J765" s="12">
        <v>4.75</v>
      </c>
      <c r="K765" s="12">
        <v>4.0999999999999996</v>
      </c>
      <c r="L765" s="12">
        <v>4.13</v>
      </c>
      <c r="M765" s="12">
        <v>4.25</v>
      </c>
      <c r="N765" s="12">
        <v>4.26</v>
      </c>
      <c r="O765" s="12">
        <v>3.95</v>
      </c>
      <c r="P765" s="12">
        <f t="shared" si="67"/>
        <v>4.2919999999999998</v>
      </c>
      <c r="Q765" s="12">
        <f t="shared" si="68"/>
        <v>4.29</v>
      </c>
      <c r="R765" s="12">
        <f t="shared" si="69"/>
        <v>4.1379999999999999</v>
      </c>
      <c r="S765" s="28">
        <f>IFERROR(INDEX('Clean Gamification Data'!$B:$B,MATCH($B765,'Clean Gamification Data'!$A:$A,0)),"Not Found")</f>
        <v>82.464458919999998</v>
      </c>
      <c r="T765" s="28">
        <f>IFERROR(INDEX('Clean Gamification Data'!$C:$C,MATCH($B765,'Clean Gamification Data'!$A:$A,0)),"Not Found")</f>
        <v>70.277932460000002</v>
      </c>
      <c r="U765" s="28">
        <f>IFERROR(INDEX('Clean Gamification Data'!$D:$D,MATCH($B765,'Clean Gamification Data'!$A:$A,0)),"Not Found")</f>
        <v>78.521140470000006</v>
      </c>
      <c r="V765" s="28">
        <f>IFERROR(INDEX('Clean Gamification Data'!$E:$E,MATCH($B765,'Clean Gamification Data'!$A:$A,0)),"Not Found")</f>
        <v>66.510038960000003</v>
      </c>
      <c r="W765" s="28">
        <f>IFERROR(INDEX('Clean Gamification Data'!$F:$F,MATCH($B765,'Clean Gamification Data'!$A:$A,0)),"Not Found")</f>
        <v>85.448670930000006</v>
      </c>
      <c r="X765" s="28">
        <f>IFERROR(INDEX('Clean Gamification Data'!$G:$G,MATCH($B765,'Clean Gamification Data'!$A:$A,0)),"Not Found")</f>
        <v>82.574214420000004</v>
      </c>
      <c r="Y765" s="28">
        <f>IFERROR(INDEX('Clean Gamification Data'!$H:$H,MATCH($B765,'Clean Gamification Data'!$A:$A,0)),"Not Found")</f>
        <v>69.911759070000002</v>
      </c>
      <c r="Z765" s="28">
        <f>IFERROR(INDEX('Clean Gamification Data'!$I:$I,MATCH($B765,'Clean Gamification Data'!$A:$A,0)),"Not Found")</f>
        <v>54.940766709999998</v>
      </c>
      <c r="AA765" s="28">
        <f>Table1[[#This Row],[Engagement (Gamification %)]]-Table1[[#This Row],[Engagement (Non-Gamification %)]]</f>
        <v>12.186526459999996</v>
      </c>
      <c r="AB765" s="28">
        <f>Table1[[#This Row],[Motivation (Gamification %)]]-Table1[[#This Row],[Motivation (Non-Gamification %)]]</f>
        <v>12.011101510000003</v>
      </c>
      <c r="AC765" s="28">
        <f>Table1[[#This Row],[Participation (Gamification %)]]-Table1[[#This Row],[Participation (Non-Gamification %)]]</f>
        <v>2.8744565100000017</v>
      </c>
      <c r="AD765" s="28">
        <f>Table1[[#This Row],[Learning Outcomes (Gamification %)]]-Table1[[#This Row],[Learning Outcomes (Non-Gamification %)]]</f>
        <v>14.970992360000004</v>
      </c>
      <c r="AE765" s="44" t="str">
        <f>IF(Table1[[#This Row],[Overall Effectiveness]]&lt;3.9,"Low",IF(Table1[[#This Row],[Overall Effectiveness]]&lt;4.2,"Medium","High"))</f>
        <v>High</v>
      </c>
      <c r="AF765" s="30" t="str">
        <f t="shared" si="70"/>
        <v>Online Tutorials</v>
      </c>
      <c r="AG765" s="30" t="str">
        <f t="shared" si="71"/>
        <v>Experiments</v>
      </c>
      <c r="AH765" s="27">
        <f>COUNTIF(Teacher_Master!$D$2:$D$16,AF765)</f>
        <v>3</v>
      </c>
      <c r="AI765" s="30" t="str">
        <f>INDEX(Teacher_Master!$B$2:$B$16,MATCH(AF765,Teacher_Master!$D$2:$D$16,0))</f>
        <v>Prof. Kavita Rao</v>
      </c>
    </row>
    <row r="766" spans="1:35" ht="14.25" customHeight="1" x14ac:dyDescent="0.3">
      <c r="A766" s="31" t="s">
        <v>1566</v>
      </c>
      <c r="B766" s="31" t="s">
        <v>2632</v>
      </c>
      <c r="C766" s="31" t="s">
        <v>2882</v>
      </c>
      <c r="D766" s="12">
        <f t="shared" ca="1" si="66"/>
        <v>28</v>
      </c>
      <c r="E766" s="12" t="str">
        <f ca="1">IF(Table1[[#This Row],[Age]]&lt;=22,"20-22",IF(Table1[[#This Row],[Age]]&lt;=25,"23-25",IF(Table1[[#This Row],[Age]]&lt;=28,"26-28","29-30")))</f>
        <v>26-28</v>
      </c>
      <c r="F766" s="12">
        <v>3.53</v>
      </c>
      <c r="G766" s="12">
        <v>3.83</v>
      </c>
      <c r="H766" s="12">
        <v>4.32</v>
      </c>
      <c r="I766" s="12">
        <v>4.13</v>
      </c>
      <c r="J766" s="12">
        <v>4.09</v>
      </c>
      <c r="K766" s="12">
        <v>4.04</v>
      </c>
      <c r="L766" s="12">
        <v>3.89</v>
      </c>
      <c r="M766" s="12">
        <v>4.25</v>
      </c>
      <c r="N766" s="12">
        <v>3.88</v>
      </c>
      <c r="O766" s="12">
        <v>4.18</v>
      </c>
      <c r="P766" s="12">
        <f t="shared" si="67"/>
        <v>3.9799999999999995</v>
      </c>
      <c r="Q766" s="12">
        <f t="shared" si="68"/>
        <v>3.98</v>
      </c>
      <c r="R766" s="12">
        <f t="shared" si="69"/>
        <v>4.048</v>
      </c>
      <c r="S766" s="28">
        <f>IFERROR(INDEX('Clean Gamification Data'!$B:$B,MATCH($B766,'Clean Gamification Data'!$A:$A,0)),"Not Found")</f>
        <v>90.946496580000002</v>
      </c>
      <c r="T766" s="28">
        <f>IFERROR(INDEX('Clean Gamification Data'!$C:$C,MATCH($B766,'Clean Gamification Data'!$A:$A,0)),"Not Found")</f>
        <v>70.100431639999996</v>
      </c>
      <c r="U766" s="28">
        <f>IFERROR(INDEX('Clean Gamification Data'!$D:$D,MATCH($B766,'Clean Gamification Data'!$A:$A,0)),"Not Found")</f>
        <v>77.271573660000001</v>
      </c>
      <c r="V766" s="28">
        <f>IFERROR(INDEX('Clean Gamification Data'!$E:$E,MATCH($B766,'Clean Gamification Data'!$A:$A,0)),"Not Found")</f>
        <v>63.395791750000001</v>
      </c>
      <c r="W766" s="28">
        <f>IFERROR(INDEX('Clean Gamification Data'!$F:$F,MATCH($B766,'Clean Gamification Data'!$A:$A,0)),"Not Found")</f>
        <v>86.777262559999997</v>
      </c>
      <c r="X766" s="28">
        <f>IFERROR(INDEX('Clean Gamification Data'!$G:$G,MATCH($B766,'Clean Gamification Data'!$A:$A,0)),"Not Found")</f>
        <v>79.478885550000001</v>
      </c>
      <c r="Y766" s="28">
        <f>IFERROR(INDEX('Clean Gamification Data'!$H:$H,MATCH($B766,'Clean Gamification Data'!$A:$A,0)),"Not Found")</f>
        <v>65.163755789999996</v>
      </c>
      <c r="Z766" s="28">
        <f>IFERROR(INDEX('Clean Gamification Data'!$I:$I,MATCH($B766,'Clean Gamification Data'!$A:$A,0)),"Not Found")</f>
        <v>64.692425270000001</v>
      </c>
      <c r="AA766" s="28">
        <f>Table1[[#This Row],[Engagement (Gamification %)]]-Table1[[#This Row],[Engagement (Non-Gamification %)]]</f>
        <v>20.846064940000005</v>
      </c>
      <c r="AB766" s="28">
        <f>Table1[[#This Row],[Motivation (Gamification %)]]-Table1[[#This Row],[Motivation (Non-Gamification %)]]</f>
        <v>13.875781910000001</v>
      </c>
      <c r="AC766" s="28">
        <f>Table1[[#This Row],[Participation (Gamification %)]]-Table1[[#This Row],[Participation (Non-Gamification %)]]</f>
        <v>7.2983770099999958</v>
      </c>
      <c r="AD766" s="28">
        <f>Table1[[#This Row],[Learning Outcomes (Gamification %)]]-Table1[[#This Row],[Learning Outcomes (Non-Gamification %)]]</f>
        <v>0.47133051999999509</v>
      </c>
      <c r="AE766" s="44" t="str">
        <f>IF(Table1[[#This Row],[Overall Effectiveness]]&lt;3.9,"Low",IF(Table1[[#This Row],[Overall Effectiveness]]&lt;4.2,"Medium","High"))</f>
        <v>Medium</v>
      </c>
      <c r="AF766" s="30" t="str">
        <f t="shared" si="70"/>
        <v>Group Projects</v>
      </c>
      <c r="AG766" s="30" t="str">
        <f t="shared" si="71"/>
        <v>Group Projects</v>
      </c>
      <c r="AH766" s="27">
        <f>COUNTIF(Teacher_Master!$D$2:$D$16,AF766)</f>
        <v>3</v>
      </c>
      <c r="AI766" s="30" t="str">
        <f>INDEX(Teacher_Master!$B$2:$B$16,MATCH(AF766,Teacher_Master!$D$2:$D$16,0))</f>
        <v>Dr. Rohan Dutta</v>
      </c>
    </row>
    <row r="767" spans="1:35" ht="14.25" customHeight="1" x14ac:dyDescent="0.3">
      <c r="A767" s="31" t="s">
        <v>1568</v>
      </c>
      <c r="B767" s="31" t="s">
        <v>2633</v>
      </c>
      <c r="C767" s="31" t="s">
        <v>2882</v>
      </c>
      <c r="D767" s="12">
        <f t="shared" ca="1" si="66"/>
        <v>21</v>
      </c>
      <c r="E767" s="12" t="str">
        <f ca="1">IF(Table1[[#This Row],[Age]]&lt;=22,"20-22",IF(Table1[[#This Row],[Age]]&lt;=25,"23-25",IF(Table1[[#This Row],[Age]]&lt;=28,"26-28","29-30")))</f>
        <v>20-22</v>
      </c>
      <c r="F767" s="12">
        <v>4.54</v>
      </c>
      <c r="G767" s="12">
        <v>3.97</v>
      </c>
      <c r="H767" s="12">
        <v>4.32</v>
      </c>
      <c r="I767" s="12">
        <v>4.24</v>
      </c>
      <c r="J767" s="12">
        <v>4.04</v>
      </c>
      <c r="K767" s="12">
        <v>3.9</v>
      </c>
      <c r="L767" s="12">
        <v>4.1100000000000003</v>
      </c>
      <c r="M767" s="12">
        <v>3.88</v>
      </c>
      <c r="N767" s="12">
        <v>3.78</v>
      </c>
      <c r="O767" s="12">
        <v>3.89</v>
      </c>
      <c r="P767" s="12">
        <f t="shared" si="67"/>
        <v>4.2219999999999995</v>
      </c>
      <c r="Q767" s="12">
        <f t="shared" si="68"/>
        <v>4.22</v>
      </c>
      <c r="R767" s="12">
        <f t="shared" si="69"/>
        <v>3.9119999999999999</v>
      </c>
      <c r="S767" s="28">
        <f>IFERROR(INDEX('Clean Gamification Data'!$B:$B,MATCH($B767,'Clean Gamification Data'!$A:$A,0)),"Not Found")</f>
        <v>87.411097749999996</v>
      </c>
      <c r="T767" s="28">
        <f>IFERROR(INDEX('Clean Gamification Data'!$C:$C,MATCH($B767,'Clean Gamification Data'!$A:$A,0)),"Not Found")</f>
        <v>74.567272650000007</v>
      </c>
      <c r="U767" s="28">
        <f>IFERROR(INDEX('Clean Gamification Data'!$D:$D,MATCH($B767,'Clean Gamification Data'!$A:$A,0)),"Not Found")</f>
        <v>78.732424940000001</v>
      </c>
      <c r="V767" s="28">
        <f>IFERROR(INDEX('Clean Gamification Data'!$E:$E,MATCH($B767,'Clean Gamification Data'!$A:$A,0)),"Not Found")</f>
        <v>62.637529469999997</v>
      </c>
      <c r="W767" s="28">
        <f>IFERROR(INDEX('Clean Gamification Data'!$F:$F,MATCH($B767,'Clean Gamification Data'!$A:$A,0)),"Not Found")</f>
        <v>83.613085280000007</v>
      </c>
      <c r="X767" s="28">
        <f>IFERROR(INDEX('Clean Gamification Data'!$G:$G,MATCH($B767,'Clean Gamification Data'!$A:$A,0)),"Not Found")</f>
        <v>76.535685509999993</v>
      </c>
      <c r="Y767" s="28">
        <f>IFERROR(INDEX('Clean Gamification Data'!$H:$H,MATCH($B767,'Clean Gamification Data'!$A:$A,0)),"Not Found")</f>
        <v>74.414638069999995</v>
      </c>
      <c r="Z767" s="28">
        <f>IFERROR(INDEX('Clean Gamification Data'!$I:$I,MATCH($B767,'Clean Gamification Data'!$A:$A,0)),"Not Found")</f>
        <v>70</v>
      </c>
      <c r="AA767" s="28">
        <f>Table1[[#This Row],[Engagement (Gamification %)]]-Table1[[#This Row],[Engagement (Non-Gamification %)]]</f>
        <v>12.843825099999989</v>
      </c>
      <c r="AB767" s="28">
        <f>Table1[[#This Row],[Motivation (Gamification %)]]-Table1[[#This Row],[Motivation (Non-Gamification %)]]</f>
        <v>16.094895470000004</v>
      </c>
      <c r="AC767" s="28">
        <f>Table1[[#This Row],[Participation (Gamification %)]]-Table1[[#This Row],[Participation (Non-Gamification %)]]</f>
        <v>7.0773997700000137</v>
      </c>
      <c r="AD767" s="28">
        <f>Table1[[#This Row],[Learning Outcomes (Gamification %)]]-Table1[[#This Row],[Learning Outcomes (Non-Gamification %)]]</f>
        <v>4.4146380699999952</v>
      </c>
      <c r="AE767" s="44" t="str">
        <f>IF(Table1[[#This Row],[Overall Effectiveness]]&lt;3.9,"Low",IF(Table1[[#This Row],[Overall Effectiveness]]&lt;4.2,"Medium","High"))</f>
        <v>High</v>
      </c>
      <c r="AF767" s="30" t="str">
        <f t="shared" si="70"/>
        <v>Lectures</v>
      </c>
      <c r="AG767" s="30" t="str">
        <f t="shared" si="71"/>
        <v>Case Studies</v>
      </c>
      <c r="AH767" s="27">
        <f>COUNTIF(Teacher_Master!$D$2:$D$16,AF767)</f>
        <v>3</v>
      </c>
      <c r="AI767" s="30" t="str">
        <f>INDEX(Teacher_Master!$B$2:$B$16,MATCH(AF767,Teacher_Master!$D$2:$D$16,0))</f>
        <v>Prof. Vikram Gupta</v>
      </c>
    </row>
    <row r="768" spans="1:35" ht="14.25" customHeight="1" x14ac:dyDescent="0.3">
      <c r="A768" s="31" t="s">
        <v>1570</v>
      </c>
      <c r="B768" s="31" t="s">
        <v>2634</v>
      </c>
      <c r="C768" s="31" t="s">
        <v>2882</v>
      </c>
      <c r="D768" s="12">
        <f t="shared" ca="1" si="66"/>
        <v>23</v>
      </c>
      <c r="E768" s="12" t="str">
        <f ca="1">IF(Table1[[#This Row],[Age]]&lt;=22,"20-22",IF(Table1[[#This Row],[Age]]&lt;=25,"23-25",IF(Table1[[#This Row],[Age]]&lt;=28,"26-28","29-30")))</f>
        <v>23-25</v>
      </c>
      <c r="F768" s="12">
        <v>4</v>
      </c>
      <c r="G768" s="12">
        <v>4.2300000000000004</v>
      </c>
      <c r="H768" s="12">
        <v>3.4</v>
      </c>
      <c r="I768" s="12">
        <v>4.2</v>
      </c>
      <c r="J768" s="12">
        <v>4.47</v>
      </c>
      <c r="K768" s="12">
        <v>4.33</v>
      </c>
      <c r="L768" s="12">
        <v>4.4800000000000004</v>
      </c>
      <c r="M768" s="12">
        <v>3.66</v>
      </c>
      <c r="N768" s="12">
        <v>3.74</v>
      </c>
      <c r="O768" s="12">
        <v>3.6</v>
      </c>
      <c r="P768" s="12">
        <f t="shared" si="67"/>
        <v>4.0600000000000005</v>
      </c>
      <c r="Q768" s="12">
        <f t="shared" si="68"/>
        <v>4.0599999999999996</v>
      </c>
      <c r="R768" s="12">
        <f t="shared" si="69"/>
        <v>3.9620000000000006</v>
      </c>
      <c r="S768" s="28">
        <f>IFERROR(INDEX('Clean Gamification Data'!$B:$B,MATCH($B768,'Clean Gamification Data'!$A:$A,0)),"Not Found")</f>
        <v>77.547009450000004</v>
      </c>
      <c r="T768" s="28">
        <f>IFERROR(INDEX('Clean Gamification Data'!$C:$C,MATCH($B768,'Clean Gamification Data'!$A:$A,0)),"Not Found")</f>
        <v>67.007857430000001</v>
      </c>
      <c r="U768" s="28">
        <f>IFERROR(INDEX('Clean Gamification Data'!$D:$D,MATCH($B768,'Clean Gamification Data'!$A:$A,0)),"Not Found")</f>
        <v>70.582466740000001</v>
      </c>
      <c r="V768" s="28">
        <f>IFERROR(INDEX('Clean Gamification Data'!$E:$E,MATCH($B768,'Clean Gamification Data'!$A:$A,0)),"Not Found")</f>
        <v>72.128031429999993</v>
      </c>
      <c r="W768" s="28">
        <f>IFERROR(INDEX('Clean Gamification Data'!$F:$F,MATCH($B768,'Clean Gamification Data'!$A:$A,0)),"Not Found")</f>
        <v>86.93218727</v>
      </c>
      <c r="X768" s="28">
        <f>IFERROR(INDEX('Clean Gamification Data'!$G:$G,MATCH($B768,'Clean Gamification Data'!$A:$A,0)),"Not Found")</f>
        <v>77.734209849999999</v>
      </c>
      <c r="Y768" s="28">
        <f>IFERROR(INDEX('Clean Gamification Data'!$H:$H,MATCH($B768,'Clean Gamification Data'!$A:$A,0)),"Not Found")</f>
        <v>76.164997720000002</v>
      </c>
      <c r="Z768" s="28">
        <f>IFERROR(INDEX('Clean Gamification Data'!$I:$I,MATCH($B768,'Clean Gamification Data'!$A:$A,0)),"Not Found")</f>
        <v>61.066797280000003</v>
      </c>
      <c r="AA768" s="28">
        <f>Table1[[#This Row],[Engagement (Gamification %)]]-Table1[[#This Row],[Engagement (Non-Gamification %)]]</f>
        <v>10.539152020000003</v>
      </c>
      <c r="AB768" s="28">
        <f>Table1[[#This Row],[Motivation (Gamification %)]]-Table1[[#This Row],[Motivation (Non-Gamification %)]]</f>
        <v>-1.545564689999992</v>
      </c>
      <c r="AC768" s="28">
        <f>Table1[[#This Row],[Participation (Gamification %)]]-Table1[[#This Row],[Participation (Non-Gamification %)]]</f>
        <v>9.1979774200000008</v>
      </c>
      <c r="AD768" s="28">
        <f>Table1[[#This Row],[Learning Outcomes (Gamification %)]]-Table1[[#This Row],[Learning Outcomes (Non-Gamification %)]]</f>
        <v>15.098200439999999</v>
      </c>
      <c r="AE768" s="44" t="str">
        <f>IF(Table1[[#This Row],[Overall Effectiveness]]&lt;3.9,"Low",IF(Table1[[#This Row],[Overall Effectiveness]]&lt;4.2,"Medium","High"))</f>
        <v>Medium</v>
      </c>
      <c r="AF768" s="30" t="str">
        <f t="shared" si="70"/>
        <v>Online Tutorials</v>
      </c>
      <c r="AG768" s="30" t="str">
        <f t="shared" si="71"/>
        <v>Case Studies</v>
      </c>
      <c r="AH768" s="27">
        <f>COUNTIF(Teacher_Master!$D$2:$D$16,AF768)</f>
        <v>3</v>
      </c>
      <c r="AI768" s="30" t="str">
        <f>INDEX(Teacher_Master!$B$2:$B$16,MATCH(AF768,Teacher_Master!$D$2:$D$16,0))</f>
        <v>Prof. Kavita Rao</v>
      </c>
    </row>
    <row r="769" spans="1:35" ht="14.25" customHeight="1" x14ac:dyDescent="0.3">
      <c r="A769" s="31" t="s">
        <v>1572</v>
      </c>
      <c r="B769" s="31" t="s">
        <v>2635</v>
      </c>
      <c r="C769" s="31" t="s">
        <v>2882</v>
      </c>
      <c r="D769" s="12">
        <f t="shared" ca="1" si="66"/>
        <v>26</v>
      </c>
      <c r="E769" s="12" t="str">
        <f ca="1">IF(Table1[[#This Row],[Age]]&lt;=22,"20-22",IF(Table1[[#This Row],[Age]]&lt;=25,"23-25",IF(Table1[[#This Row],[Age]]&lt;=28,"26-28","29-30")))</f>
        <v>26-28</v>
      </c>
      <c r="F769" s="12">
        <v>3.54</v>
      </c>
      <c r="G769" s="12">
        <v>4</v>
      </c>
      <c r="H769" s="12">
        <v>3.62</v>
      </c>
      <c r="I769" s="12">
        <v>3.45</v>
      </c>
      <c r="J769" s="12">
        <v>3.74</v>
      </c>
      <c r="K769" s="12">
        <v>4.5199999999999996</v>
      </c>
      <c r="L769" s="12">
        <v>3.89</v>
      </c>
      <c r="M769" s="12">
        <v>4.3099999999999996</v>
      </c>
      <c r="N769" s="12">
        <v>4.26</v>
      </c>
      <c r="O769" s="12">
        <v>3.78</v>
      </c>
      <c r="P769" s="12">
        <f t="shared" si="67"/>
        <v>3.6700000000000004</v>
      </c>
      <c r="Q769" s="12">
        <f t="shared" si="68"/>
        <v>3.67</v>
      </c>
      <c r="R769" s="12">
        <f t="shared" si="69"/>
        <v>4.1519999999999992</v>
      </c>
      <c r="S769" s="28">
        <f>IFERROR(INDEX('Clean Gamification Data'!$B:$B,MATCH($B769,'Clean Gamification Data'!$A:$A,0)),"Not Found")</f>
        <v>86.052670629999994</v>
      </c>
      <c r="T769" s="28">
        <f>IFERROR(INDEX('Clean Gamification Data'!$C:$C,MATCH($B769,'Clean Gamification Data'!$A:$A,0)),"Not Found")</f>
        <v>79.636406350000001</v>
      </c>
      <c r="U769" s="28">
        <f>IFERROR(INDEX('Clean Gamification Data'!$D:$D,MATCH($B769,'Clean Gamification Data'!$A:$A,0)),"Not Found")</f>
        <v>77.430622740000004</v>
      </c>
      <c r="V769" s="28">
        <f>IFERROR(INDEX('Clean Gamification Data'!$E:$E,MATCH($B769,'Clean Gamification Data'!$A:$A,0)),"Not Found")</f>
        <v>66.213852529999997</v>
      </c>
      <c r="W769" s="28">
        <f>IFERROR(INDEX('Clean Gamification Data'!$F:$F,MATCH($B769,'Clean Gamification Data'!$A:$A,0)),"Not Found")</f>
        <v>88.120351150000005</v>
      </c>
      <c r="X769" s="28">
        <f>IFERROR(INDEX('Clean Gamification Data'!$G:$G,MATCH($B769,'Clean Gamification Data'!$A:$A,0)),"Not Found")</f>
        <v>75.823429090000005</v>
      </c>
      <c r="Y769" s="28">
        <f>IFERROR(INDEX('Clean Gamification Data'!$H:$H,MATCH($B769,'Clean Gamification Data'!$A:$A,0)),"Not Found")</f>
        <v>68.256807379999998</v>
      </c>
      <c r="Z769" s="28">
        <f>IFERROR(INDEX('Clean Gamification Data'!$I:$I,MATCH($B769,'Clean Gamification Data'!$A:$A,0)),"Not Found")</f>
        <v>59.905036639999999</v>
      </c>
      <c r="AA769" s="28">
        <f>Table1[[#This Row],[Engagement (Gamification %)]]-Table1[[#This Row],[Engagement (Non-Gamification %)]]</f>
        <v>6.4162642799999929</v>
      </c>
      <c r="AB769" s="28">
        <f>Table1[[#This Row],[Motivation (Gamification %)]]-Table1[[#This Row],[Motivation (Non-Gamification %)]]</f>
        <v>11.216770210000007</v>
      </c>
      <c r="AC769" s="28">
        <f>Table1[[#This Row],[Participation (Gamification %)]]-Table1[[#This Row],[Participation (Non-Gamification %)]]</f>
        <v>12.29692206</v>
      </c>
      <c r="AD769" s="28">
        <f>Table1[[#This Row],[Learning Outcomes (Gamification %)]]-Table1[[#This Row],[Learning Outcomes (Non-Gamification %)]]</f>
        <v>8.3517707399999992</v>
      </c>
      <c r="AE769" s="44" t="str">
        <f>IF(Table1[[#This Row],[Overall Effectiveness]]&lt;3.9,"Low",IF(Table1[[#This Row],[Overall Effectiveness]]&lt;4.2,"Medium","High"))</f>
        <v>Low</v>
      </c>
      <c r="AF769" s="30" t="str">
        <f t="shared" si="70"/>
        <v>Case Studies</v>
      </c>
      <c r="AG769" s="30" t="str">
        <f t="shared" si="71"/>
        <v>Lectures</v>
      </c>
      <c r="AH769" s="27">
        <f>COUNTIF(Teacher_Master!$D$2:$D$16,AF769)</f>
        <v>3</v>
      </c>
      <c r="AI769" s="30" t="str">
        <f>INDEX(Teacher_Master!$B$2:$B$16,MATCH(AF769,Teacher_Master!$D$2:$D$16,0))</f>
        <v>Prof. Rajesh Mukherjee</v>
      </c>
    </row>
    <row r="770" spans="1:35" ht="14.25" customHeight="1" x14ac:dyDescent="0.3">
      <c r="A770" s="31" t="s">
        <v>1574</v>
      </c>
      <c r="B770" s="31" t="s">
        <v>2636</v>
      </c>
      <c r="C770" s="31" t="s">
        <v>2882</v>
      </c>
      <c r="D770" s="12">
        <f t="shared" ref="D770:D833" ca="1" si="72">RANDBETWEEN(20,30)</f>
        <v>27</v>
      </c>
      <c r="E770" s="12" t="str">
        <f ca="1">IF(Table1[[#This Row],[Age]]&lt;=22,"20-22",IF(Table1[[#This Row],[Age]]&lt;=25,"23-25",IF(Table1[[#This Row],[Age]]&lt;=28,"26-28","29-30")))</f>
        <v>26-28</v>
      </c>
      <c r="F770" s="12">
        <v>4.16</v>
      </c>
      <c r="G770" s="12">
        <v>4.47</v>
      </c>
      <c r="H770" s="12">
        <v>4.21</v>
      </c>
      <c r="I770" s="12">
        <v>4.13</v>
      </c>
      <c r="J770" s="12">
        <v>3.79</v>
      </c>
      <c r="K770" s="12">
        <v>3.78</v>
      </c>
      <c r="L770" s="12">
        <v>4.1100000000000003</v>
      </c>
      <c r="M770" s="12">
        <v>3.88</v>
      </c>
      <c r="N770" s="12">
        <v>4.33</v>
      </c>
      <c r="O770" s="12">
        <v>3.76</v>
      </c>
      <c r="P770" s="12">
        <f t="shared" ref="P770:P833" si="73">AVERAGE(F770:J770)</f>
        <v>4.1519999999999992</v>
      </c>
      <c r="Q770" s="12">
        <f t="shared" ref="Q770:Q833" si="74">ROUND(P770,2)</f>
        <v>4.1500000000000004</v>
      </c>
      <c r="R770" s="12">
        <f t="shared" ref="R770:R833" si="75">AVERAGE(K770:O770)</f>
        <v>3.972</v>
      </c>
      <c r="S770" s="28">
        <f>IFERROR(INDEX('Clean Gamification Data'!$B:$B,MATCH($B770,'Clean Gamification Data'!$A:$A,0)),"Not Found")</f>
        <v>86.798487289999997</v>
      </c>
      <c r="T770" s="28">
        <f>IFERROR(INDEX('Clean Gamification Data'!$C:$C,MATCH($B770,'Clean Gamification Data'!$A:$A,0)),"Not Found")</f>
        <v>62.680664620000002</v>
      </c>
      <c r="U770" s="28">
        <f>IFERROR(INDEX('Clean Gamification Data'!$D:$D,MATCH($B770,'Clean Gamification Data'!$A:$A,0)),"Not Found")</f>
        <v>89.302236960000002</v>
      </c>
      <c r="V770" s="28">
        <f>IFERROR(INDEX('Clean Gamification Data'!$E:$E,MATCH($B770,'Clean Gamification Data'!$A:$A,0)),"Not Found")</f>
        <v>60.851766099999999</v>
      </c>
      <c r="W770" s="28">
        <f>IFERROR(INDEX('Clean Gamification Data'!$F:$F,MATCH($B770,'Clean Gamification Data'!$A:$A,0)),"Not Found")</f>
        <v>86.725918140000005</v>
      </c>
      <c r="X770" s="28">
        <f>IFERROR(INDEX('Clean Gamification Data'!$G:$G,MATCH($B770,'Clean Gamification Data'!$A:$A,0)),"Not Found")</f>
        <v>85</v>
      </c>
      <c r="Y770" s="28">
        <f>IFERROR(INDEX('Clean Gamification Data'!$H:$H,MATCH($B770,'Clean Gamification Data'!$A:$A,0)),"Not Found")</f>
        <v>73.338542419999996</v>
      </c>
      <c r="Z770" s="28">
        <f>IFERROR(INDEX('Clean Gamification Data'!$I:$I,MATCH($B770,'Clean Gamification Data'!$A:$A,0)),"Not Found")</f>
        <v>59.719365660000001</v>
      </c>
      <c r="AA770" s="28">
        <f>Table1[[#This Row],[Engagement (Gamification %)]]-Table1[[#This Row],[Engagement (Non-Gamification %)]]</f>
        <v>24.117822669999995</v>
      </c>
      <c r="AB770" s="28">
        <f>Table1[[#This Row],[Motivation (Gamification %)]]-Table1[[#This Row],[Motivation (Non-Gamification %)]]</f>
        <v>28.450470860000003</v>
      </c>
      <c r="AC770" s="28">
        <f>Table1[[#This Row],[Participation (Gamification %)]]-Table1[[#This Row],[Participation (Non-Gamification %)]]</f>
        <v>1.7259181400000045</v>
      </c>
      <c r="AD770" s="28">
        <f>Table1[[#This Row],[Learning Outcomes (Gamification %)]]-Table1[[#This Row],[Learning Outcomes (Non-Gamification %)]]</f>
        <v>13.619176759999995</v>
      </c>
      <c r="AE770" s="44" t="str">
        <f>IF(Table1[[#This Row],[Overall Effectiveness]]&lt;3.9,"Low",IF(Table1[[#This Row],[Overall Effectiveness]]&lt;4.2,"Medium","High"))</f>
        <v>Medium</v>
      </c>
      <c r="AF770" s="30" t="str">
        <f t="shared" ref="AF770:AF833" si="76">CHOOSE(MATCH(MAX(F770:J770),F770:J770,0),"Lectures","Case Studies","Group Projects","Experiments","Online Tutorials")</f>
        <v>Case Studies</v>
      </c>
      <c r="AG770" s="30" t="str">
        <f t="shared" ref="AG770:AG833" si="77">CHOOSE(MATCH(MAX(K770:O770),K770:O770,0),"Lectures","Case Studies","Group Projects","Experiments","Online Tutorials")</f>
        <v>Experiments</v>
      </c>
      <c r="AH770" s="27">
        <f>COUNTIF(Teacher_Master!$D$2:$D$16,AF770)</f>
        <v>3</v>
      </c>
      <c r="AI770" s="30" t="str">
        <f>INDEX(Teacher_Master!$B$2:$B$16,MATCH(AF770,Teacher_Master!$D$2:$D$16,0))</f>
        <v>Prof. Rajesh Mukherjee</v>
      </c>
    </row>
    <row r="771" spans="1:35" ht="14.25" customHeight="1" x14ac:dyDescent="0.3">
      <c r="A771" s="31" t="s">
        <v>1576</v>
      </c>
      <c r="B771" s="31" t="s">
        <v>2637</v>
      </c>
      <c r="C771" s="31" t="s">
        <v>2881</v>
      </c>
      <c r="D771" s="12">
        <f t="shared" ca="1" si="72"/>
        <v>29</v>
      </c>
      <c r="E771" s="12" t="str">
        <f ca="1">IF(Table1[[#This Row],[Age]]&lt;=22,"20-22",IF(Table1[[#This Row],[Age]]&lt;=25,"23-25",IF(Table1[[#This Row],[Age]]&lt;=28,"26-28","29-30")))</f>
        <v>29-30</v>
      </c>
      <c r="F771" s="12">
        <v>4.28</v>
      </c>
      <c r="G771" s="12">
        <v>4.2</v>
      </c>
      <c r="H771" s="12">
        <v>4.22</v>
      </c>
      <c r="I771" s="12">
        <v>3.97</v>
      </c>
      <c r="J771" s="12">
        <v>3.99</v>
      </c>
      <c r="K771" s="12">
        <v>4.3499999999999996</v>
      </c>
      <c r="L771" s="12">
        <v>4.22</v>
      </c>
      <c r="M771" s="12">
        <v>4.16</v>
      </c>
      <c r="N771" s="12">
        <v>4.08</v>
      </c>
      <c r="O771" s="12">
        <v>3.81</v>
      </c>
      <c r="P771" s="12">
        <f t="shared" si="73"/>
        <v>4.1319999999999997</v>
      </c>
      <c r="Q771" s="12">
        <f t="shared" si="74"/>
        <v>4.13</v>
      </c>
      <c r="R771" s="12">
        <f t="shared" si="75"/>
        <v>4.1240000000000006</v>
      </c>
      <c r="S771" s="28">
        <f>IFERROR(INDEX('Clean Gamification Data'!$B:$B,MATCH($B771,'Clean Gamification Data'!$A:$A,0)),"Not Found")</f>
        <v>88.606526709999997</v>
      </c>
      <c r="T771" s="28">
        <f>IFERROR(INDEX('Clean Gamification Data'!$C:$C,MATCH($B771,'Clean Gamification Data'!$A:$A,0)),"Not Found")</f>
        <v>67.264547129999997</v>
      </c>
      <c r="U771" s="28">
        <f>IFERROR(INDEX('Clean Gamification Data'!$D:$D,MATCH($B771,'Clean Gamification Data'!$A:$A,0)),"Not Found")</f>
        <v>82.486189640000006</v>
      </c>
      <c r="V771" s="28">
        <f>IFERROR(INDEX('Clean Gamification Data'!$E:$E,MATCH($B771,'Clean Gamification Data'!$A:$A,0)),"Not Found")</f>
        <v>60.231576259999997</v>
      </c>
      <c r="W771" s="28">
        <f>IFERROR(INDEX('Clean Gamification Data'!$F:$F,MATCH($B771,'Clean Gamification Data'!$A:$A,0)),"Not Found")</f>
        <v>80</v>
      </c>
      <c r="X771" s="28">
        <f>IFERROR(INDEX('Clean Gamification Data'!$G:$G,MATCH($B771,'Clean Gamification Data'!$A:$A,0)),"Not Found")</f>
        <v>69.553420389999999</v>
      </c>
      <c r="Y771" s="28">
        <f>IFERROR(INDEX('Clean Gamification Data'!$H:$H,MATCH($B771,'Clean Gamification Data'!$A:$A,0)),"Not Found")</f>
        <v>72.649909289999997</v>
      </c>
      <c r="Z771" s="28">
        <f>IFERROR(INDEX('Clean Gamification Data'!$I:$I,MATCH($B771,'Clean Gamification Data'!$A:$A,0)),"Not Found")</f>
        <v>58.628754270000002</v>
      </c>
      <c r="AA771" s="28">
        <f>Table1[[#This Row],[Engagement (Gamification %)]]-Table1[[#This Row],[Engagement (Non-Gamification %)]]</f>
        <v>21.34197958</v>
      </c>
      <c r="AB771" s="28">
        <f>Table1[[#This Row],[Motivation (Gamification %)]]-Table1[[#This Row],[Motivation (Non-Gamification %)]]</f>
        <v>22.254613380000009</v>
      </c>
      <c r="AC771" s="28">
        <f>Table1[[#This Row],[Participation (Gamification %)]]-Table1[[#This Row],[Participation (Non-Gamification %)]]</f>
        <v>10.446579610000001</v>
      </c>
      <c r="AD771" s="28">
        <f>Table1[[#This Row],[Learning Outcomes (Gamification %)]]-Table1[[#This Row],[Learning Outcomes (Non-Gamification %)]]</f>
        <v>14.021155019999995</v>
      </c>
      <c r="AE771" s="44" t="str">
        <f>IF(Table1[[#This Row],[Overall Effectiveness]]&lt;3.9,"Low",IF(Table1[[#This Row],[Overall Effectiveness]]&lt;4.2,"Medium","High"))</f>
        <v>Medium</v>
      </c>
      <c r="AF771" s="30" t="str">
        <f t="shared" si="76"/>
        <v>Lectures</v>
      </c>
      <c r="AG771" s="30" t="str">
        <f t="shared" si="77"/>
        <v>Lectures</v>
      </c>
      <c r="AH771" s="27">
        <f>COUNTIF(Teacher_Master!$D$2:$D$16,AF771)</f>
        <v>3</v>
      </c>
      <c r="AI771" s="30" t="str">
        <f>INDEX(Teacher_Master!$B$2:$B$16,MATCH(AF771,Teacher_Master!$D$2:$D$16,0))</f>
        <v>Prof. Vikram Gupta</v>
      </c>
    </row>
    <row r="772" spans="1:35" ht="14.25" customHeight="1" x14ac:dyDescent="0.3">
      <c r="A772" s="31" t="s">
        <v>1578</v>
      </c>
      <c r="B772" s="31" t="s">
        <v>2638</v>
      </c>
      <c r="C772" s="31" t="s">
        <v>2882</v>
      </c>
      <c r="D772" s="12">
        <f t="shared" ca="1" si="72"/>
        <v>24</v>
      </c>
      <c r="E772" s="12" t="str">
        <f ca="1">IF(Table1[[#This Row],[Age]]&lt;=22,"20-22",IF(Table1[[#This Row],[Age]]&lt;=25,"23-25",IF(Table1[[#This Row],[Age]]&lt;=28,"26-28","29-30")))</f>
        <v>23-25</v>
      </c>
      <c r="F772" s="12">
        <v>4.08</v>
      </c>
      <c r="G772" s="12">
        <v>3.71</v>
      </c>
      <c r="H772" s="12">
        <v>4.72</v>
      </c>
      <c r="I772" s="12">
        <v>3.7</v>
      </c>
      <c r="J772" s="12">
        <v>4.41</v>
      </c>
      <c r="K772" s="12">
        <v>3.98</v>
      </c>
      <c r="L772" s="12">
        <v>3.88</v>
      </c>
      <c r="M772" s="12">
        <v>4.25</v>
      </c>
      <c r="N772" s="12">
        <v>3.68</v>
      </c>
      <c r="O772" s="12">
        <v>4.29</v>
      </c>
      <c r="P772" s="12">
        <f t="shared" si="73"/>
        <v>4.1240000000000006</v>
      </c>
      <c r="Q772" s="12">
        <f t="shared" si="74"/>
        <v>4.12</v>
      </c>
      <c r="R772" s="12">
        <f t="shared" si="75"/>
        <v>4.016</v>
      </c>
      <c r="S772" s="28">
        <f>IFERROR(INDEX('Clean Gamification Data'!$B:$B,MATCH($B772,'Clean Gamification Data'!$A:$A,0)),"Not Found")</f>
        <v>92.79203253</v>
      </c>
      <c r="T772" s="28">
        <f>IFERROR(INDEX('Clean Gamification Data'!$C:$C,MATCH($B772,'Clean Gamification Data'!$A:$A,0)),"Not Found")</f>
        <v>70.750220279999994</v>
      </c>
      <c r="U772" s="28">
        <f>IFERROR(INDEX('Clean Gamification Data'!$D:$D,MATCH($B772,'Clean Gamification Data'!$A:$A,0)),"Not Found")</f>
        <v>81.244359189999997</v>
      </c>
      <c r="V772" s="28">
        <f>IFERROR(INDEX('Clean Gamification Data'!$E:$E,MATCH($B772,'Clean Gamification Data'!$A:$A,0)),"Not Found")</f>
        <v>68.355810910000002</v>
      </c>
      <c r="W772" s="28">
        <f>IFERROR(INDEX('Clean Gamification Data'!$F:$F,MATCH($B772,'Clean Gamification Data'!$A:$A,0)),"Not Found")</f>
        <v>85.148579310000002</v>
      </c>
      <c r="X772" s="28">
        <f>IFERROR(INDEX('Clean Gamification Data'!$G:$G,MATCH($B772,'Clean Gamification Data'!$A:$A,0)),"Not Found")</f>
        <v>79.834789670000006</v>
      </c>
      <c r="Y772" s="28">
        <f>IFERROR(INDEX('Clean Gamification Data'!$H:$H,MATCH($B772,'Clean Gamification Data'!$A:$A,0)),"Not Found")</f>
        <v>67.097963680000007</v>
      </c>
      <c r="Z772" s="28">
        <f>IFERROR(INDEX('Clean Gamification Data'!$I:$I,MATCH($B772,'Clean Gamification Data'!$A:$A,0)),"Not Found")</f>
        <v>63.176134740000002</v>
      </c>
      <c r="AA772" s="28">
        <f>Table1[[#This Row],[Engagement (Gamification %)]]-Table1[[#This Row],[Engagement (Non-Gamification %)]]</f>
        <v>22.041812250000007</v>
      </c>
      <c r="AB772" s="28">
        <f>Table1[[#This Row],[Motivation (Gamification %)]]-Table1[[#This Row],[Motivation (Non-Gamification %)]]</f>
        <v>12.888548279999995</v>
      </c>
      <c r="AC772" s="28">
        <f>Table1[[#This Row],[Participation (Gamification %)]]-Table1[[#This Row],[Participation (Non-Gamification %)]]</f>
        <v>5.313789639999996</v>
      </c>
      <c r="AD772" s="28">
        <f>Table1[[#This Row],[Learning Outcomes (Gamification %)]]-Table1[[#This Row],[Learning Outcomes (Non-Gamification %)]]</f>
        <v>3.9218289400000046</v>
      </c>
      <c r="AE772" s="44" t="str">
        <f>IF(Table1[[#This Row],[Overall Effectiveness]]&lt;3.9,"Low",IF(Table1[[#This Row],[Overall Effectiveness]]&lt;4.2,"Medium","High"))</f>
        <v>Medium</v>
      </c>
      <c r="AF772" s="30" t="str">
        <f t="shared" si="76"/>
        <v>Group Projects</v>
      </c>
      <c r="AG772" s="30" t="str">
        <f t="shared" si="77"/>
        <v>Online Tutorials</v>
      </c>
      <c r="AH772" s="27">
        <f>COUNTIF(Teacher_Master!$D$2:$D$16,AF772)</f>
        <v>3</v>
      </c>
      <c r="AI772" s="30" t="str">
        <f>INDEX(Teacher_Master!$B$2:$B$16,MATCH(AF772,Teacher_Master!$D$2:$D$16,0))</f>
        <v>Dr. Rohan Dutta</v>
      </c>
    </row>
    <row r="773" spans="1:35" ht="14.25" customHeight="1" x14ac:dyDescent="0.3">
      <c r="A773" s="31" t="s">
        <v>1580</v>
      </c>
      <c r="B773" s="31" t="s">
        <v>2639</v>
      </c>
      <c r="C773" s="31" t="s">
        <v>2881</v>
      </c>
      <c r="D773" s="12">
        <f t="shared" ca="1" si="72"/>
        <v>27</v>
      </c>
      <c r="E773" s="12" t="str">
        <f ca="1">IF(Table1[[#This Row],[Age]]&lt;=22,"20-22",IF(Table1[[#This Row],[Age]]&lt;=25,"23-25",IF(Table1[[#This Row],[Age]]&lt;=28,"26-28","29-30")))</f>
        <v>26-28</v>
      </c>
      <c r="F773" s="12">
        <v>3.64</v>
      </c>
      <c r="G773" s="12">
        <v>4.51</v>
      </c>
      <c r="H773" s="12">
        <v>4.3499999999999996</v>
      </c>
      <c r="I773" s="12">
        <v>3.96</v>
      </c>
      <c r="J773" s="12">
        <v>3.89</v>
      </c>
      <c r="K773" s="12">
        <v>3.7</v>
      </c>
      <c r="L773" s="12">
        <v>4</v>
      </c>
      <c r="M773" s="12">
        <v>4.7</v>
      </c>
      <c r="N773" s="12">
        <v>3.87</v>
      </c>
      <c r="O773" s="12">
        <v>3.64</v>
      </c>
      <c r="P773" s="12">
        <f t="shared" si="73"/>
        <v>4.07</v>
      </c>
      <c r="Q773" s="12">
        <f t="shared" si="74"/>
        <v>4.07</v>
      </c>
      <c r="R773" s="12">
        <f t="shared" si="75"/>
        <v>3.9820000000000002</v>
      </c>
      <c r="S773" s="28">
        <f>IFERROR(INDEX('Clean Gamification Data'!$B:$B,MATCH($B773,'Clean Gamification Data'!$A:$A,0)),"Not Found")</f>
        <v>81.250368850000001</v>
      </c>
      <c r="T773" s="28">
        <f>IFERROR(INDEX('Clean Gamification Data'!$C:$C,MATCH($B773,'Clean Gamification Data'!$A:$A,0)),"Not Found")</f>
        <v>71.78643409</v>
      </c>
      <c r="U773" s="28">
        <f>IFERROR(INDEX('Clean Gamification Data'!$D:$D,MATCH($B773,'Clean Gamification Data'!$A:$A,0)),"Not Found")</f>
        <v>90</v>
      </c>
      <c r="V773" s="28">
        <f>IFERROR(INDEX('Clean Gamification Data'!$E:$E,MATCH($B773,'Clean Gamification Data'!$A:$A,0)),"Not Found")</f>
        <v>67.991001710000006</v>
      </c>
      <c r="W773" s="28">
        <f>IFERROR(INDEX('Clean Gamification Data'!$F:$F,MATCH($B773,'Clean Gamification Data'!$A:$A,0)),"Not Found")</f>
        <v>89.855861820000001</v>
      </c>
      <c r="X773" s="28">
        <f>IFERROR(INDEX('Clean Gamification Data'!$G:$G,MATCH($B773,'Clean Gamification Data'!$A:$A,0)),"Not Found")</f>
        <v>78.310084950000004</v>
      </c>
      <c r="Y773" s="28">
        <f>IFERROR(INDEX('Clean Gamification Data'!$H:$H,MATCH($B773,'Clean Gamification Data'!$A:$A,0)),"Not Found")</f>
        <v>65.088025270000003</v>
      </c>
      <c r="Z773" s="28">
        <f>IFERROR(INDEX('Clean Gamification Data'!$I:$I,MATCH($B773,'Clean Gamification Data'!$A:$A,0)),"Not Found")</f>
        <v>66.795326950000003</v>
      </c>
      <c r="AA773" s="28">
        <f>Table1[[#This Row],[Engagement (Gamification %)]]-Table1[[#This Row],[Engagement (Non-Gamification %)]]</f>
        <v>9.4639347600000008</v>
      </c>
      <c r="AB773" s="28">
        <f>Table1[[#This Row],[Motivation (Gamification %)]]-Table1[[#This Row],[Motivation (Non-Gamification %)]]</f>
        <v>22.008998289999994</v>
      </c>
      <c r="AC773" s="28">
        <f>Table1[[#This Row],[Participation (Gamification %)]]-Table1[[#This Row],[Participation (Non-Gamification %)]]</f>
        <v>11.545776869999997</v>
      </c>
      <c r="AD773" s="28">
        <f>Table1[[#This Row],[Learning Outcomes (Gamification %)]]-Table1[[#This Row],[Learning Outcomes (Non-Gamification %)]]</f>
        <v>-1.7073016800000005</v>
      </c>
      <c r="AE773" s="44" t="str">
        <f>IF(Table1[[#This Row],[Overall Effectiveness]]&lt;3.9,"Low",IF(Table1[[#This Row],[Overall Effectiveness]]&lt;4.2,"Medium","High"))</f>
        <v>Medium</v>
      </c>
      <c r="AF773" s="30" t="str">
        <f t="shared" si="76"/>
        <v>Case Studies</v>
      </c>
      <c r="AG773" s="30" t="str">
        <f t="shared" si="77"/>
        <v>Group Projects</v>
      </c>
      <c r="AH773" s="27">
        <f>COUNTIF(Teacher_Master!$D$2:$D$16,AF773)</f>
        <v>3</v>
      </c>
      <c r="AI773" s="30" t="str">
        <f>INDEX(Teacher_Master!$B$2:$B$16,MATCH(AF773,Teacher_Master!$D$2:$D$16,0))</f>
        <v>Prof. Rajesh Mukherjee</v>
      </c>
    </row>
    <row r="774" spans="1:35" ht="14.25" customHeight="1" x14ac:dyDescent="0.3">
      <c r="A774" s="31" t="s">
        <v>1582</v>
      </c>
      <c r="B774" s="31" t="s">
        <v>2640</v>
      </c>
      <c r="C774" s="31" t="s">
        <v>2882</v>
      </c>
      <c r="D774" s="12">
        <f t="shared" ca="1" si="72"/>
        <v>23</v>
      </c>
      <c r="E774" s="12" t="str">
        <f ca="1">IF(Table1[[#This Row],[Age]]&lt;=22,"20-22",IF(Table1[[#This Row],[Age]]&lt;=25,"23-25",IF(Table1[[#This Row],[Age]]&lt;=28,"26-28","29-30")))</f>
        <v>23-25</v>
      </c>
      <c r="F774" s="12">
        <v>3.92</v>
      </c>
      <c r="G774" s="12">
        <v>3.66</v>
      </c>
      <c r="H774" s="12">
        <v>4.1399999999999997</v>
      </c>
      <c r="I774" s="12">
        <v>4.17</v>
      </c>
      <c r="J774" s="12">
        <v>3.75</v>
      </c>
      <c r="K774" s="12">
        <v>4.34</v>
      </c>
      <c r="L774" s="12">
        <v>4.1900000000000004</v>
      </c>
      <c r="M774" s="12">
        <v>3.87</v>
      </c>
      <c r="N774" s="12">
        <v>4.38</v>
      </c>
      <c r="O774" s="12">
        <v>3.71</v>
      </c>
      <c r="P774" s="12">
        <f t="shared" si="73"/>
        <v>3.9279999999999999</v>
      </c>
      <c r="Q774" s="12">
        <f t="shared" si="74"/>
        <v>3.93</v>
      </c>
      <c r="R774" s="12">
        <f t="shared" si="75"/>
        <v>4.0980000000000008</v>
      </c>
      <c r="S774" s="28">
        <f>IFERROR(INDEX('Clean Gamification Data'!$B:$B,MATCH($B774,'Clean Gamification Data'!$A:$A,0)),"Not Found")</f>
        <v>86.376445790000005</v>
      </c>
      <c r="T774" s="28">
        <f>IFERROR(INDEX('Clean Gamification Data'!$C:$C,MATCH($B774,'Clean Gamification Data'!$A:$A,0)),"Not Found")</f>
        <v>63.827494129999998</v>
      </c>
      <c r="U774" s="28">
        <f>IFERROR(INDEX('Clean Gamification Data'!$D:$D,MATCH($B774,'Clean Gamification Data'!$A:$A,0)),"Not Found")</f>
        <v>78.119757480000004</v>
      </c>
      <c r="V774" s="28">
        <f>IFERROR(INDEX('Clean Gamification Data'!$E:$E,MATCH($B774,'Clean Gamification Data'!$A:$A,0)),"Not Found")</f>
        <v>68.999401280000001</v>
      </c>
      <c r="W774" s="28">
        <f>IFERROR(INDEX('Clean Gamification Data'!$F:$F,MATCH($B774,'Clean Gamification Data'!$A:$A,0)),"Not Found")</f>
        <v>80.516016609999994</v>
      </c>
      <c r="X774" s="28">
        <f>IFERROR(INDEX('Clean Gamification Data'!$G:$G,MATCH($B774,'Clean Gamification Data'!$A:$A,0)),"Not Found")</f>
        <v>75.524914390000006</v>
      </c>
      <c r="Y774" s="28">
        <f>IFERROR(INDEX('Clean Gamification Data'!$H:$H,MATCH($B774,'Clean Gamification Data'!$A:$A,0)),"Not Found")</f>
        <v>71.783964409999996</v>
      </c>
      <c r="Z774" s="28">
        <f>IFERROR(INDEX('Clean Gamification Data'!$I:$I,MATCH($B774,'Clean Gamification Data'!$A:$A,0)),"Not Found")</f>
        <v>59.516899039999998</v>
      </c>
      <c r="AA774" s="28">
        <f>Table1[[#This Row],[Engagement (Gamification %)]]-Table1[[#This Row],[Engagement (Non-Gamification %)]]</f>
        <v>22.548951660000007</v>
      </c>
      <c r="AB774" s="28">
        <f>Table1[[#This Row],[Motivation (Gamification %)]]-Table1[[#This Row],[Motivation (Non-Gamification %)]]</f>
        <v>9.1203562000000034</v>
      </c>
      <c r="AC774" s="28">
        <f>Table1[[#This Row],[Participation (Gamification %)]]-Table1[[#This Row],[Participation (Non-Gamification %)]]</f>
        <v>4.9911022199999877</v>
      </c>
      <c r="AD774" s="28">
        <f>Table1[[#This Row],[Learning Outcomes (Gamification %)]]-Table1[[#This Row],[Learning Outcomes (Non-Gamification %)]]</f>
        <v>12.267065369999997</v>
      </c>
      <c r="AE774" s="44" t="str">
        <f>IF(Table1[[#This Row],[Overall Effectiveness]]&lt;3.9,"Low",IF(Table1[[#This Row],[Overall Effectiveness]]&lt;4.2,"Medium","High"))</f>
        <v>Medium</v>
      </c>
      <c r="AF774" s="30" t="str">
        <f t="shared" si="76"/>
        <v>Experiments</v>
      </c>
      <c r="AG774" s="30" t="str">
        <f t="shared" si="77"/>
        <v>Experiments</v>
      </c>
      <c r="AH774" s="27">
        <f>COUNTIF(Teacher_Master!$D$2:$D$16,AF774)</f>
        <v>3</v>
      </c>
      <c r="AI774" s="30" t="str">
        <f>INDEX(Teacher_Master!$B$2:$B$16,MATCH(AF774,Teacher_Master!$D$2:$D$16,0))</f>
        <v>Prof. Rahul Singh</v>
      </c>
    </row>
    <row r="775" spans="1:35" ht="14.25" customHeight="1" x14ac:dyDescent="0.3">
      <c r="A775" s="31" t="s">
        <v>1584</v>
      </c>
      <c r="B775" s="31" t="s">
        <v>2641</v>
      </c>
      <c r="C775" s="31" t="s">
        <v>2882</v>
      </c>
      <c r="D775" s="12">
        <f t="shared" ca="1" si="72"/>
        <v>30</v>
      </c>
      <c r="E775" s="12" t="str">
        <f ca="1">IF(Table1[[#This Row],[Age]]&lt;=22,"20-22",IF(Table1[[#This Row],[Age]]&lt;=25,"23-25",IF(Table1[[#This Row],[Age]]&lt;=28,"26-28","29-30")))</f>
        <v>29-30</v>
      </c>
      <c r="F775" s="12">
        <v>3.66</v>
      </c>
      <c r="G775" s="12">
        <v>4.13</v>
      </c>
      <c r="H775" s="12">
        <v>4.1100000000000003</v>
      </c>
      <c r="I775" s="12">
        <v>3.91</v>
      </c>
      <c r="J775" s="12">
        <v>4.12</v>
      </c>
      <c r="K775" s="12">
        <v>4.1900000000000004</v>
      </c>
      <c r="L775" s="12">
        <v>4.3600000000000003</v>
      </c>
      <c r="M775" s="12">
        <v>3.97</v>
      </c>
      <c r="N775" s="12">
        <v>3.75</v>
      </c>
      <c r="O775" s="12">
        <v>4.18</v>
      </c>
      <c r="P775" s="12">
        <f t="shared" si="73"/>
        <v>3.9859999999999998</v>
      </c>
      <c r="Q775" s="12">
        <f t="shared" si="74"/>
        <v>3.99</v>
      </c>
      <c r="R775" s="12">
        <f t="shared" si="75"/>
        <v>4.0900000000000007</v>
      </c>
      <c r="S775" s="28">
        <f>IFERROR(INDEX('Clean Gamification Data'!$B:$B,MATCH($B775,'Clean Gamification Data'!$A:$A,0)),"Not Found")</f>
        <v>90.169452559999996</v>
      </c>
      <c r="T775" s="28">
        <f>IFERROR(INDEX('Clean Gamification Data'!$C:$C,MATCH($B775,'Clean Gamification Data'!$A:$A,0)),"Not Found")</f>
        <v>65.918834810000007</v>
      </c>
      <c r="U775" s="28">
        <f>IFERROR(INDEX('Clean Gamification Data'!$D:$D,MATCH($B775,'Clean Gamification Data'!$A:$A,0)),"Not Found")</f>
        <v>70.896178469999995</v>
      </c>
      <c r="V775" s="28">
        <f>IFERROR(INDEX('Clean Gamification Data'!$E:$E,MATCH($B775,'Clean Gamification Data'!$A:$A,0)),"Not Found")</f>
        <v>65.493744489999997</v>
      </c>
      <c r="W775" s="28">
        <f>IFERROR(INDEX('Clean Gamification Data'!$F:$F,MATCH($B775,'Clean Gamification Data'!$A:$A,0)),"Not Found")</f>
        <v>89.722215579999997</v>
      </c>
      <c r="X775" s="28">
        <f>IFERROR(INDEX('Clean Gamification Data'!$G:$G,MATCH($B775,'Clean Gamification Data'!$A:$A,0)),"Not Found")</f>
        <v>68.054683859999997</v>
      </c>
      <c r="Y775" s="28">
        <f>IFERROR(INDEX('Clean Gamification Data'!$H:$H,MATCH($B775,'Clean Gamification Data'!$A:$A,0)),"Not Found")</f>
        <v>71.545225070000001</v>
      </c>
      <c r="Z775" s="28">
        <f>IFERROR(INDEX('Clean Gamification Data'!$I:$I,MATCH($B775,'Clean Gamification Data'!$A:$A,0)),"Not Found")</f>
        <v>60.389997430000001</v>
      </c>
      <c r="AA775" s="28">
        <f>Table1[[#This Row],[Engagement (Gamification %)]]-Table1[[#This Row],[Engagement (Non-Gamification %)]]</f>
        <v>24.250617749999989</v>
      </c>
      <c r="AB775" s="28">
        <f>Table1[[#This Row],[Motivation (Gamification %)]]-Table1[[#This Row],[Motivation (Non-Gamification %)]]</f>
        <v>5.4024339799999979</v>
      </c>
      <c r="AC775" s="28">
        <f>Table1[[#This Row],[Participation (Gamification %)]]-Table1[[#This Row],[Participation (Non-Gamification %)]]</f>
        <v>21.667531719999999</v>
      </c>
      <c r="AD775" s="28">
        <f>Table1[[#This Row],[Learning Outcomes (Gamification %)]]-Table1[[#This Row],[Learning Outcomes (Non-Gamification %)]]</f>
        <v>11.15522764</v>
      </c>
      <c r="AE775" s="44" t="str">
        <f>IF(Table1[[#This Row],[Overall Effectiveness]]&lt;3.9,"Low",IF(Table1[[#This Row],[Overall Effectiveness]]&lt;4.2,"Medium","High"))</f>
        <v>Medium</v>
      </c>
      <c r="AF775" s="30" t="str">
        <f t="shared" si="76"/>
        <v>Case Studies</v>
      </c>
      <c r="AG775" s="30" t="str">
        <f t="shared" si="77"/>
        <v>Case Studies</v>
      </c>
      <c r="AH775" s="27">
        <f>COUNTIF(Teacher_Master!$D$2:$D$16,AF775)</f>
        <v>3</v>
      </c>
      <c r="AI775" s="30" t="str">
        <f>INDEX(Teacher_Master!$B$2:$B$16,MATCH(AF775,Teacher_Master!$D$2:$D$16,0))</f>
        <v>Prof. Rajesh Mukherjee</v>
      </c>
    </row>
    <row r="776" spans="1:35" ht="14.25" customHeight="1" x14ac:dyDescent="0.3">
      <c r="A776" s="31" t="s">
        <v>1586</v>
      </c>
      <c r="B776" s="31" t="s">
        <v>2642</v>
      </c>
      <c r="C776" s="31" t="s">
        <v>2882</v>
      </c>
      <c r="D776" s="12">
        <f t="shared" ca="1" si="72"/>
        <v>24</v>
      </c>
      <c r="E776" s="12" t="str">
        <f ca="1">IF(Table1[[#This Row],[Age]]&lt;=22,"20-22",IF(Table1[[#This Row],[Age]]&lt;=25,"23-25",IF(Table1[[#This Row],[Age]]&lt;=28,"26-28","29-30")))</f>
        <v>23-25</v>
      </c>
      <c r="F776" s="12">
        <v>3.81</v>
      </c>
      <c r="G776" s="12">
        <v>4.41</v>
      </c>
      <c r="H776" s="12">
        <v>4.17</v>
      </c>
      <c r="I776" s="12">
        <v>4.5599999999999996</v>
      </c>
      <c r="J776" s="12">
        <v>4.32</v>
      </c>
      <c r="K776" s="12">
        <v>4.28</v>
      </c>
      <c r="L776" s="12">
        <v>3.3</v>
      </c>
      <c r="M776" s="12">
        <v>3.83</v>
      </c>
      <c r="N776" s="12">
        <v>4.1900000000000004</v>
      </c>
      <c r="O776" s="12">
        <v>4.2300000000000004</v>
      </c>
      <c r="P776" s="12">
        <f t="shared" si="73"/>
        <v>4.2539999999999996</v>
      </c>
      <c r="Q776" s="12">
        <f t="shared" si="74"/>
        <v>4.25</v>
      </c>
      <c r="R776" s="12">
        <f t="shared" si="75"/>
        <v>3.9660000000000002</v>
      </c>
      <c r="S776" s="28">
        <f>IFERROR(INDEX('Clean Gamification Data'!$B:$B,MATCH($B776,'Clean Gamification Data'!$A:$A,0)),"Not Found")</f>
        <v>81.344202440000004</v>
      </c>
      <c r="T776" s="28">
        <f>IFERROR(INDEX('Clean Gamification Data'!$C:$C,MATCH($B776,'Clean Gamification Data'!$A:$A,0)),"Not Found")</f>
        <v>76.049466280000004</v>
      </c>
      <c r="U776" s="28">
        <f>IFERROR(INDEX('Clean Gamification Data'!$D:$D,MATCH($B776,'Clean Gamification Data'!$A:$A,0)),"Not Found")</f>
        <v>70</v>
      </c>
      <c r="V776" s="28">
        <f>IFERROR(INDEX('Clean Gamification Data'!$E:$E,MATCH($B776,'Clean Gamification Data'!$A:$A,0)),"Not Found")</f>
        <v>65.78897001</v>
      </c>
      <c r="W776" s="28">
        <f>IFERROR(INDEX('Clean Gamification Data'!$F:$F,MATCH($B776,'Clean Gamification Data'!$A:$A,0)),"Not Found")</f>
        <v>89.245884430000004</v>
      </c>
      <c r="X776" s="28">
        <f>IFERROR(INDEX('Clean Gamification Data'!$G:$G,MATCH($B776,'Clean Gamification Data'!$A:$A,0)),"Not Found")</f>
        <v>68.441133249999993</v>
      </c>
      <c r="Y776" s="28">
        <f>IFERROR(INDEX('Clean Gamification Data'!$H:$H,MATCH($B776,'Clean Gamification Data'!$A:$A,0)),"Not Found")</f>
        <v>72.689336139999995</v>
      </c>
      <c r="Z776" s="28">
        <f>IFERROR(INDEX('Clean Gamification Data'!$I:$I,MATCH($B776,'Clean Gamification Data'!$A:$A,0)),"Not Found")</f>
        <v>67.92162313</v>
      </c>
      <c r="AA776" s="28">
        <f>Table1[[#This Row],[Engagement (Gamification %)]]-Table1[[#This Row],[Engagement (Non-Gamification %)]]</f>
        <v>5.2947361599999994</v>
      </c>
      <c r="AB776" s="28">
        <f>Table1[[#This Row],[Motivation (Gamification %)]]-Table1[[#This Row],[Motivation (Non-Gamification %)]]</f>
        <v>4.2110299900000001</v>
      </c>
      <c r="AC776" s="28">
        <f>Table1[[#This Row],[Participation (Gamification %)]]-Table1[[#This Row],[Participation (Non-Gamification %)]]</f>
        <v>20.804751180000011</v>
      </c>
      <c r="AD776" s="28">
        <f>Table1[[#This Row],[Learning Outcomes (Gamification %)]]-Table1[[#This Row],[Learning Outcomes (Non-Gamification %)]]</f>
        <v>4.7677130099999943</v>
      </c>
      <c r="AE776" s="44" t="str">
        <f>IF(Table1[[#This Row],[Overall Effectiveness]]&lt;3.9,"Low",IF(Table1[[#This Row],[Overall Effectiveness]]&lt;4.2,"Medium","High"))</f>
        <v>High</v>
      </c>
      <c r="AF776" s="30" t="str">
        <f t="shared" si="76"/>
        <v>Experiments</v>
      </c>
      <c r="AG776" s="30" t="str">
        <f t="shared" si="77"/>
        <v>Lectures</v>
      </c>
      <c r="AH776" s="27">
        <f>COUNTIF(Teacher_Master!$D$2:$D$16,AF776)</f>
        <v>3</v>
      </c>
      <c r="AI776" s="30" t="str">
        <f>INDEX(Teacher_Master!$B$2:$B$16,MATCH(AF776,Teacher_Master!$D$2:$D$16,0))</f>
        <v>Prof. Rahul Singh</v>
      </c>
    </row>
    <row r="777" spans="1:35" ht="14.25" customHeight="1" x14ac:dyDescent="0.3">
      <c r="A777" s="31" t="s">
        <v>1588</v>
      </c>
      <c r="B777" s="31" t="s">
        <v>2643</v>
      </c>
      <c r="C777" s="31" t="s">
        <v>2881</v>
      </c>
      <c r="D777" s="12">
        <f t="shared" ca="1" si="72"/>
        <v>24</v>
      </c>
      <c r="E777" s="12" t="str">
        <f ca="1">IF(Table1[[#This Row],[Age]]&lt;=22,"20-22",IF(Table1[[#This Row],[Age]]&lt;=25,"23-25",IF(Table1[[#This Row],[Age]]&lt;=28,"26-28","29-30")))</f>
        <v>23-25</v>
      </c>
      <c r="F777" s="12">
        <v>4.59</v>
      </c>
      <c r="G777" s="12">
        <v>4.2699999999999996</v>
      </c>
      <c r="H777" s="12">
        <v>4.2699999999999996</v>
      </c>
      <c r="I777" s="12">
        <v>3.19</v>
      </c>
      <c r="J777" s="12">
        <v>4.0999999999999996</v>
      </c>
      <c r="K777" s="12">
        <v>4.26</v>
      </c>
      <c r="L777" s="12">
        <v>4.58</v>
      </c>
      <c r="M777" s="12">
        <v>4.13</v>
      </c>
      <c r="N777" s="12">
        <v>3.83</v>
      </c>
      <c r="O777" s="12">
        <v>4.16</v>
      </c>
      <c r="P777" s="12">
        <f t="shared" si="73"/>
        <v>4.0840000000000005</v>
      </c>
      <c r="Q777" s="12">
        <f t="shared" si="74"/>
        <v>4.08</v>
      </c>
      <c r="R777" s="12">
        <f t="shared" si="75"/>
        <v>4.1919999999999993</v>
      </c>
      <c r="S777" s="28">
        <f>IFERROR(INDEX('Clean Gamification Data'!$B:$B,MATCH($B777,'Clean Gamification Data'!$A:$A,0)),"Not Found")</f>
        <v>86.275897400000005</v>
      </c>
      <c r="T777" s="28">
        <f>IFERROR(INDEX('Clean Gamification Data'!$C:$C,MATCH($B777,'Clean Gamification Data'!$A:$A,0)),"Not Found")</f>
        <v>61.659187639999999</v>
      </c>
      <c r="U777" s="28">
        <f>IFERROR(INDEX('Clean Gamification Data'!$D:$D,MATCH($B777,'Clean Gamification Data'!$A:$A,0)),"Not Found")</f>
        <v>78.312218639999998</v>
      </c>
      <c r="V777" s="28">
        <f>IFERROR(INDEX('Clean Gamification Data'!$E:$E,MATCH($B777,'Clean Gamification Data'!$A:$A,0)),"Not Found")</f>
        <v>56.001841169999999</v>
      </c>
      <c r="W777" s="28">
        <f>IFERROR(INDEX('Clean Gamification Data'!$F:$F,MATCH($B777,'Clean Gamification Data'!$A:$A,0)),"Not Found")</f>
        <v>85.061162550000006</v>
      </c>
      <c r="X777" s="28">
        <f>IFERROR(INDEX('Clean Gamification Data'!$G:$G,MATCH($B777,'Clean Gamification Data'!$A:$A,0)),"Not Found")</f>
        <v>70.341990469999999</v>
      </c>
      <c r="Y777" s="28">
        <f>IFERROR(INDEX('Clean Gamification Data'!$H:$H,MATCH($B777,'Clean Gamification Data'!$A:$A,0)),"Not Found")</f>
        <v>72.653224739999999</v>
      </c>
      <c r="Z777" s="28">
        <f>IFERROR(INDEX('Clean Gamification Data'!$I:$I,MATCH($B777,'Clean Gamification Data'!$A:$A,0)),"Not Found")</f>
        <v>53.56593857</v>
      </c>
      <c r="AA777" s="28">
        <f>Table1[[#This Row],[Engagement (Gamification %)]]-Table1[[#This Row],[Engagement (Non-Gamification %)]]</f>
        <v>24.616709760000006</v>
      </c>
      <c r="AB777" s="28">
        <f>Table1[[#This Row],[Motivation (Gamification %)]]-Table1[[#This Row],[Motivation (Non-Gamification %)]]</f>
        <v>22.310377469999999</v>
      </c>
      <c r="AC777" s="28">
        <f>Table1[[#This Row],[Participation (Gamification %)]]-Table1[[#This Row],[Participation (Non-Gamification %)]]</f>
        <v>14.719172080000007</v>
      </c>
      <c r="AD777" s="28">
        <f>Table1[[#This Row],[Learning Outcomes (Gamification %)]]-Table1[[#This Row],[Learning Outcomes (Non-Gamification %)]]</f>
        <v>19.087286169999999</v>
      </c>
      <c r="AE777" s="44" t="str">
        <f>IF(Table1[[#This Row],[Overall Effectiveness]]&lt;3.9,"Low",IF(Table1[[#This Row],[Overall Effectiveness]]&lt;4.2,"Medium","High"))</f>
        <v>Medium</v>
      </c>
      <c r="AF777" s="30" t="str">
        <f t="shared" si="76"/>
        <v>Lectures</v>
      </c>
      <c r="AG777" s="30" t="str">
        <f t="shared" si="77"/>
        <v>Case Studies</v>
      </c>
      <c r="AH777" s="27">
        <f>COUNTIF(Teacher_Master!$D$2:$D$16,AF777)</f>
        <v>3</v>
      </c>
      <c r="AI777" s="30" t="str">
        <f>INDEX(Teacher_Master!$B$2:$B$16,MATCH(AF777,Teacher_Master!$D$2:$D$16,0))</f>
        <v>Prof. Vikram Gupta</v>
      </c>
    </row>
    <row r="778" spans="1:35" ht="14.25" customHeight="1" x14ac:dyDescent="0.3">
      <c r="A778" s="31" t="s">
        <v>1590</v>
      </c>
      <c r="B778" s="31" t="s">
        <v>2644</v>
      </c>
      <c r="C778" s="31" t="s">
        <v>2882</v>
      </c>
      <c r="D778" s="12">
        <f t="shared" ca="1" si="72"/>
        <v>20</v>
      </c>
      <c r="E778" s="12" t="str">
        <f ca="1">IF(Table1[[#This Row],[Age]]&lt;=22,"20-22",IF(Table1[[#This Row],[Age]]&lt;=25,"23-25",IF(Table1[[#This Row],[Age]]&lt;=28,"26-28","29-30")))</f>
        <v>20-22</v>
      </c>
      <c r="F778" s="12">
        <v>4.21</v>
      </c>
      <c r="G778" s="12">
        <v>4.25</v>
      </c>
      <c r="H778" s="12">
        <v>4.62</v>
      </c>
      <c r="I778" s="12">
        <v>4.37</v>
      </c>
      <c r="J778" s="12">
        <v>3.73</v>
      </c>
      <c r="K778" s="12">
        <v>4.1500000000000004</v>
      </c>
      <c r="L778" s="12">
        <v>4.2</v>
      </c>
      <c r="M778" s="12">
        <v>4.71</v>
      </c>
      <c r="N778" s="12" t="s">
        <v>211</v>
      </c>
      <c r="O778" s="12">
        <v>4.1500000000000004</v>
      </c>
      <c r="P778" s="12">
        <f t="shared" si="73"/>
        <v>4.2360000000000007</v>
      </c>
      <c r="Q778" s="12">
        <f t="shared" si="74"/>
        <v>4.24</v>
      </c>
      <c r="R778" s="12">
        <f t="shared" si="75"/>
        <v>4.3025000000000002</v>
      </c>
      <c r="S778" s="28">
        <f>IFERROR(INDEX('Clean Gamification Data'!$B:$B,MATCH($B778,'Clean Gamification Data'!$A:$A,0)),"Not Found")</f>
        <v>83.901312680000004</v>
      </c>
      <c r="T778" s="28">
        <f>IFERROR(INDEX('Clean Gamification Data'!$C:$C,MATCH($B778,'Clean Gamification Data'!$A:$A,0)),"Not Found")</f>
        <v>67.873732529999998</v>
      </c>
      <c r="U778" s="28">
        <f>IFERROR(INDEX('Clean Gamification Data'!$D:$D,MATCH($B778,'Clean Gamification Data'!$A:$A,0)),"Not Found")</f>
        <v>80.168350520000004</v>
      </c>
      <c r="V778" s="28">
        <f>IFERROR(INDEX('Clean Gamification Data'!$E:$E,MATCH($B778,'Clean Gamification Data'!$A:$A,0)),"Not Found")</f>
        <v>75</v>
      </c>
      <c r="W778" s="28">
        <f>IFERROR(INDEX('Clean Gamification Data'!$F:$F,MATCH($B778,'Clean Gamification Data'!$A:$A,0)),"Not Found")</f>
        <v>87.762189309999997</v>
      </c>
      <c r="X778" s="28">
        <f>IFERROR(INDEX('Clean Gamification Data'!$G:$G,MATCH($B778,'Clean Gamification Data'!$A:$A,0)),"Not Found")</f>
        <v>77.026985319999994</v>
      </c>
      <c r="Y778" s="28">
        <f>IFERROR(INDEX('Clean Gamification Data'!$H:$H,MATCH($B778,'Clean Gamification Data'!$A:$A,0)),"Not Found")</f>
        <v>71.710951219999998</v>
      </c>
      <c r="Z778" s="28">
        <f>IFERROR(INDEX('Clean Gamification Data'!$I:$I,MATCH($B778,'Clean Gamification Data'!$A:$A,0)),"Not Found")</f>
        <v>52.890128359999999</v>
      </c>
      <c r="AA778" s="28">
        <f>Table1[[#This Row],[Engagement (Gamification %)]]-Table1[[#This Row],[Engagement (Non-Gamification %)]]</f>
        <v>16.027580150000006</v>
      </c>
      <c r="AB778" s="28">
        <f>Table1[[#This Row],[Motivation (Gamification %)]]-Table1[[#This Row],[Motivation (Non-Gamification %)]]</f>
        <v>5.1683505200000042</v>
      </c>
      <c r="AC778" s="28">
        <f>Table1[[#This Row],[Participation (Gamification %)]]-Table1[[#This Row],[Participation (Non-Gamification %)]]</f>
        <v>10.735203990000002</v>
      </c>
      <c r="AD778" s="28">
        <f>Table1[[#This Row],[Learning Outcomes (Gamification %)]]-Table1[[#This Row],[Learning Outcomes (Non-Gamification %)]]</f>
        <v>18.82082286</v>
      </c>
      <c r="AE778" s="44" t="str">
        <f>IF(Table1[[#This Row],[Overall Effectiveness]]&lt;3.9,"Low",IF(Table1[[#This Row],[Overall Effectiveness]]&lt;4.2,"Medium","High"))</f>
        <v>High</v>
      </c>
      <c r="AF778" s="30" t="str">
        <f t="shared" si="76"/>
        <v>Group Projects</v>
      </c>
      <c r="AG778" s="30" t="str">
        <f t="shared" si="77"/>
        <v>Group Projects</v>
      </c>
      <c r="AH778" s="27">
        <f>COUNTIF(Teacher_Master!$D$2:$D$16,AF778)</f>
        <v>3</v>
      </c>
      <c r="AI778" s="30" t="str">
        <f>INDEX(Teacher_Master!$B$2:$B$16,MATCH(AF778,Teacher_Master!$D$2:$D$16,0))</f>
        <v>Dr. Rohan Dutta</v>
      </c>
    </row>
    <row r="779" spans="1:35" ht="14.25" customHeight="1" x14ac:dyDescent="0.3">
      <c r="A779" s="31" t="s">
        <v>1592</v>
      </c>
      <c r="B779" s="31" t="s">
        <v>1593</v>
      </c>
      <c r="C779" s="31" t="s">
        <v>2881</v>
      </c>
      <c r="D779" s="12">
        <f t="shared" ca="1" si="72"/>
        <v>22</v>
      </c>
      <c r="E779" s="12" t="str">
        <f ca="1">IF(Table1[[#This Row],[Age]]&lt;=22,"20-22",IF(Table1[[#This Row],[Age]]&lt;=25,"23-25",IF(Table1[[#This Row],[Age]]&lt;=28,"26-28","29-30")))</f>
        <v>20-22</v>
      </c>
      <c r="F779" s="12">
        <v>4.3099999999999996</v>
      </c>
      <c r="G779" s="12">
        <v>3.99</v>
      </c>
      <c r="H779" s="12">
        <v>4.29</v>
      </c>
      <c r="I779" s="12">
        <v>4.7699999999999996</v>
      </c>
      <c r="J779" s="12">
        <v>3.66</v>
      </c>
      <c r="K779" s="12">
        <v>4.0999999999999996</v>
      </c>
      <c r="L779" s="12">
        <v>4.2300000000000004</v>
      </c>
      <c r="M779" s="12">
        <v>3.24</v>
      </c>
      <c r="N779" s="12">
        <v>3.4</v>
      </c>
      <c r="O779" s="12">
        <v>4.32</v>
      </c>
      <c r="P779" s="12">
        <f t="shared" si="73"/>
        <v>4.2039999999999997</v>
      </c>
      <c r="Q779" s="12">
        <f t="shared" si="74"/>
        <v>4.2</v>
      </c>
      <c r="R779" s="12">
        <f t="shared" si="75"/>
        <v>3.8579999999999997</v>
      </c>
      <c r="S779" s="28">
        <f>IFERROR(INDEX('Clean Gamification Data'!$B:$B,MATCH($B779,'Clean Gamification Data'!$A:$A,0)),"Not Found")</f>
        <v>78.57658807</v>
      </c>
      <c r="T779" s="28">
        <f>IFERROR(INDEX('Clean Gamification Data'!$C:$C,MATCH($B779,'Clean Gamification Data'!$A:$A,0)),"Not Found")</f>
        <v>70.961909079999998</v>
      </c>
      <c r="U779" s="28">
        <f>IFERROR(INDEX('Clean Gamification Data'!$D:$D,MATCH($B779,'Clean Gamification Data'!$A:$A,0)),"Not Found")</f>
        <v>80.807923590000001</v>
      </c>
      <c r="V779" s="28">
        <f>IFERROR(INDEX('Clean Gamification Data'!$E:$E,MATCH($B779,'Clean Gamification Data'!$A:$A,0)),"Not Found")</f>
        <v>66.171502590000003</v>
      </c>
      <c r="W779" s="28">
        <f>IFERROR(INDEX('Clean Gamification Data'!$F:$F,MATCH($B779,'Clean Gamification Data'!$A:$A,0)),"Not Found")</f>
        <v>89.368624580000002</v>
      </c>
      <c r="X779" s="28">
        <f>IFERROR(INDEX('Clean Gamification Data'!$G:$G,MATCH($B779,'Clean Gamification Data'!$A:$A,0)),"Not Found")</f>
        <v>71.794493720000006</v>
      </c>
      <c r="Y779" s="28">
        <f>IFERROR(INDEX('Clean Gamification Data'!$H:$H,MATCH($B779,'Clean Gamification Data'!$A:$A,0)),"Not Found")</f>
        <v>68.626255779999994</v>
      </c>
      <c r="Z779" s="28">
        <f>IFERROR(INDEX('Clean Gamification Data'!$I:$I,MATCH($B779,'Clean Gamification Data'!$A:$A,0)),"Not Found")</f>
        <v>53.463168209999999</v>
      </c>
      <c r="AA779" s="28">
        <f>Table1[[#This Row],[Engagement (Gamification %)]]-Table1[[#This Row],[Engagement (Non-Gamification %)]]</f>
        <v>7.6146789900000016</v>
      </c>
      <c r="AB779" s="28">
        <f>Table1[[#This Row],[Motivation (Gamification %)]]-Table1[[#This Row],[Motivation (Non-Gamification %)]]</f>
        <v>14.636420999999999</v>
      </c>
      <c r="AC779" s="28">
        <f>Table1[[#This Row],[Participation (Gamification %)]]-Table1[[#This Row],[Participation (Non-Gamification %)]]</f>
        <v>17.574130859999997</v>
      </c>
      <c r="AD779" s="28">
        <f>Table1[[#This Row],[Learning Outcomes (Gamification %)]]-Table1[[#This Row],[Learning Outcomes (Non-Gamification %)]]</f>
        <v>15.163087569999995</v>
      </c>
      <c r="AE779" s="44" t="str">
        <f>IF(Table1[[#This Row],[Overall Effectiveness]]&lt;3.9,"Low",IF(Table1[[#This Row],[Overall Effectiveness]]&lt;4.2,"Medium","High"))</f>
        <v>High</v>
      </c>
      <c r="AF779" s="30" t="str">
        <f t="shared" si="76"/>
        <v>Experiments</v>
      </c>
      <c r="AG779" s="30" t="str">
        <f t="shared" si="77"/>
        <v>Online Tutorials</v>
      </c>
      <c r="AH779" s="27">
        <f>COUNTIF(Teacher_Master!$D$2:$D$16,AF779)</f>
        <v>3</v>
      </c>
      <c r="AI779" s="30" t="str">
        <f>INDEX(Teacher_Master!$B$2:$B$16,MATCH(AF779,Teacher_Master!$D$2:$D$16,0))</f>
        <v>Prof. Rahul Singh</v>
      </c>
    </row>
    <row r="780" spans="1:35" ht="14.25" customHeight="1" x14ac:dyDescent="0.3">
      <c r="A780" s="31" t="s">
        <v>1594</v>
      </c>
      <c r="B780" s="31" t="s">
        <v>2645</v>
      </c>
      <c r="C780" s="31" t="s">
        <v>2882</v>
      </c>
      <c r="D780" s="12">
        <f t="shared" ca="1" si="72"/>
        <v>30</v>
      </c>
      <c r="E780" s="12" t="str">
        <f ca="1">IF(Table1[[#This Row],[Age]]&lt;=22,"20-22",IF(Table1[[#This Row],[Age]]&lt;=25,"23-25",IF(Table1[[#This Row],[Age]]&lt;=28,"26-28","29-30")))</f>
        <v>29-30</v>
      </c>
      <c r="F780" s="12">
        <v>4.2300000000000004</v>
      </c>
      <c r="G780" s="12" t="s">
        <v>211</v>
      </c>
      <c r="H780" s="12">
        <v>4.22</v>
      </c>
      <c r="I780" s="12">
        <v>3.92</v>
      </c>
      <c r="J780" s="12">
        <v>3.98</v>
      </c>
      <c r="K780" s="12">
        <v>3.64</v>
      </c>
      <c r="L780" s="12">
        <v>4.34</v>
      </c>
      <c r="M780" s="12">
        <v>4.42</v>
      </c>
      <c r="N780" s="12">
        <v>4.28</v>
      </c>
      <c r="O780" s="12">
        <v>3.58</v>
      </c>
      <c r="P780" s="12">
        <f t="shared" si="73"/>
        <v>4.0874999999999995</v>
      </c>
      <c r="Q780" s="12">
        <f t="shared" si="74"/>
        <v>4.09</v>
      </c>
      <c r="R780" s="12">
        <f t="shared" si="75"/>
        <v>4.0519999999999996</v>
      </c>
      <c r="S780" s="28">
        <f>IFERROR(INDEX('Clean Gamification Data'!$B:$B,MATCH($B780,'Clean Gamification Data'!$A:$A,0)),"Not Found")</f>
        <v>92.016037249999997</v>
      </c>
      <c r="T780" s="28">
        <f>IFERROR(INDEX('Clean Gamification Data'!$C:$C,MATCH($B780,'Clean Gamification Data'!$A:$A,0)),"Not Found")</f>
        <v>61.286118369999997</v>
      </c>
      <c r="U780" s="28">
        <f>IFERROR(INDEX('Clean Gamification Data'!$D:$D,MATCH($B780,'Clean Gamification Data'!$A:$A,0)),"Not Found")</f>
        <v>75.564265899999995</v>
      </c>
      <c r="V780" s="28">
        <f>IFERROR(INDEX('Clean Gamification Data'!$E:$E,MATCH($B780,'Clean Gamification Data'!$A:$A,0)),"Not Found")</f>
        <v>60.152123940000003</v>
      </c>
      <c r="W780" s="28">
        <f>IFERROR(INDEX('Clean Gamification Data'!$F:$F,MATCH($B780,'Clean Gamification Data'!$A:$A,0)),"Not Found")</f>
        <v>81.496816420000002</v>
      </c>
      <c r="X780" s="28">
        <f>IFERROR(INDEX('Clean Gamification Data'!$G:$G,MATCH($B780,'Clean Gamification Data'!$A:$A,0)),"Not Found")</f>
        <v>85</v>
      </c>
      <c r="Y780" s="28">
        <f>IFERROR(INDEX('Clean Gamification Data'!$H:$H,MATCH($B780,'Clean Gamification Data'!$A:$A,0)),"Not Found")</f>
        <v>70.549773869999996</v>
      </c>
      <c r="Z780" s="28">
        <f>IFERROR(INDEX('Clean Gamification Data'!$I:$I,MATCH($B780,'Clean Gamification Data'!$A:$A,0)),"Not Found")</f>
        <v>50</v>
      </c>
      <c r="AA780" s="28">
        <f>Table1[[#This Row],[Engagement (Gamification %)]]-Table1[[#This Row],[Engagement (Non-Gamification %)]]</f>
        <v>30.72991888</v>
      </c>
      <c r="AB780" s="28">
        <f>Table1[[#This Row],[Motivation (Gamification %)]]-Table1[[#This Row],[Motivation (Non-Gamification %)]]</f>
        <v>15.412141959999992</v>
      </c>
      <c r="AC780" s="28">
        <f>Table1[[#This Row],[Participation (Gamification %)]]-Table1[[#This Row],[Participation (Non-Gamification %)]]</f>
        <v>-3.5031835799999982</v>
      </c>
      <c r="AD780" s="28">
        <f>Table1[[#This Row],[Learning Outcomes (Gamification %)]]-Table1[[#This Row],[Learning Outcomes (Non-Gamification %)]]</f>
        <v>20.549773869999996</v>
      </c>
      <c r="AE780" s="44" t="str">
        <f>IF(Table1[[#This Row],[Overall Effectiveness]]&lt;3.9,"Low",IF(Table1[[#This Row],[Overall Effectiveness]]&lt;4.2,"Medium","High"))</f>
        <v>Medium</v>
      </c>
      <c r="AF780" s="30" t="str">
        <f t="shared" si="76"/>
        <v>Lectures</v>
      </c>
      <c r="AG780" s="30" t="str">
        <f t="shared" si="77"/>
        <v>Group Projects</v>
      </c>
      <c r="AH780" s="27">
        <f>COUNTIF(Teacher_Master!$D$2:$D$16,AF780)</f>
        <v>3</v>
      </c>
      <c r="AI780" s="30" t="str">
        <f>INDEX(Teacher_Master!$B$2:$B$16,MATCH(AF780,Teacher_Master!$D$2:$D$16,0))</f>
        <v>Prof. Vikram Gupta</v>
      </c>
    </row>
    <row r="781" spans="1:35" ht="14.25" customHeight="1" x14ac:dyDescent="0.3">
      <c r="A781" s="31" t="s">
        <v>1596</v>
      </c>
      <c r="B781" s="31" t="s">
        <v>1597</v>
      </c>
      <c r="C781" s="31" t="s">
        <v>2882</v>
      </c>
      <c r="D781" s="12">
        <f t="shared" ca="1" si="72"/>
        <v>22</v>
      </c>
      <c r="E781" s="12" t="str">
        <f ca="1">IF(Table1[[#This Row],[Age]]&lt;=22,"20-22",IF(Table1[[#This Row],[Age]]&lt;=25,"23-25",IF(Table1[[#This Row],[Age]]&lt;=28,"26-28","29-30")))</f>
        <v>20-22</v>
      </c>
      <c r="F781" s="12">
        <v>4.26</v>
      </c>
      <c r="G781" s="12">
        <v>4.34</v>
      </c>
      <c r="H781" s="12">
        <v>4.43</v>
      </c>
      <c r="I781" s="12">
        <v>4.5599999999999996</v>
      </c>
      <c r="J781" s="12">
        <v>4.6900000000000004</v>
      </c>
      <c r="K781" s="12">
        <v>4.5999999999999996</v>
      </c>
      <c r="L781" s="12">
        <v>3.73</v>
      </c>
      <c r="M781" s="12">
        <v>4.2699999999999996</v>
      </c>
      <c r="N781" s="12">
        <v>4.4000000000000004</v>
      </c>
      <c r="O781" s="12">
        <v>4.0599999999999996</v>
      </c>
      <c r="P781" s="12">
        <f t="shared" si="73"/>
        <v>4.4560000000000004</v>
      </c>
      <c r="Q781" s="12">
        <f t="shared" si="74"/>
        <v>4.46</v>
      </c>
      <c r="R781" s="12">
        <f t="shared" si="75"/>
        <v>4.2119999999999997</v>
      </c>
      <c r="S781" s="28">
        <f>IFERROR(INDEX('Clean Gamification Data'!$B:$B,MATCH($B781,'Clean Gamification Data'!$A:$A,0)),"Not Found")</f>
        <v>91.187495929999997</v>
      </c>
      <c r="T781" s="28">
        <f>IFERROR(INDEX('Clean Gamification Data'!$C:$C,MATCH($B781,'Clean Gamification Data'!$A:$A,0)),"Not Found")</f>
        <v>66.897203880000006</v>
      </c>
      <c r="U781" s="28">
        <f>IFERROR(INDEX('Clean Gamification Data'!$D:$D,MATCH($B781,'Clean Gamification Data'!$A:$A,0)),"Not Found")</f>
        <v>77.740493180000001</v>
      </c>
      <c r="V781" s="28">
        <f>IFERROR(INDEX('Clean Gamification Data'!$E:$E,MATCH($B781,'Clean Gamification Data'!$A:$A,0)),"Not Found")</f>
        <v>66.025905429999995</v>
      </c>
      <c r="W781" s="28">
        <f>IFERROR(INDEX('Clean Gamification Data'!$F:$F,MATCH($B781,'Clean Gamification Data'!$A:$A,0)),"Not Found")</f>
        <v>87.058574609999994</v>
      </c>
      <c r="X781" s="28">
        <f>IFERROR(INDEX('Clean Gamification Data'!$G:$G,MATCH($B781,'Clean Gamification Data'!$A:$A,0)),"Not Found")</f>
        <v>77.538828550000005</v>
      </c>
      <c r="Y781" s="28">
        <f>IFERROR(INDEX('Clean Gamification Data'!$H:$H,MATCH($B781,'Clean Gamification Data'!$A:$A,0)),"Not Found")</f>
        <v>69.344718850000007</v>
      </c>
      <c r="Z781" s="28">
        <f>IFERROR(INDEX('Clean Gamification Data'!$I:$I,MATCH($B781,'Clean Gamification Data'!$A:$A,0)),"Not Found")</f>
        <v>59.675032100000003</v>
      </c>
      <c r="AA781" s="28">
        <f>Table1[[#This Row],[Engagement (Gamification %)]]-Table1[[#This Row],[Engagement (Non-Gamification %)]]</f>
        <v>24.290292049999991</v>
      </c>
      <c r="AB781" s="28">
        <f>Table1[[#This Row],[Motivation (Gamification %)]]-Table1[[#This Row],[Motivation (Non-Gamification %)]]</f>
        <v>11.714587750000007</v>
      </c>
      <c r="AC781" s="28">
        <f>Table1[[#This Row],[Participation (Gamification %)]]-Table1[[#This Row],[Participation (Non-Gamification %)]]</f>
        <v>9.5197460599999886</v>
      </c>
      <c r="AD781" s="28">
        <f>Table1[[#This Row],[Learning Outcomes (Gamification %)]]-Table1[[#This Row],[Learning Outcomes (Non-Gamification %)]]</f>
        <v>9.6696867500000039</v>
      </c>
      <c r="AE781" s="44" t="str">
        <f>IF(Table1[[#This Row],[Overall Effectiveness]]&lt;3.9,"Low",IF(Table1[[#This Row],[Overall Effectiveness]]&lt;4.2,"Medium","High"))</f>
        <v>High</v>
      </c>
      <c r="AF781" s="30" t="str">
        <f t="shared" si="76"/>
        <v>Online Tutorials</v>
      </c>
      <c r="AG781" s="30" t="str">
        <f t="shared" si="77"/>
        <v>Lectures</v>
      </c>
      <c r="AH781" s="27">
        <f>COUNTIF(Teacher_Master!$D$2:$D$16,AF781)</f>
        <v>3</v>
      </c>
      <c r="AI781" s="30" t="str">
        <f>INDEX(Teacher_Master!$B$2:$B$16,MATCH(AF781,Teacher_Master!$D$2:$D$16,0))</f>
        <v>Prof. Kavita Rao</v>
      </c>
    </row>
    <row r="782" spans="1:35" ht="14.25" customHeight="1" x14ac:dyDescent="0.3">
      <c r="A782" s="31" t="s">
        <v>1598</v>
      </c>
      <c r="B782" s="31" t="s">
        <v>2646</v>
      </c>
      <c r="C782" s="31" t="s">
        <v>2882</v>
      </c>
      <c r="D782" s="12">
        <f t="shared" ca="1" si="72"/>
        <v>30</v>
      </c>
      <c r="E782" s="12" t="str">
        <f ca="1">IF(Table1[[#This Row],[Age]]&lt;=22,"20-22",IF(Table1[[#This Row],[Age]]&lt;=25,"23-25",IF(Table1[[#This Row],[Age]]&lt;=28,"26-28","29-30")))</f>
        <v>29-30</v>
      </c>
      <c r="F782" s="12" t="s">
        <v>1600</v>
      </c>
      <c r="G782" s="12">
        <v>3.73</v>
      </c>
      <c r="H782" s="12">
        <v>4.57</v>
      </c>
      <c r="I782" s="12">
        <v>4.17</v>
      </c>
      <c r="J782" s="12">
        <v>4.24</v>
      </c>
      <c r="K782" s="12">
        <v>4.51</v>
      </c>
      <c r="L782" s="12">
        <v>4.12</v>
      </c>
      <c r="M782" s="12">
        <v>3.62</v>
      </c>
      <c r="N782" s="12">
        <v>4.0999999999999996</v>
      </c>
      <c r="O782" s="12">
        <v>4.26</v>
      </c>
      <c r="P782" s="12">
        <f t="shared" si="73"/>
        <v>4.1775000000000002</v>
      </c>
      <c r="Q782" s="12">
        <f t="shared" si="74"/>
        <v>4.18</v>
      </c>
      <c r="R782" s="12">
        <f t="shared" si="75"/>
        <v>4.1219999999999999</v>
      </c>
      <c r="S782" s="28">
        <f>IFERROR(INDEX('Clean Gamification Data'!$B:$B,MATCH($B782,'Clean Gamification Data'!$A:$A,0)),"Not Found")</f>
        <v>91.432988859999995</v>
      </c>
      <c r="T782" s="28">
        <f>IFERROR(INDEX('Clean Gamification Data'!$C:$C,MATCH($B782,'Clean Gamification Data'!$A:$A,0)),"Not Found")</f>
        <v>78.01054972</v>
      </c>
      <c r="U782" s="28">
        <f>IFERROR(INDEX('Clean Gamification Data'!$D:$D,MATCH($B782,'Clean Gamification Data'!$A:$A,0)),"Not Found")</f>
        <v>70</v>
      </c>
      <c r="V782" s="28">
        <f>IFERROR(INDEX('Clean Gamification Data'!$E:$E,MATCH($B782,'Clean Gamification Data'!$A:$A,0)),"Not Found")</f>
        <v>69.316141299999998</v>
      </c>
      <c r="W782" s="28">
        <f>IFERROR(INDEX('Clean Gamification Data'!$F:$F,MATCH($B782,'Clean Gamification Data'!$A:$A,0)),"Not Found")</f>
        <v>99.899589399999996</v>
      </c>
      <c r="X782" s="28">
        <f>IFERROR(INDEX('Clean Gamification Data'!$G:$G,MATCH($B782,'Clean Gamification Data'!$A:$A,0)),"Not Found")</f>
        <v>81.620581720000004</v>
      </c>
      <c r="Y782" s="28">
        <f>IFERROR(INDEX('Clean Gamification Data'!$H:$H,MATCH($B782,'Clean Gamification Data'!$A:$A,0)),"Not Found")</f>
        <v>85</v>
      </c>
      <c r="Z782" s="28">
        <f>IFERROR(INDEX('Clean Gamification Data'!$I:$I,MATCH($B782,'Clean Gamification Data'!$A:$A,0)),"Not Found")</f>
        <v>54.186636960000001</v>
      </c>
      <c r="AA782" s="28">
        <f>Table1[[#This Row],[Engagement (Gamification %)]]-Table1[[#This Row],[Engagement (Non-Gamification %)]]</f>
        <v>13.422439139999994</v>
      </c>
      <c r="AB782" s="28">
        <f>Table1[[#This Row],[Motivation (Gamification %)]]-Table1[[#This Row],[Motivation (Non-Gamification %)]]</f>
        <v>0.68385870000000182</v>
      </c>
      <c r="AC782" s="28">
        <f>Table1[[#This Row],[Participation (Gamification %)]]-Table1[[#This Row],[Participation (Non-Gamification %)]]</f>
        <v>18.279007679999992</v>
      </c>
      <c r="AD782" s="28">
        <f>Table1[[#This Row],[Learning Outcomes (Gamification %)]]-Table1[[#This Row],[Learning Outcomes (Non-Gamification %)]]</f>
        <v>30.813363039999999</v>
      </c>
      <c r="AE782" s="44" t="str">
        <f>IF(Table1[[#This Row],[Overall Effectiveness]]&lt;3.9,"Low",IF(Table1[[#This Row],[Overall Effectiveness]]&lt;4.2,"Medium","High"))</f>
        <v>Medium</v>
      </c>
      <c r="AF782" s="30" t="str">
        <f t="shared" si="76"/>
        <v>Group Projects</v>
      </c>
      <c r="AG782" s="30" t="str">
        <f t="shared" si="77"/>
        <v>Lectures</v>
      </c>
      <c r="AH782" s="27">
        <f>COUNTIF(Teacher_Master!$D$2:$D$16,AF782)</f>
        <v>3</v>
      </c>
      <c r="AI782" s="30" t="str">
        <f>INDEX(Teacher_Master!$B$2:$B$16,MATCH(AF782,Teacher_Master!$D$2:$D$16,0))</f>
        <v>Dr. Rohan Dutta</v>
      </c>
    </row>
    <row r="783" spans="1:35" ht="14.25" customHeight="1" x14ac:dyDescent="0.3">
      <c r="A783" s="31" t="s">
        <v>1601</v>
      </c>
      <c r="B783" s="31" t="s">
        <v>2647</v>
      </c>
      <c r="C783" s="31" t="s">
        <v>2881</v>
      </c>
      <c r="D783" s="12">
        <f t="shared" ca="1" si="72"/>
        <v>25</v>
      </c>
      <c r="E783" s="12" t="str">
        <f ca="1">IF(Table1[[#This Row],[Age]]&lt;=22,"20-22",IF(Table1[[#This Row],[Age]]&lt;=25,"23-25",IF(Table1[[#This Row],[Age]]&lt;=28,"26-28","29-30")))</f>
        <v>23-25</v>
      </c>
      <c r="F783" s="12">
        <v>3.84</v>
      </c>
      <c r="G783" s="12">
        <v>4.2699999999999996</v>
      </c>
      <c r="H783" s="12">
        <v>3.96</v>
      </c>
      <c r="I783" s="12">
        <v>4.3099999999999996</v>
      </c>
      <c r="J783" s="12">
        <v>4.12</v>
      </c>
      <c r="K783" s="12">
        <v>3.9</v>
      </c>
      <c r="L783" s="12">
        <v>2.86</v>
      </c>
      <c r="M783" s="12">
        <v>4.0599999999999996</v>
      </c>
      <c r="N783" s="12">
        <v>3.79</v>
      </c>
      <c r="O783" s="12">
        <v>4.2</v>
      </c>
      <c r="P783" s="12">
        <f t="shared" si="73"/>
        <v>4.0999999999999996</v>
      </c>
      <c r="Q783" s="12">
        <f t="shared" si="74"/>
        <v>4.0999999999999996</v>
      </c>
      <c r="R783" s="12">
        <f t="shared" si="75"/>
        <v>3.7619999999999996</v>
      </c>
      <c r="S783" s="28">
        <f>IFERROR(INDEX('Clean Gamification Data'!$B:$B,MATCH($B783,'Clean Gamification Data'!$A:$A,0)),"Not Found")</f>
        <v>90.199473179999998</v>
      </c>
      <c r="T783" s="28">
        <f>IFERROR(INDEX('Clean Gamification Data'!$C:$C,MATCH($B783,'Clean Gamification Data'!$A:$A,0)),"Not Found")</f>
        <v>60</v>
      </c>
      <c r="U783" s="28">
        <f>IFERROR(INDEX('Clean Gamification Data'!$D:$D,MATCH($B783,'Clean Gamification Data'!$A:$A,0)),"Not Found")</f>
        <v>74.036050399999993</v>
      </c>
      <c r="V783" s="28">
        <f>IFERROR(INDEX('Clean Gamification Data'!$E:$E,MATCH($B783,'Clean Gamification Data'!$A:$A,0)),"Not Found")</f>
        <v>69.405159159999997</v>
      </c>
      <c r="W783" s="28">
        <f>IFERROR(INDEX('Clean Gamification Data'!$F:$F,MATCH($B783,'Clean Gamification Data'!$A:$A,0)),"Not Found")</f>
        <v>88.475387220000002</v>
      </c>
      <c r="X783" s="28">
        <f>IFERROR(INDEX('Clean Gamification Data'!$G:$G,MATCH($B783,'Clean Gamification Data'!$A:$A,0)),"Not Found")</f>
        <v>78.942609759999996</v>
      </c>
      <c r="Y783" s="28">
        <f>IFERROR(INDEX('Clean Gamification Data'!$H:$H,MATCH($B783,'Clean Gamification Data'!$A:$A,0)),"Not Found")</f>
        <v>65</v>
      </c>
      <c r="Z783" s="28">
        <f>IFERROR(INDEX('Clean Gamification Data'!$I:$I,MATCH($B783,'Clean Gamification Data'!$A:$A,0)),"Not Found")</f>
        <v>52.851501149999997</v>
      </c>
      <c r="AA783" s="28">
        <f>Table1[[#This Row],[Engagement (Gamification %)]]-Table1[[#This Row],[Engagement (Non-Gamification %)]]</f>
        <v>30.199473179999998</v>
      </c>
      <c r="AB783" s="28">
        <f>Table1[[#This Row],[Motivation (Gamification %)]]-Table1[[#This Row],[Motivation (Non-Gamification %)]]</f>
        <v>4.6308912399999969</v>
      </c>
      <c r="AC783" s="28">
        <f>Table1[[#This Row],[Participation (Gamification %)]]-Table1[[#This Row],[Participation (Non-Gamification %)]]</f>
        <v>9.5327774600000055</v>
      </c>
      <c r="AD783" s="28">
        <f>Table1[[#This Row],[Learning Outcomes (Gamification %)]]-Table1[[#This Row],[Learning Outcomes (Non-Gamification %)]]</f>
        <v>12.148498850000003</v>
      </c>
      <c r="AE783" s="44" t="str">
        <f>IF(Table1[[#This Row],[Overall Effectiveness]]&lt;3.9,"Low",IF(Table1[[#This Row],[Overall Effectiveness]]&lt;4.2,"Medium","High"))</f>
        <v>Medium</v>
      </c>
      <c r="AF783" s="30" t="str">
        <f t="shared" si="76"/>
        <v>Experiments</v>
      </c>
      <c r="AG783" s="30" t="str">
        <f t="shared" si="77"/>
        <v>Online Tutorials</v>
      </c>
      <c r="AH783" s="27">
        <f>COUNTIF(Teacher_Master!$D$2:$D$16,AF783)</f>
        <v>3</v>
      </c>
      <c r="AI783" s="30" t="str">
        <f>INDEX(Teacher_Master!$B$2:$B$16,MATCH(AF783,Teacher_Master!$D$2:$D$16,0))</f>
        <v>Prof. Rahul Singh</v>
      </c>
    </row>
    <row r="784" spans="1:35" ht="14.25" customHeight="1" x14ac:dyDescent="0.3">
      <c r="A784" s="31" t="s">
        <v>1603</v>
      </c>
      <c r="B784" s="31" t="s">
        <v>2648</v>
      </c>
      <c r="C784" s="31" t="s">
        <v>2881</v>
      </c>
      <c r="D784" s="12">
        <f t="shared" ca="1" si="72"/>
        <v>28</v>
      </c>
      <c r="E784" s="12" t="str">
        <f ca="1">IF(Table1[[#This Row],[Age]]&lt;=22,"20-22",IF(Table1[[#This Row],[Age]]&lt;=25,"23-25",IF(Table1[[#This Row],[Age]]&lt;=28,"26-28","29-30")))</f>
        <v>26-28</v>
      </c>
      <c r="F784" s="12">
        <v>3.51</v>
      </c>
      <c r="G784" s="12">
        <v>3.97</v>
      </c>
      <c r="H784" s="12">
        <v>4.2</v>
      </c>
      <c r="I784" s="12">
        <v>4.18</v>
      </c>
      <c r="J784" s="12">
        <v>3.87</v>
      </c>
      <c r="K784" s="12">
        <v>4.1399999999999997</v>
      </c>
      <c r="L784" s="12">
        <v>3.72</v>
      </c>
      <c r="M784" s="12">
        <v>3.83</v>
      </c>
      <c r="N784" s="12" t="s">
        <v>211</v>
      </c>
      <c r="O784" s="12" t="s">
        <v>211</v>
      </c>
      <c r="P784" s="12">
        <f t="shared" si="73"/>
        <v>3.9460000000000002</v>
      </c>
      <c r="Q784" s="12">
        <f t="shared" si="74"/>
        <v>3.95</v>
      </c>
      <c r="R784" s="12">
        <f t="shared" si="75"/>
        <v>3.8966666666666665</v>
      </c>
      <c r="S784" s="28">
        <f>IFERROR(INDEX('Clean Gamification Data'!$B:$B,MATCH($B784,'Clean Gamification Data'!$A:$A,0)),"Not Found")</f>
        <v>77.257055930000007</v>
      </c>
      <c r="T784" s="28">
        <f>IFERROR(INDEX('Clean Gamification Data'!$C:$C,MATCH($B784,'Clean Gamification Data'!$A:$A,0)),"Not Found")</f>
        <v>67.862153070000005</v>
      </c>
      <c r="U784" s="28">
        <f>IFERROR(INDEX('Clean Gamification Data'!$D:$D,MATCH($B784,'Clean Gamification Data'!$A:$A,0)),"Not Found")</f>
        <v>77.536243510000006</v>
      </c>
      <c r="V784" s="28">
        <f>IFERROR(INDEX('Clean Gamification Data'!$E:$E,MATCH($B784,'Clean Gamification Data'!$A:$A,0)),"Not Found")</f>
        <v>61.861718150000002</v>
      </c>
      <c r="W784" s="28">
        <f>IFERROR(INDEX('Clean Gamification Data'!$F:$F,MATCH($B784,'Clean Gamification Data'!$A:$A,0)),"Not Found")</f>
        <v>99.9</v>
      </c>
      <c r="X784" s="28">
        <f>IFERROR(INDEX('Clean Gamification Data'!$G:$G,MATCH($B784,'Clean Gamification Data'!$A:$A,0)),"Not Found")</f>
        <v>77.647615549999998</v>
      </c>
      <c r="Y784" s="28">
        <f>IFERROR(INDEX('Clean Gamification Data'!$H:$H,MATCH($B784,'Clean Gamification Data'!$A:$A,0)),"Not Found")</f>
        <v>69.724653959999998</v>
      </c>
      <c r="Z784" s="28">
        <f>IFERROR(INDEX('Clean Gamification Data'!$I:$I,MATCH($B784,'Clean Gamification Data'!$A:$A,0)),"Not Found")</f>
        <v>50</v>
      </c>
      <c r="AA784" s="28">
        <f>Table1[[#This Row],[Engagement (Gamification %)]]-Table1[[#This Row],[Engagement (Non-Gamification %)]]</f>
        <v>9.394902860000002</v>
      </c>
      <c r="AB784" s="28">
        <f>Table1[[#This Row],[Motivation (Gamification %)]]-Table1[[#This Row],[Motivation (Non-Gamification %)]]</f>
        <v>15.674525360000004</v>
      </c>
      <c r="AC784" s="28">
        <f>Table1[[#This Row],[Participation (Gamification %)]]-Table1[[#This Row],[Participation (Non-Gamification %)]]</f>
        <v>22.252384450000008</v>
      </c>
      <c r="AD784" s="28">
        <f>Table1[[#This Row],[Learning Outcomes (Gamification %)]]-Table1[[#This Row],[Learning Outcomes (Non-Gamification %)]]</f>
        <v>19.724653959999998</v>
      </c>
      <c r="AE784" s="44" t="str">
        <f>IF(Table1[[#This Row],[Overall Effectiveness]]&lt;3.9,"Low",IF(Table1[[#This Row],[Overall Effectiveness]]&lt;4.2,"Medium","High"))</f>
        <v>Medium</v>
      </c>
      <c r="AF784" s="30" t="str">
        <f t="shared" si="76"/>
        <v>Group Projects</v>
      </c>
      <c r="AG784" s="30" t="str">
        <f t="shared" si="77"/>
        <v>Lectures</v>
      </c>
      <c r="AH784" s="27">
        <f>COUNTIF(Teacher_Master!$D$2:$D$16,AF784)</f>
        <v>3</v>
      </c>
      <c r="AI784" s="30" t="str">
        <f>INDEX(Teacher_Master!$B$2:$B$16,MATCH(AF784,Teacher_Master!$D$2:$D$16,0))</f>
        <v>Dr. Rohan Dutta</v>
      </c>
    </row>
    <row r="785" spans="1:35" ht="14.25" customHeight="1" x14ac:dyDescent="0.3">
      <c r="A785" s="31" t="s">
        <v>1605</v>
      </c>
      <c r="B785" s="31" t="s">
        <v>2649</v>
      </c>
      <c r="C785" s="31" t="s">
        <v>2881</v>
      </c>
      <c r="D785" s="12">
        <f t="shared" ca="1" si="72"/>
        <v>23</v>
      </c>
      <c r="E785" s="12" t="str">
        <f ca="1">IF(Table1[[#This Row],[Age]]&lt;=22,"20-22",IF(Table1[[#This Row],[Age]]&lt;=25,"23-25",IF(Table1[[#This Row],[Age]]&lt;=28,"26-28","29-30")))</f>
        <v>23-25</v>
      </c>
      <c r="F785" s="12">
        <v>3.83</v>
      </c>
      <c r="G785" s="12">
        <v>3.33</v>
      </c>
      <c r="H785" s="12">
        <v>4.17</v>
      </c>
      <c r="I785" s="12">
        <v>3.97</v>
      </c>
      <c r="J785" s="12">
        <v>4.57</v>
      </c>
      <c r="K785" s="12">
        <v>4.37</v>
      </c>
      <c r="L785" s="12">
        <v>4.0999999999999996</v>
      </c>
      <c r="M785" s="12">
        <v>4.08</v>
      </c>
      <c r="N785" s="12">
        <v>4.1900000000000004</v>
      </c>
      <c r="O785" s="12">
        <v>3.99</v>
      </c>
      <c r="P785" s="12">
        <f t="shared" si="73"/>
        <v>3.9740000000000002</v>
      </c>
      <c r="Q785" s="12">
        <f t="shared" si="74"/>
        <v>3.97</v>
      </c>
      <c r="R785" s="12">
        <f t="shared" si="75"/>
        <v>4.145999999999999</v>
      </c>
      <c r="S785" s="28">
        <f>IFERROR(INDEX('Clean Gamification Data'!$B:$B,MATCH($B785,'Clean Gamification Data'!$A:$A,0)),"Not Found")</f>
        <v>88.406255009999995</v>
      </c>
      <c r="T785" s="28">
        <f>IFERROR(INDEX('Clean Gamification Data'!$C:$C,MATCH($B785,'Clean Gamification Data'!$A:$A,0)),"Not Found")</f>
        <v>60</v>
      </c>
      <c r="U785" s="28">
        <f>IFERROR(INDEX('Clean Gamification Data'!$D:$D,MATCH($B785,'Clean Gamification Data'!$A:$A,0)),"Not Found")</f>
        <v>83.480812389999997</v>
      </c>
      <c r="V785" s="28">
        <f>IFERROR(INDEX('Clean Gamification Data'!$E:$E,MATCH($B785,'Clean Gamification Data'!$A:$A,0)),"Not Found")</f>
        <v>68.708708799999997</v>
      </c>
      <c r="W785" s="28">
        <f>IFERROR(INDEX('Clean Gamification Data'!$F:$F,MATCH($B785,'Clean Gamification Data'!$A:$A,0)),"Not Found")</f>
        <v>93.479499500000003</v>
      </c>
      <c r="X785" s="28">
        <f>IFERROR(INDEX('Clean Gamification Data'!$G:$G,MATCH($B785,'Clean Gamification Data'!$A:$A,0)),"Not Found")</f>
        <v>80.730229829999999</v>
      </c>
      <c r="Y785" s="28">
        <f>IFERROR(INDEX('Clean Gamification Data'!$H:$H,MATCH($B785,'Clean Gamification Data'!$A:$A,0)),"Not Found")</f>
        <v>69.234350169999999</v>
      </c>
      <c r="Z785" s="28">
        <f>IFERROR(INDEX('Clean Gamification Data'!$I:$I,MATCH($B785,'Clean Gamification Data'!$A:$A,0)),"Not Found")</f>
        <v>54.306062500000003</v>
      </c>
      <c r="AA785" s="28">
        <f>Table1[[#This Row],[Engagement (Gamification %)]]-Table1[[#This Row],[Engagement (Non-Gamification %)]]</f>
        <v>28.406255009999995</v>
      </c>
      <c r="AB785" s="28">
        <f>Table1[[#This Row],[Motivation (Gamification %)]]-Table1[[#This Row],[Motivation (Non-Gamification %)]]</f>
        <v>14.77210359</v>
      </c>
      <c r="AC785" s="28">
        <f>Table1[[#This Row],[Participation (Gamification %)]]-Table1[[#This Row],[Participation (Non-Gamification %)]]</f>
        <v>12.749269670000004</v>
      </c>
      <c r="AD785" s="28">
        <f>Table1[[#This Row],[Learning Outcomes (Gamification %)]]-Table1[[#This Row],[Learning Outcomes (Non-Gamification %)]]</f>
        <v>14.928287669999996</v>
      </c>
      <c r="AE785" s="44" t="str">
        <f>IF(Table1[[#This Row],[Overall Effectiveness]]&lt;3.9,"Low",IF(Table1[[#This Row],[Overall Effectiveness]]&lt;4.2,"Medium","High"))</f>
        <v>Medium</v>
      </c>
      <c r="AF785" s="30" t="str">
        <f t="shared" si="76"/>
        <v>Online Tutorials</v>
      </c>
      <c r="AG785" s="30" t="str">
        <f t="shared" si="77"/>
        <v>Lectures</v>
      </c>
      <c r="AH785" s="27">
        <f>COUNTIF(Teacher_Master!$D$2:$D$16,AF785)</f>
        <v>3</v>
      </c>
      <c r="AI785" s="30" t="str">
        <f>INDEX(Teacher_Master!$B$2:$B$16,MATCH(AF785,Teacher_Master!$D$2:$D$16,0))</f>
        <v>Prof. Kavita Rao</v>
      </c>
    </row>
    <row r="786" spans="1:35" ht="14.25" customHeight="1" x14ac:dyDescent="0.3">
      <c r="A786" s="31" t="s">
        <v>1607</v>
      </c>
      <c r="B786" s="31" t="s">
        <v>2650</v>
      </c>
      <c r="C786" s="31" t="s">
        <v>2882</v>
      </c>
      <c r="D786" s="12">
        <f t="shared" ca="1" si="72"/>
        <v>26</v>
      </c>
      <c r="E786" s="12" t="str">
        <f ca="1">IF(Table1[[#This Row],[Age]]&lt;=22,"20-22",IF(Table1[[#This Row],[Age]]&lt;=25,"23-25",IF(Table1[[#This Row],[Age]]&lt;=28,"26-28","29-30")))</f>
        <v>26-28</v>
      </c>
      <c r="F786" s="12">
        <v>4.33</v>
      </c>
      <c r="G786" s="12">
        <v>4.25</v>
      </c>
      <c r="H786" s="12">
        <v>3.98</v>
      </c>
      <c r="I786" s="12">
        <v>4.01</v>
      </c>
      <c r="J786" s="12">
        <v>3.97</v>
      </c>
      <c r="K786" s="12">
        <v>4.37</v>
      </c>
      <c r="L786" s="12">
        <v>4.1100000000000003</v>
      </c>
      <c r="M786" s="12">
        <v>4.4000000000000004</v>
      </c>
      <c r="N786" s="12">
        <v>3.9</v>
      </c>
      <c r="O786" s="12">
        <v>4.1900000000000004</v>
      </c>
      <c r="P786" s="12">
        <f t="shared" si="73"/>
        <v>4.1079999999999997</v>
      </c>
      <c r="Q786" s="12">
        <f t="shared" si="74"/>
        <v>4.1100000000000003</v>
      </c>
      <c r="R786" s="12">
        <f t="shared" si="75"/>
        <v>4.1940000000000008</v>
      </c>
      <c r="S786" s="28">
        <f>IFERROR(INDEX('Clean Gamification Data'!$B:$B,MATCH($B786,'Clean Gamification Data'!$A:$A,0)),"Not Found")</f>
        <v>79.489932179999997</v>
      </c>
      <c r="T786" s="28">
        <f>IFERROR(INDEX('Clean Gamification Data'!$C:$C,MATCH($B786,'Clean Gamification Data'!$A:$A,0)),"Not Found")</f>
        <v>66.369757770000007</v>
      </c>
      <c r="U786" s="28">
        <f>IFERROR(INDEX('Clean Gamification Data'!$D:$D,MATCH($B786,'Clean Gamification Data'!$A:$A,0)),"Not Found")</f>
        <v>72.757634659999994</v>
      </c>
      <c r="V786" s="28">
        <f>IFERROR(INDEX('Clean Gamification Data'!$E:$E,MATCH($B786,'Clean Gamification Data'!$A:$A,0)),"Not Found")</f>
        <v>66.104843819999999</v>
      </c>
      <c r="W786" s="28">
        <f>IFERROR(INDEX('Clean Gamification Data'!$F:$F,MATCH($B786,'Clean Gamification Data'!$A:$A,0)),"Not Found")</f>
        <v>91.076912530000001</v>
      </c>
      <c r="X786" s="28">
        <f>IFERROR(INDEX('Clean Gamification Data'!$G:$G,MATCH($B786,'Clean Gamification Data'!$A:$A,0)),"Not Found")</f>
        <v>78.827451730000007</v>
      </c>
      <c r="Y786" s="28">
        <f>IFERROR(INDEX('Clean Gamification Data'!$H:$H,MATCH($B786,'Clean Gamification Data'!$A:$A,0)),"Not Found")</f>
        <v>79.036655580000001</v>
      </c>
      <c r="Z786" s="28">
        <f>IFERROR(INDEX('Clean Gamification Data'!$I:$I,MATCH($B786,'Clean Gamification Data'!$A:$A,0)),"Not Found")</f>
        <v>59.703963979999997</v>
      </c>
      <c r="AA786" s="28">
        <f>Table1[[#This Row],[Engagement (Gamification %)]]-Table1[[#This Row],[Engagement (Non-Gamification %)]]</f>
        <v>13.12017440999999</v>
      </c>
      <c r="AB786" s="28">
        <f>Table1[[#This Row],[Motivation (Gamification %)]]-Table1[[#This Row],[Motivation (Non-Gamification %)]]</f>
        <v>6.6527908399999944</v>
      </c>
      <c r="AC786" s="28">
        <f>Table1[[#This Row],[Participation (Gamification %)]]-Table1[[#This Row],[Participation (Non-Gamification %)]]</f>
        <v>12.249460799999994</v>
      </c>
      <c r="AD786" s="28">
        <f>Table1[[#This Row],[Learning Outcomes (Gamification %)]]-Table1[[#This Row],[Learning Outcomes (Non-Gamification %)]]</f>
        <v>19.332691600000004</v>
      </c>
      <c r="AE786" s="44" t="str">
        <f>IF(Table1[[#This Row],[Overall Effectiveness]]&lt;3.9,"Low",IF(Table1[[#This Row],[Overall Effectiveness]]&lt;4.2,"Medium","High"))</f>
        <v>Medium</v>
      </c>
      <c r="AF786" s="30" t="str">
        <f t="shared" si="76"/>
        <v>Lectures</v>
      </c>
      <c r="AG786" s="30" t="str">
        <f t="shared" si="77"/>
        <v>Group Projects</v>
      </c>
      <c r="AH786" s="27">
        <f>COUNTIF(Teacher_Master!$D$2:$D$16,AF786)</f>
        <v>3</v>
      </c>
      <c r="AI786" s="30" t="str">
        <f>INDEX(Teacher_Master!$B$2:$B$16,MATCH(AF786,Teacher_Master!$D$2:$D$16,0))</f>
        <v>Prof. Vikram Gupta</v>
      </c>
    </row>
    <row r="787" spans="1:35" ht="14.25" customHeight="1" x14ac:dyDescent="0.3">
      <c r="A787" s="31" t="s">
        <v>1609</v>
      </c>
      <c r="B787" s="31" t="s">
        <v>2651</v>
      </c>
      <c r="C787" s="31" t="s">
        <v>2882</v>
      </c>
      <c r="D787" s="12">
        <f t="shared" ca="1" si="72"/>
        <v>29</v>
      </c>
      <c r="E787" s="12" t="str">
        <f ca="1">IF(Table1[[#This Row],[Age]]&lt;=22,"20-22",IF(Table1[[#This Row],[Age]]&lt;=25,"23-25",IF(Table1[[#This Row],[Age]]&lt;=28,"26-28","29-30")))</f>
        <v>29-30</v>
      </c>
      <c r="F787" s="12">
        <v>3.71</v>
      </c>
      <c r="G787" s="12">
        <v>4.51</v>
      </c>
      <c r="H787" s="12">
        <v>3.37</v>
      </c>
      <c r="I787" s="12">
        <v>4.21</v>
      </c>
      <c r="J787" s="12">
        <v>3.71</v>
      </c>
      <c r="K787" s="12">
        <v>3.61</v>
      </c>
      <c r="L787" s="12">
        <v>3.45</v>
      </c>
      <c r="M787" s="12">
        <v>4.51</v>
      </c>
      <c r="N787" s="12">
        <v>4.13</v>
      </c>
      <c r="O787" s="12">
        <v>3.68</v>
      </c>
      <c r="P787" s="12">
        <f t="shared" si="73"/>
        <v>3.9020000000000001</v>
      </c>
      <c r="Q787" s="12">
        <f t="shared" si="74"/>
        <v>3.9</v>
      </c>
      <c r="R787" s="12">
        <f t="shared" si="75"/>
        <v>3.8759999999999999</v>
      </c>
      <c r="S787" s="28">
        <f>IFERROR(INDEX('Clean Gamification Data'!$B:$B,MATCH($B787,'Clean Gamification Data'!$A:$A,0)),"Not Found")</f>
        <v>94.437736340000001</v>
      </c>
      <c r="T787" s="28">
        <f>IFERROR(INDEX('Clean Gamification Data'!$C:$C,MATCH($B787,'Clean Gamification Data'!$A:$A,0)),"Not Found")</f>
        <v>72.768665369999994</v>
      </c>
      <c r="U787" s="28">
        <f>IFERROR(INDEX('Clean Gamification Data'!$D:$D,MATCH($B787,'Clean Gamification Data'!$A:$A,0)),"Not Found")</f>
        <v>82.451485120000001</v>
      </c>
      <c r="V787" s="28">
        <f>IFERROR(INDEX('Clean Gamification Data'!$E:$E,MATCH($B787,'Clean Gamification Data'!$A:$A,0)),"Not Found")</f>
        <v>65.956067500000003</v>
      </c>
      <c r="W787" s="28">
        <f>IFERROR(INDEX('Clean Gamification Data'!$F:$F,MATCH($B787,'Clean Gamification Data'!$A:$A,0)),"Not Found")</f>
        <v>93.541997069999994</v>
      </c>
      <c r="X787" s="28">
        <f>IFERROR(INDEX('Clean Gamification Data'!$G:$G,MATCH($B787,'Clean Gamification Data'!$A:$A,0)),"Not Found")</f>
        <v>76.622911930000001</v>
      </c>
      <c r="Y787" s="28">
        <f>IFERROR(INDEX('Clean Gamification Data'!$H:$H,MATCH($B787,'Clean Gamification Data'!$A:$A,0)),"Not Found")</f>
        <v>72.82733005</v>
      </c>
      <c r="Z787" s="28">
        <f>IFERROR(INDEX('Clean Gamification Data'!$I:$I,MATCH($B787,'Clean Gamification Data'!$A:$A,0)),"Not Found")</f>
        <v>55.689610729999998</v>
      </c>
      <c r="AA787" s="28">
        <f>Table1[[#This Row],[Engagement (Gamification %)]]-Table1[[#This Row],[Engagement (Non-Gamification %)]]</f>
        <v>21.669070970000007</v>
      </c>
      <c r="AB787" s="28">
        <f>Table1[[#This Row],[Motivation (Gamification %)]]-Table1[[#This Row],[Motivation (Non-Gamification %)]]</f>
        <v>16.495417619999998</v>
      </c>
      <c r="AC787" s="28">
        <f>Table1[[#This Row],[Participation (Gamification %)]]-Table1[[#This Row],[Participation (Non-Gamification %)]]</f>
        <v>16.919085139999993</v>
      </c>
      <c r="AD787" s="28">
        <f>Table1[[#This Row],[Learning Outcomes (Gamification %)]]-Table1[[#This Row],[Learning Outcomes (Non-Gamification %)]]</f>
        <v>17.137719320000002</v>
      </c>
      <c r="AE787" s="44" t="str">
        <f>IF(Table1[[#This Row],[Overall Effectiveness]]&lt;3.9,"Low",IF(Table1[[#This Row],[Overall Effectiveness]]&lt;4.2,"Medium","High"))</f>
        <v>Medium</v>
      </c>
      <c r="AF787" s="30" t="str">
        <f t="shared" si="76"/>
        <v>Case Studies</v>
      </c>
      <c r="AG787" s="30" t="str">
        <f t="shared" si="77"/>
        <v>Group Projects</v>
      </c>
      <c r="AH787" s="27">
        <f>COUNTIF(Teacher_Master!$D$2:$D$16,AF787)</f>
        <v>3</v>
      </c>
      <c r="AI787" s="30" t="str">
        <f>INDEX(Teacher_Master!$B$2:$B$16,MATCH(AF787,Teacher_Master!$D$2:$D$16,0))</f>
        <v>Prof. Rajesh Mukherjee</v>
      </c>
    </row>
    <row r="788" spans="1:35" ht="14.25" customHeight="1" x14ac:dyDescent="0.3">
      <c r="A788" s="31" t="s">
        <v>1611</v>
      </c>
      <c r="B788" s="31" t="s">
        <v>1612</v>
      </c>
      <c r="C788" s="31" t="s">
        <v>2882</v>
      </c>
      <c r="D788" s="12">
        <f t="shared" ca="1" si="72"/>
        <v>20</v>
      </c>
      <c r="E788" s="12" t="str">
        <f ca="1">IF(Table1[[#This Row],[Age]]&lt;=22,"20-22",IF(Table1[[#This Row],[Age]]&lt;=25,"23-25",IF(Table1[[#This Row],[Age]]&lt;=28,"26-28","29-30")))</f>
        <v>20-22</v>
      </c>
      <c r="F788" s="12">
        <v>3.81</v>
      </c>
      <c r="G788" s="12">
        <v>4.7</v>
      </c>
      <c r="H788" s="12">
        <v>4.45</v>
      </c>
      <c r="I788" s="12">
        <v>3.79</v>
      </c>
      <c r="J788" s="12">
        <v>4.75</v>
      </c>
      <c r="K788" s="12">
        <v>4.07</v>
      </c>
      <c r="L788" s="12">
        <v>4.12</v>
      </c>
      <c r="M788" s="12">
        <v>4.07</v>
      </c>
      <c r="N788" s="12">
        <v>4.2</v>
      </c>
      <c r="O788" s="12">
        <v>3.46</v>
      </c>
      <c r="P788" s="12">
        <f t="shared" si="73"/>
        <v>4.3</v>
      </c>
      <c r="Q788" s="12">
        <f t="shared" si="74"/>
        <v>4.3</v>
      </c>
      <c r="R788" s="12">
        <f t="shared" si="75"/>
        <v>3.9840000000000004</v>
      </c>
      <c r="S788" s="28">
        <f>IFERROR(INDEX('Clean Gamification Data'!$B:$B,MATCH($B788,'Clean Gamification Data'!$A:$A,0)),"Not Found")</f>
        <v>88.988875469999996</v>
      </c>
      <c r="T788" s="28">
        <f>IFERROR(INDEX('Clean Gamification Data'!$C:$C,MATCH($B788,'Clean Gamification Data'!$A:$A,0)),"Not Found")</f>
        <v>77.839586400000002</v>
      </c>
      <c r="U788" s="28">
        <f>IFERROR(INDEX('Clean Gamification Data'!$D:$D,MATCH($B788,'Clean Gamification Data'!$A:$A,0)),"Not Found")</f>
        <v>73.944028230000001</v>
      </c>
      <c r="V788" s="28">
        <f>IFERROR(INDEX('Clean Gamification Data'!$E:$E,MATCH($B788,'Clean Gamification Data'!$A:$A,0)),"Not Found")</f>
        <v>62.67919895</v>
      </c>
      <c r="W788" s="28">
        <f>IFERROR(INDEX('Clean Gamification Data'!$F:$F,MATCH($B788,'Clean Gamification Data'!$A:$A,0)),"Not Found")</f>
        <v>80.178042689999998</v>
      </c>
      <c r="X788" s="28">
        <f>IFERROR(INDEX('Clean Gamification Data'!$G:$G,MATCH($B788,'Clean Gamification Data'!$A:$A,0)),"Not Found")</f>
        <v>77.099183870000005</v>
      </c>
      <c r="Y788" s="28">
        <f>IFERROR(INDEX('Clean Gamification Data'!$H:$H,MATCH($B788,'Clean Gamification Data'!$A:$A,0)),"Not Found")</f>
        <v>71.711878679999998</v>
      </c>
      <c r="Z788" s="28">
        <f>IFERROR(INDEX('Clean Gamification Data'!$I:$I,MATCH($B788,'Clean Gamification Data'!$A:$A,0)),"Not Found")</f>
        <v>59.745496119999999</v>
      </c>
      <c r="AA788" s="28">
        <f>Table1[[#This Row],[Engagement (Gamification %)]]-Table1[[#This Row],[Engagement (Non-Gamification %)]]</f>
        <v>11.149289069999995</v>
      </c>
      <c r="AB788" s="28">
        <f>Table1[[#This Row],[Motivation (Gamification %)]]-Table1[[#This Row],[Motivation (Non-Gamification %)]]</f>
        <v>11.264829280000001</v>
      </c>
      <c r="AC788" s="28">
        <f>Table1[[#This Row],[Participation (Gamification %)]]-Table1[[#This Row],[Participation (Non-Gamification %)]]</f>
        <v>3.0788588199999936</v>
      </c>
      <c r="AD788" s="28">
        <f>Table1[[#This Row],[Learning Outcomes (Gamification %)]]-Table1[[#This Row],[Learning Outcomes (Non-Gamification %)]]</f>
        <v>11.96638256</v>
      </c>
      <c r="AE788" s="44" t="str">
        <f>IF(Table1[[#This Row],[Overall Effectiveness]]&lt;3.9,"Low",IF(Table1[[#This Row],[Overall Effectiveness]]&lt;4.2,"Medium","High"))</f>
        <v>High</v>
      </c>
      <c r="AF788" s="30" t="str">
        <f t="shared" si="76"/>
        <v>Online Tutorials</v>
      </c>
      <c r="AG788" s="30" t="str">
        <f t="shared" si="77"/>
        <v>Experiments</v>
      </c>
      <c r="AH788" s="27">
        <f>COUNTIF(Teacher_Master!$D$2:$D$16,AF788)</f>
        <v>3</v>
      </c>
      <c r="AI788" s="30" t="str">
        <f>INDEX(Teacher_Master!$B$2:$B$16,MATCH(AF788,Teacher_Master!$D$2:$D$16,0))</f>
        <v>Prof. Kavita Rao</v>
      </c>
    </row>
    <row r="789" spans="1:35" ht="14.25" customHeight="1" x14ac:dyDescent="0.3">
      <c r="A789" s="31" t="s">
        <v>1613</v>
      </c>
      <c r="B789" s="31" t="s">
        <v>2652</v>
      </c>
      <c r="C789" s="31" t="s">
        <v>2881</v>
      </c>
      <c r="D789" s="12">
        <f t="shared" ca="1" si="72"/>
        <v>23</v>
      </c>
      <c r="E789" s="12" t="str">
        <f ca="1">IF(Table1[[#This Row],[Age]]&lt;=22,"20-22",IF(Table1[[#This Row],[Age]]&lt;=25,"23-25",IF(Table1[[#This Row],[Age]]&lt;=28,"26-28","29-30")))</f>
        <v>23-25</v>
      </c>
      <c r="F789" s="12">
        <v>3.64</v>
      </c>
      <c r="G789" s="12">
        <v>4.75</v>
      </c>
      <c r="H789" s="12">
        <v>4.29</v>
      </c>
      <c r="I789" s="12">
        <v>4.04</v>
      </c>
      <c r="J789" s="12">
        <v>4.26</v>
      </c>
      <c r="K789" s="12">
        <v>4.0199999999999996</v>
      </c>
      <c r="L789" s="12">
        <v>3.68</v>
      </c>
      <c r="M789" s="12">
        <v>3.58</v>
      </c>
      <c r="N789" s="12">
        <v>4.18</v>
      </c>
      <c r="O789" s="12" t="s">
        <v>211</v>
      </c>
      <c r="P789" s="12">
        <f t="shared" si="73"/>
        <v>4.1959999999999997</v>
      </c>
      <c r="Q789" s="12">
        <f t="shared" si="74"/>
        <v>4.2</v>
      </c>
      <c r="R789" s="12">
        <f t="shared" si="75"/>
        <v>3.8649999999999998</v>
      </c>
      <c r="S789" s="28">
        <f>IFERROR(INDEX('Clean Gamification Data'!$B:$B,MATCH($B789,'Clean Gamification Data'!$A:$A,0)),"Not Found")</f>
        <v>96.496192539999996</v>
      </c>
      <c r="T789" s="28">
        <f>IFERROR(INDEX('Clean Gamification Data'!$C:$C,MATCH($B789,'Clean Gamification Data'!$A:$A,0)),"Not Found")</f>
        <v>69.603586640000003</v>
      </c>
      <c r="U789" s="28">
        <f>IFERROR(INDEX('Clean Gamification Data'!$D:$D,MATCH($B789,'Clean Gamification Data'!$A:$A,0)),"Not Found")</f>
        <v>78.863406370000007</v>
      </c>
      <c r="V789" s="28">
        <f>IFERROR(INDEX('Clean Gamification Data'!$E:$E,MATCH($B789,'Clean Gamification Data'!$A:$A,0)),"Not Found")</f>
        <v>62.582883649999999</v>
      </c>
      <c r="W789" s="28">
        <f>IFERROR(INDEX('Clean Gamification Data'!$F:$F,MATCH($B789,'Clean Gamification Data'!$A:$A,0)),"Not Found")</f>
        <v>90.08239768</v>
      </c>
      <c r="X789" s="28">
        <f>IFERROR(INDEX('Clean Gamification Data'!$G:$G,MATCH($B789,'Clean Gamification Data'!$A:$A,0)),"Not Found")</f>
        <v>80.739061899999996</v>
      </c>
      <c r="Y789" s="28">
        <f>IFERROR(INDEX('Clean Gamification Data'!$H:$H,MATCH($B789,'Clean Gamification Data'!$A:$A,0)),"Not Found")</f>
        <v>75.444226749999999</v>
      </c>
      <c r="Z789" s="28">
        <f>IFERROR(INDEX('Clean Gamification Data'!$I:$I,MATCH($B789,'Clean Gamification Data'!$A:$A,0)),"Not Found")</f>
        <v>58.623349920000003</v>
      </c>
      <c r="AA789" s="28">
        <f>Table1[[#This Row],[Engagement (Gamification %)]]-Table1[[#This Row],[Engagement (Non-Gamification %)]]</f>
        <v>26.892605899999992</v>
      </c>
      <c r="AB789" s="28">
        <f>Table1[[#This Row],[Motivation (Gamification %)]]-Table1[[#This Row],[Motivation (Non-Gamification %)]]</f>
        <v>16.280522720000008</v>
      </c>
      <c r="AC789" s="28">
        <f>Table1[[#This Row],[Participation (Gamification %)]]-Table1[[#This Row],[Participation (Non-Gamification %)]]</f>
        <v>9.3433357800000039</v>
      </c>
      <c r="AD789" s="28">
        <f>Table1[[#This Row],[Learning Outcomes (Gamification %)]]-Table1[[#This Row],[Learning Outcomes (Non-Gamification %)]]</f>
        <v>16.820876829999996</v>
      </c>
      <c r="AE789" s="44" t="str">
        <f>IF(Table1[[#This Row],[Overall Effectiveness]]&lt;3.9,"Low",IF(Table1[[#This Row],[Overall Effectiveness]]&lt;4.2,"Medium","High"))</f>
        <v>Medium</v>
      </c>
      <c r="AF789" s="30" t="str">
        <f t="shared" si="76"/>
        <v>Case Studies</v>
      </c>
      <c r="AG789" s="30" t="str">
        <f t="shared" si="77"/>
        <v>Experiments</v>
      </c>
      <c r="AH789" s="27">
        <f>COUNTIF(Teacher_Master!$D$2:$D$16,AF789)</f>
        <v>3</v>
      </c>
      <c r="AI789" s="30" t="str">
        <f>INDEX(Teacher_Master!$B$2:$B$16,MATCH(AF789,Teacher_Master!$D$2:$D$16,0))</f>
        <v>Prof. Rajesh Mukherjee</v>
      </c>
    </row>
    <row r="790" spans="1:35" ht="14.25" customHeight="1" x14ac:dyDescent="0.3">
      <c r="A790" s="31" t="s">
        <v>1615</v>
      </c>
      <c r="B790" s="31" t="s">
        <v>2653</v>
      </c>
      <c r="C790" s="31" t="s">
        <v>2882</v>
      </c>
      <c r="D790" s="12">
        <f t="shared" ca="1" si="72"/>
        <v>26</v>
      </c>
      <c r="E790" s="12" t="str">
        <f ca="1">IF(Table1[[#This Row],[Age]]&lt;=22,"20-22",IF(Table1[[#This Row],[Age]]&lt;=25,"23-25",IF(Table1[[#This Row],[Age]]&lt;=28,"26-28","29-30")))</f>
        <v>26-28</v>
      </c>
      <c r="F790" s="12">
        <v>4.25</v>
      </c>
      <c r="G790" s="12">
        <v>4.0199999999999996</v>
      </c>
      <c r="H790" s="12">
        <v>4.37</v>
      </c>
      <c r="I790" s="12">
        <v>3.83</v>
      </c>
      <c r="J790" s="12">
        <v>3.91</v>
      </c>
      <c r="K790" s="12">
        <v>4.1100000000000003</v>
      </c>
      <c r="L790" s="12">
        <v>4.17</v>
      </c>
      <c r="M790" s="12">
        <v>3.69</v>
      </c>
      <c r="N790" s="12">
        <v>3.67</v>
      </c>
      <c r="O790" s="12">
        <v>3.64</v>
      </c>
      <c r="P790" s="12">
        <f t="shared" si="73"/>
        <v>4.0759999999999996</v>
      </c>
      <c r="Q790" s="12">
        <f t="shared" si="74"/>
        <v>4.08</v>
      </c>
      <c r="R790" s="12">
        <f t="shared" si="75"/>
        <v>3.8560000000000003</v>
      </c>
      <c r="S790" s="28">
        <f>IFERROR(INDEX('Clean Gamification Data'!$B:$B,MATCH($B790,'Clean Gamification Data'!$A:$A,0)),"Not Found")</f>
        <v>79.710839879999995</v>
      </c>
      <c r="T790" s="28">
        <f>IFERROR(INDEX('Clean Gamification Data'!$C:$C,MATCH($B790,'Clean Gamification Data'!$A:$A,0)),"Not Found")</f>
        <v>76.08643524</v>
      </c>
      <c r="U790" s="28">
        <f>IFERROR(INDEX('Clean Gamification Data'!$D:$D,MATCH($B790,'Clean Gamification Data'!$A:$A,0)),"Not Found")</f>
        <v>82.646356499999996</v>
      </c>
      <c r="V790" s="28">
        <f>IFERROR(INDEX('Clean Gamification Data'!$E:$E,MATCH($B790,'Clean Gamification Data'!$A:$A,0)),"Not Found")</f>
        <v>55</v>
      </c>
      <c r="W790" s="28">
        <f>IFERROR(INDEX('Clean Gamification Data'!$F:$F,MATCH($B790,'Clean Gamification Data'!$A:$A,0)),"Not Found")</f>
        <v>87.623723350000006</v>
      </c>
      <c r="X790" s="28">
        <f>IFERROR(INDEX('Clean Gamification Data'!$G:$G,MATCH($B790,'Clean Gamification Data'!$A:$A,0)),"Not Found")</f>
        <v>80.516247609999994</v>
      </c>
      <c r="Y790" s="28">
        <f>IFERROR(INDEX('Clean Gamification Data'!$H:$H,MATCH($B790,'Clean Gamification Data'!$A:$A,0)),"Not Found")</f>
        <v>74.675025610000006</v>
      </c>
      <c r="Z790" s="28">
        <f>IFERROR(INDEX('Clean Gamification Data'!$I:$I,MATCH($B790,'Clean Gamification Data'!$A:$A,0)),"Not Found")</f>
        <v>56.189617310000003</v>
      </c>
      <c r="AA790" s="28">
        <f>Table1[[#This Row],[Engagement (Gamification %)]]-Table1[[#This Row],[Engagement (Non-Gamification %)]]</f>
        <v>3.6244046399999945</v>
      </c>
      <c r="AB790" s="28">
        <f>Table1[[#This Row],[Motivation (Gamification %)]]-Table1[[#This Row],[Motivation (Non-Gamification %)]]</f>
        <v>27.646356499999996</v>
      </c>
      <c r="AC790" s="28">
        <f>Table1[[#This Row],[Participation (Gamification %)]]-Table1[[#This Row],[Participation (Non-Gamification %)]]</f>
        <v>7.1074757400000124</v>
      </c>
      <c r="AD790" s="28">
        <f>Table1[[#This Row],[Learning Outcomes (Gamification %)]]-Table1[[#This Row],[Learning Outcomes (Non-Gamification %)]]</f>
        <v>18.485408300000003</v>
      </c>
      <c r="AE790" s="44" t="str">
        <f>IF(Table1[[#This Row],[Overall Effectiveness]]&lt;3.9,"Low",IF(Table1[[#This Row],[Overall Effectiveness]]&lt;4.2,"Medium","High"))</f>
        <v>Medium</v>
      </c>
      <c r="AF790" s="30" t="str">
        <f t="shared" si="76"/>
        <v>Group Projects</v>
      </c>
      <c r="AG790" s="30" t="str">
        <f t="shared" si="77"/>
        <v>Case Studies</v>
      </c>
      <c r="AH790" s="27">
        <f>COUNTIF(Teacher_Master!$D$2:$D$16,AF790)</f>
        <v>3</v>
      </c>
      <c r="AI790" s="30" t="str">
        <f>INDEX(Teacher_Master!$B$2:$B$16,MATCH(AF790,Teacher_Master!$D$2:$D$16,0))</f>
        <v>Dr. Rohan Dutta</v>
      </c>
    </row>
    <row r="791" spans="1:35" ht="14.25" customHeight="1" x14ac:dyDescent="0.3">
      <c r="A791" s="31" t="s">
        <v>1617</v>
      </c>
      <c r="B791" s="31" t="s">
        <v>1618</v>
      </c>
      <c r="C791" s="31" t="s">
        <v>2882</v>
      </c>
      <c r="D791" s="12">
        <f t="shared" ca="1" si="72"/>
        <v>21</v>
      </c>
      <c r="E791" s="12" t="str">
        <f ca="1">IF(Table1[[#This Row],[Age]]&lt;=22,"20-22",IF(Table1[[#This Row],[Age]]&lt;=25,"23-25",IF(Table1[[#This Row],[Age]]&lt;=28,"26-28","29-30")))</f>
        <v>20-22</v>
      </c>
      <c r="F791" s="12">
        <v>4.25</v>
      </c>
      <c r="G791" s="12">
        <v>3.98</v>
      </c>
      <c r="H791" s="12">
        <v>4.34</v>
      </c>
      <c r="I791" s="12">
        <v>4.24</v>
      </c>
      <c r="J791" s="12">
        <v>3.75</v>
      </c>
      <c r="K791" s="12">
        <v>3.74</v>
      </c>
      <c r="L791" s="12">
        <v>4.54</v>
      </c>
      <c r="M791" s="12">
        <v>4.1399999999999997</v>
      </c>
      <c r="N791" s="12">
        <v>4.16</v>
      </c>
      <c r="O791" s="12">
        <v>3.99</v>
      </c>
      <c r="P791" s="12">
        <f t="shared" si="73"/>
        <v>4.1120000000000001</v>
      </c>
      <c r="Q791" s="12">
        <f t="shared" si="74"/>
        <v>4.1100000000000003</v>
      </c>
      <c r="R791" s="12">
        <f t="shared" si="75"/>
        <v>4.1139999999999999</v>
      </c>
      <c r="S791" s="28">
        <f>IFERROR(INDEX('Clean Gamification Data'!$B:$B,MATCH($B791,'Clean Gamification Data'!$A:$A,0)),"Not Found")</f>
        <v>84.174734259999994</v>
      </c>
      <c r="T791" s="28">
        <f>IFERROR(INDEX('Clean Gamification Data'!$C:$C,MATCH($B791,'Clean Gamification Data'!$A:$A,0)),"Not Found")</f>
        <v>60</v>
      </c>
      <c r="U791" s="28">
        <f>IFERROR(INDEX('Clean Gamification Data'!$D:$D,MATCH($B791,'Clean Gamification Data'!$A:$A,0)),"Not Found")</f>
        <v>70</v>
      </c>
      <c r="V791" s="28">
        <f>IFERROR(INDEX('Clean Gamification Data'!$E:$E,MATCH($B791,'Clean Gamification Data'!$A:$A,0)),"Not Found")</f>
        <v>75</v>
      </c>
      <c r="W791" s="28">
        <f>IFERROR(INDEX('Clean Gamification Data'!$F:$F,MATCH($B791,'Clean Gamification Data'!$A:$A,0)),"Not Found")</f>
        <v>92.952662869999997</v>
      </c>
      <c r="X791" s="28">
        <f>IFERROR(INDEX('Clean Gamification Data'!$G:$G,MATCH($B791,'Clean Gamification Data'!$A:$A,0)),"Not Found")</f>
        <v>74.051026660000005</v>
      </c>
      <c r="Y791" s="28">
        <f>IFERROR(INDEX('Clean Gamification Data'!$H:$H,MATCH($B791,'Clean Gamification Data'!$A:$A,0)),"Not Found")</f>
        <v>74.251188130000003</v>
      </c>
      <c r="Z791" s="28">
        <f>IFERROR(INDEX('Clean Gamification Data'!$I:$I,MATCH($B791,'Clean Gamification Data'!$A:$A,0)),"Not Found")</f>
        <v>55.186605360000001</v>
      </c>
      <c r="AA791" s="28">
        <f>Table1[[#This Row],[Engagement (Gamification %)]]-Table1[[#This Row],[Engagement (Non-Gamification %)]]</f>
        <v>24.174734259999994</v>
      </c>
      <c r="AB791" s="28">
        <f>Table1[[#This Row],[Motivation (Gamification %)]]-Table1[[#This Row],[Motivation (Non-Gamification %)]]</f>
        <v>-5</v>
      </c>
      <c r="AC791" s="28">
        <f>Table1[[#This Row],[Participation (Gamification %)]]-Table1[[#This Row],[Participation (Non-Gamification %)]]</f>
        <v>18.901636209999992</v>
      </c>
      <c r="AD791" s="28">
        <f>Table1[[#This Row],[Learning Outcomes (Gamification %)]]-Table1[[#This Row],[Learning Outcomes (Non-Gamification %)]]</f>
        <v>19.064582770000001</v>
      </c>
      <c r="AE791" s="44" t="str">
        <f>IF(Table1[[#This Row],[Overall Effectiveness]]&lt;3.9,"Low",IF(Table1[[#This Row],[Overall Effectiveness]]&lt;4.2,"Medium","High"))</f>
        <v>Medium</v>
      </c>
      <c r="AF791" s="30" t="str">
        <f t="shared" si="76"/>
        <v>Group Projects</v>
      </c>
      <c r="AG791" s="30" t="str">
        <f t="shared" si="77"/>
        <v>Case Studies</v>
      </c>
      <c r="AH791" s="27">
        <f>COUNTIF(Teacher_Master!$D$2:$D$16,AF791)</f>
        <v>3</v>
      </c>
      <c r="AI791" s="30" t="str">
        <f>INDEX(Teacher_Master!$B$2:$B$16,MATCH(AF791,Teacher_Master!$D$2:$D$16,0))</f>
        <v>Dr. Rohan Dutta</v>
      </c>
    </row>
    <row r="792" spans="1:35" ht="14.25" customHeight="1" x14ac:dyDescent="0.3">
      <c r="A792" s="31" t="s">
        <v>1619</v>
      </c>
      <c r="B792" s="31" t="s">
        <v>2654</v>
      </c>
      <c r="C792" s="31" t="s">
        <v>2881</v>
      </c>
      <c r="D792" s="12">
        <f t="shared" ca="1" si="72"/>
        <v>25</v>
      </c>
      <c r="E792" s="12" t="str">
        <f ca="1">IF(Table1[[#This Row],[Age]]&lt;=22,"20-22",IF(Table1[[#This Row],[Age]]&lt;=25,"23-25",IF(Table1[[#This Row],[Age]]&lt;=28,"26-28","29-30")))</f>
        <v>23-25</v>
      </c>
      <c r="F792" s="12">
        <v>4.04</v>
      </c>
      <c r="G792" s="12">
        <v>3.88</v>
      </c>
      <c r="H792" s="12">
        <v>3.62</v>
      </c>
      <c r="I792" s="12">
        <v>4.18</v>
      </c>
      <c r="J792" s="12">
        <v>3.9</v>
      </c>
      <c r="K792" s="12">
        <v>4.2300000000000004</v>
      </c>
      <c r="L792" s="12">
        <v>4.2699999999999996</v>
      </c>
      <c r="M792" s="12">
        <v>3.89</v>
      </c>
      <c r="N792" s="12">
        <v>3.82</v>
      </c>
      <c r="O792" s="12">
        <v>4</v>
      </c>
      <c r="P792" s="12">
        <f t="shared" si="73"/>
        <v>3.9239999999999995</v>
      </c>
      <c r="Q792" s="12">
        <f t="shared" si="74"/>
        <v>3.92</v>
      </c>
      <c r="R792" s="12">
        <f t="shared" si="75"/>
        <v>4.0419999999999998</v>
      </c>
      <c r="S792" s="28">
        <f>IFERROR(INDEX('Clean Gamification Data'!$B:$B,MATCH($B792,'Clean Gamification Data'!$A:$A,0)),"Not Found")</f>
        <v>80.150865830000001</v>
      </c>
      <c r="T792" s="28">
        <f>IFERROR(INDEX('Clean Gamification Data'!$C:$C,MATCH($B792,'Clean Gamification Data'!$A:$A,0)),"Not Found")</f>
        <v>72.545372549999996</v>
      </c>
      <c r="U792" s="28">
        <f>IFERROR(INDEX('Clean Gamification Data'!$D:$D,MATCH($B792,'Clean Gamification Data'!$A:$A,0)),"Not Found")</f>
        <v>75.988948500000006</v>
      </c>
      <c r="V792" s="28">
        <f>IFERROR(INDEX('Clean Gamification Data'!$E:$E,MATCH($B792,'Clean Gamification Data'!$A:$A,0)),"Not Found")</f>
        <v>68.932584829999996</v>
      </c>
      <c r="W792" s="28">
        <f>IFERROR(INDEX('Clean Gamification Data'!$F:$F,MATCH($B792,'Clean Gamification Data'!$A:$A,0)),"Not Found")</f>
        <v>99.297242080000004</v>
      </c>
      <c r="X792" s="28">
        <f>IFERROR(INDEX('Clean Gamification Data'!$G:$G,MATCH($B792,'Clean Gamification Data'!$A:$A,0)),"Not Found")</f>
        <v>77.884010169999996</v>
      </c>
      <c r="Y792" s="28">
        <f>IFERROR(INDEX('Clean Gamification Data'!$H:$H,MATCH($B792,'Clean Gamification Data'!$A:$A,0)),"Not Found")</f>
        <v>69.38221763</v>
      </c>
      <c r="Z792" s="28">
        <f>IFERROR(INDEX('Clean Gamification Data'!$I:$I,MATCH($B792,'Clean Gamification Data'!$A:$A,0)),"Not Found")</f>
        <v>69.395173</v>
      </c>
      <c r="AA792" s="28">
        <f>Table1[[#This Row],[Engagement (Gamification %)]]-Table1[[#This Row],[Engagement (Non-Gamification %)]]</f>
        <v>7.6054932800000046</v>
      </c>
      <c r="AB792" s="28">
        <f>Table1[[#This Row],[Motivation (Gamification %)]]-Table1[[#This Row],[Motivation (Non-Gamification %)]]</f>
        <v>7.0563636700000103</v>
      </c>
      <c r="AC792" s="28">
        <f>Table1[[#This Row],[Participation (Gamification %)]]-Table1[[#This Row],[Participation (Non-Gamification %)]]</f>
        <v>21.413231910000007</v>
      </c>
      <c r="AD792" s="28">
        <f>Table1[[#This Row],[Learning Outcomes (Gamification %)]]-Table1[[#This Row],[Learning Outcomes (Non-Gamification %)]]</f>
        <v>-1.2955370000000244E-2</v>
      </c>
      <c r="AE792" s="44" t="str">
        <f>IF(Table1[[#This Row],[Overall Effectiveness]]&lt;3.9,"Low",IF(Table1[[#This Row],[Overall Effectiveness]]&lt;4.2,"Medium","High"))</f>
        <v>Medium</v>
      </c>
      <c r="AF792" s="30" t="str">
        <f t="shared" si="76"/>
        <v>Experiments</v>
      </c>
      <c r="AG792" s="30" t="str">
        <f t="shared" si="77"/>
        <v>Case Studies</v>
      </c>
      <c r="AH792" s="27">
        <f>COUNTIF(Teacher_Master!$D$2:$D$16,AF792)</f>
        <v>3</v>
      </c>
      <c r="AI792" s="30" t="str">
        <f>INDEX(Teacher_Master!$B$2:$B$16,MATCH(AF792,Teacher_Master!$D$2:$D$16,0))</f>
        <v>Prof. Rahul Singh</v>
      </c>
    </row>
    <row r="793" spans="1:35" ht="14.25" customHeight="1" x14ac:dyDescent="0.3">
      <c r="A793" s="31" t="s">
        <v>1621</v>
      </c>
      <c r="B793" s="31" t="s">
        <v>2655</v>
      </c>
      <c r="C793" s="31" t="s">
        <v>2882</v>
      </c>
      <c r="D793" s="12">
        <f t="shared" ca="1" si="72"/>
        <v>28</v>
      </c>
      <c r="E793" s="12" t="str">
        <f ca="1">IF(Table1[[#This Row],[Age]]&lt;=22,"20-22",IF(Table1[[#This Row],[Age]]&lt;=25,"23-25",IF(Table1[[#This Row],[Age]]&lt;=28,"26-28","29-30")))</f>
        <v>26-28</v>
      </c>
      <c r="F793" s="12">
        <v>3.91</v>
      </c>
      <c r="G793" s="12">
        <v>3.83</v>
      </c>
      <c r="H793" s="12">
        <v>4.46</v>
      </c>
      <c r="I793" s="12">
        <v>3.87</v>
      </c>
      <c r="J793" s="12">
        <v>3.78</v>
      </c>
      <c r="K793" s="12">
        <v>3.73</v>
      </c>
      <c r="L793" s="12">
        <v>4.33</v>
      </c>
      <c r="M793" s="12">
        <v>4.26</v>
      </c>
      <c r="N793" s="12">
        <v>3.92</v>
      </c>
      <c r="O793" s="12">
        <v>3.96</v>
      </c>
      <c r="P793" s="12">
        <f t="shared" si="73"/>
        <v>3.97</v>
      </c>
      <c r="Q793" s="12">
        <f t="shared" si="74"/>
        <v>3.97</v>
      </c>
      <c r="R793" s="12">
        <f t="shared" si="75"/>
        <v>4.0400000000000009</v>
      </c>
      <c r="S793" s="28">
        <f>IFERROR(INDEX('Clean Gamification Data'!$B:$B,MATCH($B793,'Clean Gamification Data'!$A:$A,0)),"Not Found")</f>
        <v>88.856216020000005</v>
      </c>
      <c r="T793" s="28">
        <f>IFERROR(INDEX('Clean Gamification Data'!$C:$C,MATCH($B793,'Clean Gamification Data'!$A:$A,0)),"Not Found")</f>
        <v>60</v>
      </c>
      <c r="U793" s="28">
        <f>IFERROR(INDEX('Clean Gamification Data'!$D:$D,MATCH($B793,'Clean Gamification Data'!$A:$A,0)),"Not Found")</f>
        <v>77.380049150000005</v>
      </c>
      <c r="V793" s="28">
        <f>IFERROR(INDEX('Clean Gamification Data'!$E:$E,MATCH($B793,'Clean Gamification Data'!$A:$A,0)),"Not Found")</f>
        <v>62.681832180000001</v>
      </c>
      <c r="W793" s="28">
        <f>IFERROR(INDEX('Clean Gamification Data'!$F:$F,MATCH($B793,'Clean Gamification Data'!$A:$A,0)),"Not Found")</f>
        <v>88.935013029999993</v>
      </c>
      <c r="X793" s="28">
        <f>IFERROR(INDEX('Clean Gamification Data'!$G:$G,MATCH($B793,'Clean Gamification Data'!$A:$A,0)),"Not Found")</f>
        <v>76.593958839999999</v>
      </c>
      <c r="Y793" s="28">
        <f>IFERROR(INDEX('Clean Gamification Data'!$H:$H,MATCH($B793,'Clean Gamification Data'!$A:$A,0)),"Not Found")</f>
        <v>78.287640580000001</v>
      </c>
      <c r="Z793" s="28">
        <f>IFERROR(INDEX('Clean Gamification Data'!$I:$I,MATCH($B793,'Clean Gamification Data'!$A:$A,0)),"Not Found")</f>
        <v>50</v>
      </c>
      <c r="AA793" s="28">
        <f>Table1[[#This Row],[Engagement (Gamification %)]]-Table1[[#This Row],[Engagement (Non-Gamification %)]]</f>
        <v>28.856216020000005</v>
      </c>
      <c r="AB793" s="28">
        <f>Table1[[#This Row],[Motivation (Gamification %)]]-Table1[[#This Row],[Motivation (Non-Gamification %)]]</f>
        <v>14.698216970000004</v>
      </c>
      <c r="AC793" s="28">
        <f>Table1[[#This Row],[Participation (Gamification %)]]-Table1[[#This Row],[Participation (Non-Gamification %)]]</f>
        <v>12.341054189999994</v>
      </c>
      <c r="AD793" s="28">
        <f>Table1[[#This Row],[Learning Outcomes (Gamification %)]]-Table1[[#This Row],[Learning Outcomes (Non-Gamification %)]]</f>
        <v>28.287640580000001</v>
      </c>
      <c r="AE793" s="44" t="str">
        <f>IF(Table1[[#This Row],[Overall Effectiveness]]&lt;3.9,"Low",IF(Table1[[#This Row],[Overall Effectiveness]]&lt;4.2,"Medium","High"))</f>
        <v>Medium</v>
      </c>
      <c r="AF793" s="30" t="str">
        <f t="shared" si="76"/>
        <v>Group Projects</v>
      </c>
      <c r="AG793" s="30" t="str">
        <f t="shared" si="77"/>
        <v>Case Studies</v>
      </c>
      <c r="AH793" s="27">
        <f>COUNTIF(Teacher_Master!$D$2:$D$16,AF793)</f>
        <v>3</v>
      </c>
      <c r="AI793" s="30" t="str">
        <f>INDEX(Teacher_Master!$B$2:$B$16,MATCH(AF793,Teacher_Master!$D$2:$D$16,0))</f>
        <v>Dr. Rohan Dutta</v>
      </c>
    </row>
    <row r="794" spans="1:35" ht="14.25" customHeight="1" x14ac:dyDescent="0.3">
      <c r="A794" s="31" t="s">
        <v>1623</v>
      </c>
      <c r="B794" s="31" t="s">
        <v>2656</v>
      </c>
      <c r="C794" s="31" t="s">
        <v>2881</v>
      </c>
      <c r="D794" s="12">
        <f t="shared" ca="1" si="72"/>
        <v>25</v>
      </c>
      <c r="E794" s="12" t="str">
        <f ca="1">IF(Table1[[#This Row],[Age]]&lt;=22,"20-22",IF(Table1[[#This Row],[Age]]&lt;=25,"23-25",IF(Table1[[#This Row],[Age]]&lt;=28,"26-28","29-30")))</f>
        <v>23-25</v>
      </c>
      <c r="F794" s="12">
        <v>4.16</v>
      </c>
      <c r="G794" s="12">
        <v>3.96</v>
      </c>
      <c r="H794" s="12">
        <v>3.75</v>
      </c>
      <c r="I794" s="12">
        <v>4.0599999999999996</v>
      </c>
      <c r="J794" s="12">
        <v>4.22</v>
      </c>
      <c r="K794" s="12">
        <v>3.78</v>
      </c>
      <c r="L794" s="12">
        <v>3.98</v>
      </c>
      <c r="M794" s="12">
        <v>4.05</v>
      </c>
      <c r="N794" s="12">
        <v>4.7699999999999996</v>
      </c>
      <c r="O794" s="12">
        <v>4.41</v>
      </c>
      <c r="P794" s="12">
        <f t="shared" si="73"/>
        <v>4.0299999999999994</v>
      </c>
      <c r="Q794" s="12">
        <f t="shared" si="74"/>
        <v>4.03</v>
      </c>
      <c r="R794" s="12">
        <f t="shared" si="75"/>
        <v>4.1979999999999995</v>
      </c>
      <c r="S794" s="28">
        <f>IFERROR(INDEX('Clean Gamification Data'!$B:$B,MATCH($B794,'Clean Gamification Data'!$A:$A,0)),"Not Found")</f>
        <v>86.556287589999997</v>
      </c>
      <c r="T794" s="28">
        <f>IFERROR(INDEX('Clean Gamification Data'!$C:$C,MATCH($B794,'Clean Gamification Data'!$A:$A,0)),"Not Found")</f>
        <v>68.869722710000005</v>
      </c>
      <c r="U794" s="28">
        <f>IFERROR(INDEX('Clean Gamification Data'!$D:$D,MATCH($B794,'Clean Gamification Data'!$A:$A,0)),"Not Found")</f>
        <v>81.289788569999999</v>
      </c>
      <c r="V794" s="28">
        <f>IFERROR(INDEX('Clean Gamification Data'!$E:$E,MATCH($B794,'Clean Gamification Data'!$A:$A,0)),"Not Found")</f>
        <v>62.230548419999998</v>
      </c>
      <c r="W794" s="28">
        <f>IFERROR(INDEX('Clean Gamification Data'!$F:$F,MATCH($B794,'Clean Gamification Data'!$A:$A,0)),"Not Found")</f>
        <v>86.761649809999994</v>
      </c>
      <c r="X794" s="28">
        <f>IFERROR(INDEX('Clean Gamification Data'!$G:$G,MATCH($B794,'Clean Gamification Data'!$A:$A,0)),"Not Found")</f>
        <v>75.581974020000004</v>
      </c>
      <c r="Y794" s="28">
        <f>IFERROR(INDEX('Clean Gamification Data'!$H:$H,MATCH($B794,'Clean Gamification Data'!$A:$A,0)),"Not Found")</f>
        <v>69.926480530000006</v>
      </c>
      <c r="Z794" s="28">
        <f>IFERROR(INDEX('Clean Gamification Data'!$I:$I,MATCH($B794,'Clean Gamification Data'!$A:$A,0)),"Not Found")</f>
        <v>51.415109440000002</v>
      </c>
      <c r="AA794" s="28">
        <f>Table1[[#This Row],[Engagement (Gamification %)]]-Table1[[#This Row],[Engagement (Non-Gamification %)]]</f>
        <v>17.686564879999992</v>
      </c>
      <c r="AB794" s="28">
        <f>Table1[[#This Row],[Motivation (Gamification %)]]-Table1[[#This Row],[Motivation (Non-Gamification %)]]</f>
        <v>19.059240150000001</v>
      </c>
      <c r="AC794" s="28">
        <f>Table1[[#This Row],[Participation (Gamification %)]]-Table1[[#This Row],[Participation (Non-Gamification %)]]</f>
        <v>11.17967578999999</v>
      </c>
      <c r="AD794" s="28">
        <f>Table1[[#This Row],[Learning Outcomes (Gamification %)]]-Table1[[#This Row],[Learning Outcomes (Non-Gamification %)]]</f>
        <v>18.511371090000004</v>
      </c>
      <c r="AE794" s="44" t="str">
        <f>IF(Table1[[#This Row],[Overall Effectiveness]]&lt;3.9,"Low",IF(Table1[[#This Row],[Overall Effectiveness]]&lt;4.2,"Medium","High"))</f>
        <v>Medium</v>
      </c>
      <c r="AF794" s="30" t="str">
        <f t="shared" si="76"/>
        <v>Online Tutorials</v>
      </c>
      <c r="AG794" s="30" t="str">
        <f t="shared" si="77"/>
        <v>Experiments</v>
      </c>
      <c r="AH794" s="27">
        <f>COUNTIF(Teacher_Master!$D$2:$D$16,AF794)</f>
        <v>3</v>
      </c>
      <c r="AI794" s="30" t="str">
        <f>INDEX(Teacher_Master!$B$2:$B$16,MATCH(AF794,Teacher_Master!$D$2:$D$16,0))</f>
        <v>Prof. Kavita Rao</v>
      </c>
    </row>
    <row r="795" spans="1:35" ht="14.25" customHeight="1" x14ac:dyDescent="0.3">
      <c r="A795" s="31" t="s">
        <v>1625</v>
      </c>
      <c r="B795" s="31" t="s">
        <v>2657</v>
      </c>
      <c r="C795" s="31" t="s">
        <v>2881</v>
      </c>
      <c r="D795" s="12">
        <f t="shared" ca="1" si="72"/>
        <v>25</v>
      </c>
      <c r="E795" s="12" t="str">
        <f ca="1">IF(Table1[[#This Row],[Age]]&lt;=22,"20-22",IF(Table1[[#This Row],[Age]]&lt;=25,"23-25",IF(Table1[[#This Row],[Age]]&lt;=28,"26-28","29-30")))</f>
        <v>23-25</v>
      </c>
      <c r="F795" s="12">
        <v>3.93</v>
      </c>
      <c r="G795" s="12">
        <v>3.76</v>
      </c>
      <c r="H795" s="12">
        <v>3.78</v>
      </c>
      <c r="I795" s="12">
        <v>4.6900000000000004</v>
      </c>
      <c r="J795" s="12">
        <v>4.12</v>
      </c>
      <c r="K795" s="12">
        <v>3.86</v>
      </c>
      <c r="L795" s="12">
        <v>4.25</v>
      </c>
      <c r="M795" s="12">
        <v>4.0599999999999996</v>
      </c>
      <c r="N795" s="12">
        <v>3.65</v>
      </c>
      <c r="O795" s="12">
        <v>3.87</v>
      </c>
      <c r="P795" s="12">
        <f t="shared" si="73"/>
        <v>4.056</v>
      </c>
      <c r="Q795" s="12">
        <f t="shared" si="74"/>
        <v>4.0599999999999996</v>
      </c>
      <c r="R795" s="12">
        <f t="shared" si="75"/>
        <v>3.9379999999999997</v>
      </c>
      <c r="S795" s="28">
        <f>IFERROR(INDEX('Clean Gamification Data'!$B:$B,MATCH($B795,'Clean Gamification Data'!$A:$A,0)),"Not Found")</f>
        <v>95.897995879999996</v>
      </c>
      <c r="T795" s="28">
        <f>IFERROR(INDEX('Clean Gamification Data'!$C:$C,MATCH($B795,'Clean Gamification Data'!$A:$A,0)),"Not Found")</f>
        <v>65.048560879999997</v>
      </c>
      <c r="U795" s="28">
        <f>IFERROR(INDEX('Clean Gamification Data'!$D:$D,MATCH($B795,'Clean Gamification Data'!$A:$A,0)),"Not Found")</f>
        <v>70.108402040000001</v>
      </c>
      <c r="V795" s="28">
        <f>IFERROR(INDEX('Clean Gamification Data'!$E:$E,MATCH($B795,'Clean Gamification Data'!$A:$A,0)),"Not Found")</f>
        <v>64.486921170000002</v>
      </c>
      <c r="W795" s="28">
        <f>IFERROR(INDEX('Clean Gamification Data'!$F:$F,MATCH($B795,'Clean Gamification Data'!$A:$A,0)),"Not Found")</f>
        <v>93.041867460000006</v>
      </c>
      <c r="X795" s="28">
        <f>IFERROR(INDEX('Clean Gamification Data'!$G:$G,MATCH($B795,'Clean Gamification Data'!$A:$A,0)),"Not Found")</f>
        <v>66.505268009999995</v>
      </c>
      <c r="Y795" s="28">
        <f>IFERROR(INDEX('Clean Gamification Data'!$H:$H,MATCH($B795,'Clean Gamification Data'!$A:$A,0)),"Not Found")</f>
        <v>65</v>
      </c>
      <c r="Z795" s="28">
        <f>IFERROR(INDEX('Clean Gamification Data'!$I:$I,MATCH($B795,'Clean Gamification Data'!$A:$A,0)),"Not Found")</f>
        <v>54.099956970000001</v>
      </c>
      <c r="AA795" s="28">
        <f>Table1[[#This Row],[Engagement (Gamification %)]]-Table1[[#This Row],[Engagement (Non-Gamification %)]]</f>
        <v>30.849435</v>
      </c>
      <c r="AB795" s="28">
        <f>Table1[[#This Row],[Motivation (Gamification %)]]-Table1[[#This Row],[Motivation (Non-Gamification %)]]</f>
        <v>5.6214808699999992</v>
      </c>
      <c r="AC795" s="28">
        <f>Table1[[#This Row],[Participation (Gamification %)]]-Table1[[#This Row],[Participation (Non-Gamification %)]]</f>
        <v>26.536599450000011</v>
      </c>
      <c r="AD795" s="28">
        <f>Table1[[#This Row],[Learning Outcomes (Gamification %)]]-Table1[[#This Row],[Learning Outcomes (Non-Gamification %)]]</f>
        <v>10.900043029999999</v>
      </c>
      <c r="AE795" s="44" t="str">
        <f>IF(Table1[[#This Row],[Overall Effectiveness]]&lt;3.9,"Low",IF(Table1[[#This Row],[Overall Effectiveness]]&lt;4.2,"Medium","High"))</f>
        <v>Medium</v>
      </c>
      <c r="AF795" s="30" t="str">
        <f t="shared" si="76"/>
        <v>Experiments</v>
      </c>
      <c r="AG795" s="30" t="str">
        <f t="shared" si="77"/>
        <v>Case Studies</v>
      </c>
      <c r="AH795" s="27">
        <f>COUNTIF(Teacher_Master!$D$2:$D$16,AF795)</f>
        <v>3</v>
      </c>
      <c r="AI795" s="30" t="str">
        <f>INDEX(Teacher_Master!$B$2:$B$16,MATCH(AF795,Teacher_Master!$D$2:$D$16,0))</f>
        <v>Prof. Rahul Singh</v>
      </c>
    </row>
    <row r="796" spans="1:35" ht="14.25" customHeight="1" x14ac:dyDescent="0.3">
      <c r="A796" s="31" t="s">
        <v>1627</v>
      </c>
      <c r="B796" s="31" t="s">
        <v>1628</v>
      </c>
      <c r="C796" s="31" t="s">
        <v>2882</v>
      </c>
      <c r="D796" s="12">
        <f t="shared" ca="1" si="72"/>
        <v>26</v>
      </c>
      <c r="E796" s="12" t="str">
        <f ca="1">IF(Table1[[#This Row],[Age]]&lt;=22,"20-22",IF(Table1[[#This Row],[Age]]&lt;=25,"23-25",IF(Table1[[#This Row],[Age]]&lt;=28,"26-28","29-30")))</f>
        <v>26-28</v>
      </c>
      <c r="F796" s="12">
        <v>5.0599999999999996</v>
      </c>
      <c r="G796" s="12">
        <v>3.9</v>
      </c>
      <c r="H796" s="12" t="s">
        <v>211</v>
      </c>
      <c r="I796" s="12">
        <v>4.09</v>
      </c>
      <c r="J796" s="12">
        <v>3.87</v>
      </c>
      <c r="K796" s="12">
        <v>4</v>
      </c>
      <c r="L796" s="12">
        <v>4.01</v>
      </c>
      <c r="M796" s="12">
        <v>3.32</v>
      </c>
      <c r="N796" s="12">
        <v>4.08</v>
      </c>
      <c r="O796" s="12">
        <v>4.12</v>
      </c>
      <c r="P796" s="12">
        <f t="shared" si="73"/>
        <v>4.2299999999999995</v>
      </c>
      <c r="Q796" s="12">
        <f t="shared" si="74"/>
        <v>4.2300000000000004</v>
      </c>
      <c r="R796" s="12">
        <f t="shared" si="75"/>
        <v>3.9060000000000001</v>
      </c>
      <c r="S796" s="28">
        <f>IFERROR(INDEX('Clean Gamification Data'!$B:$B,MATCH($B796,'Clean Gamification Data'!$A:$A,0)),"Not Found")</f>
        <v>90.621837499999998</v>
      </c>
      <c r="T796" s="28">
        <f>IFERROR(INDEX('Clean Gamification Data'!$C:$C,MATCH($B796,'Clean Gamification Data'!$A:$A,0)),"Not Found")</f>
        <v>69.218310549999998</v>
      </c>
      <c r="U796" s="28">
        <f>IFERROR(INDEX('Clean Gamification Data'!$D:$D,MATCH($B796,'Clean Gamification Data'!$A:$A,0)),"Not Found")</f>
        <v>81.555105019999999</v>
      </c>
      <c r="V796" s="28">
        <f>IFERROR(INDEX('Clean Gamification Data'!$E:$E,MATCH($B796,'Clean Gamification Data'!$A:$A,0)),"Not Found")</f>
        <v>68.12014035</v>
      </c>
      <c r="W796" s="28">
        <f>IFERROR(INDEX('Clean Gamification Data'!$F:$F,MATCH($B796,'Clean Gamification Data'!$A:$A,0)),"Not Found")</f>
        <v>88.429351620000006</v>
      </c>
      <c r="X796" s="28">
        <f>IFERROR(INDEX('Clean Gamification Data'!$G:$G,MATCH($B796,'Clean Gamification Data'!$A:$A,0)),"Not Found")</f>
        <v>83.759069859999997</v>
      </c>
      <c r="Y796" s="28">
        <f>IFERROR(INDEX('Clean Gamification Data'!$H:$H,MATCH($B796,'Clean Gamification Data'!$A:$A,0)),"Not Found")</f>
        <v>66.202821839999999</v>
      </c>
      <c r="Z796" s="28">
        <f>IFERROR(INDEX('Clean Gamification Data'!$I:$I,MATCH($B796,'Clean Gamification Data'!$A:$A,0)),"Not Found")</f>
        <v>56.853779240000001</v>
      </c>
      <c r="AA796" s="28">
        <f>Table1[[#This Row],[Engagement (Gamification %)]]-Table1[[#This Row],[Engagement (Non-Gamification %)]]</f>
        <v>21.40352695</v>
      </c>
      <c r="AB796" s="28">
        <f>Table1[[#This Row],[Motivation (Gamification %)]]-Table1[[#This Row],[Motivation (Non-Gamification %)]]</f>
        <v>13.434964669999999</v>
      </c>
      <c r="AC796" s="28">
        <f>Table1[[#This Row],[Participation (Gamification %)]]-Table1[[#This Row],[Participation (Non-Gamification %)]]</f>
        <v>4.6702817600000088</v>
      </c>
      <c r="AD796" s="28">
        <f>Table1[[#This Row],[Learning Outcomes (Gamification %)]]-Table1[[#This Row],[Learning Outcomes (Non-Gamification %)]]</f>
        <v>9.3490425999999971</v>
      </c>
      <c r="AE796" s="44" t="str">
        <f>IF(Table1[[#This Row],[Overall Effectiveness]]&lt;3.9,"Low",IF(Table1[[#This Row],[Overall Effectiveness]]&lt;4.2,"Medium","High"))</f>
        <v>High</v>
      </c>
      <c r="AF796" s="30" t="str">
        <f t="shared" si="76"/>
        <v>Lectures</v>
      </c>
      <c r="AG796" s="30" t="str">
        <f t="shared" si="77"/>
        <v>Online Tutorials</v>
      </c>
      <c r="AH796" s="27">
        <f>COUNTIF(Teacher_Master!$D$2:$D$16,AF796)</f>
        <v>3</v>
      </c>
      <c r="AI796" s="30" t="str">
        <f>INDEX(Teacher_Master!$B$2:$B$16,MATCH(AF796,Teacher_Master!$D$2:$D$16,0))</f>
        <v>Prof. Vikram Gupta</v>
      </c>
    </row>
    <row r="797" spans="1:35" ht="14.25" customHeight="1" x14ac:dyDescent="0.3">
      <c r="A797" s="31" t="s">
        <v>1629</v>
      </c>
      <c r="B797" s="31" t="s">
        <v>2658</v>
      </c>
      <c r="C797" s="31" t="s">
        <v>2881</v>
      </c>
      <c r="D797" s="12">
        <f t="shared" ca="1" si="72"/>
        <v>29</v>
      </c>
      <c r="E797" s="12" t="str">
        <f ca="1">IF(Table1[[#This Row],[Age]]&lt;=22,"20-22",IF(Table1[[#This Row],[Age]]&lt;=25,"23-25",IF(Table1[[#This Row],[Age]]&lt;=28,"26-28","29-30")))</f>
        <v>29-30</v>
      </c>
      <c r="F797" s="12">
        <v>3.87</v>
      </c>
      <c r="G797" s="12">
        <v>4.04</v>
      </c>
      <c r="H797" s="12" t="s">
        <v>211</v>
      </c>
      <c r="I797" s="12">
        <v>3.93</v>
      </c>
      <c r="J797" s="12">
        <v>4.1100000000000003</v>
      </c>
      <c r="K797" s="12">
        <v>4.33</v>
      </c>
      <c r="L797" s="12">
        <v>4.1500000000000004</v>
      </c>
      <c r="M797" s="12">
        <v>4.5599999999999996</v>
      </c>
      <c r="N797" s="12">
        <v>4.28</v>
      </c>
      <c r="O797" s="12">
        <v>3.96</v>
      </c>
      <c r="P797" s="12">
        <f t="shared" si="73"/>
        <v>3.9874999999999998</v>
      </c>
      <c r="Q797" s="12">
        <f t="shared" si="74"/>
        <v>3.99</v>
      </c>
      <c r="R797" s="12">
        <f t="shared" si="75"/>
        <v>4.2560000000000002</v>
      </c>
      <c r="S797" s="28">
        <f>IFERROR(INDEX('Clean Gamification Data'!$B:$B,MATCH($B797,'Clean Gamification Data'!$A:$A,0)),"Not Found")</f>
        <v>89.412804820000005</v>
      </c>
      <c r="T797" s="28">
        <f>IFERROR(INDEX('Clean Gamification Data'!$C:$C,MATCH($B797,'Clean Gamification Data'!$A:$A,0)),"Not Found")</f>
        <v>70.278104780000007</v>
      </c>
      <c r="U797" s="28">
        <f>IFERROR(INDEX('Clean Gamification Data'!$D:$D,MATCH($B797,'Clean Gamification Data'!$A:$A,0)),"Not Found")</f>
        <v>75.183249270000005</v>
      </c>
      <c r="V797" s="28">
        <f>IFERROR(INDEX('Clean Gamification Data'!$E:$E,MATCH($B797,'Clean Gamification Data'!$A:$A,0)),"Not Found")</f>
        <v>58.792538630000003</v>
      </c>
      <c r="W797" s="28">
        <f>IFERROR(INDEX('Clean Gamification Data'!$F:$F,MATCH($B797,'Clean Gamification Data'!$A:$A,0)),"Not Found")</f>
        <v>90.314285260000005</v>
      </c>
      <c r="X797" s="28">
        <f>IFERROR(INDEX('Clean Gamification Data'!$G:$G,MATCH($B797,'Clean Gamification Data'!$A:$A,0)),"Not Found")</f>
        <v>81.084385049999995</v>
      </c>
      <c r="Y797" s="28">
        <f>IFERROR(INDEX('Clean Gamification Data'!$H:$H,MATCH($B797,'Clean Gamification Data'!$A:$A,0)),"Not Found")</f>
        <v>70.671066850000003</v>
      </c>
      <c r="Z797" s="28">
        <f>IFERROR(INDEX('Clean Gamification Data'!$I:$I,MATCH($B797,'Clean Gamification Data'!$A:$A,0)),"Not Found")</f>
        <v>50</v>
      </c>
      <c r="AA797" s="28">
        <f>Table1[[#This Row],[Engagement (Gamification %)]]-Table1[[#This Row],[Engagement (Non-Gamification %)]]</f>
        <v>19.134700039999998</v>
      </c>
      <c r="AB797" s="28">
        <f>Table1[[#This Row],[Motivation (Gamification %)]]-Table1[[#This Row],[Motivation (Non-Gamification %)]]</f>
        <v>16.390710640000002</v>
      </c>
      <c r="AC797" s="28">
        <f>Table1[[#This Row],[Participation (Gamification %)]]-Table1[[#This Row],[Participation (Non-Gamification %)]]</f>
        <v>9.2299002100000109</v>
      </c>
      <c r="AD797" s="28">
        <f>Table1[[#This Row],[Learning Outcomes (Gamification %)]]-Table1[[#This Row],[Learning Outcomes (Non-Gamification %)]]</f>
        <v>20.671066850000003</v>
      </c>
      <c r="AE797" s="44" t="str">
        <f>IF(Table1[[#This Row],[Overall Effectiveness]]&lt;3.9,"Low",IF(Table1[[#This Row],[Overall Effectiveness]]&lt;4.2,"Medium","High"))</f>
        <v>Medium</v>
      </c>
      <c r="AF797" s="30" t="str">
        <f t="shared" si="76"/>
        <v>Online Tutorials</v>
      </c>
      <c r="AG797" s="30" t="str">
        <f t="shared" si="77"/>
        <v>Group Projects</v>
      </c>
      <c r="AH797" s="27">
        <f>COUNTIF(Teacher_Master!$D$2:$D$16,AF797)</f>
        <v>3</v>
      </c>
      <c r="AI797" s="30" t="str">
        <f>INDEX(Teacher_Master!$B$2:$B$16,MATCH(AF797,Teacher_Master!$D$2:$D$16,0))</f>
        <v>Prof. Kavita Rao</v>
      </c>
    </row>
    <row r="798" spans="1:35" ht="14.25" customHeight="1" x14ac:dyDescent="0.3">
      <c r="A798" s="31" t="s">
        <v>1631</v>
      </c>
      <c r="B798" s="31" t="s">
        <v>2659</v>
      </c>
      <c r="C798" s="31" t="s">
        <v>2882</v>
      </c>
      <c r="D798" s="12">
        <f t="shared" ca="1" si="72"/>
        <v>20</v>
      </c>
      <c r="E798" s="12" t="str">
        <f ca="1">IF(Table1[[#This Row],[Age]]&lt;=22,"20-22",IF(Table1[[#This Row],[Age]]&lt;=25,"23-25",IF(Table1[[#This Row],[Age]]&lt;=28,"26-28","29-30")))</f>
        <v>20-22</v>
      </c>
      <c r="F798" s="12">
        <v>4.33</v>
      </c>
      <c r="G798" s="12">
        <v>3.96</v>
      </c>
      <c r="H798" s="12">
        <v>3.8</v>
      </c>
      <c r="I798" s="12">
        <v>3.97</v>
      </c>
      <c r="J798" s="12">
        <v>4.04</v>
      </c>
      <c r="K798" s="12">
        <v>3.68</v>
      </c>
      <c r="L798" s="12">
        <v>3.73</v>
      </c>
      <c r="M798" s="12">
        <v>4.0199999999999996</v>
      </c>
      <c r="N798" s="12">
        <v>4.12</v>
      </c>
      <c r="O798" s="12">
        <v>4.2300000000000004</v>
      </c>
      <c r="P798" s="12">
        <f t="shared" si="73"/>
        <v>4.0199999999999996</v>
      </c>
      <c r="Q798" s="12">
        <f t="shared" si="74"/>
        <v>4.0199999999999996</v>
      </c>
      <c r="R798" s="12">
        <f t="shared" si="75"/>
        <v>3.9560000000000004</v>
      </c>
      <c r="S798" s="28">
        <f>IFERROR(INDEX('Clean Gamification Data'!$B:$B,MATCH($B798,'Clean Gamification Data'!$A:$A,0)),"Not Found")</f>
        <v>91.897930040000006</v>
      </c>
      <c r="T798" s="28">
        <f>IFERROR(INDEX('Clean Gamification Data'!$C:$C,MATCH($B798,'Clean Gamification Data'!$A:$A,0)),"Not Found")</f>
        <v>62.177534549999997</v>
      </c>
      <c r="U798" s="28">
        <f>IFERROR(INDEX('Clean Gamification Data'!$D:$D,MATCH($B798,'Clean Gamification Data'!$A:$A,0)),"Not Found")</f>
        <v>70</v>
      </c>
      <c r="V798" s="28">
        <f>IFERROR(INDEX('Clean Gamification Data'!$E:$E,MATCH($B798,'Clean Gamification Data'!$A:$A,0)),"Not Found")</f>
        <v>61.596638579999997</v>
      </c>
      <c r="W798" s="28">
        <f>IFERROR(INDEX('Clean Gamification Data'!$F:$F,MATCH($B798,'Clean Gamification Data'!$A:$A,0)),"Not Found")</f>
        <v>86.749572889999996</v>
      </c>
      <c r="X798" s="28">
        <f>IFERROR(INDEX('Clean Gamification Data'!$G:$G,MATCH($B798,'Clean Gamification Data'!$A:$A,0)),"Not Found")</f>
        <v>78.950603810000004</v>
      </c>
      <c r="Y798" s="28">
        <f>IFERROR(INDEX('Clean Gamification Data'!$H:$H,MATCH($B798,'Clean Gamification Data'!$A:$A,0)),"Not Found")</f>
        <v>72.846594690000003</v>
      </c>
      <c r="Z798" s="28">
        <f>IFERROR(INDEX('Clean Gamification Data'!$I:$I,MATCH($B798,'Clean Gamification Data'!$A:$A,0)),"Not Found")</f>
        <v>54.956813400000001</v>
      </c>
      <c r="AA798" s="28">
        <f>Table1[[#This Row],[Engagement (Gamification %)]]-Table1[[#This Row],[Engagement (Non-Gamification %)]]</f>
        <v>29.720395490000008</v>
      </c>
      <c r="AB798" s="28">
        <f>Table1[[#This Row],[Motivation (Gamification %)]]-Table1[[#This Row],[Motivation (Non-Gamification %)]]</f>
        <v>8.4033614200000031</v>
      </c>
      <c r="AC798" s="28">
        <f>Table1[[#This Row],[Participation (Gamification %)]]-Table1[[#This Row],[Participation (Non-Gamification %)]]</f>
        <v>7.798969079999992</v>
      </c>
      <c r="AD798" s="28">
        <f>Table1[[#This Row],[Learning Outcomes (Gamification %)]]-Table1[[#This Row],[Learning Outcomes (Non-Gamification %)]]</f>
        <v>17.889781290000002</v>
      </c>
      <c r="AE798" s="44" t="str">
        <f>IF(Table1[[#This Row],[Overall Effectiveness]]&lt;3.9,"Low",IF(Table1[[#This Row],[Overall Effectiveness]]&lt;4.2,"Medium","High"))</f>
        <v>Medium</v>
      </c>
      <c r="AF798" s="30" t="str">
        <f t="shared" si="76"/>
        <v>Lectures</v>
      </c>
      <c r="AG798" s="30" t="str">
        <f t="shared" si="77"/>
        <v>Online Tutorials</v>
      </c>
      <c r="AH798" s="27">
        <f>COUNTIF(Teacher_Master!$D$2:$D$16,AF798)</f>
        <v>3</v>
      </c>
      <c r="AI798" s="30" t="str">
        <f>INDEX(Teacher_Master!$B$2:$B$16,MATCH(AF798,Teacher_Master!$D$2:$D$16,0))</f>
        <v>Prof. Vikram Gupta</v>
      </c>
    </row>
    <row r="799" spans="1:35" ht="14.25" customHeight="1" x14ac:dyDescent="0.3">
      <c r="A799" s="31" t="s">
        <v>1633</v>
      </c>
      <c r="B799" s="31" t="s">
        <v>2660</v>
      </c>
      <c r="C799" s="31" t="s">
        <v>2882</v>
      </c>
      <c r="D799" s="12">
        <f t="shared" ca="1" si="72"/>
        <v>27</v>
      </c>
      <c r="E799" s="12" t="str">
        <f ca="1">IF(Table1[[#This Row],[Age]]&lt;=22,"20-22",IF(Table1[[#This Row],[Age]]&lt;=25,"23-25",IF(Table1[[#This Row],[Age]]&lt;=28,"26-28","29-30")))</f>
        <v>26-28</v>
      </c>
      <c r="F799" s="12">
        <v>4.5</v>
      </c>
      <c r="G799" s="12">
        <v>4.3899999999999997</v>
      </c>
      <c r="H799" s="12">
        <v>3.89</v>
      </c>
      <c r="I799" s="12">
        <v>3.95</v>
      </c>
      <c r="J799" s="12">
        <v>4.1900000000000004</v>
      </c>
      <c r="K799" s="12">
        <v>4.54</v>
      </c>
      <c r="L799" s="12">
        <v>3.73</v>
      </c>
      <c r="M799" s="12">
        <v>4.1900000000000004</v>
      </c>
      <c r="N799" s="12" t="s">
        <v>211</v>
      </c>
      <c r="O799" s="12">
        <v>3.91</v>
      </c>
      <c r="P799" s="12">
        <f t="shared" si="73"/>
        <v>4.1840000000000002</v>
      </c>
      <c r="Q799" s="12">
        <f t="shared" si="74"/>
        <v>4.18</v>
      </c>
      <c r="R799" s="12">
        <f t="shared" si="75"/>
        <v>4.0925000000000002</v>
      </c>
      <c r="S799" s="28">
        <f>IFERROR(INDEX('Clean Gamification Data'!$B:$B,MATCH($B799,'Clean Gamification Data'!$A:$A,0)),"Not Found")</f>
        <v>84.612834219999996</v>
      </c>
      <c r="T799" s="28">
        <f>IFERROR(INDEX('Clean Gamification Data'!$C:$C,MATCH($B799,'Clean Gamification Data'!$A:$A,0)),"Not Found")</f>
        <v>62.372563909999997</v>
      </c>
      <c r="U799" s="28">
        <f>IFERROR(INDEX('Clean Gamification Data'!$D:$D,MATCH($B799,'Clean Gamification Data'!$A:$A,0)),"Not Found")</f>
        <v>77.236239769999997</v>
      </c>
      <c r="V799" s="28">
        <f>IFERROR(INDEX('Clean Gamification Data'!$E:$E,MATCH($B799,'Clean Gamification Data'!$A:$A,0)),"Not Found")</f>
        <v>64.856862919999998</v>
      </c>
      <c r="W799" s="28">
        <f>IFERROR(INDEX('Clean Gamification Data'!$F:$F,MATCH($B799,'Clean Gamification Data'!$A:$A,0)),"Not Found")</f>
        <v>98.573214780000001</v>
      </c>
      <c r="X799" s="28">
        <f>IFERROR(INDEX('Clean Gamification Data'!$G:$G,MATCH($B799,'Clean Gamification Data'!$A:$A,0)),"Not Found")</f>
        <v>75.734048639999997</v>
      </c>
      <c r="Y799" s="28">
        <f>IFERROR(INDEX('Clean Gamification Data'!$H:$H,MATCH($B799,'Clean Gamification Data'!$A:$A,0)),"Not Found")</f>
        <v>73.99413783</v>
      </c>
      <c r="Z799" s="28">
        <f>IFERROR(INDEX('Clean Gamification Data'!$I:$I,MATCH($B799,'Clean Gamification Data'!$A:$A,0)),"Not Found")</f>
        <v>65.940863980000003</v>
      </c>
      <c r="AA799" s="28">
        <f>Table1[[#This Row],[Engagement (Gamification %)]]-Table1[[#This Row],[Engagement (Non-Gamification %)]]</f>
        <v>22.24027031</v>
      </c>
      <c r="AB799" s="28">
        <f>Table1[[#This Row],[Motivation (Gamification %)]]-Table1[[#This Row],[Motivation (Non-Gamification %)]]</f>
        <v>12.37937685</v>
      </c>
      <c r="AC799" s="28">
        <f>Table1[[#This Row],[Participation (Gamification %)]]-Table1[[#This Row],[Participation (Non-Gamification %)]]</f>
        <v>22.839166140000003</v>
      </c>
      <c r="AD799" s="28">
        <f>Table1[[#This Row],[Learning Outcomes (Gamification %)]]-Table1[[#This Row],[Learning Outcomes (Non-Gamification %)]]</f>
        <v>8.0532738499999965</v>
      </c>
      <c r="AE799" s="44" t="str">
        <f>IF(Table1[[#This Row],[Overall Effectiveness]]&lt;3.9,"Low",IF(Table1[[#This Row],[Overall Effectiveness]]&lt;4.2,"Medium","High"))</f>
        <v>Medium</v>
      </c>
      <c r="AF799" s="30" t="str">
        <f t="shared" si="76"/>
        <v>Lectures</v>
      </c>
      <c r="AG799" s="30" t="str">
        <f t="shared" si="77"/>
        <v>Lectures</v>
      </c>
      <c r="AH799" s="27">
        <f>COUNTIF(Teacher_Master!$D$2:$D$16,AF799)</f>
        <v>3</v>
      </c>
      <c r="AI799" s="30" t="str">
        <f>INDEX(Teacher_Master!$B$2:$B$16,MATCH(AF799,Teacher_Master!$D$2:$D$16,0))</f>
        <v>Prof. Vikram Gupta</v>
      </c>
    </row>
    <row r="800" spans="1:35" ht="14.25" customHeight="1" x14ac:dyDescent="0.3">
      <c r="A800" s="31" t="s">
        <v>1635</v>
      </c>
      <c r="B800" s="31" t="s">
        <v>1636</v>
      </c>
      <c r="C800" s="31" t="s">
        <v>2882</v>
      </c>
      <c r="D800" s="12">
        <f t="shared" ca="1" si="72"/>
        <v>27</v>
      </c>
      <c r="E800" s="12" t="str">
        <f ca="1">IF(Table1[[#This Row],[Age]]&lt;=22,"20-22",IF(Table1[[#This Row],[Age]]&lt;=25,"23-25",IF(Table1[[#This Row],[Age]]&lt;=28,"26-28","29-30")))</f>
        <v>26-28</v>
      </c>
      <c r="F800" s="12">
        <v>3.79</v>
      </c>
      <c r="G800" s="12">
        <v>3.84</v>
      </c>
      <c r="H800" s="12">
        <v>3.77</v>
      </c>
      <c r="I800" s="12">
        <v>3.92</v>
      </c>
      <c r="J800" s="12">
        <v>3.97</v>
      </c>
      <c r="K800" s="12">
        <v>3.96</v>
      </c>
      <c r="L800" s="12">
        <v>4.09</v>
      </c>
      <c r="M800" s="12">
        <v>4.12</v>
      </c>
      <c r="N800" s="12">
        <v>3.63</v>
      </c>
      <c r="O800" s="12">
        <v>4.0199999999999996</v>
      </c>
      <c r="P800" s="12">
        <f t="shared" si="73"/>
        <v>3.8579999999999997</v>
      </c>
      <c r="Q800" s="12">
        <f t="shared" si="74"/>
        <v>3.86</v>
      </c>
      <c r="R800" s="12">
        <f t="shared" si="75"/>
        <v>3.964</v>
      </c>
      <c r="S800" s="28">
        <f>IFERROR(INDEX('Clean Gamification Data'!$B:$B,MATCH($B800,'Clean Gamification Data'!$A:$A,0)),"Not Found")</f>
        <v>84.74964602</v>
      </c>
      <c r="T800" s="28">
        <f>IFERROR(INDEX('Clean Gamification Data'!$C:$C,MATCH($B800,'Clean Gamification Data'!$A:$A,0)),"Not Found")</f>
        <v>66.581173219999997</v>
      </c>
      <c r="U800" s="28">
        <f>IFERROR(INDEX('Clean Gamification Data'!$D:$D,MATCH($B800,'Clean Gamification Data'!$A:$A,0)),"Not Found")</f>
        <v>79.47302766</v>
      </c>
      <c r="V800" s="28">
        <f>IFERROR(INDEX('Clean Gamification Data'!$E:$E,MATCH($B800,'Clean Gamification Data'!$A:$A,0)),"Not Found")</f>
        <v>64.845344080000004</v>
      </c>
      <c r="W800" s="28">
        <f>IFERROR(INDEX('Clean Gamification Data'!$F:$F,MATCH($B800,'Clean Gamification Data'!$A:$A,0)),"Not Found")</f>
        <v>84.039357019999997</v>
      </c>
      <c r="X800" s="28">
        <f>IFERROR(INDEX('Clean Gamification Data'!$G:$G,MATCH($B800,'Clean Gamification Data'!$A:$A,0)),"Not Found")</f>
        <v>74.805471850000004</v>
      </c>
      <c r="Y800" s="28">
        <f>IFERROR(INDEX('Clean Gamification Data'!$H:$H,MATCH($B800,'Clean Gamification Data'!$A:$A,0)),"Not Found")</f>
        <v>71.304750690000006</v>
      </c>
      <c r="Z800" s="28">
        <f>IFERROR(INDEX('Clean Gamification Data'!$I:$I,MATCH($B800,'Clean Gamification Data'!$A:$A,0)),"Not Found")</f>
        <v>68.261930550000002</v>
      </c>
      <c r="AA800" s="28">
        <f>Table1[[#This Row],[Engagement (Gamification %)]]-Table1[[#This Row],[Engagement (Non-Gamification %)]]</f>
        <v>18.168472800000004</v>
      </c>
      <c r="AB800" s="28">
        <f>Table1[[#This Row],[Motivation (Gamification %)]]-Table1[[#This Row],[Motivation (Non-Gamification %)]]</f>
        <v>14.627683579999996</v>
      </c>
      <c r="AC800" s="28">
        <f>Table1[[#This Row],[Participation (Gamification %)]]-Table1[[#This Row],[Participation (Non-Gamification %)]]</f>
        <v>9.2338851699999935</v>
      </c>
      <c r="AD800" s="28">
        <f>Table1[[#This Row],[Learning Outcomes (Gamification %)]]-Table1[[#This Row],[Learning Outcomes (Non-Gamification %)]]</f>
        <v>3.0428201400000034</v>
      </c>
      <c r="AE800" s="44" t="str">
        <f>IF(Table1[[#This Row],[Overall Effectiveness]]&lt;3.9,"Low",IF(Table1[[#This Row],[Overall Effectiveness]]&lt;4.2,"Medium","High"))</f>
        <v>Low</v>
      </c>
      <c r="AF800" s="30" t="str">
        <f t="shared" si="76"/>
        <v>Online Tutorials</v>
      </c>
      <c r="AG800" s="30" t="str">
        <f t="shared" si="77"/>
        <v>Group Projects</v>
      </c>
      <c r="AH800" s="27">
        <f>COUNTIF(Teacher_Master!$D$2:$D$16,AF800)</f>
        <v>3</v>
      </c>
      <c r="AI800" s="30" t="str">
        <f>INDEX(Teacher_Master!$B$2:$B$16,MATCH(AF800,Teacher_Master!$D$2:$D$16,0))</f>
        <v>Prof. Kavita Rao</v>
      </c>
    </row>
    <row r="801" spans="1:35" ht="14.25" customHeight="1" x14ac:dyDescent="0.3">
      <c r="A801" s="31" t="s">
        <v>1637</v>
      </c>
      <c r="B801" s="31" t="s">
        <v>2661</v>
      </c>
      <c r="C801" s="31" t="s">
        <v>2882</v>
      </c>
      <c r="D801" s="12">
        <f t="shared" ca="1" si="72"/>
        <v>27</v>
      </c>
      <c r="E801" s="12" t="str">
        <f ca="1">IF(Table1[[#This Row],[Age]]&lt;=22,"20-22",IF(Table1[[#This Row],[Age]]&lt;=25,"23-25",IF(Table1[[#This Row],[Age]]&lt;=28,"26-28","29-30")))</f>
        <v>26-28</v>
      </c>
      <c r="F801" s="12">
        <v>4</v>
      </c>
      <c r="G801" s="12">
        <v>4.1100000000000003</v>
      </c>
      <c r="H801" s="12">
        <v>4.17</v>
      </c>
      <c r="I801" s="12">
        <v>4.3099999999999996</v>
      </c>
      <c r="J801" s="12">
        <v>4.13</v>
      </c>
      <c r="K801" s="12">
        <v>3.76</v>
      </c>
      <c r="L801" s="12">
        <v>4.47</v>
      </c>
      <c r="M801" s="12">
        <v>4.26</v>
      </c>
      <c r="N801" s="12">
        <v>3.66</v>
      </c>
      <c r="O801" s="12">
        <v>4.45</v>
      </c>
      <c r="P801" s="12">
        <f t="shared" si="73"/>
        <v>4.1440000000000001</v>
      </c>
      <c r="Q801" s="12">
        <f t="shared" si="74"/>
        <v>4.1399999999999997</v>
      </c>
      <c r="R801" s="12">
        <f t="shared" si="75"/>
        <v>4.1199999999999992</v>
      </c>
      <c r="S801" s="28">
        <f>IFERROR(INDEX('Clean Gamification Data'!$B:$B,MATCH($B801,'Clean Gamification Data'!$A:$A,0)),"Not Found")</f>
        <v>87.775012340000004</v>
      </c>
      <c r="T801" s="28">
        <f>IFERROR(INDEX('Clean Gamification Data'!$C:$C,MATCH($B801,'Clean Gamification Data'!$A:$A,0)),"Not Found")</f>
        <v>60</v>
      </c>
      <c r="U801" s="28">
        <f>IFERROR(INDEX('Clean Gamification Data'!$D:$D,MATCH($B801,'Clean Gamification Data'!$A:$A,0)),"Not Found")</f>
        <v>70.376717869999993</v>
      </c>
      <c r="V801" s="28">
        <f>IFERROR(INDEX('Clean Gamification Data'!$E:$E,MATCH($B801,'Clean Gamification Data'!$A:$A,0)),"Not Found")</f>
        <v>66.855854730000004</v>
      </c>
      <c r="W801" s="28">
        <f>IFERROR(INDEX('Clean Gamification Data'!$F:$F,MATCH($B801,'Clean Gamification Data'!$A:$A,0)),"Not Found")</f>
        <v>91.360219639999997</v>
      </c>
      <c r="X801" s="28">
        <f>IFERROR(INDEX('Clean Gamification Data'!$G:$G,MATCH($B801,'Clean Gamification Data'!$A:$A,0)),"Not Found")</f>
        <v>83.353773450000006</v>
      </c>
      <c r="Y801" s="28">
        <f>IFERROR(INDEX('Clean Gamification Data'!$H:$H,MATCH($B801,'Clean Gamification Data'!$A:$A,0)),"Not Found")</f>
        <v>75.8008478</v>
      </c>
      <c r="Z801" s="28">
        <f>IFERROR(INDEX('Clean Gamification Data'!$I:$I,MATCH($B801,'Clean Gamification Data'!$A:$A,0)),"Not Found")</f>
        <v>55.409234130000002</v>
      </c>
      <c r="AA801" s="28">
        <f>Table1[[#This Row],[Engagement (Gamification %)]]-Table1[[#This Row],[Engagement (Non-Gamification %)]]</f>
        <v>27.775012340000004</v>
      </c>
      <c r="AB801" s="28">
        <f>Table1[[#This Row],[Motivation (Gamification %)]]-Table1[[#This Row],[Motivation (Non-Gamification %)]]</f>
        <v>3.5208631399999888</v>
      </c>
      <c r="AC801" s="28">
        <f>Table1[[#This Row],[Participation (Gamification %)]]-Table1[[#This Row],[Participation (Non-Gamification %)]]</f>
        <v>8.0064461899999912</v>
      </c>
      <c r="AD801" s="28">
        <f>Table1[[#This Row],[Learning Outcomes (Gamification %)]]-Table1[[#This Row],[Learning Outcomes (Non-Gamification %)]]</f>
        <v>20.391613669999998</v>
      </c>
      <c r="AE801" s="44" t="str">
        <f>IF(Table1[[#This Row],[Overall Effectiveness]]&lt;3.9,"Low",IF(Table1[[#This Row],[Overall Effectiveness]]&lt;4.2,"Medium","High"))</f>
        <v>Medium</v>
      </c>
      <c r="AF801" s="30" t="str">
        <f t="shared" si="76"/>
        <v>Experiments</v>
      </c>
      <c r="AG801" s="30" t="str">
        <f t="shared" si="77"/>
        <v>Case Studies</v>
      </c>
      <c r="AH801" s="27">
        <f>COUNTIF(Teacher_Master!$D$2:$D$16,AF801)</f>
        <v>3</v>
      </c>
      <c r="AI801" s="30" t="str">
        <f>INDEX(Teacher_Master!$B$2:$B$16,MATCH(AF801,Teacher_Master!$D$2:$D$16,0))</f>
        <v>Prof. Rahul Singh</v>
      </c>
    </row>
    <row r="802" spans="1:35" ht="14.25" customHeight="1" x14ac:dyDescent="0.3">
      <c r="A802" s="31" t="s">
        <v>1639</v>
      </c>
      <c r="B802" s="31" t="s">
        <v>2662</v>
      </c>
      <c r="C802" s="31" t="s">
        <v>2882</v>
      </c>
      <c r="D802" s="12">
        <f t="shared" ca="1" si="72"/>
        <v>20</v>
      </c>
      <c r="E802" s="12" t="str">
        <f ca="1">IF(Table1[[#This Row],[Age]]&lt;=22,"20-22",IF(Table1[[#This Row],[Age]]&lt;=25,"23-25",IF(Table1[[#This Row],[Age]]&lt;=28,"26-28","29-30")))</f>
        <v>20-22</v>
      </c>
      <c r="F802" s="12">
        <v>4.03</v>
      </c>
      <c r="G802" s="12">
        <v>4.09</v>
      </c>
      <c r="H802" s="12">
        <v>3.88</v>
      </c>
      <c r="I802" s="12">
        <v>4.37</v>
      </c>
      <c r="J802" s="12">
        <v>4.24</v>
      </c>
      <c r="K802" s="12">
        <v>3.39</v>
      </c>
      <c r="L802" s="12">
        <v>3.76</v>
      </c>
      <c r="M802" s="12">
        <v>3.93</v>
      </c>
      <c r="N802" s="12">
        <v>3.74</v>
      </c>
      <c r="O802" s="12">
        <v>3.82</v>
      </c>
      <c r="P802" s="12">
        <f t="shared" si="73"/>
        <v>4.1219999999999999</v>
      </c>
      <c r="Q802" s="12">
        <f t="shared" si="74"/>
        <v>4.12</v>
      </c>
      <c r="R802" s="12">
        <f t="shared" si="75"/>
        <v>3.7280000000000002</v>
      </c>
      <c r="S802" s="28">
        <f>IFERROR(INDEX('Clean Gamification Data'!$B:$B,MATCH($B802,'Clean Gamification Data'!$A:$A,0)),"Not Found")</f>
        <v>81.757939620000002</v>
      </c>
      <c r="T802" s="28">
        <f>IFERROR(INDEX('Clean Gamification Data'!$C:$C,MATCH($B802,'Clean Gamification Data'!$A:$A,0)),"Not Found")</f>
        <v>63.595145670000001</v>
      </c>
      <c r="U802" s="28">
        <f>IFERROR(INDEX('Clean Gamification Data'!$D:$D,MATCH($B802,'Clean Gamification Data'!$A:$A,0)),"Not Found")</f>
        <v>70.972782370000004</v>
      </c>
      <c r="V802" s="28">
        <f>IFERROR(INDEX('Clean Gamification Data'!$E:$E,MATCH($B802,'Clean Gamification Data'!$A:$A,0)),"Not Found")</f>
        <v>65.296810530000002</v>
      </c>
      <c r="W802" s="28">
        <f>IFERROR(INDEX('Clean Gamification Data'!$F:$F,MATCH($B802,'Clean Gamification Data'!$A:$A,0)),"Not Found")</f>
        <v>86.551232909999996</v>
      </c>
      <c r="X802" s="28">
        <f>IFERROR(INDEX('Clean Gamification Data'!$G:$G,MATCH($B802,'Clean Gamification Data'!$A:$A,0)),"Not Found")</f>
        <v>74.041343909999995</v>
      </c>
      <c r="Y802" s="28">
        <f>IFERROR(INDEX('Clean Gamification Data'!$H:$H,MATCH($B802,'Clean Gamification Data'!$A:$A,0)),"Not Found")</f>
        <v>69.183060459999993</v>
      </c>
      <c r="Z802" s="28">
        <f>IFERROR(INDEX('Clean Gamification Data'!$I:$I,MATCH($B802,'Clean Gamification Data'!$A:$A,0)),"Not Found")</f>
        <v>57.553264570000003</v>
      </c>
      <c r="AA802" s="28">
        <f>Table1[[#This Row],[Engagement (Gamification %)]]-Table1[[#This Row],[Engagement (Non-Gamification %)]]</f>
        <v>18.162793950000001</v>
      </c>
      <c r="AB802" s="28">
        <f>Table1[[#This Row],[Motivation (Gamification %)]]-Table1[[#This Row],[Motivation (Non-Gamification %)]]</f>
        <v>5.6759718400000025</v>
      </c>
      <c r="AC802" s="28">
        <f>Table1[[#This Row],[Participation (Gamification %)]]-Table1[[#This Row],[Participation (Non-Gamification %)]]</f>
        <v>12.509889000000001</v>
      </c>
      <c r="AD802" s="28">
        <f>Table1[[#This Row],[Learning Outcomes (Gamification %)]]-Table1[[#This Row],[Learning Outcomes (Non-Gamification %)]]</f>
        <v>11.62979588999999</v>
      </c>
      <c r="AE802" s="44" t="str">
        <f>IF(Table1[[#This Row],[Overall Effectiveness]]&lt;3.9,"Low",IF(Table1[[#This Row],[Overall Effectiveness]]&lt;4.2,"Medium","High"))</f>
        <v>Medium</v>
      </c>
      <c r="AF802" s="30" t="str">
        <f t="shared" si="76"/>
        <v>Experiments</v>
      </c>
      <c r="AG802" s="30" t="str">
        <f t="shared" si="77"/>
        <v>Group Projects</v>
      </c>
      <c r="AH802" s="27">
        <f>COUNTIF(Teacher_Master!$D$2:$D$16,AF802)</f>
        <v>3</v>
      </c>
      <c r="AI802" s="30" t="str">
        <f>INDEX(Teacher_Master!$B$2:$B$16,MATCH(AF802,Teacher_Master!$D$2:$D$16,0))</f>
        <v>Prof. Rahul Singh</v>
      </c>
    </row>
    <row r="803" spans="1:35" ht="14.25" customHeight="1" x14ac:dyDescent="0.3">
      <c r="A803" s="31" t="s">
        <v>1641</v>
      </c>
      <c r="B803" s="31" t="s">
        <v>2663</v>
      </c>
      <c r="C803" s="31" t="s">
        <v>2882</v>
      </c>
      <c r="D803" s="12">
        <f t="shared" ca="1" si="72"/>
        <v>29</v>
      </c>
      <c r="E803" s="12" t="str">
        <f ca="1">IF(Table1[[#This Row],[Age]]&lt;=22,"20-22",IF(Table1[[#This Row],[Age]]&lt;=25,"23-25",IF(Table1[[#This Row],[Age]]&lt;=28,"26-28","29-30")))</f>
        <v>29-30</v>
      </c>
      <c r="F803" s="12">
        <v>3.89</v>
      </c>
      <c r="G803" s="12">
        <v>3.29</v>
      </c>
      <c r="H803" s="12">
        <v>4.22</v>
      </c>
      <c r="I803" s="12" t="s">
        <v>211</v>
      </c>
      <c r="J803" s="12">
        <v>3.64</v>
      </c>
      <c r="K803" s="12">
        <v>3.84</v>
      </c>
      <c r="L803" s="12">
        <v>3.91</v>
      </c>
      <c r="M803" s="12">
        <v>3.74</v>
      </c>
      <c r="N803" s="12">
        <v>4.13</v>
      </c>
      <c r="O803" s="12">
        <v>3.85</v>
      </c>
      <c r="P803" s="12">
        <f t="shared" si="73"/>
        <v>3.76</v>
      </c>
      <c r="Q803" s="12">
        <f t="shared" si="74"/>
        <v>3.76</v>
      </c>
      <c r="R803" s="12">
        <f t="shared" si="75"/>
        <v>3.8940000000000006</v>
      </c>
      <c r="S803" s="28">
        <f>IFERROR(INDEX('Clean Gamification Data'!$B:$B,MATCH($B803,'Clean Gamification Data'!$A:$A,0)),"Not Found")</f>
        <v>77.594989720000001</v>
      </c>
      <c r="T803" s="28">
        <f>IFERROR(INDEX('Clean Gamification Data'!$C:$C,MATCH($B803,'Clean Gamification Data'!$A:$A,0)),"Not Found")</f>
        <v>74.041650630000007</v>
      </c>
      <c r="U803" s="28">
        <f>IFERROR(INDEX('Clean Gamification Data'!$D:$D,MATCH($B803,'Clean Gamification Data'!$A:$A,0)),"Not Found")</f>
        <v>88.007569549999999</v>
      </c>
      <c r="V803" s="28">
        <f>IFERROR(INDEX('Clean Gamification Data'!$E:$E,MATCH($B803,'Clean Gamification Data'!$A:$A,0)),"Not Found")</f>
        <v>65.111887780000004</v>
      </c>
      <c r="W803" s="28">
        <f>IFERROR(INDEX('Clean Gamification Data'!$F:$F,MATCH($B803,'Clean Gamification Data'!$A:$A,0)),"Not Found")</f>
        <v>86.992611620000005</v>
      </c>
      <c r="X803" s="28">
        <f>IFERROR(INDEX('Clean Gamification Data'!$G:$G,MATCH($B803,'Clean Gamification Data'!$A:$A,0)),"Not Found")</f>
        <v>77.072308800000002</v>
      </c>
      <c r="Y803" s="28">
        <f>IFERROR(INDEX('Clean Gamification Data'!$H:$H,MATCH($B803,'Clean Gamification Data'!$A:$A,0)),"Not Found")</f>
        <v>67.153965799999995</v>
      </c>
      <c r="Z803" s="28">
        <f>IFERROR(INDEX('Clean Gamification Data'!$I:$I,MATCH($B803,'Clean Gamification Data'!$A:$A,0)),"Not Found")</f>
        <v>63.769888620000003</v>
      </c>
      <c r="AA803" s="28">
        <f>Table1[[#This Row],[Engagement (Gamification %)]]-Table1[[#This Row],[Engagement (Non-Gamification %)]]</f>
        <v>3.5533390899999944</v>
      </c>
      <c r="AB803" s="28">
        <f>Table1[[#This Row],[Motivation (Gamification %)]]-Table1[[#This Row],[Motivation (Non-Gamification %)]]</f>
        <v>22.895681769999996</v>
      </c>
      <c r="AC803" s="28">
        <f>Table1[[#This Row],[Participation (Gamification %)]]-Table1[[#This Row],[Participation (Non-Gamification %)]]</f>
        <v>9.9203028200000034</v>
      </c>
      <c r="AD803" s="28">
        <f>Table1[[#This Row],[Learning Outcomes (Gamification %)]]-Table1[[#This Row],[Learning Outcomes (Non-Gamification %)]]</f>
        <v>3.3840771799999914</v>
      </c>
      <c r="AE803" s="44" t="str">
        <f>IF(Table1[[#This Row],[Overall Effectiveness]]&lt;3.9,"Low",IF(Table1[[#This Row],[Overall Effectiveness]]&lt;4.2,"Medium","High"))</f>
        <v>Low</v>
      </c>
      <c r="AF803" s="30" t="str">
        <f t="shared" si="76"/>
        <v>Group Projects</v>
      </c>
      <c r="AG803" s="30" t="str">
        <f t="shared" si="77"/>
        <v>Experiments</v>
      </c>
      <c r="AH803" s="27">
        <f>COUNTIF(Teacher_Master!$D$2:$D$16,AF803)</f>
        <v>3</v>
      </c>
      <c r="AI803" s="30" t="str">
        <f>INDEX(Teacher_Master!$B$2:$B$16,MATCH(AF803,Teacher_Master!$D$2:$D$16,0))</f>
        <v>Dr. Rohan Dutta</v>
      </c>
    </row>
    <row r="804" spans="1:35" ht="14.25" customHeight="1" x14ac:dyDescent="0.3">
      <c r="A804" s="31" t="s">
        <v>1643</v>
      </c>
      <c r="B804" s="31" t="s">
        <v>2664</v>
      </c>
      <c r="C804" s="31" t="s">
        <v>2882</v>
      </c>
      <c r="D804" s="12">
        <f t="shared" ca="1" si="72"/>
        <v>30</v>
      </c>
      <c r="E804" s="12" t="str">
        <f ca="1">IF(Table1[[#This Row],[Age]]&lt;=22,"20-22",IF(Table1[[#This Row],[Age]]&lt;=25,"23-25",IF(Table1[[#This Row],[Age]]&lt;=28,"26-28","29-30")))</f>
        <v>29-30</v>
      </c>
      <c r="F804" s="12">
        <v>3.08</v>
      </c>
      <c r="G804" s="12" t="s">
        <v>211</v>
      </c>
      <c r="H804" s="12">
        <v>3.91</v>
      </c>
      <c r="I804" s="12">
        <v>4.13</v>
      </c>
      <c r="J804" s="12">
        <v>4.1900000000000004</v>
      </c>
      <c r="K804" s="12">
        <v>4.3</v>
      </c>
      <c r="L804" s="12">
        <v>3.74</v>
      </c>
      <c r="M804" s="12">
        <v>4.33</v>
      </c>
      <c r="N804" s="12">
        <v>3.95</v>
      </c>
      <c r="O804" s="12">
        <v>4.5</v>
      </c>
      <c r="P804" s="12">
        <f t="shared" si="73"/>
        <v>3.8275000000000006</v>
      </c>
      <c r="Q804" s="12">
        <f t="shared" si="74"/>
        <v>3.83</v>
      </c>
      <c r="R804" s="12">
        <f t="shared" si="75"/>
        <v>4.1639999999999997</v>
      </c>
      <c r="S804" s="28">
        <f>IFERROR(INDEX('Clean Gamification Data'!$B:$B,MATCH($B804,'Clean Gamification Data'!$A:$A,0)),"Not Found")</f>
        <v>86.627043389999997</v>
      </c>
      <c r="T804" s="28">
        <f>IFERROR(INDEX('Clean Gamification Data'!$C:$C,MATCH($B804,'Clean Gamification Data'!$A:$A,0)),"Not Found")</f>
        <v>67.626485329999994</v>
      </c>
      <c r="U804" s="28">
        <f>IFERROR(INDEX('Clean Gamification Data'!$D:$D,MATCH($B804,'Clean Gamification Data'!$A:$A,0)),"Not Found")</f>
        <v>80.148704839999994</v>
      </c>
      <c r="V804" s="28">
        <f>IFERROR(INDEX('Clean Gamification Data'!$E:$E,MATCH($B804,'Clean Gamification Data'!$A:$A,0)),"Not Found")</f>
        <v>59.478219199999998</v>
      </c>
      <c r="W804" s="28">
        <f>IFERROR(INDEX('Clean Gamification Data'!$F:$F,MATCH($B804,'Clean Gamification Data'!$A:$A,0)),"Not Found")</f>
        <v>89.838891340000004</v>
      </c>
      <c r="X804" s="28">
        <f>IFERROR(INDEX('Clean Gamification Data'!$G:$G,MATCH($B804,'Clean Gamification Data'!$A:$A,0)),"Not Found")</f>
        <v>74.717749999999995</v>
      </c>
      <c r="Y804" s="28">
        <f>IFERROR(INDEX('Clean Gamification Data'!$H:$H,MATCH($B804,'Clean Gamification Data'!$A:$A,0)),"Not Found")</f>
        <v>77.279635499999998</v>
      </c>
      <c r="Z804" s="28">
        <f>IFERROR(INDEX('Clean Gamification Data'!$I:$I,MATCH($B804,'Clean Gamification Data'!$A:$A,0)),"Not Found")</f>
        <v>63.935620710000002</v>
      </c>
      <c r="AA804" s="28">
        <f>Table1[[#This Row],[Engagement (Gamification %)]]-Table1[[#This Row],[Engagement (Non-Gamification %)]]</f>
        <v>19.000558060000003</v>
      </c>
      <c r="AB804" s="28">
        <f>Table1[[#This Row],[Motivation (Gamification %)]]-Table1[[#This Row],[Motivation (Non-Gamification %)]]</f>
        <v>20.670485639999995</v>
      </c>
      <c r="AC804" s="28">
        <f>Table1[[#This Row],[Participation (Gamification %)]]-Table1[[#This Row],[Participation (Non-Gamification %)]]</f>
        <v>15.121141340000008</v>
      </c>
      <c r="AD804" s="28">
        <f>Table1[[#This Row],[Learning Outcomes (Gamification %)]]-Table1[[#This Row],[Learning Outcomes (Non-Gamification %)]]</f>
        <v>13.344014789999996</v>
      </c>
      <c r="AE804" s="44" t="str">
        <f>IF(Table1[[#This Row],[Overall Effectiveness]]&lt;3.9,"Low",IF(Table1[[#This Row],[Overall Effectiveness]]&lt;4.2,"Medium","High"))</f>
        <v>Low</v>
      </c>
      <c r="AF804" s="30" t="str">
        <f t="shared" si="76"/>
        <v>Online Tutorials</v>
      </c>
      <c r="AG804" s="30" t="str">
        <f t="shared" si="77"/>
        <v>Online Tutorials</v>
      </c>
      <c r="AH804" s="27">
        <f>COUNTIF(Teacher_Master!$D$2:$D$16,AF804)</f>
        <v>3</v>
      </c>
      <c r="AI804" s="30" t="str">
        <f>INDEX(Teacher_Master!$B$2:$B$16,MATCH(AF804,Teacher_Master!$D$2:$D$16,0))</f>
        <v>Prof. Kavita Rao</v>
      </c>
    </row>
    <row r="805" spans="1:35" ht="14.25" customHeight="1" x14ac:dyDescent="0.3">
      <c r="A805" s="31" t="s">
        <v>1645</v>
      </c>
      <c r="B805" s="31" t="s">
        <v>1646</v>
      </c>
      <c r="C805" s="31" t="s">
        <v>2882</v>
      </c>
      <c r="D805" s="12">
        <f t="shared" ca="1" si="72"/>
        <v>21</v>
      </c>
      <c r="E805" s="12" t="str">
        <f ca="1">IF(Table1[[#This Row],[Age]]&lt;=22,"20-22",IF(Table1[[#This Row],[Age]]&lt;=25,"23-25",IF(Table1[[#This Row],[Age]]&lt;=28,"26-28","29-30")))</f>
        <v>20-22</v>
      </c>
      <c r="F805" s="12">
        <v>4.2699999999999996</v>
      </c>
      <c r="G805" s="12">
        <v>3.91</v>
      </c>
      <c r="H805" s="12">
        <v>4.2300000000000004</v>
      </c>
      <c r="I805" s="12">
        <v>3.78</v>
      </c>
      <c r="J805" s="12">
        <v>4.62</v>
      </c>
      <c r="K805" s="12">
        <v>3.61</v>
      </c>
      <c r="L805" s="12">
        <v>4.5</v>
      </c>
      <c r="M805" s="12">
        <v>4.16</v>
      </c>
      <c r="N805" s="12">
        <v>4.18</v>
      </c>
      <c r="O805" s="12">
        <v>4.1100000000000003</v>
      </c>
      <c r="P805" s="12">
        <f t="shared" si="73"/>
        <v>4.1620000000000008</v>
      </c>
      <c r="Q805" s="12">
        <f t="shared" si="74"/>
        <v>4.16</v>
      </c>
      <c r="R805" s="12">
        <f t="shared" si="75"/>
        <v>4.1120000000000001</v>
      </c>
      <c r="S805" s="28">
        <f>IFERROR(INDEX('Clean Gamification Data'!$B:$B,MATCH($B805,'Clean Gamification Data'!$A:$A,0)),"Not Found")</f>
        <v>83.285179020000001</v>
      </c>
      <c r="T805" s="28">
        <f>IFERROR(INDEX('Clean Gamification Data'!$C:$C,MATCH($B805,'Clean Gamification Data'!$A:$A,0)),"Not Found")</f>
        <v>63.59064103</v>
      </c>
      <c r="U805" s="28">
        <f>IFERROR(INDEX('Clean Gamification Data'!$D:$D,MATCH($B805,'Clean Gamification Data'!$A:$A,0)),"Not Found")</f>
        <v>78.775577749999997</v>
      </c>
      <c r="V805" s="28">
        <f>IFERROR(INDEX('Clean Gamification Data'!$E:$E,MATCH($B805,'Clean Gamification Data'!$A:$A,0)),"Not Found")</f>
        <v>64.75404691</v>
      </c>
      <c r="W805" s="28">
        <f>IFERROR(INDEX('Clean Gamification Data'!$F:$F,MATCH($B805,'Clean Gamification Data'!$A:$A,0)),"Not Found")</f>
        <v>83.155580069999999</v>
      </c>
      <c r="X805" s="28">
        <f>IFERROR(INDEX('Clean Gamification Data'!$G:$G,MATCH($B805,'Clean Gamification Data'!$A:$A,0)),"Not Found")</f>
        <v>82.649657430000005</v>
      </c>
      <c r="Y805" s="28">
        <f>IFERROR(INDEX('Clean Gamification Data'!$H:$H,MATCH($B805,'Clean Gamification Data'!$A:$A,0)),"Not Found")</f>
        <v>76.38101795</v>
      </c>
      <c r="Z805" s="28">
        <f>IFERROR(INDEX('Clean Gamification Data'!$I:$I,MATCH($B805,'Clean Gamification Data'!$A:$A,0)),"Not Found")</f>
        <v>61.669871880000002</v>
      </c>
      <c r="AA805" s="28">
        <f>Table1[[#This Row],[Engagement (Gamification %)]]-Table1[[#This Row],[Engagement (Non-Gamification %)]]</f>
        <v>19.694537990000001</v>
      </c>
      <c r="AB805" s="28">
        <f>Table1[[#This Row],[Motivation (Gamification %)]]-Table1[[#This Row],[Motivation (Non-Gamification %)]]</f>
        <v>14.021530839999997</v>
      </c>
      <c r="AC805" s="28">
        <f>Table1[[#This Row],[Participation (Gamification %)]]-Table1[[#This Row],[Participation (Non-Gamification %)]]</f>
        <v>0.50592263999999432</v>
      </c>
      <c r="AD805" s="28">
        <f>Table1[[#This Row],[Learning Outcomes (Gamification %)]]-Table1[[#This Row],[Learning Outcomes (Non-Gamification %)]]</f>
        <v>14.711146069999998</v>
      </c>
      <c r="AE805" s="44" t="str">
        <f>IF(Table1[[#This Row],[Overall Effectiveness]]&lt;3.9,"Low",IF(Table1[[#This Row],[Overall Effectiveness]]&lt;4.2,"Medium","High"))</f>
        <v>Medium</v>
      </c>
      <c r="AF805" s="30" t="str">
        <f t="shared" si="76"/>
        <v>Online Tutorials</v>
      </c>
      <c r="AG805" s="30" t="str">
        <f t="shared" si="77"/>
        <v>Case Studies</v>
      </c>
      <c r="AH805" s="27">
        <f>COUNTIF(Teacher_Master!$D$2:$D$16,AF805)</f>
        <v>3</v>
      </c>
      <c r="AI805" s="30" t="str">
        <f>INDEX(Teacher_Master!$B$2:$B$16,MATCH(AF805,Teacher_Master!$D$2:$D$16,0))</f>
        <v>Prof. Kavita Rao</v>
      </c>
    </row>
    <row r="806" spans="1:35" ht="14.25" customHeight="1" x14ac:dyDescent="0.3">
      <c r="A806" s="31" t="s">
        <v>1647</v>
      </c>
      <c r="B806" s="31" t="s">
        <v>2665</v>
      </c>
      <c r="C806" s="31" t="s">
        <v>2882</v>
      </c>
      <c r="D806" s="12">
        <f t="shared" ca="1" si="72"/>
        <v>30</v>
      </c>
      <c r="E806" s="12" t="str">
        <f ca="1">IF(Table1[[#This Row],[Age]]&lt;=22,"20-22",IF(Table1[[#This Row],[Age]]&lt;=25,"23-25",IF(Table1[[#This Row],[Age]]&lt;=28,"26-28","29-30")))</f>
        <v>29-30</v>
      </c>
      <c r="F806" s="12">
        <v>3.97</v>
      </c>
      <c r="G806" s="12">
        <v>4.58</v>
      </c>
      <c r="H806" s="12">
        <v>3.72</v>
      </c>
      <c r="I806" s="12">
        <v>4.29</v>
      </c>
      <c r="J806" s="12">
        <v>3.88</v>
      </c>
      <c r="K806" s="12">
        <v>4.46</v>
      </c>
      <c r="L806" s="12">
        <v>3.66</v>
      </c>
      <c r="M806" s="12">
        <v>4.3600000000000003</v>
      </c>
      <c r="N806" s="12">
        <v>3.45</v>
      </c>
      <c r="O806" s="12">
        <v>4.2300000000000004</v>
      </c>
      <c r="P806" s="12">
        <f t="shared" si="73"/>
        <v>4.0880000000000001</v>
      </c>
      <c r="Q806" s="12">
        <f t="shared" si="74"/>
        <v>4.09</v>
      </c>
      <c r="R806" s="12">
        <f t="shared" si="75"/>
        <v>4.032</v>
      </c>
      <c r="S806" s="28">
        <f>IFERROR(INDEX('Clean Gamification Data'!$B:$B,MATCH($B806,'Clean Gamification Data'!$A:$A,0)),"Not Found")</f>
        <v>86.210464189999996</v>
      </c>
      <c r="T806" s="28">
        <f>IFERROR(INDEX('Clean Gamification Data'!$C:$C,MATCH($B806,'Clean Gamification Data'!$A:$A,0)),"Not Found")</f>
        <v>66.308346330000006</v>
      </c>
      <c r="U806" s="28">
        <f>IFERROR(INDEX('Clean Gamification Data'!$D:$D,MATCH($B806,'Clean Gamification Data'!$A:$A,0)),"Not Found")</f>
        <v>79.112290790000003</v>
      </c>
      <c r="V806" s="28">
        <f>IFERROR(INDEX('Clean Gamification Data'!$E:$E,MATCH($B806,'Clean Gamification Data'!$A:$A,0)),"Not Found")</f>
        <v>65.97330384</v>
      </c>
      <c r="W806" s="28">
        <f>IFERROR(INDEX('Clean Gamification Data'!$F:$F,MATCH($B806,'Clean Gamification Data'!$A:$A,0)),"Not Found")</f>
        <v>82.225239040000005</v>
      </c>
      <c r="X806" s="28">
        <f>IFERROR(INDEX('Clean Gamification Data'!$G:$G,MATCH($B806,'Clean Gamification Data'!$A:$A,0)),"Not Found")</f>
        <v>73.70821918</v>
      </c>
      <c r="Y806" s="28">
        <f>IFERROR(INDEX('Clean Gamification Data'!$H:$H,MATCH($B806,'Clean Gamification Data'!$A:$A,0)),"Not Found")</f>
        <v>76.614040430000003</v>
      </c>
      <c r="Z806" s="28">
        <f>IFERROR(INDEX('Clean Gamification Data'!$I:$I,MATCH($B806,'Clean Gamification Data'!$A:$A,0)),"Not Found")</f>
        <v>60.40688016</v>
      </c>
      <c r="AA806" s="28">
        <f>Table1[[#This Row],[Engagement (Gamification %)]]-Table1[[#This Row],[Engagement (Non-Gamification %)]]</f>
        <v>19.90211785999999</v>
      </c>
      <c r="AB806" s="28">
        <f>Table1[[#This Row],[Motivation (Gamification %)]]-Table1[[#This Row],[Motivation (Non-Gamification %)]]</f>
        <v>13.138986950000003</v>
      </c>
      <c r="AC806" s="28">
        <f>Table1[[#This Row],[Participation (Gamification %)]]-Table1[[#This Row],[Participation (Non-Gamification %)]]</f>
        <v>8.5170198600000049</v>
      </c>
      <c r="AD806" s="28">
        <f>Table1[[#This Row],[Learning Outcomes (Gamification %)]]-Table1[[#This Row],[Learning Outcomes (Non-Gamification %)]]</f>
        <v>16.207160270000003</v>
      </c>
      <c r="AE806" s="44" t="str">
        <f>IF(Table1[[#This Row],[Overall Effectiveness]]&lt;3.9,"Low",IF(Table1[[#This Row],[Overall Effectiveness]]&lt;4.2,"Medium","High"))</f>
        <v>Medium</v>
      </c>
      <c r="AF806" s="30" t="str">
        <f t="shared" si="76"/>
        <v>Case Studies</v>
      </c>
      <c r="AG806" s="30" t="str">
        <f t="shared" si="77"/>
        <v>Lectures</v>
      </c>
      <c r="AH806" s="27">
        <f>COUNTIF(Teacher_Master!$D$2:$D$16,AF806)</f>
        <v>3</v>
      </c>
      <c r="AI806" s="30" t="str">
        <f>INDEX(Teacher_Master!$B$2:$B$16,MATCH(AF806,Teacher_Master!$D$2:$D$16,0))</f>
        <v>Prof. Rajesh Mukherjee</v>
      </c>
    </row>
    <row r="807" spans="1:35" ht="14.25" customHeight="1" x14ac:dyDescent="0.3">
      <c r="A807" s="31" t="s">
        <v>1649</v>
      </c>
      <c r="B807" s="31" t="s">
        <v>1650</v>
      </c>
      <c r="C807" s="31" t="s">
        <v>2882</v>
      </c>
      <c r="D807" s="12">
        <f t="shared" ca="1" si="72"/>
        <v>26</v>
      </c>
      <c r="E807" s="12" t="str">
        <f ca="1">IF(Table1[[#This Row],[Age]]&lt;=22,"20-22",IF(Table1[[#This Row],[Age]]&lt;=25,"23-25",IF(Table1[[#This Row],[Age]]&lt;=28,"26-28","29-30")))</f>
        <v>26-28</v>
      </c>
      <c r="F807" s="12">
        <v>4.1900000000000004</v>
      </c>
      <c r="G807" s="12">
        <v>3.99</v>
      </c>
      <c r="H807" s="12">
        <v>4.1500000000000004</v>
      </c>
      <c r="I807" s="12">
        <v>4.6399999999999997</v>
      </c>
      <c r="J807" s="12">
        <v>4.7</v>
      </c>
      <c r="K807" s="12">
        <v>4.83</v>
      </c>
      <c r="L807" s="12">
        <v>4.38</v>
      </c>
      <c r="M807" s="12">
        <v>3.66</v>
      </c>
      <c r="N807" s="12">
        <v>4.07</v>
      </c>
      <c r="O807" s="12">
        <v>4.1900000000000004</v>
      </c>
      <c r="P807" s="12">
        <f t="shared" si="73"/>
        <v>4.3339999999999996</v>
      </c>
      <c r="Q807" s="12">
        <f t="shared" si="74"/>
        <v>4.33</v>
      </c>
      <c r="R807" s="12">
        <f t="shared" si="75"/>
        <v>4.2260000000000009</v>
      </c>
      <c r="S807" s="28">
        <f>IFERROR(INDEX('Clean Gamification Data'!$B:$B,MATCH($B807,'Clean Gamification Data'!$A:$A,0)),"Not Found")</f>
        <v>89.978523999999993</v>
      </c>
      <c r="T807" s="28">
        <f>IFERROR(INDEX('Clean Gamification Data'!$C:$C,MATCH($B807,'Clean Gamification Data'!$A:$A,0)),"Not Found")</f>
        <v>63.550156579999999</v>
      </c>
      <c r="U807" s="28">
        <f>IFERROR(INDEX('Clean Gamification Data'!$D:$D,MATCH($B807,'Clean Gamification Data'!$A:$A,0)),"Not Found")</f>
        <v>71.456649319999997</v>
      </c>
      <c r="V807" s="28">
        <f>IFERROR(INDEX('Clean Gamification Data'!$E:$E,MATCH($B807,'Clean Gamification Data'!$A:$A,0)),"Not Found")</f>
        <v>71.391869869999994</v>
      </c>
      <c r="W807" s="28">
        <f>IFERROR(INDEX('Clean Gamification Data'!$F:$F,MATCH($B807,'Clean Gamification Data'!$A:$A,0)),"Not Found")</f>
        <v>86.76171334</v>
      </c>
      <c r="X807" s="28">
        <f>IFERROR(INDEX('Clean Gamification Data'!$G:$G,MATCH($B807,'Clean Gamification Data'!$A:$A,0)),"Not Found")</f>
        <v>73.85638161</v>
      </c>
      <c r="Y807" s="28">
        <f>IFERROR(INDEX('Clean Gamification Data'!$H:$H,MATCH($B807,'Clean Gamification Data'!$A:$A,0)),"Not Found")</f>
        <v>72.523468010000002</v>
      </c>
      <c r="Z807" s="28">
        <f>IFERROR(INDEX('Clean Gamification Data'!$I:$I,MATCH($B807,'Clean Gamification Data'!$A:$A,0)),"Not Found")</f>
        <v>53.056869409999997</v>
      </c>
      <c r="AA807" s="28">
        <f>Table1[[#This Row],[Engagement (Gamification %)]]-Table1[[#This Row],[Engagement (Non-Gamification %)]]</f>
        <v>26.428367419999994</v>
      </c>
      <c r="AB807" s="28">
        <f>Table1[[#This Row],[Motivation (Gamification %)]]-Table1[[#This Row],[Motivation (Non-Gamification %)]]</f>
        <v>6.477945000000318E-2</v>
      </c>
      <c r="AC807" s="28">
        <f>Table1[[#This Row],[Participation (Gamification %)]]-Table1[[#This Row],[Participation (Non-Gamification %)]]</f>
        <v>12.90533173</v>
      </c>
      <c r="AD807" s="28">
        <f>Table1[[#This Row],[Learning Outcomes (Gamification %)]]-Table1[[#This Row],[Learning Outcomes (Non-Gamification %)]]</f>
        <v>19.466598600000005</v>
      </c>
      <c r="AE807" s="44" t="str">
        <f>IF(Table1[[#This Row],[Overall Effectiveness]]&lt;3.9,"Low",IF(Table1[[#This Row],[Overall Effectiveness]]&lt;4.2,"Medium","High"))</f>
        <v>High</v>
      </c>
      <c r="AF807" s="30" t="str">
        <f t="shared" si="76"/>
        <v>Online Tutorials</v>
      </c>
      <c r="AG807" s="30" t="str">
        <f t="shared" si="77"/>
        <v>Lectures</v>
      </c>
      <c r="AH807" s="27">
        <f>COUNTIF(Teacher_Master!$D$2:$D$16,AF807)</f>
        <v>3</v>
      </c>
      <c r="AI807" s="30" t="str">
        <f>INDEX(Teacher_Master!$B$2:$B$16,MATCH(AF807,Teacher_Master!$D$2:$D$16,0))</f>
        <v>Prof. Kavita Rao</v>
      </c>
    </row>
    <row r="808" spans="1:35" ht="14.25" customHeight="1" x14ac:dyDescent="0.3">
      <c r="A808" s="31" t="s">
        <v>1651</v>
      </c>
      <c r="B808" s="31" t="s">
        <v>2666</v>
      </c>
      <c r="C808" s="31" t="s">
        <v>2882</v>
      </c>
      <c r="D808" s="12">
        <f t="shared" ca="1" si="72"/>
        <v>29</v>
      </c>
      <c r="E808" s="12" t="str">
        <f ca="1">IF(Table1[[#This Row],[Age]]&lt;=22,"20-22",IF(Table1[[#This Row],[Age]]&lt;=25,"23-25",IF(Table1[[#This Row],[Age]]&lt;=28,"26-28","29-30")))</f>
        <v>29-30</v>
      </c>
      <c r="F808" s="12">
        <v>4.79</v>
      </c>
      <c r="G808" s="12">
        <v>4</v>
      </c>
      <c r="H808" s="12">
        <v>4.22</v>
      </c>
      <c r="I808" s="12">
        <v>3.87</v>
      </c>
      <c r="J808" s="12">
        <v>4.08</v>
      </c>
      <c r="K808" s="12">
        <v>3.9</v>
      </c>
      <c r="L808" s="12">
        <v>4.17</v>
      </c>
      <c r="M808" s="12">
        <v>4.01</v>
      </c>
      <c r="N808" s="12" t="s">
        <v>1653</v>
      </c>
      <c r="O808" s="12">
        <v>4.4400000000000004</v>
      </c>
      <c r="P808" s="12">
        <f t="shared" si="73"/>
        <v>4.1920000000000002</v>
      </c>
      <c r="Q808" s="12">
        <f t="shared" si="74"/>
        <v>4.1900000000000004</v>
      </c>
      <c r="R808" s="12">
        <f t="shared" si="75"/>
        <v>4.13</v>
      </c>
      <c r="S808" s="28">
        <f>IFERROR(INDEX('Clean Gamification Data'!$B:$B,MATCH($B808,'Clean Gamification Data'!$A:$A,0)),"Not Found")</f>
        <v>80.599377660000002</v>
      </c>
      <c r="T808" s="28">
        <f>IFERROR(INDEX('Clean Gamification Data'!$C:$C,MATCH($B808,'Clean Gamification Data'!$A:$A,0)),"Not Found")</f>
        <v>67.043521729999995</v>
      </c>
      <c r="U808" s="28">
        <f>IFERROR(INDEX('Clean Gamification Data'!$D:$D,MATCH($B808,'Clean Gamification Data'!$A:$A,0)),"Not Found")</f>
        <v>70</v>
      </c>
      <c r="V808" s="28">
        <f>IFERROR(INDEX('Clean Gamification Data'!$E:$E,MATCH($B808,'Clean Gamification Data'!$A:$A,0)),"Not Found")</f>
        <v>66.293140199999996</v>
      </c>
      <c r="W808" s="28">
        <f>IFERROR(INDEX('Clean Gamification Data'!$F:$F,MATCH($B808,'Clean Gamification Data'!$A:$A,0)),"Not Found")</f>
        <v>98.636483549999994</v>
      </c>
      <c r="X808" s="28">
        <f>IFERROR(INDEX('Clean Gamification Data'!$G:$G,MATCH($B808,'Clean Gamification Data'!$A:$A,0)),"Not Found")</f>
        <v>78.855352379999999</v>
      </c>
      <c r="Y808" s="28">
        <f>IFERROR(INDEX('Clean Gamification Data'!$H:$H,MATCH($B808,'Clean Gamification Data'!$A:$A,0)),"Not Found")</f>
        <v>72.063759579999996</v>
      </c>
      <c r="Z808" s="28">
        <f>IFERROR(INDEX('Clean Gamification Data'!$I:$I,MATCH($B808,'Clean Gamification Data'!$A:$A,0)),"Not Found")</f>
        <v>50</v>
      </c>
      <c r="AA808" s="28">
        <f>Table1[[#This Row],[Engagement (Gamification %)]]-Table1[[#This Row],[Engagement (Non-Gamification %)]]</f>
        <v>13.555855930000007</v>
      </c>
      <c r="AB808" s="28">
        <f>Table1[[#This Row],[Motivation (Gamification %)]]-Table1[[#This Row],[Motivation (Non-Gamification %)]]</f>
        <v>3.7068598000000037</v>
      </c>
      <c r="AC808" s="28">
        <f>Table1[[#This Row],[Participation (Gamification %)]]-Table1[[#This Row],[Participation (Non-Gamification %)]]</f>
        <v>19.781131169999995</v>
      </c>
      <c r="AD808" s="28">
        <f>Table1[[#This Row],[Learning Outcomes (Gamification %)]]-Table1[[#This Row],[Learning Outcomes (Non-Gamification %)]]</f>
        <v>22.063759579999996</v>
      </c>
      <c r="AE808" s="44" t="str">
        <f>IF(Table1[[#This Row],[Overall Effectiveness]]&lt;3.9,"Low",IF(Table1[[#This Row],[Overall Effectiveness]]&lt;4.2,"Medium","High"))</f>
        <v>Medium</v>
      </c>
      <c r="AF808" s="30" t="str">
        <f t="shared" si="76"/>
        <v>Lectures</v>
      </c>
      <c r="AG808" s="30" t="str">
        <f t="shared" si="77"/>
        <v>Online Tutorials</v>
      </c>
      <c r="AH808" s="27">
        <f>COUNTIF(Teacher_Master!$D$2:$D$16,AF808)</f>
        <v>3</v>
      </c>
      <c r="AI808" s="30" t="str">
        <f>INDEX(Teacher_Master!$B$2:$B$16,MATCH(AF808,Teacher_Master!$D$2:$D$16,0))</f>
        <v>Prof. Vikram Gupta</v>
      </c>
    </row>
    <row r="809" spans="1:35" ht="14.25" customHeight="1" x14ac:dyDescent="0.3">
      <c r="A809" s="31" t="s">
        <v>1654</v>
      </c>
      <c r="B809" s="31" t="s">
        <v>2667</v>
      </c>
      <c r="C809" s="31" t="s">
        <v>2881</v>
      </c>
      <c r="D809" s="12">
        <f t="shared" ca="1" si="72"/>
        <v>25</v>
      </c>
      <c r="E809" s="12" t="str">
        <f ca="1">IF(Table1[[#This Row],[Age]]&lt;=22,"20-22",IF(Table1[[#This Row],[Age]]&lt;=25,"23-25",IF(Table1[[#This Row],[Age]]&lt;=28,"26-28","29-30")))</f>
        <v>23-25</v>
      </c>
      <c r="F809" s="12">
        <v>3.82</v>
      </c>
      <c r="G809" s="12">
        <v>3.36</v>
      </c>
      <c r="H809" s="12">
        <v>3.91</v>
      </c>
      <c r="I809" s="12">
        <v>3.97</v>
      </c>
      <c r="J809" s="12">
        <v>3.97</v>
      </c>
      <c r="K809" s="12">
        <v>4.21</v>
      </c>
      <c r="L809" s="12" t="s">
        <v>1656</v>
      </c>
      <c r="M809" s="12">
        <v>3.74</v>
      </c>
      <c r="N809" s="12">
        <v>4.41</v>
      </c>
      <c r="O809" s="12">
        <v>3.77</v>
      </c>
      <c r="P809" s="12">
        <f t="shared" si="73"/>
        <v>3.806</v>
      </c>
      <c r="Q809" s="12">
        <f t="shared" si="74"/>
        <v>3.81</v>
      </c>
      <c r="R809" s="12">
        <f t="shared" si="75"/>
        <v>4.0324999999999998</v>
      </c>
      <c r="S809" s="28">
        <f>IFERROR(INDEX('Clean Gamification Data'!$B:$B,MATCH($B809,'Clean Gamification Data'!$A:$A,0)),"Not Found")</f>
        <v>86.817362309999993</v>
      </c>
      <c r="T809" s="28">
        <f>IFERROR(INDEX('Clean Gamification Data'!$C:$C,MATCH($B809,'Clean Gamification Data'!$A:$A,0)),"Not Found")</f>
        <v>63.839078299999997</v>
      </c>
      <c r="U809" s="28">
        <f>IFERROR(INDEX('Clean Gamification Data'!$D:$D,MATCH($B809,'Clean Gamification Data'!$A:$A,0)),"Not Found")</f>
        <v>76.452811679999996</v>
      </c>
      <c r="V809" s="28">
        <f>IFERROR(INDEX('Clean Gamification Data'!$E:$E,MATCH($B809,'Clean Gamification Data'!$A:$A,0)),"Not Found")</f>
        <v>59.717771110000001</v>
      </c>
      <c r="W809" s="28">
        <f>IFERROR(INDEX('Clean Gamification Data'!$F:$F,MATCH($B809,'Clean Gamification Data'!$A:$A,0)),"Not Found")</f>
        <v>90.172575019999996</v>
      </c>
      <c r="X809" s="28">
        <f>IFERROR(INDEX('Clean Gamification Data'!$G:$G,MATCH($B809,'Clean Gamification Data'!$A:$A,0)),"Not Found")</f>
        <v>80.479813809999996</v>
      </c>
      <c r="Y809" s="28">
        <f>IFERROR(INDEX('Clean Gamification Data'!$H:$H,MATCH($B809,'Clean Gamification Data'!$A:$A,0)),"Not Found")</f>
        <v>70.517507050000006</v>
      </c>
      <c r="Z809" s="28">
        <f>IFERROR(INDEX('Clean Gamification Data'!$I:$I,MATCH($B809,'Clean Gamification Data'!$A:$A,0)),"Not Found")</f>
        <v>58.082219170000002</v>
      </c>
      <c r="AA809" s="28">
        <f>Table1[[#This Row],[Engagement (Gamification %)]]-Table1[[#This Row],[Engagement (Non-Gamification %)]]</f>
        <v>22.978284009999996</v>
      </c>
      <c r="AB809" s="28">
        <f>Table1[[#This Row],[Motivation (Gamification %)]]-Table1[[#This Row],[Motivation (Non-Gamification %)]]</f>
        <v>16.735040569999995</v>
      </c>
      <c r="AC809" s="28">
        <f>Table1[[#This Row],[Participation (Gamification %)]]-Table1[[#This Row],[Participation (Non-Gamification %)]]</f>
        <v>9.6927612100000005</v>
      </c>
      <c r="AD809" s="28">
        <f>Table1[[#This Row],[Learning Outcomes (Gamification %)]]-Table1[[#This Row],[Learning Outcomes (Non-Gamification %)]]</f>
        <v>12.435287880000004</v>
      </c>
      <c r="AE809" s="44" t="str">
        <f>IF(Table1[[#This Row],[Overall Effectiveness]]&lt;3.9,"Low",IF(Table1[[#This Row],[Overall Effectiveness]]&lt;4.2,"Medium","High"))</f>
        <v>Low</v>
      </c>
      <c r="AF809" s="30" t="str">
        <f t="shared" si="76"/>
        <v>Experiments</v>
      </c>
      <c r="AG809" s="30" t="str">
        <f t="shared" si="77"/>
        <v>Experiments</v>
      </c>
      <c r="AH809" s="27">
        <f>COUNTIF(Teacher_Master!$D$2:$D$16,AF809)</f>
        <v>3</v>
      </c>
      <c r="AI809" s="30" t="str">
        <f>INDEX(Teacher_Master!$B$2:$B$16,MATCH(AF809,Teacher_Master!$D$2:$D$16,0))</f>
        <v>Prof. Rahul Singh</v>
      </c>
    </row>
    <row r="810" spans="1:35" ht="14.25" customHeight="1" x14ac:dyDescent="0.3">
      <c r="A810" s="31" t="s">
        <v>1657</v>
      </c>
      <c r="B810" s="31" t="s">
        <v>1658</v>
      </c>
      <c r="C810" s="31" t="s">
        <v>2882</v>
      </c>
      <c r="D810" s="12">
        <f t="shared" ca="1" si="72"/>
        <v>28</v>
      </c>
      <c r="E810" s="12" t="str">
        <f ca="1">IF(Table1[[#This Row],[Age]]&lt;=22,"20-22",IF(Table1[[#This Row],[Age]]&lt;=25,"23-25",IF(Table1[[#This Row],[Age]]&lt;=28,"26-28","29-30")))</f>
        <v>26-28</v>
      </c>
      <c r="F810" s="12">
        <v>3.64</v>
      </c>
      <c r="G810" s="12">
        <v>3.98</v>
      </c>
      <c r="H810" s="12">
        <v>3.59</v>
      </c>
      <c r="I810" s="12">
        <v>3.31</v>
      </c>
      <c r="J810" s="12">
        <v>3.82</v>
      </c>
      <c r="K810" s="12">
        <v>4.5199999999999996</v>
      </c>
      <c r="L810" s="12">
        <v>4.09</v>
      </c>
      <c r="M810" s="12">
        <v>4.3</v>
      </c>
      <c r="N810" s="12">
        <v>4.01</v>
      </c>
      <c r="O810" s="12">
        <v>4.18</v>
      </c>
      <c r="P810" s="12">
        <f t="shared" si="73"/>
        <v>3.6680000000000001</v>
      </c>
      <c r="Q810" s="12">
        <f t="shared" si="74"/>
        <v>3.67</v>
      </c>
      <c r="R810" s="12">
        <f t="shared" si="75"/>
        <v>4.2200000000000006</v>
      </c>
      <c r="S810" s="28">
        <f>IFERROR(INDEX('Clean Gamification Data'!$B:$B,MATCH($B810,'Clean Gamification Data'!$A:$A,0)),"Not Found")</f>
        <v>87.391970549999996</v>
      </c>
      <c r="T810" s="28">
        <f>IFERROR(INDEX('Clean Gamification Data'!$C:$C,MATCH($B810,'Clean Gamification Data'!$A:$A,0)),"Not Found")</f>
        <v>64.205434260000004</v>
      </c>
      <c r="U810" s="28">
        <f>IFERROR(INDEX('Clean Gamification Data'!$D:$D,MATCH($B810,'Clean Gamification Data'!$A:$A,0)),"Not Found")</f>
        <v>71.104709</v>
      </c>
      <c r="V810" s="28">
        <f>IFERROR(INDEX('Clean Gamification Data'!$E:$E,MATCH($B810,'Clean Gamification Data'!$A:$A,0)),"Not Found")</f>
        <v>69.465356869999994</v>
      </c>
      <c r="W810" s="28">
        <f>IFERROR(INDEX('Clean Gamification Data'!$F:$F,MATCH($B810,'Clean Gamification Data'!$A:$A,0)),"Not Found")</f>
        <v>81.790575770000004</v>
      </c>
      <c r="X810" s="28">
        <f>IFERROR(INDEX('Clean Gamification Data'!$G:$G,MATCH($B810,'Clean Gamification Data'!$A:$A,0)),"Not Found")</f>
        <v>76.439575809999994</v>
      </c>
      <c r="Y810" s="28">
        <f>IFERROR(INDEX('Clean Gamification Data'!$H:$H,MATCH($B810,'Clean Gamification Data'!$A:$A,0)),"Not Found")</f>
        <v>74.980380080000003</v>
      </c>
      <c r="Z810" s="28">
        <f>IFERROR(INDEX('Clean Gamification Data'!$I:$I,MATCH($B810,'Clean Gamification Data'!$A:$A,0)),"Not Found")</f>
        <v>62.269973180000001</v>
      </c>
      <c r="AA810" s="28">
        <f>Table1[[#This Row],[Engagement (Gamification %)]]-Table1[[#This Row],[Engagement (Non-Gamification %)]]</f>
        <v>23.186536289999992</v>
      </c>
      <c r="AB810" s="28">
        <f>Table1[[#This Row],[Motivation (Gamification %)]]-Table1[[#This Row],[Motivation (Non-Gamification %)]]</f>
        <v>1.639352130000006</v>
      </c>
      <c r="AC810" s="28">
        <f>Table1[[#This Row],[Participation (Gamification %)]]-Table1[[#This Row],[Participation (Non-Gamification %)]]</f>
        <v>5.35099996000001</v>
      </c>
      <c r="AD810" s="28">
        <f>Table1[[#This Row],[Learning Outcomes (Gamification %)]]-Table1[[#This Row],[Learning Outcomes (Non-Gamification %)]]</f>
        <v>12.710406900000002</v>
      </c>
      <c r="AE810" s="44" t="str">
        <f>IF(Table1[[#This Row],[Overall Effectiveness]]&lt;3.9,"Low",IF(Table1[[#This Row],[Overall Effectiveness]]&lt;4.2,"Medium","High"))</f>
        <v>Low</v>
      </c>
      <c r="AF810" s="30" t="str">
        <f t="shared" si="76"/>
        <v>Case Studies</v>
      </c>
      <c r="AG810" s="30" t="str">
        <f t="shared" si="77"/>
        <v>Lectures</v>
      </c>
      <c r="AH810" s="27">
        <f>COUNTIF(Teacher_Master!$D$2:$D$16,AF810)</f>
        <v>3</v>
      </c>
      <c r="AI810" s="30" t="str">
        <f>INDEX(Teacher_Master!$B$2:$B$16,MATCH(AF810,Teacher_Master!$D$2:$D$16,0))</f>
        <v>Prof. Rajesh Mukherjee</v>
      </c>
    </row>
    <row r="811" spans="1:35" ht="14.25" customHeight="1" x14ac:dyDescent="0.3">
      <c r="A811" s="31" t="s">
        <v>1659</v>
      </c>
      <c r="B811" s="31" t="s">
        <v>2668</v>
      </c>
      <c r="C811" s="31" t="s">
        <v>2882</v>
      </c>
      <c r="D811" s="12">
        <f t="shared" ca="1" si="72"/>
        <v>24</v>
      </c>
      <c r="E811" s="12" t="str">
        <f ca="1">IF(Table1[[#This Row],[Age]]&lt;=22,"20-22",IF(Table1[[#This Row],[Age]]&lt;=25,"23-25",IF(Table1[[#This Row],[Age]]&lt;=28,"26-28","29-30")))</f>
        <v>23-25</v>
      </c>
      <c r="F811" s="12">
        <v>3.77</v>
      </c>
      <c r="G811" s="12">
        <v>3.61</v>
      </c>
      <c r="H811" s="12">
        <v>4.09</v>
      </c>
      <c r="I811" s="12">
        <v>4.17</v>
      </c>
      <c r="J811" s="12">
        <v>4.16</v>
      </c>
      <c r="K811" s="12">
        <v>4.03</v>
      </c>
      <c r="L811" s="12">
        <v>4.2699999999999996</v>
      </c>
      <c r="M811" s="12">
        <v>4.07</v>
      </c>
      <c r="N811" s="12">
        <v>4.1399999999999997</v>
      </c>
      <c r="O811" s="12">
        <v>3.86</v>
      </c>
      <c r="P811" s="12">
        <f t="shared" si="73"/>
        <v>3.9599999999999995</v>
      </c>
      <c r="Q811" s="12">
        <f t="shared" si="74"/>
        <v>3.96</v>
      </c>
      <c r="R811" s="12">
        <f t="shared" si="75"/>
        <v>4.0739999999999998</v>
      </c>
      <c r="S811" s="28">
        <f>IFERROR(INDEX('Clean Gamification Data'!$B:$B,MATCH($B811,'Clean Gamification Data'!$A:$A,0)),"Not Found")</f>
        <v>86.004924369999998</v>
      </c>
      <c r="T811" s="28">
        <f>IFERROR(INDEX('Clean Gamification Data'!$C:$C,MATCH($B811,'Clean Gamification Data'!$A:$A,0)),"Not Found")</f>
        <v>75.633123949999998</v>
      </c>
      <c r="U811" s="28">
        <f>IFERROR(INDEX('Clean Gamification Data'!$D:$D,MATCH($B811,'Clean Gamification Data'!$A:$A,0)),"Not Found")</f>
        <v>81.764356980000002</v>
      </c>
      <c r="V811" s="28">
        <f>IFERROR(INDEX('Clean Gamification Data'!$E:$E,MATCH($B811,'Clean Gamification Data'!$A:$A,0)),"Not Found")</f>
        <v>66.147779740000004</v>
      </c>
      <c r="W811" s="28">
        <f>IFERROR(INDEX('Clean Gamification Data'!$F:$F,MATCH($B811,'Clean Gamification Data'!$A:$A,0)),"Not Found")</f>
        <v>95.37960434</v>
      </c>
      <c r="X811" s="28">
        <f>IFERROR(INDEX('Clean Gamification Data'!$G:$G,MATCH($B811,'Clean Gamification Data'!$A:$A,0)),"Not Found")</f>
        <v>69.839749870000006</v>
      </c>
      <c r="Y811" s="28">
        <f>IFERROR(INDEX('Clean Gamification Data'!$H:$H,MATCH($B811,'Clean Gamification Data'!$A:$A,0)),"Not Found")</f>
        <v>69.443749519999997</v>
      </c>
      <c r="Z811" s="28">
        <f>IFERROR(INDEX('Clean Gamification Data'!$I:$I,MATCH($B811,'Clean Gamification Data'!$A:$A,0)),"Not Found")</f>
        <v>70</v>
      </c>
      <c r="AA811" s="28">
        <f>Table1[[#This Row],[Engagement (Gamification %)]]-Table1[[#This Row],[Engagement (Non-Gamification %)]]</f>
        <v>10.37180042</v>
      </c>
      <c r="AB811" s="28">
        <f>Table1[[#This Row],[Motivation (Gamification %)]]-Table1[[#This Row],[Motivation (Non-Gamification %)]]</f>
        <v>15.616577239999998</v>
      </c>
      <c r="AC811" s="28">
        <f>Table1[[#This Row],[Participation (Gamification %)]]-Table1[[#This Row],[Participation (Non-Gamification %)]]</f>
        <v>25.539854469999995</v>
      </c>
      <c r="AD811" s="28">
        <f>Table1[[#This Row],[Learning Outcomes (Gamification %)]]-Table1[[#This Row],[Learning Outcomes (Non-Gamification %)]]</f>
        <v>-0.55625048000000277</v>
      </c>
      <c r="AE811" s="44" t="str">
        <f>IF(Table1[[#This Row],[Overall Effectiveness]]&lt;3.9,"Low",IF(Table1[[#This Row],[Overall Effectiveness]]&lt;4.2,"Medium","High"))</f>
        <v>Medium</v>
      </c>
      <c r="AF811" s="30" t="str">
        <f t="shared" si="76"/>
        <v>Experiments</v>
      </c>
      <c r="AG811" s="30" t="str">
        <f t="shared" si="77"/>
        <v>Case Studies</v>
      </c>
      <c r="AH811" s="27">
        <f>COUNTIF(Teacher_Master!$D$2:$D$16,AF811)</f>
        <v>3</v>
      </c>
      <c r="AI811" s="30" t="str">
        <f>INDEX(Teacher_Master!$B$2:$B$16,MATCH(AF811,Teacher_Master!$D$2:$D$16,0))</f>
        <v>Prof. Rahul Singh</v>
      </c>
    </row>
    <row r="812" spans="1:35" ht="14.25" customHeight="1" x14ac:dyDescent="0.3">
      <c r="A812" s="31" t="s">
        <v>1661</v>
      </c>
      <c r="B812" s="31" t="s">
        <v>1662</v>
      </c>
      <c r="C812" s="31" t="s">
        <v>2882</v>
      </c>
      <c r="D812" s="12">
        <f t="shared" ca="1" si="72"/>
        <v>23</v>
      </c>
      <c r="E812" s="12" t="str">
        <f ca="1">IF(Table1[[#This Row],[Age]]&lt;=22,"20-22",IF(Table1[[#This Row],[Age]]&lt;=25,"23-25",IF(Table1[[#This Row],[Age]]&lt;=28,"26-28","29-30")))</f>
        <v>23-25</v>
      </c>
      <c r="F812" s="12">
        <v>4.16</v>
      </c>
      <c r="G812" s="12">
        <v>4.46</v>
      </c>
      <c r="H812" s="12">
        <v>3.43</v>
      </c>
      <c r="I812" s="12">
        <v>3.94</v>
      </c>
      <c r="J812" s="12">
        <v>4.07</v>
      </c>
      <c r="K812" s="12">
        <v>3.77</v>
      </c>
      <c r="L812" s="12">
        <v>3.87</v>
      </c>
      <c r="M812" s="12">
        <v>4.0999999999999996</v>
      </c>
      <c r="N812" s="12">
        <v>3.34</v>
      </c>
      <c r="O812" s="12">
        <v>4.03</v>
      </c>
      <c r="P812" s="12">
        <f t="shared" si="73"/>
        <v>4.0120000000000005</v>
      </c>
      <c r="Q812" s="12">
        <f t="shared" si="74"/>
        <v>4.01</v>
      </c>
      <c r="R812" s="12">
        <f t="shared" si="75"/>
        <v>3.8220000000000001</v>
      </c>
      <c r="S812" s="28">
        <f>IFERROR(INDEX('Clean Gamification Data'!$B:$B,MATCH($B812,'Clean Gamification Data'!$A:$A,0)),"Not Found")</f>
        <v>86.798808919999999</v>
      </c>
      <c r="T812" s="28">
        <f>IFERROR(INDEX('Clean Gamification Data'!$C:$C,MATCH($B812,'Clean Gamification Data'!$A:$A,0)),"Not Found")</f>
        <v>69.119093629999995</v>
      </c>
      <c r="U812" s="28">
        <f>IFERROR(INDEX('Clean Gamification Data'!$D:$D,MATCH($B812,'Clean Gamification Data'!$A:$A,0)),"Not Found")</f>
        <v>80.365248289999997</v>
      </c>
      <c r="V812" s="28">
        <f>IFERROR(INDEX('Clean Gamification Data'!$E:$E,MATCH($B812,'Clean Gamification Data'!$A:$A,0)),"Not Found")</f>
        <v>65.356520320000001</v>
      </c>
      <c r="W812" s="28">
        <f>IFERROR(INDEX('Clean Gamification Data'!$F:$F,MATCH($B812,'Clean Gamification Data'!$A:$A,0)),"Not Found")</f>
        <v>83.099610589999998</v>
      </c>
      <c r="X812" s="28">
        <f>IFERROR(INDEX('Clean Gamification Data'!$G:$G,MATCH($B812,'Clean Gamification Data'!$A:$A,0)),"Not Found")</f>
        <v>80.717337839999999</v>
      </c>
      <c r="Y812" s="28">
        <f>IFERROR(INDEX('Clean Gamification Data'!$H:$H,MATCH($B812,'Clean Gamification Data'!$A:$A,0)),"Not Found")</f>
        <v>76.119528919999993</v>
      </c>
      <c r="Z812" s="28">
        <f>IFERROR(INDEX('Clean Gamification Data'!$I:$I,MATCH($B812,'Clean Gamification Data'!$A:$A,0)),"Not Found")</f>
        <v>54.080941840000001</v>
      </c>
      <c r="AA812" s="28">
        <f>Table1[[#This Row],[Engagement (Gamification %)]]-Table1[[#This Row],[Engagement (Non-Gamification %)]]</f>
        <v>17.679715290000004</v>
      </c>
      <c r="AB812" s="28">
        <f>Table1[[#This Row],[Motivation (Gamification %)]]-Table1[[#This Row],[Motivation (Non-Gamification %)]]</f>
        <v>15.008727969999995</v>
      </c>
      <c r="AC812" s="28">
        <f>Table1[[#This Row],[Participation (Gamification %)]]-Table1[[#This Row],[Participation (Non-Gamification %)]]</f>
        <v>2.3822727499999985</v>
      </c>
      <c r="AD812" s="28">
        <f>Table1[[#This Row],[Learning Outcomes (Gamification %)]]-Table1[[#This Row],[Learning Outcomes (Non-Gamification %)]]</f>
        <v>22.038587079999992</v>
      </c>
      <c r="AE812" s="44" t="str">
        <f>IF(Table1[[#This Row],[Overall Effectiveness]]&lt;3.9,"Low",IF(Table1[[#This Row],[Overall Effectiveness]]&lt;4.2,"Medium","High"))</f>
        <v>Medium</v>
      </c>
      <c r="AF812" s="30" t="str">
        <f t="shared" si="76"/>
        <v>Case Studies</v>
      </c>
      <c r="AG812" s="30" t="str">
        <f t="shared" si="77"/>
        <v>Group Projects</v>
      </c>
      <c r="AH812" s="27">
        <f>COUNTIF(Teacher_Master!$D$2:$D$16,AF812)</f>
        <v>3</v>
      </c>
      <c r="AI812" s="30" t="str">
        <f>INDEX(Teacher_Master!$B$2:$B$16,MATCH(AF812,Teacher_Master!$D$2:$D$16,0))</f>
        <v>Prof. Rajesh Mukherjee</v>
      </c>
    </row>
    <row r="813" spans="1:35" ht="14.25" customHeight="1" x14ac:dyDescent="0.3">
      <c r="A813" s="31" t="s">
        <v>1663</v>
      </c>
      <c r="B813" s="31" t="s">
        <v>2669</v>
      </c>
      <c r="C813" s="31" t="s">
        <v>2881</v>
      </c>
      <c r="D813" s="12">
        <f t="shared" ca="1" si="72"/>
        <v>22</v>
      </c>
      <c r="E813" s="12" t="str">
        <f ca="1">IF(Table1[[#This Row],[Age]]&lt;=22,"20-22",IF(Table1[[#This Row],[Age]]&lt;=25,"23-25",IF(Table1[[#This Row],[Age]]&lt;=28,"26-28","29-30")))</f>
        <v>20-22</v>
      </c>
      <c r="F813" s="12">
        <v>3.79</v>
      </c>
      <c r="G813" s="12">
        <v>4.28</v>
      </c>
      <c r="H813" s="12">
        <v>3.89</v>
      </c>
      <c r="I813" s="12">
        <v>3.9</v>
      </c>
      <c r="J813" s="12">
        <v>3.95</v>
      </c>
      <c r="K813" s="12">
        <v>4.12</v>
      </c>
      <c r="L813" s="12">
        <v>3.62</v>
      </c>
      <c r="M813" s="12">
        <v>4.28</v>
      </c>
      <c r="N813" s="12">
        <v>4.45</v>
      </c>
      <c r="O813" s="12">
        <v>3.92</v>
      </c>
      <c r="P813" s="12">
        <f t="shared" si="73"/>
        <v>3.9620000000000006</v>
      </c>
      <c r="Q813" s="12">
        <f t="shared" si="74"/>
        <v>3.96</v>
      </c>
      <c r="R813" s="12">
        <f t="shared" si="75"/>
        <v>4.0780000000000003</v>
      </c>
      <c r="S813" s="28">
        <f>IFERROR(INDEX('Clean Gamification Data'!$B:$B,MATCH($B813,'Clean Gamification Data'!$A:$A,0)),"Not Found")</f>
        <v>81.22105114</v>
      </c>
      <c r="T813" s="28">
        <f>IFERROR(INDEX('Clean Gamification Data'!$C:$C,MATCH($B813,'Clean Gamification Data'!$A:$A,0)),"Not Found")</f>
        <v>71.286782619999997</v>
      </c>
      <c r="U813" s="28">
        <f>IFERROR(INDEX('Clean Gamification Data'!$D:$D,MATCH($B813,'Clean Gamification Data'!$A:$A,0)),"Not Found")</f>
        <v>72.536408809999998</v>
      </c>
      <c r="V813" s="28">
        <f>IFERROR(INDEX('Clean Gamification Data'!$E:$E,MATCH($B813,'Clean Gamification Data'!$A:$A,0)),"Not Found")</f>
        <v>60.603996739999999</v>
      </c>
      <c r="W813" s="28">
        <f>IFERROR(INDEX('Clean Gamification Data'!$F:$F,MATCH($B813,'Clean Gamification Data'!$A:$A,0)),"Not Found")</f>
        <v>87.385659720000007</v>
      </c>
      <c r="X813" s="28">
        <f>IFERROR(INDEX('Clean Gamification Data'!$G:$G,MATCH($B813,'Clean Gamification Data'!$A:$A,0)),"Not Found")</f>
        <v>73.705541510000003</v>
      </c>
      <c r="Y813" s="28">
        <f>IFERROR(INDEX('Clean Gamification Data'!$H:$H,MATCH($B813,'Clean Gamification Data'!$A:$A,0)),"Not Found")</f>
        <v>79.173788290000005</v>
      </c>
      <c r="Z813" s="28">
        <f>IFERROR(INDEX('Clean Gamification Data'!$I:$I,MATCH($B813,'Clean Gamification Data'!$A:$A,0)),"Not Found")</f>
        <v>64.878375629999994</v>
      </c>
      <c r="AA813" s="28">
        <f>Table1[[#This Row],[Engagement (Gamification %)]]-Table1[[#This Row],[Engagement (Non-Gamification %)]]</f>
        <v>9.9342685200000034</v>
      </c>
      <c r="AB813" s="28">
        <f>Table1[[#This Row],[Motivation (Gamification %)]]-Table1[[#This Row],[Motivation (Non-Gamification %)]]</f>
        <v>11.932412069999998</v>
      </c>
      <c r="AC813" s="28">
        <f>Table1[[#This Row],[Participation (Gamification %)]]-Table1[[#This Row],[Participation (Non-Gamification %)]]</f>
        <v>13.680118210000003</v>
      </c>
      <c r="AD813" s="28">
        <f>Table1[[#This Row],[Learning Outcomes (Gamification %)]]-Table1[[#This Row],[Learning Outcomes (Non-Gamification %)]]</f>
        <v>14.295412660000011</v>
      </c>
      <c r="AE813" s="44" t="str">
        <f>IF(Table1[[#This Row],[Overall Effectiveness]]&lt;3.9,"Low",IF(Table1[[#This Row],[Overall Effectiveness]]&lt;4.2,"Medium","High"))</f>
        <v>Medium</v>
      </c>
      <c r="AF813" s="30" t="str">
        <f t="shared" si="76"/>
        <v>Case Studies</v>
      </c>
      <c r="AG813" s="30" t="str">
        <f t="shared" si="77"/>
        <v>Experiments</v>
      </c>
      <c r="AH813" s="27">
        <f>COUNTIF(Teacher_Master!$D$2:$D$16,AF813)</f>
        <v>3</v>
      </c>
      <c r="AI813" s="30" t="str">
        <f>INDEX(Teacher_Master!$B$2:$B$16,MATCH(AF813,Teacher_Master!$D$2:$D$16,0))</f>
        <v>Prof. Rajesh Mukherjee</v>
      </c>
    </row>
    <row r="814" spans="1:35" ht="14.25" customHeight="1" x14ac:dyDescent="0.3">
      <c r="A814" s="31" t="s">
        <v>1665</v>
      </c>
      <c r="B814" s="31" t="s">
        <v>1666</v>
      </c>
      <c r="C814" s="31" t="s">
        <v>2882</v>
      </c>
      <c r="D814" s="12">
        <f t="shared" ca="1" si="72"/>
        <v>27</v>
      </c>
      <c r="E814" s="12" t="str">
        <f ca="1">IF(Table1[[#This Row],[Age]]&lt;=22,"20-22",IF(Table1[[#This Row],[Age]]&lt;=25,"23-25",IF(Table1[[#This Row],[Age]]&lt;=28,"26-28","29-30")))</f>
        <v>26-28</v>
      </c>
      <c r="F814" s="12">
        <v>3.9</v>
      </c>
      <c r="G814" s="12">
        <v>4.09</v>
      </c>
      <c r="H814" s="12">
        <v>4.0999999999999996</v>
      </c>
      <c r="I814" s="12">
        <v>4.09</v>
      </c>
      <c r="J814" s="12">
        <v>3.81</v>
      </c>
      <c r="K814" s="12">
        <v>4.1100000000000003</v>
      </c>
      <c r="L814" s="12">
        <v>3.66</v>
      </c>
      <c r="M814" s="12">
        <v>4.1100000000000003</v>
      </c>
      <c r="N814" s="12">
        <v>3.95</v>
      </c>
      <c r="O814" s="12">
        <v>4.18</v>
      </c>
      <c r="P814" s="12">
        <f t="shared" si="73"/>
        <v>3.9979999999999998</v>
      </c>
      <c r="Q814" s="12">
        <f t="shared" si="74"/>
        <v>4</v>
      </c>
      <c r="R814" s="12">
        <f t="shared" si="75"/>
        <v>4.0020000000000007</v>
      </c>
      <c r="S814" s="28">
        <f>IFERROR(INDEX('Clean Gamification Data'!$B:$B,MATCH($B814,'Clean Gamification Data'!$A:$A,0)),"Not Found")</f>
        <v>79.232409410000002</v>
      </c>
      <c r="T814" s="28">
        <f>IFERROR(INDEX('Clean Gamification Data'!$C:$C,MATCH($B814,'Clean Gamification Data'!$A:$A,0)),"Not Found")</f>
        <v>69.397257679999996</v>
      </c>
      <c r="U814" s="28">
        <f>IFERROR(INDEX('Clean Gamification Data'!$D:$D,MATCH($B814,'Clean Gamification Data'!$A:$A,0)),"Not Found")</f>
        <v>74.297931030000001</v>
      </c>
      <c r="V814" s="28">
        <f>IFERROR(INDEX('Clean Gamification Data'!$E:$E,MATCH($B814,'Clean Gamification Data'!$A:$A,0)),"Not Found")</f>
        <v>66.618361969999995</v>
      </c>
      <c r="W814" s="28">
        <f>IFERROR(INDEX('Clean Gamification Data'!$F:$F,MATCH($B814,'Clean Gamification Data'!$A:$A,0)),"Not Found")</f>
        <v>89.833558699999998</v>
      </c>
      <c r="X814" s="28">
        <f>IFERROR(INDEX('Clean Gamification Data'!$G:$G,MATCH($B814,'Clean Gamification Data'!$A:$A,0)),"Not Found")</f>
        <v>85</v>
      </c>
      <c r="Y814" s="28">
        <f>IFERROR(INDEX('Clean Gamification Data'!$H:$H,MATCH($B814,'Clean Gamification Data'!$A:$A,0)),"Not Found")</f>
        <v>76.080923170000005</v>
      </c>
      <c r="Z814" s="28">
        <f>IFERROR(INDEX('Clean Gamification Data'!$I:$I,MATCH($B814,'Clean Gamification Data'!$A:$A,0)),"Not Found")</f>
        <v>54.19294593</v>
      </c>
      <c r="AA814" s="28">
        <f>Table1[[#This Row],[Engagement (Gamification %)]]-Table1[[#This Row],[Engagement (Non-Gamification %)]]</f>
        <v>9.8351517300000069</v>
      </c>
      <c r="AB814" s="28">
        <f>Table1[[#This Row],[Motivation (Gamification %)]]-Table1[[#This Row],[Motivation (Non-Gamification %)]]</f>
        <v>7.6795690600000057</v>
      </c>
      <c r="AC814" s="28">
        <f>Table1[[#This Row],[Participation (Gamification %)]]-Table1[[#This Row],[Participation (Non-Gamification %)]]</f>
        <v>4.8335586999999975</v>
      </c>
      <c r="AD814" s="28">
        <f>Table1[[#This Row],[Learning Outcomes (Gamification %)]]-Table1[[#This Row],[Learning Outcomes (Non-Gamification %)]]</f>
        <v>21.887977240000005</v>
      </c>
      <c r="AE814" s="44" t="str">
        <f>IF(Table1[[#This Row],[Overall Effectiveness]]&lt;3.9,"Low",IF(Table1[[#This Row],[Overall Effectiveness]]&lt;4.2,"Medium","High"))</f>
        <v>Medium</v>
      </c>
      <c r="AF814" s="30" t="str">
        <f t="shared" si="76"/>
        <v>Group Projects</v>
      </c>
      <c r="AG814" s="30" t="str">
        <f t="shared" si="77"/>
        <v>Online Tutorials</v>
      </c>
      <c r="AH814" s="27">
        <f>COUNTIF(Teacher_Master!$D$2:$D$16,AF814)</f>
        <v>3</v>
      </c>
      <c r="AI814" s="30" t="str">
        <f>INDEX(Teacher_Master!$B$2:$B$16,MATCH(AF814,Teacher_Master!$D$2:$D$16,0))</f>
        <v>Dr. Rohan Dutta</v>
      </c>
    </row>
    <row r="815" spans="1:35" ht="14.25" customHeight="1" x14ac:dyDescent="0.3">
      <c r="A815" s="31" t="s">
        <v>1667</v>
      </c>
      <c r="B815" s="31" t="s">
        <v>2670</v>
      </c>
      <c r="C815" s="31" t="s">
        <v>2882</v>
      </c>
      <c r="D815" s="12">
        <f t="shared" ca="1" si="72"/>
        <v>28</v>
      </c>
      <c r="E815" s="12" t="str">
        <f ca="1">IF(Table1[[#This Row],[Age]]&lt;=22,"20-22",IF(Table1[[#This Row],[Age]]&lt;=25,"23-25",IF(Table1[[#This Row],[Age]]&lt;=28,"26-28","29-30")))</f>
        <v>26-28</v>
      </c>
      <c r="F815" s="12">
        <v>3.92</v>
      </c>
      <c r="G815" s="12">
        <v>4.2300000000000004</v>
      </c>
      <c r="H815" s="12">
        <v>3.78</v>
      </c>
      <c r="I815" s="12">
        <v>4.25</v>
      </c>
      <c r="J815" s="12">
        <v>3.88</v>
      </c>
      <c r="K815" s="12">
        <v>4.3499999999999996</v>
      </c>
      <c r="L815" s="12">
        <v>3.98</v>
      </c>
      <c r="M815" s="12">
        <v>4.12</v>
      </c>
      <c r="N815" s="12">
        <v>3.51</v>
      </c>
      <c r="O815" s="12">
        <v>4.54</v>
      </c>
      <c r="P815" s="12">
        <f t="shared" si="73"/>
        <v>4.0119999999999996</v>
      </c>
      <c r="Q815" s="12">
        <f t="shared" si="74"/>
        <v>4.01</v>
      </c>
      <c r="R815" s="12">
        <f t="shared" si="75"/>
        <v>4.0999999999999996</v>
      </c>
      <c r="S815" s="28">
        <f>IFERROR(INDEX('Clean Gamification Data'!$B:$B,MATCH($B815,'Clean Gamification Data'!$A:$A,0)),"Not Found")</f>
        <v>86.621824660000001</v>
      </c>
      <c r="T815" s="28">
        <f>IFERROR(INDEX('Clean Gamification Data'!$C:$C,MATCH($B815,'Clean Gamification Data'!$A:$A,0)),"Not Found")</f>
        <v>74.125642529999993</v>
      </c>
      <c r="U815" s="28">
        <f>IFERROR(INDEX('Clean Gamification Data'!$D:$D,MATCH($B815,'Clean Gamification Data'!$A:$A,0)),"Not Found")</f>
        <v>70</v>
      </c>
      <c r="V815" s="28">
        <f>IFERROR(INDEX('Clean Gamification Data'!$E:$E,MATCH($B815,'Clean Gamification Data'!$A:$A,0)),"Not Found")</f>
        <v>65.767053610000005</v>
      </c>
      <c r="W815" s="28">
        <f>IFERROR(INDEX('Clean Gamification Data'!$F:$F,MATCH($B815,'Clean Gamification Data'!$A:$A,0)),"Not Found")</f>
        <v>97.289273800000004</v>
      </c>
      <c r="X815" s="28">
        <f>IFERROR(INDEX('Clean Gamification Data'!$G:$G,MATCH($B815,'Clean Gamification Data'!$A:$A,0)),"Not Found")</f>
        <v>76.444244710000007</v>
      </c>
      <c r="Y815" s="28">
        <f>IFERROR(INDEX('Clean Gamification Data'!$H:$H,MATCH($B815,'Clean Gamification Data'!$A:$A,0)),"Not Found")</f>
        <v>67.630373789999993</v>
      </c>
      <c r="Z815" s="28">
        <f>IFERROR(INDEX('Clean Gamification Data'!$I:$I,MATCH($B815,'Clean Gamification Data'!$A:$A,0)),"Not Found")</f>
        <v>59.207592570000003</v>
      </c>
      <c r="AA815" s="28">
        <f>Table1[[#This Row],[Engagement (Gamification %)]]-Table1[[#This Row],[Engagement (Non-Gamification %)]]</f>
        <v>12.496182130000008</v>
      </c>
      <c r="AB815" s="28">
        <f>Table1[[#This Row],[Motivation (Gamification %)]]-Table1[[#This Row],[Motivation (Non-Gamification %)]]</f>
        <v>4.2329463899999951</v>
      </c>
      <c r="AC815" s="28">
        <f>Table1[[#This Row],[Participation (Gamification %)]]-Table1[[#This Row],[Participation (Non-Gamification %)]]</f>
        <v>20.845029089999997</v>
      </c>
      <c r="AD815" s="28">
        <f>Table1[[#This Row],[Learning Outcomes (Gamification %)]]-Table1[[#This Row],[Learning Outcomes (Non-Gamification %)]]</f>
        <v>8.4227812199999903</v>
      </c>
      <c r="AE815" s="44" t="str">
        <f>IF(Table1[[#This Row],[Overall Effectiveness]]&lt;3.9,"Low",IF(Table1[[#This Row],[Overall Effectiveness]]&lt;4.2,"Medium","High"))</f>
        <v>Medium</v>
      </c>
      <c r="AF815" s="30" t="str">
        <f t="shared" si="76"/>
        <v>Experiments</v>
      </c>
      <c r="AG815" s="30" t="str">
        <f t="shared" si="77"/>
        <v>Online Tutorials</v>
      </c>
      <c r="AH815" s="27">
        <f>COUNTIF(Teacher_Master!$D$2:$D$16,AF815)</f>
        <v>3</v>
      </c>
      <c r="AI815" s="30" t="str">
        <f>INDEX(Teacher_Master!$B$2:$B$16,MATCH(AF815,Teacher_Master!$D$2:$D$16,0))</f>
        <v>Prof. Rahul Singh</v>
      </c>
    </row>
    <row r="816" spans="1:35" ht="14.25" customHeight="1" x14ac:dyDescent="0.3">
      <c r="A816" s="31" t="s">
        <v>1669</v>
      </c>
      <c r="B816" s="31" t="s">
        <v>1670</v>
      </c>
      <c r="C816" s="31" t="s">
        <v>2882</v>
      </c>
      <c r="D816" s="12">
        <f t="shared" ca="1" si="72"/>
        <v>27</v>
      </c>
      <c r="E816" s="12" t="str">
        <f ca="1">IF(Table1[[#This Row],[Age]]&lt;=22,"20-22",IF(Table1[[#This Row],[Age]]&lt;=25,"23-25",IF(Table1[[#This Row],[Age]]&lt;=28,"26-28","29-30")))</f>
        <v>26-28</v>
      </c>
      <c r="F816" s="12">
        <v>4.12</v>
      </c>
      <c r="G816" s="12">
        <v>4.24</v>
      </c>
      <c r="H816" s="12">
        <v>3.98</v>
      </c>
      <c r="I816" s="12">
        <v>4.4800000000000004</v>
      </c>
      <c r="J816" s="12">
        <v>3.9</v>
      </c>
      <c r="K816" s="12">
        <v>4.03</v>
      </c>
      <c r="L816" s="12">
        <v>4.28</v>
      </c>
      <c r="M816" s="12">
        <v>4.12</v>
      </c>
      <c r="N816" s="12">
        <v>4.17</v>
      </c>
      <c r="O816" s="12">
        <v>4.1500000000000004</v>
      </c>
      <c r="P816" s="12">
        <f t="shared" si="73"/>
        <v>4.1440000000000001</v>
      </c>
      <c r="Q816" s="12">
        <f t="shared" si="74"/>
        <v>4.1399999999999997</v>
      </c>
      <c r="R816" s="12">
        <f t="shared" si="75"/>
        <v>4.1500000000000004</v>
      </c>
      <c r="S816" s="28">
        <f>IFERROR(INDEX('Clean Gamification Data'!$B:$B,MATCH($B816,'Clean Gamification Data'!$A:$A,0)),"Not Found")</f>
        <v>83.564669129999999</v>
      </c>
      <c r="T816" s="28">
        <f>IFERROR(INDEX('Clean Gamification Data'!$C:$C,MATCH($B816,'Clean Gamification Data'!$A:$A,0)),"Not Found")</f>
        <v>66.132148790000002</v>
      </c>
      <c r="U816" s="28">
        <f>IFERROR(INDEX('Clean Gamification Data'!$D:$D,MATCH($B816,'Clean Gamification Data'!$A:$A,0)),"Not Found")</f>
        <v>77.840761270000002</v>
      </c>
      <c r="V816" s="28">
        <f>IFERROR(INDEX('Clean Gamification Data'!$E:$E,MATCH($B816,'Clean Gamification Data'!$A:$A,0)),"Not Found")</f>
        <v>70.960327759999998</v>
      </c>
      <c r="W816" s="28">
        <f>IFERROR(INDEX('Clean Gamification Data'!$F:$F,MATCH($B816,'Clean Gamification Data'!$A:$A,0)),"Not Found")</f>
        <v>80</v>
      </c>
      <c r="X816" s="28">
        <f>IFERROR(INDEX('Clean Gamification Data'!$G:$G,MATCH($B816,'Clean Gamification Data'!$A:$A,0)),"Not Found")</f>
        <v>82.074190669999993</v>
      </c>
      <c r="Y816" s="28">
        <f>IFERROR(INDEX('Clean Gamification Data'!$H:$H,MATCH($B816,'Clean Gamification Data'!$A:$A,0)),"Not Found")</f>
        <v>68.234840890000001</v>
      </c>
      <c r="Z816" s="28">
        <f>IFERROR(INDEX('Clean Gamification Data'!$I:$I,MATCH($B816,'Clean Gamification Data'!$A:$A,0)),"Not Found")</f>
        <v>50</v>
      </c>
      <c r="AA816" s="28">
        <f>Table1[[#This Row],[Engagement (Gamification %)]]-Table1[[#This Row],[Engagement (Non-Gamification %)]]</f>
        <v>17.432520339999996</v>
      </c>
      <c r="AB816" s="28">
        <f>Table1[[#This Row],[Motivation (Gamification %)]]-Table1[[#This Row],[Motivation (Non-Gamification %)]]</f>
        <v>6.8804335100000031</v>
      </c>
      <c r="AC816" s="28">
        <f>Table1[[#This Row],[Participation (Gamification %)]]-Table1[[#This Row],[Participation (Non-Gamification %)]]</f>
        <v>-2.074190669999993</v>
      </c>
      <c r="AD816" s="28">
        <f>Table1[[#This Row],[Learning Outcomes (Gamification %)]]-Table1[[#This Row],[Learning Outcomes (Non-Gamification %)]]</f>
        <v>18.234840890000001</v>
      </c>
      <c r="AE816" s="44" t="str">
        <f>IF(Table1[[#This Row],[Overall Effectiveness]]&lt;3.9,"Low",IF(Table1[[#This Row],[Overall Effectiveness]]&lt;4.2,"Medium","High"))</f>
        <v>Medium</v>
      </c>
      <c r="AF816" s="30" t="str">
        <f t="shared" si="76"/>
        <v>Experiments</v>
      </c>
      <c r="AG816" s="30" t="str">
        <f t="shared" si="77"/>
        <v>Case Studies</v>
      </c>
      <c r="AH816" s="27">
        <f>COUNTIF(Teacher_Master!$D$2:$D$16,AF816)</f>
        <v>3</v>
      </c>
      <c r="AI816" s="30" t="str">
        <f>INDEX(Teacher_Master!$B$2:$B$16,MATCH(AF816,Teacher_Master!$D$2:$D$16,0))</f>
        <v>Prof. Rahul Singh</v>
      </c>
    </row>
    <row r="817" spans="1:35" ht="14.25" customHeight="1" x14ac:dyDescent="0.3">
      <c r="A817" s="31" t="s">
        <v>1671</v>
      </c>
      <c r="B817" s="31" t="s">
        <v>2671</v>
      </c>
      <c r="C817" s="31" t="s">
        <v>2881</v>
      </c>
      <c r="D817" s="12">
        <f t="shared" ca="1" si="72"/>
        <v>28</v>
      </c>
      <c r="E817" s="12" t="str">
        <f ca="1">IF(Table1[[#This Row],[Age]]&lt;=22,"20-22",IF(Table1[[#This Row],[Age]]&lt;=25,"23-25",IF(Table1[[#This Row],[Age]]&lt;=28,"26-28","29-30")))</f>
        <v>26-28</v>
      </c>
      <c r="F817" s="12">
        <v>4.08</v>
      </c>
      <c r="G817" s="12">
        <v>4.4400000000000004</v>
      </c>
      <c r="H817" s="12">
        <v>3.94</v>
      </c>
      <c r="I817" s="12">
        <v>4.7</v>
      </c>
      <c r="J817" s="12">
        <v>3.95</v>
      </c>
      <c r="K817" s="12">
        <v>3.74</v>
      </c>
      <c r="L817" s="12">
        <v>3.87</v>
      </c>
      <c r="M817" s="12">
        <v>4.1900000000000004</v>
      </c>
      <c r="N817" s="12">
        <v>4.2699999999999996</v>
      </c>
      <c r="O817" s="12">
        <v>3.61</v>
      </c>
      <c r="P817" s="12">
        <f t="shared" si="73"/>
        <v>4.2219999999999995</v>
      </c>
      <c r="Q817" s="12">
        <f t="shared" si="74"/>
        <v>4.22</v>
      </c>
      <c r="R817" s="12">
        <f t="shared" si="75"/>
        <v>3.9359999999999999</v>
      </c>
      <c r="S817" s="28">
        <f>IFERROR(INDEX('Clean Gamification Data'!$B:$B,MATCH($B817,'Clean Gamification Data'!$A:$A,0)),"Not Found")</f>
        <v>92.219616500000001</v>
      </c>
      <c r="T817" s="28">
        <f>IFERROR(INDEX('Clean Gamification Data'!$C:$C,MATCH($B817,'Clean Gamification Data'!$A:$A,0)),"Not Found")</f>
        <v>80</v>
      </c>
      <c r="U817" s="28">
        <f>IFERROR(INDEX('Clean Gamification Data'!$D:$D,MATCH($B817,'Clean Gamification Data'!$A:$A,0)),"Not Found")</f>
        <v>88.410727829999999</v>
      </c>
      <c r="V817" s="28">
        <f>IFERROR(INDEX('Clean Gamification Data'!$E:$E,MATCH($B817,'Clean Gamification Data'!$A:$A,0)),"Not Found")</f>
        <v>67.786020609999994</v>
      </c>
      <c r="W817" s="28">
        <f>IFERROR(INDEX('Clean Gamification Data'!$F:$F,MATCH($B817,'Clean Gamification Data'!$A:$A,0)),"Not Found")</f>
        <v>80</v>
      </c>
      <c r="X817" s="28">
        <f>IFERROR(INDEX('Clean Gamification Data'!$G:$G,MATCH($B817,'Clean Gamification Data'!$A:$A,0)),"Not Found")</f>
        <v>75.245937920000003</v>
      </c>
      <c r="Y817" s="28">
        <f>IFERROR(INDEX('Clean Gamification Data'!$H:$H,MATCH($B817,'Clean Gamification Data'!$A:$A,0)),"Not Found")</f>
        <v>70.890915449999994</v>
      </c>
      <c r="Z817" s="28">
        <f>IFERROR(INDEX('Clean Gamification Data'!$I:$I,MATCH($B817,'Clean Gamification Data'!$A:$A,0)),"Not Found")</f>
        <v>62.176755929999999</v>
      </c>
      <c r="AA817" s="28">
        <f>Table1[[#This Row],[Engagement (Gamification %)]]-Table1[[#This Row],[Engagement (Non-Gamification %)]]</f>
        <v>12.219616500000001</v>
      </c>
      <c r="AB817" s="28">
        <f>Table1[[#This Row],[Motivation (Gamification %)]]-Table1[[#This Row],[Motivation (Non-Gamification %)]]</f>
        <v>20.624707220000005</v>
      </c>
      <c r="AC817" s="28">
        <f>Table1[[#This Row],[Participation (Gamification %)]]-Table1[[#This Row],[Participation (Non-Gamification %)]]</f>
        <v>4.7540620799999971</v>
      </c>
      <c r="AD817" s="28">
        <f>Table1[[#This Row],[Learning Outcomes (Gamification %)]]-Table1[[#This Row],[Learning Outcomes (Non-Gamification %)]]</f>
        <v>8.7141595199999955</v>
      </c>
      <c r="AE817" s="44" t="str">
        <f>IF(Table1[[#This Row],[Overall Effectiveness]]&lt;3.9,"Low",IF(Table1[[#This Row],[Overall Effectiveness]]&lt;4.2,"Medium","High"))</f>
        <v>High</v>
      </c>
      <c r="AF817" s="30" t="str">
        <f t="shared" si="76"/>
        <v>Experiments</v>
      </c>
      <c r="AG817" s="30" t="str">
        <f t="shared" si="77"/>
        <v>Experiments</v>
      </c>
      <c r="AH817" s="27">
        <f>COUNTIF(Teacher_Master!$D$2:$D$16,AF817)</f>
        <v>3</v>
      </c>
      <c r="AI817" s="30" t="str">
        <f>INDEX(Teacher_Master!$B$2:$B$16,MATCH(AF817,Teacher_Master!$D$2:$D$16,0))</f>
        <v>Prof. Rahul Singh</v>
      </c>
    </row>
    <row r="818" spans="1:35" ht="14.25" customHeight="1" x14ac:dyDescent="0.3">
      <c r="A818" s="31" t="s">
        <v>1673</v>
      </c>
      <c r="B818" s="31" t="s">
        <v>2672</v>
      </c>
      <c r="C818" s="31" t="s">
        <v>2882</v>
      </c>
      <c r="D818" s="12">
        <f t="shared" ca="1" si="72"/>
        <v>24</v>
      </c>
      <c r="E818" s="12" t="str">
        <f ca="1">IF(Table1[[#This Row],[Age]]&lt;=22,"20-22",IF(Table1[[#This Row],[Age]]&lt;=25,"23-25",IF(Table1[[#This Row],[Age]]&lt;=28,"26-28","29-30")))</f>
        <v>23-25</v>
      </c>
      <c r="F818" s="12">
        <v>4.1500000000000004</v>
      </c>
      <c r="G818" s="12">
        <v>4.24</v>
      </c>
      <c r="H818" s="12">
        <v>3.72</v>
      </c>
      <c r="I818" s="12">
        <v>3.67</v>
      </c>
      <c r="J818" s="12">
        <v>4.04</v>
      </c>
      <c r="K818" s="12">
        <v>4.07</v>
      </c>
      <c r="L818" s="12">
        <v>4.33</v>
      </c>
      <c r="M818" s="12">
        <v>4.6900000000000004</v>
      </c>
      <c r="N818" s="12">
        <v>3.67</v>
      </c>
      <c r="O818" s="12">
        <v>3.69</v>
      </c>
      <c r="P818" s="12">
        <f t="shared" si="73"/>
        <v>3.964</v>
      </c>
      <c r="Q818" s="12">
        <f t="shared" si="74"/>
        <v>3.96</v>
      </c>
      <c r="R818" s="12">
        <f t="shared" si="75"/>
        <v>4.09</v>
      </c>
      <c r="S818" s="28">
        <f>IFERROR(INDEX('Clean Gamification Data'!$B:$B,MATCH($B818,'Clean Gamification Data'!$A:$A,0)),"Not Found")</f>
        <v>91.3321787</v>
      </c>
      <c r="T818" s="28">
        <f>IFERROR(INDEX('Clean Gamification Data'!$C:$C,MATCH($B818,'Clean Gamification Data'!$A:$A,0)),"Not Found")</f>
        <v>67.823457660000003</v>
      </c>
      <c r="U818" s="28">
        <f>IFERROR(INDEX('Clean Gamification Data'!$D:$D,MATCH($B818,'Clean Gamification Data'!$A:$A,0)),"Not Found")</f>
        <v>70</v>
      </c>
      <c r="V818" s="28">
        <f>IFERROR(INDEX('Clean Gamification Data'!$E:$E,MATCH($B818,'Clean Gamification Data'!$A:$A,0)),"Not Found")</f>
        <v>67.831351299999994</v>
      </c>
      <c r="W818" s="28">
        <f>IFERROR(INDEX('Clean Gamification Data'!$F:$F,MATCH($B818,'Clean Gamification Data'!$A:$A,0)),"Not Found")</f>
        <v>85.997969299999994</v>
      </c>
      <c r="X818" s="28">
        <f>IFERROR(INDEX('Clean Gamification Data'!$G:$G,MATCH($B818,'Clean Gamification Data'!$A:$A,0)),"Not Found")</f>
        <v>83.417581810000001</v>
      </c>
      <c r="Y818" s="28">
        <f>IFERROR(INDEX('Clean Gamification Data'!$H:$H,MATCH($B818,'Clean Gamification Data'!$A:$A,0)),"Not Found")</f>
        <v>70.286601730000001</v>
      </c>
      <c r="Z818" s="28">
        <f>IFERROR(INDEX('Clean Gamification Data'!$I:$I,MATCH($B818,'Clean Gamification Data'!$A:$A,0)),"Not Found")</f>
        <v>56.836126780000001</v>
      </c>
      <c r="AA818" s="28">
        <f>Table1[[#This Row],[Engagement (Gamification %)]]-Table1[[#This Row],[Engagement (Non-Gamification %)]]</f>
        <v>23.508721039999998</v>
      </c>
      <c r="AB818" s="28">
        <f>Table1[[#This Row],[Motivation (Gamification %)]]-Table1[[#This Row],[Motivation (Non-Gamification %)]]</f>
        <v>2.1686487000000056</v>
      </c>
      <c r="AC818" s="28">
        <f>Table1[[#This Row],[Participation (Gamification %)]]-Table1[[#This Row],[Participation (Non-Gamification %)]]</f>
        <v>2.5803874899999926</v>
      </c>
      <c r="AD818" s="28">
        <f>Table1[[#This Row],[Learning Outcomes (Gamification %)]]-Table1[[#This Row],[Learning Outcomes (Non-Gamification %)]]</f>
        <v>13.45047495</v>
      </c>
      <c r="AE818" s="44" t="str">
        <f>IF(Table1[[#This Row],[Overall Effectiveness]]&lt;3.9,"Low",IF(Table1[[#This Row],[Overall Effectiveness]]&lt;4.2,"Medium","High"))</f>
        <v>Medium</v>
      </c>
      <c r="AF818" s="30" t="str">
        <f t="shared" si="76"/>
        <v>Case Studies</v>
      </c>
      <c r="AG818" s="30" t="str">
        <f t="shared" si="77"/>
        <v>Group Projects</v>
      </c>
      <c r="AH818" s="27">
        <f>COUNTIF(Teacher_Master!$D$2:$D$16,AF818)</f>
        <v>3</v>
      </c>
      <c r="AI818" s="30" t="str">
        <f>INDEX(Teacher_Master!$B$2:$B$16,MATCH(AF818,Teacher_Master!$D$2:$D$16,0))</f>
        <v>Prof. Rajesh Mukherjee</v>
      </c>
    </row>
    <row r="819" spans="1:35" ht="14.25" customHeight="1" x14ac:dyDescent="0.3">
      <c r="A819" s="31" t="s">
        <v>1675</v>
      </c>
      <c r="B819" s="31" t="s">
        <v>1676</v>
      </c>
      <c r="C819" s="31" t="s">
        <v>2881</v>
      </c>
      <c r="D819" s="12">
        <f t="shared" ca="1" si="72"/>
        <v>25</v>
      </c>
      <c r="E819" s="12" t="str">
        <f ca="1">IF(Table1[[#This Row],[Age]]&lt;=22,"20-22",IF(Table1[[#This Row],[Age]]&lt;=25,"23-25",IF(Table1[[#This Row],[Age]]&lt;=28,"26-28","29-30")))</f>
        <v>23-25</v>
      </c>
      <c r="F819" s="12">
        <v>4</v>
      </c>
      <c r="G819" s="12">
        <v>4.16</v>
      </c>
      <c r="H819" s="12">
        <v>4.3099999999999996</v>
      </c>
      <c r="I819" s="12">
        <v>4.68</v>
      </c>
      <c r="J819" s="12">
        <v>4.08</v>
      </c>
      <c r="K819" s="12">
        <v>4.09</v>
      </c>
      <c r="L819" s="12">
        <v>3.77</v>
      </c>
      <c r="M819" s="12">
        <v>4.0999999999999996</v>
      </c>
      <c r="N819" s="12">
        <v>4.16</v>
      </c>
      <c r="O819" s="12">
        <v>4.2699999999999996</v>
      </c>
      <c r="P819" s="12">
        <f t="shared" si="73"/>
        <v>4.2459999999999996</v>
      </c>
      <c r="Q819" s="12">
        <f t="shared" si="74"/>
        <v>4.25</v>
      </c>
      <c r="R819" s="12">
        <f t="shared" si="75"/>
        <v>4.0779999999999994</v>
      </c>
      <c r="S819" s="28">
        <f>IFERROR(INDEX('Clean Gamification Data'!$B:$B,MATCH($B819,'Clean Gamification Data'!$A:$A,0)),"Not Found")</f>
        <v>90.281124750000004</v>
      </c>
      <c r="T819" s="28">
        <f>IFERROR(INDEX('Clean Gamification Data'!$C:$C,MATCH($B819,'Clean Gamification Data'!$A:$A,0)),"Not Found")</f>
        <v>70.966300189999998</v>
      </c>
      <c r="U819" s="28">
        <f>IFERROR(INDEX('Clean Gamification Data'!$D:$D,MATCH($B819,'Clean Gamification Data'!$A:$A,0)),"Not Found")</f>
        <v>76.637881800000002</v>
      </c>
      <c r="V819" s="28">
        <f>IFERROR(INDEX('Clean Gamification Data'!$E:$E,MATCH($B819,'Clean Gamification Data'!$A:$A,0)),"Not Found")</f>
        <v>69.807169680000001</v>
      </c>
      <c r="W819" s="28">
        <f>IFERROR(INDEX('Clean Gamification Data'!$F:$F,MATCH($B819,'Clean Gamification Data'!$A:$A,0)),"Not Found")</f>
        <v>94.118825569999998</v>
      </c>
      <c r="X819" s="28">
        <f>IFERROR(INDEX('Clean Gamification Data'!$G:$G,MATCH($B819,'Clean Gamification Data'!$A:$A,0)),"Not Found")</f>
        <v>76.038579569999996</v>
      </c>
      <c r="Y819" s="28">
        <f>IFERROR(INDEX('Clean Gamification Data'!$H:$H,MATCH($B819,'Clean Gamification Data'!$A:$A,0)),"Not Found")</f>
        <v>74.475164590000006</v>
      </c>
      <c r="Z819" s="28">
        <f>IFERROR(INDEX('Clean Gamification Data'!$I:$I,MATCH($B819,'Clean Gamification Data'!$A:$A,0)),"Not Found")</f>
        <v>50.111622410000003</v>
      </c>
      <c r="AA819" s="28">
        <f>Table1[[#This Row],[Engagement (Gamification %)]]-Table1[[#This Row],[Engagement (Non-Gamification %)]]</f>
        <v>19.314824560000005</v>
      </c>
      <c r="AB819" s="28">
        <f>Table1[[#This Row],[Motivation (Gamification %)]]-Table1[[#This Row],[Motivation (Non-Gamification %)]]</f>
        <v>6.8307121200000012</v>
      </c>
      <c r="AC819" s="28">
        <f>Table1[[#This Row],[Participation (Gamification %)]]-Table1[[#This Row],[Participation (Non-Gamification %)]]</f>
        <v>18.080246000000002</v>
      </c>
      <c r="AD819" s="28">
        <f>Table1[[#This Row],[Learning Outcomes (Gamification %)]]-Table1[[#This Row],[Learning Outcomes (Non-Gamification %)]]</f>
        <v>24.363542180000003</v>
      </c>
      <c r="AE819" s="44" t="str">
        <f>IF(Table1[[#This Row],[Overall Effectiveness]]&lt;3.9,"Low",IF(Table1[[#This Row],[Overall Effectiveness]]&lt;4.2,"Medium","High"))</f>
        <v>High</v>
      </c>
      <c r="AF819" s="30" t="str">
        <f t="shared" si="76"/>
        <v>Experiments</v>
      </c>
      <c r="AG819" s="30" t="str">
        <f t="shared" si="77"/>
        <v>Online Tutorials</v>
      </c>
      <c r="AH819" s="27">
        <f>COUNTIF(Teacher_Master!$D$2:$D$16,AF819)</f>
        <v>3</v>
      </c>
      <c r="AI819" s="30" t="str">
        <f>INDEX(Teacher_Master!$B$2:$B$16,MATCH(AF819,Teacher_Master!$D$2:$D$16,0))</f>
        <v>Prof. Rahul Singh</v>
      </c>
    </row>
    <row r="820" spans="1:35" ht="14.25" customHeight="1" x14ac:dyDescent="0.3">
      <c r="A820" s="31" t="s">
        <v>1677</v>
      </c>
      <c r="B820" s="31" t="s">
        <v>2673</v>
      </c>
      <c r="C820" s="31" t="s">
        <v>2881</v>
      </c>
      <c r="D820" s="12">
        <f t="shared" ca="1" si="72"/>
        <v>27</v>
      </c>
      <c r="E820" s="12" t="str">
        <f ca="1">IF(Table1[[#This Row],[Age]]&lt;=22,"20-22",IF(Table1[[#This Row],[Age]]&lt;=25,"23-25",IF(Table1[[#This Row],[Age]]&lt;=28,"26-28","29-30")))</f>
        <v>26-28</v>
      </c>
      <c r="F820" s="12">
        <v>3.78</v>
      </c>
      <c r="G820" s="12" t="s">
        <v>211</v>
      </c>
      <c r="H820" s="12">
        <v>3.35</v>
      </c>
      <c r="I820" s="12">
        <v>3.58</v>
      </c>
      <c r="J820" s="12">
        <v>3.73</v>
      </c>
      <c r="K820" s="12">
        <v>3.87</v>
      </c>
      <c r="L820" s="12">
        <v>4.05</v>
      </c>
      <c r="M820" s="12">
        <v>4.2</v>
      </c>
      <c r="N820" s="12">
        <v>4.22</v>
      </c>
      <c r="O820" s="12">
        <v>3.67</v>
      </c>
      <c r="P820" s="12">
        <f t="shared" si="73"/>
        <v>3.6100000000000003</v>
      </c>
      <c r="Q820" s="12">
        <f t="shared" si="74"/>
        <v>3.61</v>
      </c>
      <c r="R820" s="12">
        <f t="shared" si="75"/>
        <v>4.0019999999999998</v>
      </c>
      <c r="S820" s="28">
        <f>IFERROR(INDEX('Clean Gamification Data'!$B:$B,MATCH($B820,'Clean Gamification Data'!$A:$A,0)),"Not Found")</f>
        <v>98.279438049999996</v>
      </c>
      <c r="T820" s="28">
        <f>IFERROR(INDEX('Clean Gamification Data'!$C:$C,MATCH($B820,'Clean Gamification Data'!$A:$A,0)),"Not Found")</f>
        <v>68.774226929999998</v>
      </c>
      <c r="U820" s="28">
        <f>IFERROR(INDEX('Clean Gamification Data'!$D:$D,MATCH($B820,'Clean Gamification Data'!$A:$A,0)),"Not Found")</f>
        <v>79.995316459999998</v>
      </c>
      <c r="V820" s="28">
        <f>IFERROR(INDEX('Clean Gamification Data'!$E:$E,MATCH($B820,'Clean Gamification Data'!$A:$A,0)),"Not Found")</f>
        <v>65.435744979999996</v>
      </c>
      <c r="W820" s="28">
        <f>IFERROR(INDEX('Clean Gamification Data'!$F:$F,MATCH($B820,'Clean Gamification Data'!$A:$A,0)),"Not Found")</f>
        <v>84.0413791</v>
      </c>
      <c r="X820" s="28">
        <f>IFERROR(INDEX('Clean Gamification Data'!$G:$G,MATCH($B820,'Clean Gamification Data'!$A:$A,0)),"Not Found")</f>
        <v>78.946067009999993</v>
      </c>
      <c r="Y820" s="28">
        <f>IFERROR(INDEX('Clean Gamification Data'!$H:$H,MATCH($B820,'Clean Gamification Data'!$A:$A,0)),"Not Found")</f>
        <v>65</v>
      </c>
      <c r="Z820" s="28">
        <f>IFERROR(INDEX('Clean Gamification Data'!$I:$I,MATCH($B820,'Clean Gamification Data'!$A:$A,0)),"Not Found")</f>
        <v>52.657095949999999</v>
      </c>
      <c r="AA820" s="28">
        <f>Table1[[#This Row],[Engagement (Gamification %)]]-Table1[[#This Row],[Engagement (Non-Gamification %)]]</f>
        <v>29.505211119999998</v>
      </c>
      <c r="AB820" s="28">
        <f>Table1[[#This Row],[Motivation (Gamification %)]]-Table1[[#This Row],[Motivation (Non-Gamification %)]]</f>
        <v>14.559571480000002</v>
      </c>
      <c r="AC820" s="28">
        <f>Table1[[#This Row],[Participation (Gamification %)]]-Table1[[#This Row],[Participation (Non-Gamification %)]]</f>
        <v>5.0953120900000073</v>
      </c>
      <c r="AD820" s="28">
        <f>Table1[[#This Row],[Learning Outcomes (Gamification %)]]-Table1[[#This Row],[Learning Outcomes (Non-Gamification %)]]</f>
        <v>12.342904050000001</v>
      </c>
      <c r="AE820" s="44" t="str">
        <f>IF(Table1[[#This Row],[Overall Effectiveness]]&lt;3.9,"Low",IF(Table1[[#This Row],[Overall Effectiveness]]&lt;4.2,"Medium","High"))</f>
        <v>Low</v>
      </c>
      <c r="AF820" s="30" t="str">
        <f t="shared" si="76"/>
        <v>Lectures</v>
      </c>
      <c r="AG820" s="30" t="str">
        <f t="shared" si="77"/>
        <v>Experiments</v>
      </c>
      <c r="AH820" s="27">
        <f>COUNTIF(Teacher_Master!$D$2:$D$16,AF820)</f>
        <v>3</v>
      </c>
      <c r="AI820" s="30" t="str">
        <f>INDEX(Teacher_Master!$B$2:$B$16,MATCH(AF820,Teacher_Master!$D$2:$D$16,0))</f>
        <v>Prof. Vikram Gupta</v>
      </c>
    </row>
    <row r="821" spans="1:35" ht="14.25" customHeight="1" x14ac:dyDescent="0.3">
      <c r="A821" s="31" t="s">
        <v>1679</v>
      </c>
      <c r="B821" s="31" t="s">
        <v>2674</v>
      </c>
      <c r="C821" s="31" t="s">
        <v>2881</v>
      </c>
      <c r="D821" s="12">
        <f t="shared" ca="1" si="72"/>
        <v>27</v>
      </c>
      <c r="E821" s="12" t="str">
        <f ca="1">IF(Table1[[#This Row],[Age]]&lt;=22,"20-22",IF(Table1[[#This Row],[Age]]&lt;=25,"23-25",IF(Table1[[#This Row],[Age]]&lt;=28,"26-28","29-30")))</f>
        <v>26-28</v>
      </c>
      <c r="F821" s="12">
        <v>3.86</v>
      </c>
      <c r="G821" s="12">
        <v>4.0199999999999996</v>
      </c>
      <c r="H821" s="12">
        <v>4.1399999999999997</v>
      </c>
      <c r="I821" s="12">
        <v>4.16</v>
      </c>
      <c r="J821" s="12">
        <v>3.87</v>
      </c>
      <c r="K821" s="12">
        <v>4.54</v>
      </c>
      <c r="L821" s="12">
        <v>3.55</v>
      </c>
      <c r="M821" s="12">
        <v>4.2</v>
      </c>
      <c r="N821" s="12">
        <v>4.3</v>
      </c>
      <c r="O821" s="12">
        <v>4.03</v>
      </c>
      <c r="P821" s="12">
        <f t="shared" si="73"/>
        <v>4.01</v>
      </c>
      <c r="Q821" s="12">
        <f t="shared" si="74"/>
        <v>4.01</v>
      </c>
      <c r="R821" s="12">
        <f t="shared" si="75"/>
        <v>4.1240000000000006</v>
      </c>
      <c r="S821" s="28">
        <f>IFERROR(INDEX('Clean Gamification Data'!$B:$B,MATCH($B821,'Clean Gamification Data'!$A:$A,0)),"Not Found")</f>
        <v>86.180398010000005</v>
      </c>
      <c r="T821" s="28">
        <f>IFERROR(INDEX('Clean Gamification Data'!$C:$C,MATCH($B821,'Clean Gamification Data'!$A:$A,0)),"Not Found")</f>
        <v>75.383564739999997</v>
      </c>
      <c r="U821" s="28">
        <f>IFERROR(INDEX('Clean Gamification Data'!$D:$D,MATCH($B821,'Clean Gamification Data'!$A:$A,0)),"Not Found")</f>
        <v>74.460371170000002</v>
      </c>
      <c r="V821" s="28">
        <f>IFERROR(INDEX('Clean Gamification Data'!$E:$E,MATCH($B821,'Clean Gamification Data'!$A:$A,0)),"Not Found")</f>
        <v>68.355352780000004</v>
      </c>
      <c r="W821" s="28">
        <f>IFERROR(INDEX('Clean Gamification Data'!$F:$F,MATCH($B821,'Clean Gamification Data'!$A:$A,0)),"Not Found")</f>
        <v>90.373601820000005</v>
      </c>
      <c r="X821" s="28">
        <f>IFERROR(INDEX('Clean Gamification Data'!$G:$G,MATCH($B821,'Clean Gamification Data'!$A:$A,0)),"Not Found")</f>
        <v>77.770378109999996</v>
      </c>
      <c r="Y821" s="28">
        <f>IFERROR(INDEX('Clean Gamification Data'!$H:$H,MATCH($B821,'Clean Gamification Data'!$A:$A,0)),"Not Found")</f>
        <v>71.351467389999996</v>
      </c>
      <c r="Z821" s="28">
        <f>IFERROR(INDEX('Clean Gamification Data'!$I:$I,MATCH($B821,'Clean Gamification Data'!$A:$A,0)),"Not Found")</f>
        <v>55.979329020000002</v>
      </c>
      <c r="AA821" s="28">
        <f>Table1[[#This Row],[Engagement (Gamification %)]]-Table1[[#This Row],[Engagement (Non-Gamification %)]]</f>
        <v>10.796833270000008</v>
      </c>
      <c r="AB821" s="28">
        <f>Table1[[#This Row],[Motivation (Gamification %)]]-Table1[[#This Row],[Motivation (Non-Gamification %)]]</f>
        <v>6.1050183899999979</v>
      </c>
      <c r="AC821" s="28">
        <f>Table1[[#This Row],[Participation (Gamification %)]]-Table1[[#This Row],[Participation (Non-Gamification %)]]</f>
        <v>12.603223710000009</v>
      </c>
      <c r="AD821" s="28">
        <f>Table1[[#This Row],[Learning Outcomes (Gamification %)]]-Table1[[#This Row],[Learning Outcomes (Non-Gamification %)]]</f>
        <v>15.372138369999995</v>
      </c>
      <c r="AE821" s="44" t="str">
        <f>IF(Table1[[#This Row],[Overall Effectiveness]]&lt;3.9,"Low",IF(Table1[[#This Row],[Overall Effectiveness]]&lt;4.2,"Medium","High"))</f>
        <v>Medium</v>
      </c>
      <c r="AF821" s="30" t="str">
        <f t="shared" si="76"/>
        <v>Experiments</v>
      </c>
      <c r="AG821" s="30" t="str">
        <f t="shared" si="77"/>
        <v>Lectures</v>
      </c>
      <c r="AH821" s="27">
        <f>COUNTIF(Teacher_Master!$D$2:$D$16,AF821)</f>
        <v>3</v>
      </c>
      <c r="AI821" s="30" t="str">
        <f>INDEX(Teacher_Master!$B$2:$B$16,MATCH(AF821,Teacher_Master!$D$2:$D$16,0))</f>
        <v>Prof. Rahul Singh</v>
      </c>
    </row>
    <row r="822" spans="1:35" ht="14.25" customHeight="1" x14ac:dyDescent="0.3">
      <c r="A822" s="31" t="s">
        <v>1681</v>
      </c>
      <c r="B822" s="31" t="s">
        <v>2675</v>
      </c>
      <c r="C822" s="31" t="s">
        <v>2882</v>
      </c>
      <c r="D822" s="12">
        <f t="shared" ca="1" si="72"/>
        <v>29</v>
      </c>
      <c r="E822" s="12" t="str">
        <f ca="1">IF(Table1[[#This Row],[Age]]&lt;=22,"20-22",IF(Table1[[#This Row],[Age]]&lt;=25,"23-25",IF(Table1[[#This Row],[Age]]&lt;=28,"26-28","29-30")))</f>
        <v>29-30</v>
      </c>
      <c r="F822" s="12">
        <v>4.0199999999999996</v>
      </c>
      <c r="G822" s="12">
        <v>4.09</v>
      </c>
      <c r="H822" s="12">
        <v>3.75</v>
      </c>
      <c r="I822" s="12">
        <v>4.45</v>
      </c>
      <c r="J822" s="12" t="s">
        <v>211</v>
      </c>
      <c r="K822" s="12">
        <v>3.7</v>
      </c>
      <c r="L822" s="12">
        <v>4.4800000000000004</v>
      </c>
      <c r="M822" s="12">
        <v>3.51</v>
      </c>
      <c r="N822" s="12">
        <v>3.92</v>
      </c>
      <c r="O822" s="12">
        <v>3.96</v>
      </c>
      <c r="P822" s="12">
        <f t="shared" si="73"/>
        <v>4.0774999999999997</v>
      </c>
      <c r="Q822" s="12">
        <f t="shared" si="74"/>
        <v>4.08</v>
      </c>
      <c r="R822" s="12">
        <f t="shared" si="75"/>
        <v>3.9140000000000001</v>
      </c>
      <c r="S822" s="28">
        <f>IFERROR(INDEX('Clean Gamification Data'!$B:$B,MATCH($B822,'Clean Gamification Data'!$A:$A,0)),"Not Found")</f>
        <v>89.904569379999998</v>
      </c>
      <c r="T822" s="28">
        <f>IFERROR(INDEX('Clean Gamification Data'!$C:$C,MATCH($B822,'Clean Gamification Data'!$A:$A,0)),"Not Found")</f>
        <v>60</v>
      </c>
      <c r="U822" s="28">
        <f>IFERROR(INDEX('Clean Gamification Data'!$D:$D,MATCH($B822,'Clean Gamification Data'!$A:$A,0)),"Not Found")</f>
        <v>71.661064929999995</v>
      </c>
      <c r="V822" s="28">
        <f>IFERROR(INDEX('Clean Gamification Data'!$E:$E,MATCH($B822,'Clean Gamification Data'!$A:$A,0)),"Not Found")</f>
        <v>66.168127490000003</v>
      </c>
      <c r="W822" s="28">
        <f>IFERROR(INDEX('Clean Gamification Data'!$F:$F,MATCH($B822,'Clean Gamification Data'!$A:$A,0)),"Not Found")</f>
        <v>81.10422423</v>
      </c>
      <c r="X822" s="28">
        <f>IFERROR(INDEX('Clean Gamification Data'!$G:$G,MATCH($B822,'Clean Gamification Data'!$A:$A,0)),"Not Found")</f>
        <v>72.294148160000006</v>
      </c>
      <c r="Y822" s="28">
        <f>IFERROR(INDEX('Clean Gamification Data'!$H:$H,MATCH($B822,'Clean Gamification Data'!$A:$A,0)),"Not Found")</f>
        <v>65</v>
      </c>
      <c r="Z822" s="28">
        <f>IFERROR(INDEX('Clean Gamification Data'!$I:$I,MATCH($B822,'Clean Gamification Data'!$A:$A,0)),"Not Found")</f>
        <v>57.95240407</v>
      </c>
      <c r="AA822" s="28">
        <f>Table1[[#This Row],[Engagement (Gamification %)]]-Table1[[#This Row],[Engagement (Non-Gamification %)]]</f>
        <v>29.904569379999998</v>
      </c>
      <c r="AB822" s="28">
        <f>Table1[[#This Row],[Motivation (Gamification %)]]-Table1[[#This Row],[Motivation (Non-Gamification %)]]</f>
        <v>5.4929374399999915</v>
      </c>
      <c r="AC822" s="28">
        <f>Table1[[#This Row],[Participation (Gamification %)]]-Table1[[#This Row],[Participation (Non-Gamification %)]]</f>
        <v>8.8100760699999938</v>
      </c>
      <c r="AD822" s="28">
        <f>Table1[[#This Row],[Learning Outcomes (Gamification %)]]-Table1[[#This Row],[Learning Outcomes (Non-Gamification %)]]</f>
        <v>7.04759593</v>
      </c>
      <c r="AE822" s="44" t="str">
        <f>IF(Table1[[#This Row],[Overall Effectiveness]]&lt;3.9,"Low",IF(Table1[[#This Row],[Overall Effectiveness]]&lt;4.2,"Medium","High"))</f>
        <v>Medium</v>
      </c>
      <c r="AF822" s="30" t="str">
        <f t="shared" si="76"/>
        <v>Experiments</v>
      </c>
      <c r="AG822" s="30" t="str">
        <f t="shared" si="77"/>
        <v>Case Studies</v>
      </c>
      <c r="AH822" s="27">
        <f>COUNTIF(Teacher_Master!$D$2:$D$16,AF822)</f>
        <v>3</v>
      </c>
      <c r="AI822" s="30" t="str">
        <f>INDEX(Teacher_Master!$B$2:$B$16,MATCH(AF822,Teacher_Master!$D$2:$D$16,0))</f>
        <v>Prof. Rahul Singh</v>
      </c>
    </row>
    <row r="823" spans="1:35" ht="14.25" customHeight="1" x14ac:dyDescent="0.3">
      <c r="A823" s="31" t="s">
        <v>1683</v>
      </c>
      <c r="B823" s="31" t="s">
        <v>2676</v>
      </c>
      <c r="C823" s="31" t="s">
        <v>2881</v>
      </c>
      <c r="D823" s="12">
        <f t="shared" ca="1" si="72"/>
        <v>21</v>
      </c>
      <c r="E823" s="12" t="str">
        <f ca="1">IF(Table1[[#This Row],[Age]]&lt;=22,"20-22",IF(Table1[[#This Row],[Age]]&lt;=25,"23-25",IF(Table1[[#This Row],[Age]]&lt;=28,"26-28","29-30")))</f>
        <v>20-22</v>
      </c>
      <c r="F823" s="12">
        <v>4.25</v>
      </c>
      <c r="G823" s="12">
        <v>4.3099999999999996</v>
      </c>
      <c r="H823" s="12">
        <v>4.24</v>
      </c>
      <c r="I823" s="12">
        <v>5.0599999999999996</v>
      </c>
      <c r="J823" s="12">
        <v>4</v>
      </c>
      <c r="K823" s="12">
        <v>4.1100000000000003</v>
      </c>
      <c r="L823" s="12">
        <v>3.61</v>
      </c>
      <c r="M823" s="12">
        <v>3.82</v>
      </c>
      <c r="N823" s="12">
        <v>3.85</v>
      </c>
      <c r="O823" s="12">
        <v>4.1399999999999997</v>
      </c>
      <c r="P823" s="12">
        <f t="shared" si="73"/>
        <v>4.3719999999999999</v>
      </c>
      <c r="Q823" s="12">
        <f t="shared" si="74"/>
        <v>4.37</v>
      </c>
      <c r="R823" s="12">
        <f t="shared" si="75"/>
        <v>3.9060000000000001</v>
      </c>
      <c r="S823" s="28">
        <f>IFERROR(INDEX('Clean Gamification Data'!$B:$B,MATCH($B823,'Clean Gamification Data'!$A:$A,0)),"Not Found")</f>
        <v>82.208528560000005</v>
      </c>
      <c r="T823" s="28">
        <f>IFERROR(INDEX('Clean Gamification Data'!$C:$C,MATCH($B823,'Clean Gamification Data'!$A:$A,0)),"Not Found")</f>
        <v>74.429211890000005</v>
      </c>
      <c r="U823" s="28">
        <f>IFERROR(INDEX('Clean Gamification Data'!$D:$D,MATCH($B823,'Clean Gamification Data'!$A:$A,0)),"Not Found")</f>
        <v>72.467829850000001</v>
      </c>
      <c r="V823" s="28">
        <f>IFERROR(INDEX('Clean Gamification Data'!$E:$E,MATCH($B823,'Clean Gamification Data'!$A:$A,0)),"Not Found")</f>
        <v>67.460106139999994</v>
      </c>
      <c r="W823" s="28">
        <f>IFERROR(INDEX('Clean Gamification Data'!$F:$F,MATCH($B823,'Clean Gamification Data'!$A:$A,0)),"Not Found")</f>
        <v>99.9</v>
      </c>
      <c r="X823" s="28">
        <f>IFERROR(INDEX('Clean Gamification Data'!$G:$G,MATCH($B823,'Clean Gamification Data'!$A:$A,0)),"Not Found")</f>
        <v>80.446308540000004</v>
      </c>
      <c r="Y823" s="28">
        <f>IFERROR(INDEX('Clean Gamification Data'!$H:$H,MATCH($B823,'Clean Gamification Data'!$A:$A,0)),"Not Found")</f>
        <v>76.364591039999993</v>
      </c>
      <c r="Z823" s="28">
        <f>IFERROR(INDEX('Clean Gamification Data'!$I:$I,MATCH($B823,'Clean Gamification Data'!$A:$A,0)),"Not Found")</f>
        <v>57.764579750000003</v>
      </c>
      <c r="AA823" s="28">
        <f>Table1[[#This Row],[Engagement (Gamification %)]]-Table1[[#This Row],[Engagement (Non-Gamification %)]]</f>
        <v>7.77931667</v>
      </c>
      <c r="AB823" s="28">
        <f>Table1[[#This Row],[Motivation (Gamification %)]]-Table1[[#This Row],[Motivation (Non-Gamification %)]]</f>
        <v>5.0077237100000076</v>
      </c>
      <c r="AC823" s="28">
        <f>Table1[[#This Row],[Participation (Gamification %)]]-Table1[[#This Row],[Participation (Non-Gamification %)]]</f>
        <v>19.453691460000002</v>
      </c>
      <c r="AD823" s="28">
        <f>Table1[[#This Row],[Learning Outcomes (Gamification %)]]-Table1[[#This Row],[Learning Outcomes (Non-Gamification %)]]</f>
        <v>18.600011289999991</v>
      </c>
      <c r="AE823" s="44" t="str">
        <f>IF(Table1[[#This Row],[Overall Effectiveness]]&lt;3.9,"Low",IF(Table1[[#This Row],[Overall Effectiveness]]&lt;4.2,"Medium","High"))</f>
        <v>High</v>
      </c>
      <c r="AF823" s="30" t="str">
        <f t="shared" si="76"/>
        <v>Experiments</v>
      </c>
      <c r="AG823" s="30" t="str">
        <f t="shared" si="77"/>
        <v>Online Tutorials</v>
      </c>
      <c r="AH823" s="27">
        <f>COUNTIF(Teacher_Master!$D$2:$D$16,AF823)</f>
        <v>3</v>
      </c>
      <c r="AI823" s="30" t="str">
        <f>INDEX(Teacher_Master!$B$2:$B$16,MATCH(AF823,Teacher_Master!$D$2:$D$16,0))</f>
        <v>Prof. Rahul Singh</v>
      </c>
    </row>
    <row r="824" spans="1:35" ht="14.25" customHeight="1" x14ac:dyDescent="0.3">
      <c r="A824" s="31" t="s">
        <v>1685</v>
      </c>
      <c r="B824" s="31" t="s">
        <v>1686</v>
      </c>
      <c r="C824" s="31" t="s">
        <v>2881</v>
      </c>
      <c r="D824" s="12">
        <f t="shared" ca="1" si="72"/>
        <v>25</v>
      </c>
      <c r="E824" s="12" t="str">
        <f ca="1">IF(Table1[[#This Row],[Age]]&lt;=22,"20-22",IF(Table1[[#This Row],[Age]]&lt;=25,"23-25",IF(Table1[[#This Row],[Age]]&lt;=28,"26-28","29-30")))</f>
        <v>23-25</v>
      </c>
      <c r="F824" s="12" t="s">
        <v>211</v>
      </c>
      <c r="G824" s="12">
        <v>3.9</v>
      </c>
      <c r="H824" s="12">
        <v>4.25</v>
      </c>
      <c r="I824" s="12">
        <v>4.21</v>
      </c>
      <c r="J824" s="12">
        <v>3.77</v>
      </c>
      <c r="K824" s="12">
        <v>3.76</v>
      </c>
      <c r="L824" s="12">
        <v>4.8600000000000003</v>
      </c>
      <c r="M824" s="12">
        <v>3.56</v>
      </c>
      <c r="N824" s="12">
        <v>4.1900000000000004</v>
      </c>
      <c r="O824" s="12">
        <v>3.91</v>
      </c>
      <c r="P824" s="12">
        <f t="shared" si="73"/>
        <v>4.0324999999999998</v>
      </c>
      <c r="Q824" s="12">
        <f t="shared" si="74"/>
        <v>4.03</v>
      </c>
      <c r="R824" s="12">
        <f t="shared" si="75"/>
        <v>4.056</v>
      </c>
      <c r="S824" s="28">
        <f>IFERROR(INDEX('Clean Gamification Data'!$B:$B,MATCH($B824,'Clean Gamification Data'!$A:$A,0)),"Not Found")</f>
        <v>82.035446590000006</v>
      </c>
      <c r="T824" s="28">
        <f>IFERROR(INDEX('Clean Gamification Data'!$C:$C,MATCH($B824,'Clean Gamification Data'!$A:$A,0)),"Not Found")</f>
        <v>70.574940589999997</v>
      </c>
      <c r="U824" s="28">
        <f>IFERROR(INDEX('Clean Gamification Data'!$D:$D,MATCH($B824,'Clean Gamification Data'!$A:$A,0)),"Not Found")</f>
        <v>80.684886610000007</v>
      </c>
      <c r="V824" s="28">
        <f>IFERROR(INDEX('Clean Gamification Data'!$E:$E,MATCH($B824,'Clean Gamification Data'!$A:$A,0)),"Not Found")</f>
        <v>63.77143847</v>
      </c>
      <c r="W824" s="28">
        <f>IFERROR(INDEX('Clean Gamification Data'!$F:$F,MATCH($B824,'Clean Gamification Data'!$A:$A,0)),"Not Found")</f>
        <v>90.165705610000003</v>
      </c>
      <c r="X824" s="28">
        <f>IFERROR(INDEX('Clean Gamification Data'!$G:$G,MATCH($B824,'Clean Gamification Data'!$A:$A,0)),"Not Found")</f>
        <v>77.042150269999993</v>
      </c>
      <c r="Y824" s="28">
        <f>IFERROR(INDEX('Clean Gamification Data'!$H:$H,MATCH($B824,'Clean Gamification Data'!$A:$A,0)),"Not Found")</f>
        <v>77.706782309999994</v>
      </c>
      <c r="Z824" s="28">
        <f>IFERROR(INDEX('Clean Gamification Data'!$I:$I,MATCH($B824,'Clean Gamification Data'!$A:$A,0)),"Not Found")</f>
        <v>56.115361270000001</v>
      </c>
      <c r="AA824" s="28">
        <f>Table1[[#This Row],[Engagement (Gamification %)]]-Table1[[#This Row],[Engagement (Non-Gamification %)]]</f>
        <v>11.460506000000009</v>
      </c>
      <c r="AB824" s="28">
        <f>Table1[[#This Row],[Motivation (Gamification %)]]-Table1[[#This Row],[Motivation (Non-Gamification %)]]</f>
        <v>16.913448140000007</v>
      </c>
      <c r="AC824" s="28">
        <f>Table1[[#This Row],[Participation (Gamification %)]]-Table1[[#This Row],[Participation (Non-Gamification %)]]</f>
        <v>13.12355534000001</v>
      </c>
      <c r="AD824" s="28">
        <f>Table1[[#This Row],[Learning Outcomes (Gamification %)]]-Table1[[#This Row],[Learning Outcomes (Non-Gamification %)]]</f>
        <v>21.591421039999993</v>
      </c>
      <c r="AE824" s="44" t="str">
        <f>IF(Table1[[#This Row],[Overall Effectiveness]]&lt;3.9,"Low",IF(Table1[[#This Row],[Overall Effectiveness]]&lt;4.2,"Medium","High"))</f>
        <v>Medium</v>
      </c>
      <c r="AF824" s="30" t="str">
        <f t="shared" si="76"/>
        <v>Group Projects</v>
      </c>
      <c r="AG824" s="30" t="str">
        <f t="shared" si="77"/>
        <v>Case Studies</v>
      </c>
      <c r="AH824" s="27">
        <f>COUNTIF(Teacher_Master!$D$2:$D$16,AF824)</f>
        <v>3</v>
      </c>
      <c r="AI824" s="30" t="str">
        <f>INDEX(Teacher_Master!$B$2:$B$16,MATCH(AF824,Teacher_Master!$D$2:$D$16,0))</f>
        <v>Dr. Rohan Dutta</v>
      </c>
    </row>
    <row r="825" spans="1:35" ht="14.25" customHeight="1" x14ac:dyDescent="0.3">
      <c r="A825" s="31" t="s">
        <v>1687</v>
      </c>
      <c r="B825" s="31" t="s">
        <v>2677</v>
      </c>
      <c r="C825" s="31" t="s">
        <v>2882</v>
      </c>
      <c r="D825" s="12">
        <f t="shared" ca="1" si="72"/>
        <v>27</v>
      </c>
      <c r="E825" s="12" t="str">
        <f ca="1">IF(Table1[[#This Row],[Age]]&lt;=22,"20-22",IF(Table1[[#This Row],[Age]]&lt;=25,"23-25",IF(Table1[[#This Row],[Age]]&lt;=28,"26-28","29-30")))</f>
        <v>26-28</v>
      </c>
      <c r="F825" s="12">
        <v>3.79</v>
      </c>
      <c r="G825" s="12">
        <v>4.26</v>
      </c>
      <c r="H825" s="12">
        <v>4.33</v>
      </c>
      <c r="I825" s="12">
        <v>4.04</v>
      </c>
      <c r="J825" s="12">
        <v>4.42</v>
      </c>
      <c r="K825" s="12">
        <v>4.1500000000000004</v>
      </c>
      <c r="L825" s="12">
        <v>3.81</v>
      </c>
      <c r="M825" s="12">
        <v>4.42</v>
      </c>
      <c r="N825" s="12">
        <v>3.73</v>
      </c>
      <c r="O825" s="12">
        <v>4.1900000000000004</v>
      </c>
      <c r="P825" s="12">
        <f t="shared" si="73"/>
        <v>4.168000000000001</v>
      </c>
      <c r="Q825" s="12">
        <f t="shared" si="74"/>
        <v>4.17</v>
      </c>
      <c r="R825" s="12">
        <f t="shared" si="75"/>
        <v>4.0600000000000005</v>
      </c>
      <c r="S825" s="28">
        <f>IFERROR(INDEX('Clean Gamification Data'!$B:$B,MATCH($B825,'Clean Gamification Data'!$A:$A,0)),"Not Found")</f>
        <v>81.155097889999993</v>
      </c>
      <c r="T825" s="28">
        <f>IFERROR(INDEX('Clean Gamification Data'!$C:$C,MATCH($B825,'Clean Gamification Data'!$A:$A,0)),"Not Found")</f>
        <v>64.386121619999997</v>
      </c>
      <c r="U825" s="28">
        <f>IFERROR(INDEX('Clean Gamification Data'!$D:$D,MATCH($B825,'Clean Gamification Data'!$A:$A,0)),"Not Found")</f>
        <v>70</v>
      </c>
      <c r="V825" s="28">
        <f>IFERROR(INDEX('Clean Gamification Data'!$E:$E,MATCH($B825,'Clean Gamification Data'!$A:$A,0)),"Not Found")</f>
        <v>69.68310194</v>
      </c>
      <c r="W825" s="28">
        <f>IFERROR(INDEX('Clean Gamification Data'!$F:$F,MATCH($B825,'Clean Gamification Data'!$A:$A,0)),"Not Found")</f>
        <v>93.357891190000004</v>
      </c>
      <c r="X825" s="28">
        <f>IFERROR(INDEX('Clean Gamification Data'!$G:$G,MATCH($B825,'Clean Gamification Data'!$A:$A,0)),"Not Found")</f>
        <v>75.624999310000007</v>
      </c>
      <c r="Y825" s="28">
        <f>IFERROR(INDEX('Clean Gamification Data'!$H:$H,MATCH($B825,'Clean Gamification Data'!$A:$A,0)),"Not Found")</f>
        <v>67.963595650000002</v>
      </c>
      <c r="Z825" s="28">
        <f>IFERROR(INDEX('Clean Gamification Data'!$I:$I,MATCH($B825,'Clean Gamification Data'!$A:$A,0)),"Not Found")</f>
        <v>63.594881770000001</v>
      </c>
      <c r="AA825" s="28">
        <f>Table1[[#This Row],[Engagement (Gamification %)]]-Table1[[#This Row],[Engagement (Non-Gamification %)]]</f>
        <v>16.768976269999996</v>
      </c>
      <c r="AB825" s="28">
        <f>Table1[[#This Row],[Motivation (Gamification %)]]-Table1[[#This Row],[Motivation (Non-Gamification %)]]</f>
        <v>0.31689805999999976</v>
      </c>
      <c r="AC825" s="28">
        <f>Table1[[#This Row],[Participation (Gamification %)]]-Table1[[#This Row],[Participation (Non-Gamification %)]]</f>
        <v>17.732891879999997</v>
      </c>
      <c r="AD825" s="28">
        <f>Table1[[#This Row],[Learning Outcomes (Gamification %)]]-Table1[[#This Row],[Learning Outcomes (Non-Gamification %)]]</f>
        <v>4.3687138800000014</v>
      </c>
      <c r="AE825" s="44" t="str">
        <f>IF(Table1[[#This Row],[Overall Effectiveness]]&lt;3.9,"Low",IF(Table1[[#This Row],[Overall Effectiveness]]&lt;4.2,"Medium","High"))</f>
        <v>Medium</v>
      </c>
      <c r="AF825" s="30" t="str">
        <f t="shared" si="76"/>
        <v>Online Tutorials</v>
      </c>
      <c r="AG825" s="30" t="str">
        <f t="shared" si="77"/>
        <v>Group Projects</v>
      </c>
      <c r="AH825" s="27">
        <f>COUNTIF(Teacher_Master!$D$2:$D$16,AF825)</f>
        <v>3</v>
      </c>
      <c r="AI825" s="30" t="str">
        <f>INDEX(Teacher_Master!$B$2:$B$16,MATCH(AF825,Teacher_Master!$D$2:$D$16,0))</f>
        <v>Prof. Kavita Rao</v>
      </c>
    </row>
    <row r="826" spans="1:35" ht="14.25" customHeight="1" x14ac:dyDescent="0.3">
      <c r="A826" s="31" t="s">
        <v>1689</v>
      </c>
      <c r="B826" s="31" t="s">
        <v>2678</v>
      </c>
      <c r="C826" s="31" t="s">
        <v>2881</v>
      </c>
      <c r="D826" s="12">
        <f t="shared" ca="1" si="72"/>
        <v>27</v>
      </c>
      <c r="E826" s="12" t="str">
        <f ca="1">IF(Table1[[#This Row],[Age]]&lt;=22,"20-22",IF(Table1[[#This Row],[Age]]&lt;=25,"23-25",IF(Table1[[#This Row],[Age]]&lt;=28,"26-28","29-30")))</f>
        <v>26-28</v>
      </c>
      <c r="F826" s="12">
        <v>4.08</v>
      </c>
      <c r="G826" s="12">
        <v>4.08</v>
      </c>
      <c r="H826" s="12">
        <v>4.21</v>
      </c>
      <c r="I826" s="12">
        <v>3.97</v>
      </c>
      <c r="J826" s="12">
        <v>3.89</v>
      </c>
      <c r="K826" s="12">
        <v>3.7</v>
      </c>
      <c r="L826" s="12">
        <v>3.95</v>
      </c>
      <c r="M826" s="12">
        <v>4.45</v>
      </c>
      <c r="N826" s="12">
        <v>4.24</v>
      </c>
      <c r="O826" s="12">
        <v>4.37</v>
      </c>
      <c r="P826" s="12">
        <f t="shared" si="73"/>
        <v>4.0460000000000003</v>
      </c>
      <c r="Q826" s="12">
        <f t="shared" si="74"/>
        <v>4.05</v>
      </c>
      <c r="R826" s="12">
        <f t="shared" si="75"/>
        <v>4.1420000000000012</v>
      </c>
      <c r="S826" s="28">
        <f>IFERROR(INDEX('Clean Gamification Data'!$B:$B,MATCH($B826,'Clean Gamification Data'!$A:$A,0)),"Not Found")</f>
        <v>94.480031440000005</v>
      </c>
      <c r="T826" s="28">
        <f>IFERROR(INDEX('Clean Gamification Data'!$C:$C,MATCH($B826,'Clean Gamification Data'!$A:$A,0)),"Not Found")</f>
        <v>62.223159750000001</v>
      </c>
      <c r="U826" s="28">
        <f>IFERROR(INDEX('Clean Gamification Data'!$D:$D,MATCH($B826,'Clean Gamification Data'!$A:$A,0)),"Not Found")</f>
        <v>70</v>
      </c>
      <c r="V826" s="28">
        <f>IFERROR(INDEX('Clean Gamification Data'!$E:$E,MATCH($B826,'Clean Gamification Data'!$A:$A,0)),"Not Found")</f>
        <v>71.583453910000003</v>
      </c>
      <c r="W826" s="28">
        <f>IFERROR(INDEX('Clean Gamification Data'!$F:$F,MATCH($B826,'Clean Gamification Data'!$A:$A,0)),"Not Found")</f>
        <v>94.974739170000007</v>
      </c>
      <c r="X826" s="28">
        <f>IFERROR(INDEX('Clean Gamification Data'!$G:$G,MATCH($B826,'Clean Gamification Data'!$A:$A,0)),"Not Found")</f>
        <v>82.217282859999997</v>
      </c>
      <c r="Y826" s="28">
        <f>IFERROR(INDEX('Clean Gamification Data'!$H:$H,MATCH($B826,'Clean Gamification Data'!$A:$A,0)),"Not Found")</f>
        <v>67.369916480000001</v>
      </c>
      <c r="Z826" s="28">
        <f>IFERROR(INDEX('Clean Gamification Data'!$I:$I,MATCH($B826,'Clean Gamification Data'!$A:$A,0)),"Not Found")</f>
        <v>52.624473680000001</v>
      </c>
      <c r="AA826" s="28">
        <f>Table1[[#This Row],[Engagement (Gamification %)]]-Table1[[#This Row],[Engagement (Non-Gamification %)]]</f>
        <v>32.256871690000004</v>
      </c>
      <c r="AB826" s="28">
        <f>Table1[[#This Row],[Motivation (Gamification %)]]-Table1[[#This Row],[Motivation (Non-Gamification %)]]</f>
        <v>-1.5834539100000029</v>
      </c>
      <c r="AC826" s="28">
        <f>Table1[[#This Row],[Participation (Gamification %)]]-Table1[[#This Row],[Participation (Non-Gamification %)]]</f>
        <v>12.757456310000009</v>
      </c>
      <c r="AD826" s="28">
        <f>Table1[[#This Row],[Learning Outcomes (Gamification %)]]-Table1[[#This Row],[Learning Outcomes (Non-Gamification %)]]</f>
        <v>14.745442799999999</v>
      </c>
      <c r="AE826" s="44" t="str">
        <f>IF(Table1[[#This Row],[Overall Effectiveness]]&lt;3.9,"Low",IF(Table1[[#This Row],[Overall Effectiveness]]&lt;4.2,"Medium","High"))</f>
        <v>Medium</v>
      </c>
      <c r="AF826" s="30" t="str">
        <f t="shared" si="76"/>
        <v>Group Projects</v>
      </c>
      <c r="AG826" s="30" t="str">
        <f t="shared" si="77"/>
        <v>Group Projects</v>
      </c>
      <c r="AH826" s="27">
        <f>COUNTIF(Teacher_Master!$D$2:$D$16,AF826)</f>
        <v>3</v>
      </c>
      <c r="AI826" s="30" t="str">
        <f>INDEX(Teacher_Master!$B$2:$B$16,MATCH(AF826,Teacher_Master!$D$2:$D$16,0))</f>
        <v>Dr. Rohan Dutta</v>
      </c>
    </row>
    <row r="827" spans="1:35" ht="14.25" customHeight="1" x14ac:dyDescent="0.3">
      <c r="A827" s="31" t="s">
        <v>1691</v>
      </c>
      <c r="B827" s="31" t="s">
        <v>2679</v>
      </c>
      <c r="C827" s="31" t="s">
        <v>2882</v>
      </c>
      <c r="D827" s="12">
        <f t="shared" ca="1" si="72"/>
        <v>25</v>
      </c>
      <c r="E827" s="12" t="str">
        <f ca="1">IF(Table1[[#This Row],[Age]]&lt;=22,"20-22",IF(Table1[[#This Row],[Age]]&lt;=25,"23-25",IF(Table1[[#This Row],[Age]]&lt;=28,"26-28","29-30")))</f>
        <v>23-25</v>
      </c>
      <c r="F827" s="12">
        <v>4.1399999999999997</v>
      </c>
      <c r="G827" s="12">
        <v>4.0599999999999996</v>
      </c>
      <c r="H827" s="12" t="s">
        <v>211</v>
      </c>
      <c r="I827" s="12" t="s">
        <v>211</v>
      </c>
      <c r="J827" s="12">
        <v>4.3099999999999996</v>
      </c>
      <c r="K827" s="12">
        <v>4.1399999999999997</v>
      </c>
      <c r="L827" s="12">
        <v>3.62</v>
      </c>
      <c r="M827" s="12">
        <v>4.25</v>
      </c>
      <c r="N827" s="12">
        <v>4.29</v>
      </c>
      <c r="O827" s="12">
        <v>4.05</v>
      </c>
      <c r="P827" s="12">
        <f t="shared" si="73"/>
        <v>4.169999999999999</v>
      </c>
      <c r="Q827" s="12">
        <f t="shared" si="74"/>
        <v>4.17</v>
      </c>
      <c r="R827" s="12">
        <f t="shared" si="75"/>
        <v>4.07</v>
      </c>
      <c r="S827" s="28">
        <f>IFERROR(INDEX('Clean Gamification Data'!$B:$B,MATCH($B827,'Clean Gamification Data'!$A:$A,0)),"Not Found")</f>
        <v>88.359128510000005</v>
      </c>
      <c r="T827" s="28">
        <f>IFERROR(INDEX('Clean Gamification Data'!$C:$C,MATCH($B827,'Clean Gamification Data'!$A:$A,0)),"Not Found")</f>
        <v>60</v>
      </c>
      <c r="U827" s="28">
        <f>IFERROR(INDEX('Clean Gamification Data'!$D:$D,MATCH($B827,'Clean Gamification Data'!$A:$A,0)),"Not Found")</f>
        <v>73.630177470000007</v>
      </c>
      <c r="V827" s="28">
        <f>IFERROR(INDEX('Clean Gamification Data'!$E:$E,MATCH($B827,'Clean Gamification Data'!$A:$A,0)),"Not Found")</f>
        <v>68.078666429999998</v>
      </c>
      <c r="W827" s="28">
        <f>IFERROR(INDEX('Clean Gamification Data'!$F:$F,MATCH($B827,'Clean Gamification Data'!$A:$A,0)),"Not Found")</f>
        <v>98.592091710000005</v>
      </c>
      <c r="X827" s="28">
        <f>IFERROR(INDEX('Clean Gamification Data'!$G:$G,MATCH($B827,'Clean Gamification Data'!$A:$A,0)),"Not Found")</f>
        <v>85</v>
      </c>
      <c r="Y827" s="28">
        <f>IFERROR(INDEX('Clean Gamification Data'!$H:$H,MATCH($B827,'Clean Gamification Data'!$A:$A,0)),"Not Found")</f>
        <v>67.743130669999999</v>
      </c>
      <c r="Z827" s="28">
        <f>IFERROR(INDEX('Clean Gamification Data'!$I:$I,MATCH($B827,'Clean Gamification Data'!$A:$A,0)),"Not Found")</f>
        <v>65.574920820000003</v>
      </c>
      <c r="AA827" s="28">
        <f>Table1[[#This Row],[Engagement (Gamification %)]]-Table1[[#This Row],[Engagement (Non-Gamification %)]]</f>
        <v>28.359128510000005</v>
      </c>
      <c r="AB827" s="28">
        <f>Table1[[#This Row],[Motivation (Gamification %)]]-Table1[[#This Row],[Motivation (Non-Gamification %)]]</f>
        <v>5.5515110400000083</v>
      </c>
      <c r="AC827" s="28">
        <f>Table1[[#This Row],[Participation (Gamification %)]]-Table1[[#This Row],[Participation (Non-Gamification %)]]</f>
        <v>13.592091710000005</v>
      </c>
      <c r="AD827" s="28">
        <f>Table1[[#This Row],[Learning Outcomes (Gamification %)]]-Table1[[#This Row],[Learning Outcomes (Non-Gamification %)]]</f>
        <v>2.1682098499999967</v>
      </c>
      <c r="AE827" s="44" t="str">
        <f>IF(Table1[[#This Row],[Overall Effectiveness]]&lt;3.9,"Low",IF(Table1[[#This Row],[Overall Effectiveness]]&lt;4.2,"Medium","High"))</f>
        <v>Medium</v>
      </c>
      <c r="AF827" s="30" t="str">
        <f t="shared" si="76"/>
        <v>Online Tutorials</v>
      </c>
      <c r="AG827" s="30" t="str">
        <f t="shared" si="77"/>
        <v>Experiments</v>
      </c>
      <c r="AH827" s="27">
        <f>COUNTIF(Teacher_Master!$D$2:$D$16,AF827)</f>
        <v>3</v>
      </c>
      <c r="AI827" s="30" t="str">
        <f>INDEX(Teacher_Master!$B$2:$B$16,MATCH(AF827,Teacher_Master!$D$2:$D$16,0))</f>
        <v>Prof. Kavita Rao</v>
      </c>
    </row>
    <row r="828" spans="1:35" ht="14.25" customHeight="1" x14ac:dyDescent="0.3">
      <c r="A828" s="31" t="s">
        <v>1693</v>
      </c>
      <c r="B828" s="31" t="s">
        <v>1694</v>
      </c>
      <c r="C828" s="31" t="s">
        <v>2882</v>
      </c>
      <c r="D828" s="12">
        <f t="shared" ca="1" si="72"/>
        <v>28</v>
      </c>
      <c r="E828" s="12" t="str">
        <f ca="1">IF(Table1[[#This Row],[Age]]&lt;=22,"20-22",IF(Table1[[#This Row],[Age]]&lt;=25,"23-25",IF(Table1[[#This Row],[Age]]&lt;=28,"26-28","29-30")))</f>
        <v>26-28</v>
      </c>
      <c r="F828" s="12">
        <v>4.13</v>
      </c>
      <c r="G828" s="12">
        <v>3.68</v>
      </c>
      <c r="H828" s="12">
        <v>4.45</v>
      </c>
      <c r="I828" s="12">
        <v>3.94</v>
      </c>
      <c r="J828" s="12">
        <v>4.53</v>
      </c>
      <c r="K828" s="12">
        <v>3.9</v>
      </c>
      <c r="L828" s="12">
        <v>4.37</v>
      </c>
      <c r="M828" s="12">
        <v>4.46</v>
      </c>
      <c r="N828" s="12">
        <v>3.4</v>
      </c>
      <c r="O828" s="12">
        <v>4.3499999999999996</v>
      </c>
      <c r="P828" s="12">
        <f t="shared" si="73"/>
        <v>4.1460000000000008</v>
      </c>
      <c r="Q828" s="12">
        <f t="shared" si="74"/>
        <v>4.1500000000000004</v>
      </c>
      <c r="R828" s="12">
        <f t="shared" si="75"/>
        <v>4.0959999999999992</v>
      </c>
      <c r="S828" s="28">
        <f>IFERROR(INDEX('Clean Gamification Data'!$B:$B,MATCH($B828,'Clean Gamification Data'!$A:$A,0)),"Not Found")</f>
        <v>82.268772200000001</v>
      </c>
      <c r="T828" s="28">
        <f>IFERROR(INDEX('Clean Gamification Data'!$C:$C,MATCH($B828,'Clean Gamification Data'!$A:$A,0)),"Not Found")</f>
        <v>69.108322189999996</v>
      </c>
      <c r="U828" s="28">
        <f>IFERROR(INDEX('Clean Gamification Data'!$D:$D,MATCH($B828,'Clean Gamification Data'!$A:$A,0)),"Not Found")</f>
        <v>74.166944599999994</v>
      </c>
      <c r="V828" s="28">
        <f>IFERROR(INDEX('Clean Gamification Data'!$E:$E,MATCH($B828,'Clean Gamification Data'!$A:$A,0)),"Not Found")</f>
        <v>63.623978459999996</v>
      </c>
      <c r="W828" s="28">
        <f>IFERROR(INDEX('Clean Gamification Data'!$F:$F,MATCH($B828,'Clean Gamification Data'!$A:$A,0)),"Not Found")</f>
        <v>89.630978249999998</v>
      </c>
      <c r="X828" s="28">
        <f>IFERROR(INDEX('Clean Gamification Data'!$G:$G,MATCH($B828,'Clean Gamification Data'!$A:$A,0)),"Not Found")</f>
        <v>80.09149472</v>
      </c>
      <c r="Y828" s="28">
        <f>IFERROR(INDEX('Clean Gamification Data'!$H:$H,MATCH($B828,'Clean Gamification Data'!$A:$A,0)),"Not Found")</f>
        <v>65</v>
      </c>
      <c r="Z828" s="28">
        <f>IFERROR(INDEX('Clean Gamification Data'!$I:$I,MATCH($B828,'Clean Gamification Data'!$A:$A,0)),"Not Found")</f>
        <v>58.508701639999998</v>
      </c>
      <c r="AA828" s="28">
        <f>Table1[[#This Row],[Engagement (Gamification %)]]-Table1[[#This Row],[Engagement (Non-Gamification %)]]</f>
        <v>13.160450010000005</v>
      </c>
      <c r="AB828" s="28">
        <f>Table1[[#This Row],[Motivation (Gamification %)]]-Table1[[#This Row],[Motivation (Non-Gamification %)]]</f>
        <v>10.542966139999997</v>
      </c>
      <c r="AC828" s="28">
        <f>Table1[[#This Row],[Participation (Gamification %)]]-Table1[[#This Row],[Participation (Non-Gamification %)]]</f>
        <v>9.5394835299999983</v>
      </c>
      <c r="AD828" s="28">
        <f>Table1[[#This Row],[Learning Outcomes (Gamification %)]]-Table1[[#This Row],[Learning Outcomes (Non-Gamification %)]]</f>
        <v>6.4912983600000018</v>
      </c>
      <c r="AE828" s="44" t="str">
        <f>IF(Table1[[#This Row],[Overall Effectiveness]]&lt;3.9,"Low",IF(Table1[[#This Row],[Overall Effectiveness]]&lt;4.2,"Medium","High"))</f>
        <v>Medium</v>
      </c>
      <c r="AF828" s="30" t="str">
        <f t="shared" si="76"/>
        <v>Online Tutorials</v>
      </c>
      <c r="AG828" s="30" t="str">
        <f t="shared" si="77"/>
        <v>Group Projects</v>
      </c>
      <c r="AH828" s="27">
        <f>COUNTIF(Teacher_Master!$D$2:$D$16,AF828)</f>
        <v>3</v>
      </c>
      <c r="AI828" s="30" t="str">
        <f>INDEX(Teacher_Master!$B$2:$B$16,MATCH(AF828,Teacher_Master!$D$2:$D$16,0))</f>
        <v>Prof. Kavita Rao</v>
      </c>
    </row>
    <row r="829" spans="1:35" ht="14.25" customHeight="1" x14ac:dyDescent="0.3">
      <c r="A829" s="31" t="s">
        <v>1695</v>
      </c>
      <c r="B829" s="31" t="s">
        <v>1696</v>
      </c>
      <c r="C829" s="31" t="s">
        <v>2881</v>
      </c>
      <c r="D829" s="12">
        <f t="shared" ca="1" si="72"/>
        <v>28</v>
      </c>
      <c r="E829" s="12" t="str">
        <f ca="1">IF(Table1[[#This Row],[Age]]&lt;=22,"20-22",IF(Table1[[#This Row],[Age]]&lt;=25,"23-25",IF(Table1[[#This Row],[Age]]&lt;=28,"26-28","29-30")))</f>
        <v>26-28</v>
      </c>
      <c r="F829" s="12">
        <v>4.78</v>
      </c>
      <c r="G829" s="12">
        <v>4.2</v>
      </c>
      <c r="H829" s="12">
        <v>4.05</v>
      </c>
      <c r="I829" s="12">
        <v>4.53</v>
      </c>
      <c r="J829" s="12">
        <v>3.81</v>
      </c>
      <c r="K829" s="12">
        <v>4.26</v>
      </c>
      <c r="L829" s="12">
        <v>4.6100000000000003</v>
      </c>
      <c r="M829" s="12">
        <v>3.67</v>
      </c>
      <c r="N829" s="12">
        <v>4.43</v>
      </c>
      <c r="O829" s="12">
        <v>3.84</v>
      </c>
      <c r="P829" s="12">
        <f t="shared" si="73"/>
        <v>4.274</v>
      </c>
      <c r="Q829" s="12">
        <f t="shared" si="74"/>
        <v>4.2699999999999996</v>
      </c>
      <c r="R829" s="12">
        <f t="shared" si="75"/>
        <v>4.1619999999999999</v>
      </c>
      <c r="S829" s="28">
        <f>IFERROR(INDEX('Clean Gamification Data'!$B:$B,MATCH($B829,'Clean Gamification Data'!$A:$A,0)),"Not Found")</f>
        <v>81.139399240000003</v>
      </c>
      <c r="T829" s="28">
        <f>IFERROR(INDEX('Clean Gamification Data'!$C:$C,MATCH($B829,'Clean Gamification Data'!$A:$A,0)),"Not Found")</f>
        <v>65.235348999999999</v>
      </c>
      <c r="U829" s="28">
        <f>IFERROR(INDEX('Clean Gamification Data'!$D:$D,MATCH($B829,'Clean Gamification Data'!$A:$A,0)),"Not Found")</f>
        <v>89.817826640000007</v>
      </c>
      <c r="V829" s="28">
        <f>IFERROR(INDEX('Clean Gamification Data'!$E:$E,MATCH($B829,'Clean Gamification Data'!$A:$A,0)),"Not Found")</f>
        <v>61.859902150000003</v>
      </c>
      <c r="W829" s="28">
        <f>IFERROR(INDEX('Clean Gamification Data'!$F:$F,MATCH($B829,'Clean Gamification Data'!$A:$A,0)),"Not Found")</f>
        <v>84.92699288</v>
      </c>
      <c r="X829" s="28">
        <f>IFERROR(INDEX('Clean Gamification Data'!$G:$G,MATCH($B829,'Clean Gamification Data'!$A:$A,0)),"Not Found")</f>
        <v>81.388278549999995</v>
      </c>
      <c r="Y829" s="28">
        <f>IFERROR(INDEX('Clean Gamification Data'!$H:$H,MATCH($B829,'Clean Gamification Data'!$A:$A,0)),"Not Found")</f>
        <v>71.069570429999999</v>
      </c>
      <c r="Z829" s="28">
        <f>IFERROR(INDEX('Clean Gamification Data'!$I:$I,MATCH($B829,'Clean Gamification Data'!$A:$A,0)),"Not Found")</f>
        <v>53.5569451</v>
      </c>
      <c r="AA829" s="28">
        <f>Table1[[#This Row],[Engagement (Gamification %)]]-Table1[[#This Row],[Engagement (Non-Gamification %)]]</f>
        <v>15.904050240000004</v>
      </c>
      <c r="AB829" s="28">
        <f>Table1[[#This Row],[Motivation (Gamification %)]]-Table1[[#This Row],[Motivation (Non-Gamification %)]]</f>
        <v>27.957924490000003</v>
      </c>
      <c r="AC829" s="28">
        <f>Table1[[#This Row],[Participation (Gamification %)]]-Table1[[#This Row],[Participation (Non-Gamification %)]]</f>
        <v>3.5387143300000048</v>
      </c>
      <c r="AD829" s="28">
        <f>Table1[[#This Row],[Learning Outcomes (Gamification %)]]-Table1[[#This Row],[Learning Outcomes (Non-Gamification %)]]</f>
        <v>17.512625329999999</v>
      </c>
      <c r="AE829" s="44" t="str">
        <f>IF(Table1[[#This Row],[Overall Effectiveness]]&lt;3.9,"Low",IF(Table1[[#This Row],[Overall Effectiveness]]&lt;4.2,"Medium","High"))</f>
        <v>High</v>
      </c>
      <c r="AF829" s="30" t="str">
        <f t="shared" si="76"/>
        <v>Lectures</v>
      </c>
      <c r="AG829" s="30" t="str">
        <f t="shared" si="77"/>
        <v>Case Studies</v>
      </c>
      <c r="AH829" s="27">
        <f>COUNTIF(Teacher_Master!$D$2:$D$16,AF829)</f>
        <v>3</v>
      </c>
      <c r="AI829" s="30" t="str">
        <f>INDEX(Teacher_Master!$B$2:$B$16,MATCH(AF829,Teacher_Master!$D$2:$D$16,0))</f>
        <v>Prof. Vikram Gupta</v>
      </c>
    </row>
    <row r="830" spans="1:35" ht="14.25" customHeight="1" x14ac:dyDescent="0.3">
      <c r="A830" s="31" t="s">
        <v>1697</v>
      </c>
      <c r="B830" s="31" t="s">
        <v>2680</v>
      </c>
      <c r="C830" s="31" t="s">
        <v>2881</v>
      </c>
      <c r="D830" s="12">
        <f t="shared" ca="1" si="72"/>
        <v>25</v>
      </c>
      <c r="E830" s="12" t="str">
        <f ca="1">IF(Table1[[#This Row],[Age]]&lt;=22,"20-22",IF(Table1[[#This Row],[Age]]&lt;=25,"23-25",IF(Table1[[#This Row],[Age]]&lt;=28,"26-28","29-30")))</f>
        <v>23-25</v>
      </c>
      <c r="F830" s="12">
        <v>3.93</v>
      </c>
      <c r="G830" s="12">
        <v>3.8</v>
      </c>
      <c r="H830" s="12">
        <v>3.62</v>
      </c>
      <c r="I830" s="12">
        <v>3.82</v>
      </c>
      <c r="J830" s="12">
        <v>4.0999999999999996</v>
      </c>
      <c r="K830" s="12">
        <v>4.21</v>
      </c>
      <c r="L830" s="12">
        <v>3.79</v>
      </c>
      <c r="M830" s="12">
        <v>3.96</v>
      </c>
      <c r="N830" s="12">
        <v>4.41</v>
      </c>
      <c r="O830" s="12">
        <v>4.26</v>
      </c>
      <c r="P830" s="12">
        <f t="shared" si="73"/>
        <v>3.8540000000000005</v>
      </c>
      <c r="Q830" s="12">
        <f t="shared" si="74"/>
        <v>3.85</v>
      </c>
      <c r="R830" s="12">
        <f t="shared" si="75"/>
        <v>4.1260000000000003</v>
      </c>
      <c r="S830" s="28">
        <f>IFERROR(INDEX('Clean Gamification Data'!$B:$B,MATCH($B830,'Clean Gamification Data'!$A:$A,0)),"Not Found")</f>
        <v>86.528968559999996</v>
      </c>
      <c r="T830" s="28">
        <f>IFERROR(INDEX('Clean Gamification Data'!$C:$C,MATCH($B830,'Clean Gamification Data'!$A:$A,0)),"Not Found")</f>
        <v>73.019577760000004</v>
      </c>
      <c r="U830" s="28">
        <f>IFERROR(INDEX('Clean Gamification Data'!$D:$D,MATCH($B830,'Clean Gamification Data'!$A:$A,0)),"Not Found")</f>
        <v>70</v>
      </c>
      <c r="V830" s="28">
        <f>IFERROR(INDEX('Clean Gamification Data'!$E:$E,MATCH($B830,'Clean Gamification Data'!$A:$A,0)),"Not Found")</f>
        <v>62.674472510000001</v>
      </c>
      <c r="W830" s="28">
        <f>IFERROR(INDEX('Clean Gamification Data'!$F:$F,MATCH($B830,'Clean Gamification Data'!$A:$A,0)),"Not Found")</f>
        <v>99.9</v>
      </c>
      <c r="X830" s="28">
        <f>IFERROR(INDEX('Clean Gamification Data'!$G:$G,MATCH($B830,'Clean Gamification Data'!$A:$A,0)),"Not Found")</f>
        <v>79.734063370000001</v>
      </c>
      <c r="Y830" s="28">
        <f>IFERROR(INDEX('Clean Gamification Data'!$H:$H,MATCH($B830,'Clean Gamification Data'!$A:$A,0)),"Not Found")</f>
        <v>69.910518400000001</v>
      </c>
      <c r="Z830" s="28">
        <f>IFERROR(INDEX('Clean Gamification Data'!$I:$I,MATCH($B830,'Clean Gamification Data'!$A:$A,0)),"Not Found")</f>
        <v>54.696013180000001</v>
      </c>
      <c r="AA830" s="28">
        <f>Table1[[#This Row],[Engagement (Gamification %)]]-Table1[[#This Row],[Engagement (Non-Gamification %)]]</f>
        <v>13.509390799999991</v>
      </c>
      <c r="AB830" s="28">
        <f>Table1[[#This Row],[Motivation (Gamification %)]]-Table1[[#This Row],[Motivation (Non-Gamification %)]]</f>
        <v>7.3255274899999989</v>
      </c>
      <c r="AC830" s="28">
        <f>Table1[[#This Row],[Participation (Gamification %)]]-Table1[[#This Row],[Participation (Non-Gamification %)]]</f>
        <v>20.165936630000004</v>
      </c>
      <c r="AD830" s="28">
        <f>Table1[[#This Row],[Learning Outcomes (Gamification %)]]-Table1[[#This Row],[Learning Outcomes (Non-Gamification %)]]</f>
        <v>15.214505219999999</v>
      </c>
      <c r="AE830" s="44" t="str">
        <f>IF(Table1[[#This Row],[Overall Effectiveness]]&lt;3.9,"Low",IF(Table1[[#This Row],[Overall Effectiveness]]&lt;4.2,"Medium","High"))</f>
        <v>Low</v>
      </c>
      <c r="AF830" s="30" t="str">
        <f t="shared" si="76"/>
        <v>Online Tutorials</v>
      </c>
      <c r="AG830" s="30" t="str">
        <f t="shared" si="77"/>
        <v>Experiments</v>
      </c>
      <c r="AH830" s="27">
        <f>COUNTIF(Teacher_Master!$D$2:$D$16,AF830)</f>
        <v>3</v>
      </c>
      <c r="AI830" s="30" t="str">
        <f>INDEX(Teacher_Master!$B$2:$B$16,MATCH(AF830,Teacher_Master!$D$2:$D$16,0))</f>
        <v>Prof. Kavita Rao</v>
      </c>
    </row>
    <row r="831" spans="1:35" ht="14.25" customHeight="1" x14ac:dyDescent="0.3">
      <c r="A831" s="31" t="s">
        <v>1699</v>
      </c>
      <c r="B831" s="31" t="s">
        <v>2681</v>
      </c>
      <c r="C831" s="31" t="s">
        <v>2881</v>
      </c>
      <c r="D831" s="12">
        <f t="shared" ca="1" si="72"/>
        <v>22</v>
      </c>
      <c r="E831" s="12" t="str">
        <f ca="1">IF(Table1[[#This Row],[Age]]&lt;=22,"20-22",IF(Table1[[#This Row],[Age]]&lt;=25,"23-25",IF(Table1[[#This Row],[Age]]&lt;=28,"26-28","29-30")))</f>
        <v>20-22</v>
      </c>
      <c r="F831" s="12">
        <v>4.28</v>
      </c>
      <c r="G831" s="12">
        <v>4.5599999999999996</v>
      </c>
      <c r="H831" s="12">
        <v>4.12</v>
      </c>
      <c r="I831" s="12">
        <v>3.93</v>
      </c>
      <c r="J831" s="12">
        <v>3.56</v>
      </c>
      <c r="K831" s="12">
        <v>3.97</v>
      </c>
      <c r="L831" s="12">
        <v>3.56</v>
      </c>
      <c r="M831" s="12">
        <v>4.04</v>
      </c>
      <c r="N831" s="12">
        <v>3.86</v>
      </c>
      <c r="O831" s="12">
        <v>4.28</v>
      </c>
      <c r="P831" s="12">
        <f t="shared" si="73"/>
        <v>4.09</v>
      </c>
      <c r="Q831" s="12">
        <f t="shared" si="74"/>
        <v>4.09</v>
      </c>
      <c r="R831" s="12">
        <f t="shared" si="75"/>
        <v>3.9420000000000002</v>
      </c>
      <c r="S831" s="28">
        <f>IFERROR(INDEX('Clean Gamification Data'!$B:$B,MATCH($B831,'Clean Gamification Data'!$A:$A,0)),"Not Found")</f>
        <v>86.649575240000004</v>
      </c>
      <c r="T831" s="28">
        <f>IFERROR(INDEX('Clean Gamification Data'!$C:$C,MATCH($B831,'Clean Gamification Data'!$A:$A,0)),"Not Found")</f>
        <v>68.597569160000006</v>
      </c>
      <c r="U831" s="28">
        <f>IFERROR(INDEX('Clean Gamification Data'!$D:$D,MATCH($B831,'Clean Gamification Data'!$A:$A,0)),"Not Found")</f>
        <v>79.675534740000003</v>
      </c>
      <c r="V831" s="28">
        <f>IFERROR(INDEX('Clean Gamification Data'!$E:$E,MATCH($B831,'Clean Gamification Data'!$A:$A,0)),"Not Found")</f>
        <v>66.645791220000007</v>
      </c>
      <c r="W831" s="28">
        <f>IFERROR(INDEX('Clean Gamification Data'!$F:$F,MATCH($B831,'Clean Gamification Data'!$A:$A,0)),"Not Found")</f>
        <v>91.072186200000004</v>
      </c>
      <c r="X831" s="28">
        <f>IFERROR(INDEX('Clean Gamification Data'!$G:$G,MATCH($B831,'Clean Gamification Data'!$A:$A,0)),"Not Found")</f>
        <v>75.509274820000002</v>
      </c>
      <c r="Y831" s="28">
        <f>IFERROR(INDEX('Clean Gamification Data'!$H:$H,MATCH($B831,'Clean Gamification Data'!$A:$A,0)),"Not Found")</f>
        <v>74.668558829999995</v>
      </c>
      <c r="Z831" s="28">
        <f>IFERROR(INDEX('Clean Gamification Data'!$I:$I,MATCH($B831,'Clean Gamification Data'!$A:$A,0)),"Not Found")</f>
        <v>53.899210959999998</v>
      </c>
      <c r="AA831" s="28">
        <f>Table1[[#This Row],[Engagement (Gamification %)]]-Table1[[#This Row],[Engagement (Non-Gamification %)]]</f>
        <v>18.052006079999998</v>
      </c>
      <c r="AB831" s="28">
        <f>Table1[[#This Row],[Motivation (Gamification %)]]-Table1[[#This Row],[Motivation (Non-Gamification %)]]</f>
        <v>13.029743519999997</v>
      </c>
      <c r="AC831" s="28">
        <f>Table1[[#This Row],[Participation (Gamification %)]]-Table1[[#This Row],[Participation (Non-Gamification %)]]</f>
        <v>15.562911380000003</v>
      </c>
      <c r="AD831" s="28">
        <f>Table1[[#This Row],[Learning Outcomes (Gamification %)]]-Table1[[#This Row],[Learning Outcomes (Non-Gamification %)]]</f>
        <v>20.769347869999997</v>
      </c>
      <c r="AE831" s="44" t="str">
        <f>IF(Table1[[#This Row],[Overall Effectiveness]]&lt;3.9,"Low",IF(Table1[[#This Row],[Overall Effectiveness]]&lt;4.2,"Medium","High"))</f>
        <v>Medium</v>
      </c>
      <c r="AF831" s="30" t="str">
        <f t="shared" si="76"/>
        <v>Case Studies</v>
      </c>
      <c r="AG831" s="30" t="str">
        <f t="shared" si="77"/>
        <v>Online Tutorials</v>
      </c>
      <c r="AH831" s="27">
        <f>COUNTIF(Teacher_Master!$D$2:$D$16,AF831)</f>
        <v>3</v>
      </c>
      <c r="AI831" s="30" t="str">
        <f>INDEX(Teacher_Master!$B$2:$B$16,MATCH(AF831,Teacher_Master!$D$2:$D$16,0))</f>
        <v>Prof. Rajesh Mukherjee</v>
      </c>
    </row>
    <row r="832" spans="1:35" ht="14.25" customHeight="1" x14ac:dyDescent="0.3">
      <c r="A832" s="31" t="s">
        <v>1701</v>
      </c>
      <c r="B832" s="31" t="s">
        <v>2682</v>
      </c>
      <c r="C832" s="31" t="s">
        <v>2881</v>
      </c>
      <c r="D832" s="12">
        <f t="shared" ca="1" si="72"/>
        <v>29</v>
      </c>
      <c r="E832" s="12" t="str">
        <f ca="1">IF(Table1[[#This Row],[Age]]&lt;=22,"20-22",IF(Table1[[#This Row],[Age]]&lt;=25,"23-25",IF(Table1[[#This Row],[Age]]&lt;=28,"26-28","29-30")))</f>
        <v>29-30</v>
      </c>
      <c r="F832" s="12">
        <v>4.4000000000000004</v>
      </c>
      <c r="G832" s="12">
        <v>3.96</v>
      </c>
      <c r="H832" s="12">
        <v>4.1100000000000003</v>
      </c>
      <c r="I832" s="12">
        <v>4.01</v>
      </c>
      <c r="J832" s="12">
        <v>4.0599999999999996</v>
      </c>
      <c r="K832" s="12">
        <v>3.91</v>
      </c>
      <c r="L832" s="12">
        <v>4.49</v>
      </c>
      <c r="M832" s="12">
        <v>4.59</v>
      </c>
      <c r="N832" s="12">
        <v>4.1500000000000004</v>
      </c>
      <c r="O832" s="12">
        <v>3.64</v>
      </c>
      <c r="P832" s="12">
        <f t="shared" si="73"/>
        <v>4.1079999999999988</v>
      </c>
      <c r="Q832" s="12">
        <f t="shared" si="74"/>
        <v>4.1100000000000003</v>
      </c>
      <c r="R832" s="12">
        <f t="shared" si="75"/>
        <v>4.1560000000000006</v>
      </c>
      <c r="S832" s="28">
        <f>IFERROR(INDEX('Clean Gamification Data'!$B:$B,MATCH($B832,'Clean Gamification Data'!$A:$A,0)),"Not Found")</f>
        <v>80.875058089999996</v>
      </c>
      <c r="T832" s="28">
        <f>IFERROR(INDEX('Clean Gamification Data'!$C:$C,MATCH($B832,'Clean Gamification Data'!$A:$A,0)),"Not Found")</f>
        <v>69.471337419999998</v>
      </c>
      <c r="U832" s="28">
        <f>IFERROR(INDEX('Clean Gamification Data'!$D:$D,MATCH($B832,'Clean Gamification Data'!$A:$A,0)),"Not Found")</f>
        <v>75.886495760000003</v>
      </c>
      <c r="V832" s="28">
        <f>IFERROR(INDEX('Clean Gamification Data'!$E:$E,MATCH($B832,'Clean Gamification Data'!$A:$A,0)),"Not Found")</f>
        <v>56.578011600000004</v>
      </c>
      <c r="W832" s="28">
        <f>IFERROR(INDEX('Clean Gamification Data'!$F:$F,MATCH($B832,'Clean Gamification Data'!$A:$A,0)),"Not Found")</f>
        <v>87.700426449999995</v>
      </c>
      <c r="X832" s="28">
        <f>IFERROR(INDEX('Clean Gamification Data'!$G:$G,MATCH($B832,'Clean Gamification Data'!$A:$A,0)),"Not Found")</f>
        <v>80.921809420000002</v>
      </c>
      <c r="Y832" s="28">
        <f>IFERROR(INDEX('Clean Gamification Data'!$H:$H,MATCH($B832,'Clean Gamification Data'!$A:$A,0)),"Not Found")</f>
        <v>65</v>
      </c>
      <c r="Z832" s="28">
        <f>IFERROR(INDEX('Clean Gamification Data'!$I:$I,MATCH($B832,'Clean Gamification Data'!$A:$A,0)),"Not Found")</f>
        <v>62.55053556</v>
      </c>
      <c r="AA832" s="28">
        <f>Table1[[#This Row],[Engagement (Gamification %)]]-Table1[[#This Row],[Engagement (Non-Gamification %)]]</f>
        <v>11.403720669999998</v>
      </c>
      <c r="AB832" s="28">
        <f>Table1[[#This Row],[Motivation (Gamification %)]]-Table1[[#This Row],[Motivation (Non-Gamification %)]]</f>
        <v>19.308484159999999</v>
      </c>
      <c r="AC832" s="28">
        <f>Table1[[#This Row],[Participation (Gamification %)]]-Table1[[#This Row],[Participation (Non-Gamification %)]]</f>
        <v>6.7786170299999924</v>
      </c>
      <c r="AD832" s="28">
        <f>Table1[[#This Row],[Learning Outcomes (Gamification %)]]-Table1[[#This Row],[Learning Outcomes (Non-Gamification %)]]</f>
        <v>2.4494644399999999</v>
      </c>
      <c r="AE832" s="44" t="str">
        <f>IF(Table1[[#This Row],[Overall Effectiveness]]&lt;3.9,"Low",IF(Table1[[#This Row],[Overall Effectiveness]]&lt;4.2,"Medium","High"))</f>
        <v>Medium</v>
      </c>
      <c r="AF832" s="30" t="str">
        <f t="shared" si="76"/>
        <v>Lectures</v>
      </c>
      <c r="AG832" s="30" t="str">
        <f t="shared" si="77"/>
        <v>Group Projects</v>
      </c>
      <c r="AH832" s="27">
        <f>COUNTIF(Teacher_Master!$D$2:$D$16,AF832)</f>
        <v>3</v>
      </c>
      <c r="AI832" s="30" t="str">
        <f>INDEX(Teacher_Master!$B$2:$B$16,MATCH(AF832,Teacher_Master!$D$2:$D$16,0))</f>
        <v>Prof. Vikram Gupta</v>
      </c>
    </row>
    <row r="833" spans="1:35" ht="14.25" customHeight="1" x14ac:dyDescent="0.3">
      <c r="A833" s="31" t="s">
        <v>1703</v>
      </c>
      <c r="B833" s="31" t="s">
        <v>2683</v>
      </c>
      <c r="C833" s="31" t="s">
        <v>2882</v>
      </c>
      <c r="D833" s="12">
        <f t="shared" ca="1" si="72"/>
        <v>23</v>
      </c>
      <c r="E833" s="12" t="str">
        <f ca="1">IF(Table1[[#This Row],[Age]]&lt;=22,"20-22",IF(Table1[[#This Row],[Age]]&lt;=25,"23-25",IF(Table1[[#This Row],[Age]]&lt;=28,"26-28","29-30")))</f>
        <v>23-25</v>
      </c>
      <c r="F833" s="12">
        <v>3.55</v>
      </c>
      <c r="G833" s="12">
        <v>3.58</v>
      </c>
      <c r="H833" s="12">
        <v>4.13</v>
      </c>
      <c r="I833" s="12">
        <v>3.98</v>
      </c>
      <c r="J833" s="12">
        <v>4.1399999999999997</v>
      </c>
      <c r="K833" s="12">
        <v>3.91</v>
      </c>
      <c r="L833" s="12">
        <v>3.88</v>
      </c>
      <c r="M833" s="12">
        <v>3.74</v>
      </c>
      <c r="N833" s="12">
        <v>4.08</v>
      </c>
      <c r="O833" s="12">
        <v>3.66</v>
      </c>
      <c r="P833" s="12">
        <f t="shared" si="73"/>
        <v>3.8759999999999999</v>
      </c>
      <c r="Q833" s="12">
        <f t="shared" si="74"/>
        <v>3.88</v>
      </c>
      <c r="R833" s="12">
        <f t="shared" si="75"/>
        <v>3.8540000000000005</v>
      </c>
      <c r="S833" s="28">
        <f>IFERROR(INDEX('Clean Gamification Data'!$B:$B,MATCH($B833,'Clean Gamification Data'!$A:$A,0)),"Not Found")</f>
        <v>87.660900749999996</v>
      </c>
      <c r="T833" s="28">
        <f>IFERROR(INDEX('Clean Gamification Data'!$C:$C,MATCH($B833,'Clean Gamification Data'!$A:$A,0)),"Not Found")</f>
        <v>69.971453519999997</v>
      </c>
      <c r="U833" s="28">
        <f>IFERROR(INDEX('Clean Gamification Data'!$D:$D,MATCH($B833,'Clean Gamification Data'!$A:$A,0)),"Not Found")</f>
        <v>79.023166840000002</v>
      </c>
      <c r="V833" s="28">
        <f>IFERROR(INDEX('Clean Gamification Data'!$E:$E,MATCH($B833,'Clean Gamification Data'!$A:$A,0)),"Not Found")</f>
        <v>65.782426049999998</v>
      </c>
      <c r="W833" s="28">
        <f>IFERROR(INDEX('Clean Gamification Data'!$F:$F,MATCH($B833,'Clean Gamification Data'!$A:$A,0)),"Not Found")</f>
        <v>82.779153269999995</v>
      </c>
      <c r="X833" s="28">
        <f>IFERROR(INDEX('Clean Gamification Data'!$G:$G,MATCH($B833,'Clean Gamification Data'!$A:$A,0)),"Not Found")</f>
        <v>85</v>
      </c>
      <c r="Y833" s="28">
        <f>IFERROR(INDEX('Clean Gamification Data'!$H:$H,MATCH($B833,'Clean Gamification Data'!$A:$A,0)),"Not Found")</f>
        <v>67.274380739999998</v>
      </c>
      <c r="Z833" s="28">
        <f>IFERROR(INDEX('Clean Gamification Data'!$I:$I,MATCH($B833,'Clean Gamification Data'!$A:$A,0)),"Not Found")</f>
        <v>50</v>
      </c>
      <c r="AA833" s="28">
        <f>Table1[[#This Row],[Engagement (Gamification %)]]-Table1[[#This Row],[Engagement (Non-Gamification %)]]</f>
        <v>17.689447229999999</v>
      </c>
      <c r="AB833" s="28">
        <f>Table1[[#This Row],[Motivation (Gamification %)]]-Table1[[#This Row],[Motivation (Non-Gamification %)]]</f>
        <v>13.240740790000004</v>
      </c>
      <c r="AC833" s="28">
        <f>Table1[[#This Row],[Participation (Gamification %)]]-Table1[[#This Row],[Participation (Non-Gamification %)]]</f>
        <v>-2.2208467300000052</v>
      </c>
      <c r="AD833" s="28">
        <f>Table1[[#This Row],[Learning Outcomes (Gamification %)]]-Table1[[#This Row],[Learning Outcomes (Non-Gamification %)]]</f>
        <v>17.274380739999998</v>
      </c>
      <c r="AE833" s="44" t="str">
        <f>IF(Table1[[#This Row],[Overall Effectiveness]]&lt;3.9,"Low",IF(Table1[[#This Row],[Overall Effectiveness]]&lt;4.2,"Medium","High"))</f>
        <v>Low</v>
      </c>
      <c r="AF833" s="30" t="str">
        <f t="shared" si="76"/>
        <v>Online Tutorials</v>
      </c>
      <c r="AG833" s="30" t="str">
        <f t="shared" si="77"/>
        <v>Experiments</v>
      </c>
      <c r="AH833" s="27">
        <f>COUNTIF(Teacher_Master!$D$2:$D$16,AF833)</f>
        <v>3</v>
      </c>
      <c r="AI833" s="30" t="str">
        <f>INDEX(Teacher_Master!$B$2:$B$16,MATCH(AF833,Teacher_Master!$D$2:$D$16,0))</f>
        <v>Prof. Kavita Rao</v>
      </c>
    </row>
    <row r="834" spans="1:35" ht="14.25" customHeight="1" x14ac:dyDescent="0.3">
      <c r="A834" s="31" t="s">
        <v>1705</v>
      </c>
      <c r="B834" s="31" t="s">
        <v>2684</v>
      </c>
      <c r="C834" s="31" t="s">
        <v>2882</v>
      </c>
      <c r="D834" s="12">
        <f t="shared" ref="D834:D897" ca="1" si="78">RANDBETWEEN(20,30)</f>
        <v>26</v>
      </c>
      <c r="E834" s="12" t="str">
        <f ca="1">IF(Table1[[#This Row],[Age]]&lt;=22,"20-22",IF(Table1[[#This Row],[Age]]&lt;=25,"23-25",IF(Table1[[#This Row],[Age]]&lt;=28,"26-28","29-30")))</f>
        <v>26-28</v>
      </c>
      <c r="F834" s="12">
        <v>4.62</v>
      </c>
      <c r="G834" s="12">
        <v>4.25</v>
      </c>
      <c r="H834" s="12">
        <v>3.88</v>
      </c>
      <c r="I834" s="12">
        <v>3.82</v>
      </c>
      <c r="J834" s="12">
        <v>4.2699999999999996</v>
      </c>
      <c r="K834" s="12">
        <v>4.2</v>
      </c>
      <c r="L834" s="12">
        <v>3.76</v>
      </c>
      <c r="M834" s="12">
        <v>4.08</v>
      </c>
      <c r="N834" s="12">
        <v>4.54</v>
      </c>
      <c r="O834" s="12">
        <v>4.25</v>
      </c>
      <c r="P834" s="12">
        <f t="shared" ref="P834:P897" si="79">AVERAGE(F834:J834)</f>
        <v>4.1680000000000001</v>
      </c>
      <c r="Q834" s="12">
        <f t="shared" ref="Q834:Q897" si="80">ROUND(P834,2)</f>
        <v>4.17</v>
      </c>
      <c r="R834" s="12">
        <f t="shared" ref="R834:R897" si="81">AVERAGE(K834:O834)</f>
        <v>4.1659999999999995</v>
      </c>
      <c r="S834" s="28">
        <f>IFERROR(INDEX('Clean Gamification Data'!$B:$B,MATCH($B834,'Clean Gamification Data'!$A:$A,0)),"Not Found")</f>
        <v>94.624500659999995</v>
      </c>
      <c r="T834" s="28">
        <f>IFERROR(INDEX('Clean Gamification Data'!$C:$C,MATCH($B834,'Clean Gamification Data'!$A:$A,0)),"Not Found")</f>
        <v>78.996700009999998</v>
      </c>
      <c r="U834" s="28">
        <f>IFERROR(INDEX('Clean Gamification Data'!$D:$D,MATCH($B834,'Clean Gamification Data'!$A:$A,0)),"Not Found")</f>
        <v>70</v>
      </c>
      <c r="V834" s="28">
        <f>IFERROR(INDEX('Clean Gamification Data'!$E:$E,MATCH($B834,'Clean Gamification Data'!$A:$A,0)),"Not Found")</f>
        <v>62.78815693</v>
      </c>
      <c r="W834" s="28">
        <f>IFERROR(INDEX('Clean Gamification Data'!$F:$F,MATCH($B834,'Clean Gamification Data'!$A:$A,0)),"Not Found")</f>
        <v>99.9</v>
      </c>
      <c r="X834" s="28">
        <f>IFERROR(INDEX('Clean Gamification Data'!$G:$G,MATCH($B834,'Clean Gamification Data'!$A:$A,0)),"Not Found")</f>
        <v>80.351614249999997</v>
      </c>
      <c r="Y834" s="28">
        <f>IFERROR(INDEX('Clean Gamification Data'!$H:$H,MATCH($B834,'Clean Gamification Data'!$A:$A,0)),"Not Found")</f>
        <v>69.554175180000001</v>
      </c>
      <c r="Z834" s="28">
        <f>IFERROR(INDEX('Clean Gamification Data'!$I:$I,MATCH($B834,'Clean Gamification Data'!$A:$A,0)),"Not Found")</f>
        <v>51.630414090000002</v>
      </c>
      <c r="AA834" s="28">
        <f>Table1[[#This Row],[Engagement (Gamification %)]]-Table1[[#This Row],[Engagement (Non-Gamification %)]]</f>
        <v>15.627800649999998</v>
      </c>
      <c r="AB834" s="28">
        <f>Table1[[#This Row],[Motivation (Gamification %)]]-Table1[[#This Row],[Motivation (Non-Gamification %)]]</f>
        <v>7.2118430700000005</v>
      </c>
      <c r="AC834" s="28">
        <f>Table1[[#This Row],[Participation (Gamification %)]]-Table1[[#This Row],[Participation (Non-Gamification %)]]</f>
        <v>19.548385750000008</v>
      </c>
      <c r="AD834" s="28">
        <f>Table1[[#This Row],[Learning Outcomes (Gamification %)]]-Table1[[#This Row],[Learning Outcomes (Non-Gamification %)]]</f>
        <v>17.923761089999999</v>
      </c>
      <c r="AE834" s="44" t="str">
        <f>IF(Table1[[#This Row],[Overall Effectiveness]]&lt;3.9,"Low",IF(Table1[[#This Row],[Overall Effectiveness]]&lt;4.2,"Medium","High"))</f>
        <v>Medium</v>
      </c>
      <c r="AF834" s="30" t="str">
        <f t="shared" ref="AF834:AF897" si="82">CHOOSE(MATCH(MAX(F834:J834),F834:J834,0),"Lectures","Case Studies","Group Projects","Experiments","Online Tutorials")</f>
        <v>Lectures</v>
      </c>
      <c r="AG834" s="30" t="str">
        <f t="shared" ref="AG834:AG897" si="83">CHOOSE(MATCH(MAX(K834:O834),K834:O834,0),"Lectures","Case Studies","Group Projects","Experiments","Online Tutorials")</f>
        <v>Experiments</v>
      </c>
      <c r="AH834" s="27">
        <f>COUNTIF(Teacher_Master!$D$2:$D$16,AF834)</f>
        <v>3</v>
      </c>
      <c r="AI834" s="30" t="str">
        <f>INDEX(Teacher_Master!$B$2:$B$16,MATCH(AF834,Teacher_Master!$D$2:$D$16,0))</f>
        <v>Prof. Vikram Gupta</v>
      </c>
    </row>
    <row r="835" spans="1:35" ht="14.25" customHeight="1" x14ac:dyDescent="0.3">
      <c r="A835" s="31" t="s">
        <v>1707</v>
      </c>
      <c r="B835" s="31" t="s">
        <v>1708</v>
      </c>
      <c r="C835" s="31" t="s">
        <v>2882</v>
      </c>
      <c r="D835" s="12">
        <f t="shared" ca="1" si="78"/>
        <v>24</v>
      </c>
      <c r="E835" s="12" t="str">
        <f ca="1">IF(Table1[[#This Row],[Age]]&lt;=22,"20-22",IF(Table1[[#This Row],[Age]]&lt;=25,"23-25",IF(Table1[[#This Row],[Age]]&lt;=28,"26-28","29-30")))</f>
        <v>23-25</v>
      </c>
      <c r="F835" s="12">
        <v>3.93</v>
      </c>
      <c r="G835" s="12">
        <v>3.68</v>
      </c>
      <c r="H835" s="12">
        <v>3.28</v>
      </c>
      <c r="I835" s="12">
        <v>3.73</v>
      </c>
      <c r="J835" s="12">
        <v>4.49</v>
      </c>
      <c r="K835" s="12">
        <v>4.5599999999999996</v>
      </c>
      <c r="L835" s="12">
        <v>3.93</v>
      </c>
      <c r="M835" s="12">
        <v>3.91</v>
      </c>
      <c r="N835" s="12">
        <v>3.7</v>
      </c>
      <c r="O835" s="12">
        <v>3.68</v>
      </c>
      <c r="P835" s="12">
        <f t="shared" si="79"/>
        <v>3.8220000000000001</v>
      </c>
      <c r="Q835" s="12">
        <f t="shared" si="80"/>
        <v>3.82</v>
      </c>
      <c r="R835" s="12">
        <f t="shared" si="81"/>
        <v>3.9560000000000004</v>
      </c>
      <c r="S835" s="28">
        <f>IFERROR(INDEX('Clean Gamification Data'!$B:$B,MATCH($B835,'Clean Gamification Data'!$A:$A,0)),"Not Found")</f>
        <v>88.200845639999997</v>
      </c>
      <c r="T835" s="28">
        <f>IFERROR(INDEX('Clean Gamification Data'!$C:$C,MATCH($B835,'Clean Gamification Data'!$A:$A,0)),"Not Found")</f>
        <v>73.17745884</v>
      </c>
      <c r="U835" s="28">
        <f>IFERROR(INDEX('Clean Gamification Data'!$D:$D,MATCH($B835,'Clean Gamification Data'!$A:$A,0)),"Not Found")</f>
        <v>72.89885975</v>
      </c>
      <c r="V835" s="28">
        <f>IFERROR(INDEX('Clean Gamification Data'!$E:$E,MATCH($B835,'Clean Gamification Data'!$A:$A,0)),"Not Found")</f>
        <v>68.692228830000005</v>
      </c>
      <c r="W835" s="28">
        <f>IFERROR(INDEX('Clean Gamification Data'!$F:$F,MATCH($B835,'Clean Gamification Data'!$A:$A,0)),"Not Found")</f>
        <v>99.9</v>
      </c>
      <c r="X835" s="28">
        <f>IFERROR(INDEX('Clean Gamification Data'!$G:$G,MATCH($B835,'Clean Gamification Data'!$A:$A,0)),"Not Found")</f>
        <v>67.364331719999996</v>
      </c>
      <c r="Y835" s="28">
        <f>IFERROR(INDEX('Clean Gamification Data'!$H:$H,MATCH($B835,'Clean Gamification Data'!$A:$A,0)),"Not Found")</f>
        <v>72.560159889999994</v>
      </c>
      <c r="Z835" s="28">
        <f>IFERROR(INDEX('Clean Gamification Data'!$I:$I,MATCH($B835,'Clean Gamification Data'!$A:$A,0)),"Not Found")</f>
        <v>60.551948510000003</v>
      </c>
      <c r="AA835" s="28">
        <f>Table1[[#This Row],[Engagement (Gamification %)]]-Table1[[#This Row],[Engagement (Non-Gamification %)]]</f>
        <v>15.023386799999997</v>
      </c>
      <c r="AB835" s="28">
        <f>Table1[[#This Row],[Motivation (Gamification %)]]-Table1[[#This Row],[Motivation (Non-Gamification %)]]</f>
        <v>4.2066309199999949</v>
      </c>
      <c r="AC835" s="28">
        <f>Table1[[#This Row],[Participation (Gamification %)]]-Table1[[#This Row],[Participation (Non-Gamification %)]]</f>
        <v>32.53566828000001</v>
      </c>
      <c r="AD835" s="28">
        <f>Table1[[#This Row],[Learning Outcomes (Gamification %)]]-Table1[[#This Row],[Learning Outcomes (Non-Gamification %)]]</f>
        <v>12.008211379999992</v>
      </c>
      <c r="AE835" s="44" t="str">
        <f>IF(Table1[[#This Row],[Overall Effectiveness]]&lt;3.9,"Low",IF(Table1[[#This Row],[Overall Effectiveness]]&lt;4.2,"Medium","High"))</f>
        <v>Low</v>
      </c>
      <c r="AF835" s="30" t="str">
        <f t="shared" si="82"/>
        <v>Online Tutorials</v>
      </c>
      <c r="AG835" s="30" t="str">
        <f t="shared" si="83"/>
        <v>Lectures</v>
      </c>
      <c r="AH835" s="27">
        <f>COUNTIF(Teacher_Master!$D$2:$D$16,AF835)</f>
        <v>3</v>
      </c>
      <c r="AI835" s="30" t="str">
        <f>INDEX(Teacher_Master!$B$2:$B$16,MATCH(AF835,Teacher_Master!$D$2:$D$16,0))</f>
        <v>Prof. Kavita Rao</v>
      </c>
    </row>
    <row r="836" spans="1:35" ht="14.25" customHeight="1" x14ac:dyDescent="0.3">
      <c r="A836" s="31" t="s">
        <v>1709</v>
      </c>
      <c r="B836" s="31" t="s">
        <v>1710</v>
      </c>
      <c r="C836" s="31" t="s">
        <v>2882</v>
      </c>
      <c r="D836" s="12">
        <f t="shared" ca="1" si="78"/>
        <v>25</v>
      </c>
      <c r="E836" s="12" t="str">
        <f ca="1">IF(Table1[[#This Row],[Age]]&lt;=22,"20-22",IF(Table1[[#This Row],[Age]]&lt;=25,"23-25",IF(Table1[[#This Row],[Age]]&lt;=28,"26-28","29-30")))</f>
        <v>23-25</v>
      </c>
      <c r="F836" s="12">
        <v>3.9</v>
      </c>
      <c r="G836" s="12">
        <v>3.9</v>
      </c>
      <c r="H836" s="12">
        <v>4.22</v>
      </c>
      <c r="I836" s="12" t="s">
        <v>1711</v>
      </c>
      <c r="J836" s="12">
        <v>4.33</v>
      </c>
      <c r="K836" s="12">
        <v>3.78</v>
      </c>
      <c r="L836" s="12">
        <v>4.05</v>
      </c>
      <c r="M836" s="12">
        <v>4.2</v>
      </c>
      <c r="N836" s="12" t="s">
        <v>211</v>
      </c>
      <c r="O836" s="12">
        <v>4.1100000000000003</v>
      </c>
      <c r="P836" s="12">
        <f t="shared" si="79"/>
        <v>4.0875000000000004</v>
      </c>
      <c r="Q836" s="12">
        <f t="shared" si="80"/>
        <v>4.09</v>
      </c>
      <c r="R836" s="12">
        <f t="shared" si="81"/>
        <v>4.0350000000000001</v>
      </c>
      <c r="S836" s="28">
        <f>IFERROR(INDEX('Clean Gamification Data'!$B:$B,MATCH($B836,'Clean Gamification Data'!$A:$A,0)),"Not Found")</f>
        <v>85.810137490000002</v>
      </c>
      <c r="T836" s="28">
        <f>IFERROR(INDEX('Clean Gamification Data'!$C:$C,MATCH($B836,'Clean Gamification Data'!$A:$A,0)),"Not Found")</f>
        <v>66.955007670000001</v>
      </c>
      <c r="U836" s="28">
        <f>IFERROR(INDEX('Clean Gamification Data'!$D:$D,MATCH($B836,'Clean Gamification Data'!$A:$A,0)),"Not Found")</f>
        <v>70</v>
      </c>
      <c r="V836" s="28">
        <f>IFERROR(INDEX('Clean Gamification Data'!$E:$E,MATCH($B836,'Clean Gamification Data'!$A:$A,0)),"Not Found")</f>
        <v>70.400927999999993</v>
      </c>
      <c r="W836" s="28">
        <f>IFERROR(INDEX('Clean Gamification Data'!$F:$F,MATCH($B836,'Clean Gamification Data'!$A:$A,0)),"Not Found")</f>
        <v>90.15504104</v>
      </c>
      <c r="X836" s="28">
        <f>IFERROR(INDEX('Clean Gamification Data'!$G:$G,MATCH($B836,'Clean Gamification Data'!$A:$A,0)),"Not Found")</f>
        <v>78.282399170000005</v>
      </c>
      <c r="Y836" s="28">
        <f>IFERROR(INDEX('Clean Gamification Data'!$H:$H,MATCH($B836,'Clean Gamification Data'!$A:$A,0)),"Not Found")</f>
        <v>66.156558709999999</v>
      </c>
      <c r="Z836" s="28">
        <f>IFERROR(INDEX('Clean Gamification Data'!$I:$I,MATCH($B836,'Clean Gamification Data'!$A:$A,0)),"Not Found")</f>
        <v>68.876193079999993</v>
      </c>
      <c r="AA836" s="28">
        <f>Table1[[#This Row],[Engagement (Gamification %)]]-Table1[[#This Row],[Engagement (Non-Gamification %)]]</f>
        <v>18.855129820000002</v>
      </c>
      <c r="AB836" s="28">
        <f>Table1[[#This Row],[Motivation (Gamification %)]]-Table1[[#This Row],[Motivation (Non-Gamification %)]]</f>
        <v>-0.40092799999999329</v>
      </c>
      <c r="AC836" s="28">
        <f>Table1[[#This Row],[Participation (Gamification %)]]-Table1[[#This Row],[Participation (Non-Gamification %)]]</f>
        <v>11.872641869999995</v>
      </c>
      <c r="AD836" s="28">
        <f>Table1[[#This Row],[Learning Outcomes (Gamification %)]]-Table1[[#This Row],[Learning Outcomes (Non-Gamification %)]]</f>
        <v>-2.7196343699999943</v>
      </c>
      <c r="AE836" s="44" t="str">
        <f>IF(Table1[[#This Row],[Overall Effectiveness]]&lt;3.9,"Low",IF(Table1[[#This Row],[Overall Effectiveness]]&lt;4.2,"Medium","High"))</f>
        <v>Medium</v>
      </c>
      <c r="AF836" s="30" t="str">
        <f t="shared" si="82"/>
        <v>Online Tutorials</v>
      </c>
      <c r="AG836" s="30" t="str">
        <f t="shared" si="83"/>
        <v>Group Projects</v>
      </c>
      <c r="AH836" s="27">
        <f>COUNTIF(Teacher_Master!$D$2:$D$16,AF836)</f>
        <v>3</v>
      </c>
      <c r="AI836" s="30" t="str">
        <f>INDEX(Teacher_Master!$B$2:$B$16,MATCH(AF836,Teacher_Master!$D$2:$D$16,0))</f>
        <v>Prof. Kavita Rao</v>
      </c>
    </row>
    <row r="837" spans="1:35" ht="14.25" customHeight="1" x14ac:dyDescent="0.3">
      <c r="A837" s="31" t="s">
        <v>1712</v>
      </c>
      <c r="B837" s="31" t="s">
        <v>2685</v>
      </c>
      <c r="C837" s="31" t="s">
        <v>2882</v>
      </c>
      <c r="D837" s="12">
        <f t="shared" ca="1" si="78"/>
        <v>24</v>
      </c>
      <c r="E837" s="12" t="str">
        <f ca="1">IF(Table1[[#This Row],[Age]]&lt;=22,"20-22",IF(Table1[[#This Row],[Age]]&lt;=25,"23-25",IF(Table1[[#This Row],[Age]]&lt;=28,"26-28","29-30")))</f>
        <v>23-25</v>
      </c>
      <c r="F837" s="12">
        <v>4.29</v>
      </c>
      <c r="G837" s="12">
        <v>3.93</v>
      </c>
      <c r="H837" s="12" t="s">
        <v>211</v>
      </c>
      <c r="I837" s="12">
        <v>4.07</v>
      </c>
      <c r="J837" s="12">
        <v>4.1100000000000003</v>
      </c>
      <c r="K837" s="12">
        <v>4.67</v>
      </c>
      <c r="L837" s="12">
        <v>4.0199999999999996</v>
      </c>
      <c r="M837" s="12">
        <v>4.49</v>
      </c>
      <c r="N837" s="12">
        <v>3.62</v>
      </c>
      <c r="O837" s="12">
        <v>4.22</v>
      </c>
      <c r="P837" s="12">
        <f t="shared" si="79"/>
        <v>4.1000000000000005</v>
      </c>
      <c r="Q837" s="12">
        <f t="shared" si="80"/>
        <v>4.0999999999999996</v>
      </c>
      <c r="R837" s="12">
        <f t="shared" si="81"/>
        <v>4.2039999999999997</v>
      </c>
      <c r="S837" s="28">
        <f>IFERROR(INDEX('Clean Gamification Data'!$B:$B,MATCH($B837,'Clean Gamification Data'!$A:$A,0)),"Not Found")</f>
        <v>83.941920850000002</v>
      </c>
      <c r="T837" s="28">
        <f>IFERROR(INDEX('Clean Gamification Data'!$C:$C,MATCH($B837,'Clean Gamification Data'!$A:$A,0)),"Not Found")</f>
        <v>64.649209810000002</v>
      </c>
      <c r="U837" s="28">
        <f>IFERROR(INDEX('Clean Gamification Data'!$D:$D,MATCH($B837,'Clean Gamification Data'!$A:$A,0)),"Not Found")</f>
        <v>81.155355650000004</v>
      </c>
      <c r="V837" s="28">
        <f>IFERROR(INDEX('Clean Gamification Data'!$E:$E,MATCH($B837,'Clean Gamification Data'!$A:$A,0)),"Not Found")</f>
        <v>68.235780180000006</v>
      </c>
      <c r="W837" s="28">
        <f>IFERROR(INDEX('Clean Gamification Data'!$F:$F,MATCH($B837,'Clean Gamification Data'!$A:$A,0)),"Not Found")</f>
        <v>89.588983010000007</v>
      </c>
      <c r="X837" s="28">
        <f>IFERROR(INDEX('Clean Gamification Data'!$G:$G,MATCH($B837,'Clean Gamification Data'!$A:$A,0)),"Not Found")</f>
        <v>77.945197070000006</v>
      </c>
      <c r="Y837" s="28">
        <f>IFERROR(INDEX('Clean Gamification Data'!$H:$H,MATCH($B837,'Clean Gamification Data'!$A:$A,0)),"Not Found")</f>
        <v>72.866494900000006</v>
      </c>
      <c r="Z837" s="28">
        <f>IFERROR(INDEX('Clean Gamification Data'!$I:$I,MATCH($B837,'Clean Gamification Data'!$A:$A,0)),"Not Found")</f>
        <v>54.779986559999998</v>
      </c>
      <c r="AA837" s="28">
        <f>Table1[[#This Row],[Engagement (Gamification %)]]-Table1[[#This Row],[Engagement (Non-Gamification %)]]</f>
        <v>19.29271104</v>
      </c>
      <c r="AB837" s="28">
        <f>Table1[[#This Row],[Motivation (Gamification %)]]-Table1[[#This Row],[Motivation (Non-Gamification %)]]</f>
        <v>12.919575469999998</v>
      </c>
      <c r="AC837" s="28">
        <f>Table1[[#This Row],[Participation (Gamification %)]]-Table1[[#This Row],[Participation (Non-Gamification %)]]</f>
        <v>11.643785940000001</v>
      </c>
      <c r="AD837" s="28">
        <f>Table1[[#This Row],[Learning Outcomes (Gamification %)]]-Table1[[#This Row],[Learning Outcomes (Non-Gamification %)]]</f>
        <v>18.086508340000009</v>
      </c>
      <c r="AE837" s="44" t="str">
        <f>IF(Table1[[#This Row],[Overall Effectiveness]]&lt;3.9,"Low",IF(Table1[[#This Row],[Overall Effectiveness]]&lt;4.2,"Medium","High"))</f>
        <v>Medium</v>
      </c>
      <c r="AF837" s="30" t="str">
        <f t="shared" si="82"/>
        <v>Lectures</v>
      </c>
      <c r="AG837" s="30" t="str">
        <f t="shared" si="83"/>
        <v>Lectures</v>
      </c>
      <c r="AH837" s="27">
        <f>COUNTIF(Teacher_Master!$D$2:$D$16,AF837)</f>
        <v>3</v>
      </c>
      <c r="AI837" s="30" t="str">
        <f>INDEX(Teacher_Master!$B$2:$B$16,MATCH(AF837,Teacher_Master!$D$2:$D$16,0))</f>
        <v>Prof. Vikram Gupta</v>
      </c>
    </row>
    <row r="838" spans="1:35" ht="14.25" customHeight="1" x14ac:dyDescent="0.3">
      <c r="A838" s="31" t="s">
        <v>1714</v>
      </c>
      <c r="B838" s="31" t="s">
        <v>2686</v>
      </c>
      <c r="C838" s="31" t="s">
        <v>2882</v>
      </c>
      <c r="D838" s="12">
        <f t="shared" ca="1" si="78"/>
        <v>25</v>
      </c>
      <c r="E838" s="12" t="str">
        <f ca="1">IF(Table1[[#This Row],[Age]]&lt;=22,"20-22",IF(Table1[[#This Row],[Age]]&lt;=25,"23-25",IF(Table1[[#This Row],[Age]]&lt;=28,"26-28","29-30")))</f>
        <v>23-25</v>
      </c>
      <c r="F838" s="12">
        <v>4.09</v>
      </c>
      <c r="G838" s="12">
        <v>4.0999999999999996</v>
      </c>
      <c r="H838" s="12">
        <v>4.38</v>
      </c>
      <c r="I838" s="12">
        <v>4.46</v>
      </c>
      <c r="J838" s="12">
        <v>4.07</v>
      </c>
      <c r="K838" s="12">
        <v>4.43</v>
      </c>
      <c r="L838" s="12">
        <v>3.98</v>
      </c>
      <c r="M838" s="12">
        <v>3.85</v>
      </c>
      <c r="N838" s="12">
        <v>3.79</v>
      </c>
      <c r="O838" s="12">
        <v>4.08</v>
      </c>
      <c r="P838" s="12">
        <f t="shared" si="79"/>
        <v>4.2200000000000006</v>
      </c>
      <c r="Q838" s="12">
        <f t="shared" si="80"/>
        <v>4.22</v>
      </c>
      <c r="R838" s="12">
        <f t="shared" si="81"/>
        <v>4.0260000000000007</v>
      </c>
      <c r="S838" s="28">
        <f>IFERROR(INDEX('Clean Gamification Data'!$B:$B,MATCH($B838,'Clean Gamification Data'!$A:$A,0)),"Not Found")</f>
        <v>88.792546700000003</v>
      </c>
      <c r="T838" s="28">
        <f>IFERROR(INDEX('Clean Gamification Data'!$C:$C,MATCH($B838,'Clean Gamification Data'!$A:$A,0)),"Not Found")</f>
        <v>60.617655130000003</v>
      </c>
      <c r="U838" s="28">
        <f>IFERROR(INDEX('Clean Gamification Data'!$D:$D,MATCH($B838,'Clean Gamification Data'!$A:$A,0)),"Not Found")</f>
        <v>81.373329369999993</v>
      </c>
      <c r="V838" s="28">
        <f>IFERROR(INDEX('Clean Gamification Data'!$E:$E,MATCH($B838,'Clean Gamification Data'!$A:$A,0)),"Not Found")</f>
        <v>61.835825249999999</v>
      </c>
      <c r="W838" s="28">
        <f>IFERROR(INDEX('Clean Gamification Data'!$F:$F,MATCH($B838,'Clean Gamification Data'!$A:$A,0)),"Not Found")</f>
        <v>99.9</v>
      </c>
      <c r="X838" s="28">
        <f>IFERROR(INDEX('Clean Gamification Data'!$G:$G,MATCH($B838,'Clean Gamification Data'!$A:$A,0)),"Not Found")</f>
        <v>85</v>
      </c>
      <c r="Y838" s="28">
        <f>IFERROR(INDEX('Clean Gamification Data'!$H:$H,MATCH($B838,'Clean Gamification Data'!$A:$A,0)),"Not Found")</f>
        <v>70.231169309999999</v>
      </c>
      <c r="Z838" s="28">
        <f>IFERROR(INDEX('Clean Gamification Data'!$I:$I,MATCH($B838,'Clean Gamification Data'!$A:$A,0)),"Not Found")</f>
        <v>57.307967310000002</v>
      </c>
      <c r="AA838" s="28">
        <f>Table1[[#This Row],[Engagement (Gamification %)]]-Table1[[#This Row],[Engagement (Non-Gamification %)]]</f>
        <v>28.17489157</v>
      </c>
      <c r="AB838" s="28">
        <f>Table1[[#This Row],[Motivation (Gamification %)]]-Table1[[#This Row],[Motivation (Non-Gamification %)]]</f>
        <v>19.537504119999994</v>
      </c>
      <c r="AC838" s="28">
        <f>Table1[[#This Row],[Participation (Gamification %)]]-Table1[[#This Row],[Participation (Non-Gamification %)]]</f>
        <v>14.900000000000006</v>
      </c>
      <c r="AD838" s="28">
        <f>Table1[[#This Row],[Learning Outcomes (Gamification %)]]-Table1[[#This Row],[Learning Outcomes (Non-Gamification %)]]</f>
        <v>12.923201999999996</v>
      </c>
      <c r="AE838" s="44" t="str">
        <f>IF(Table1[[#This Row],[Overall Effectiveness]]&lt;3.9,"Low",IF(Table1[[#This Row],[Overall Effectiveness]]&lt;4.2,"Medium","High"))</f>
        <v>High</v>
      </c>
      <c r="AF838" s="30" t="str">
        <f t="shared" si="82"/>
        <v>Experiments</v>
      </c>
      <c r="AG838" s="30" t="str">
        <f t="shared" si="83"/>
        <v>Lectures</v>
      </c>
      <c r="AH838" s="27">
        <f>COUNTIF(Teacher_Master!$D$2:$D$16,AF838)</f>
        <v>3</v>
      </c>
      <c r="AI838" s="30" t="str">
        <f>INDEX(Teacher_Master!$B$2:$B$16,MATCH(AF838,Teacher_Master!$D$2:$D$16,0))</f>
        <v>Prof. Rahul Singh</v>
      </c>
    </row>
    <row r="839" spans="1:35" ht="14.25" customHeight="1" x14ac:dyDescent="0.3">
      <c r="A839" s="31" t="s">
        <v>1716</v>
      </c>
      <c r="B839" s="31" t="s">
        <v>1717</v>
      </c>
      <c r="C839" s="31" t="s">
        <v>2882</v>
      </c>
      <c r="D839" s="12">
        <f t="shared" ca="1" si="78"/>
        <v>24</v>
      </c>
      <c r="E839" s="12" t="str">
        <f ca="1">IF(Table1[[#This Row],[Age]]&lt;=22,"20-22",IF(Table1[[#This Row],[Age]]&lt;=25,"23-25",IF(Table1[[#This Row],[Age]]&lt;=28,"26-28","29-30")))</f>
        <v>23-25</v>
      </c>
      <c r="F839" s="12">
        <v>3.88</v>
      </c>
      <c r="G839" s="12">
        <v>4.24</v>
      </c>
      <c r="H839" s="12">
        <v>3.62</v>
      </c>
      <c r="I839" s="12">
        <v>4.43</v>
      </c>
      <c r="J839" s="12">
        <v>3.48</v>
      </c>
      <c r="K839" s="12">
        <v>4.18</v>
      </c>
      <c r="L839" s="12" t="s">
        <v>211</v>
      </c>
      <c r="M839" s="12">
        <v>4.26</v>
      </c>
      <c r="N839" s="12">
        <v>4.28</v>
      </c>
      <c r="O839" s="12">
        <v>4.2699999999999996</v>
      </c>
      <c r="P839" s="12">
        <f t="shared" si="79"/>
        <v>3.9300000000000006</v>
      </c>
      <c r="Q839" s="12">
        <f t="shared" si="80"/>
        <v>3.93</v>
      </c>
      <c r="R839" s="12">
        <f t="shared" si="81"/>
        <v>4.2474999999999996</v>
      </c>
      <c r="S839" s="28">
        <f>IFERROR(INDEX('Clean Gamification Data'!$B:$B,MATCH($B839,'Clean Gamification Data'!$A:$A,0)),"Not Found")</f>
        <v>86.966157339999995</v>
      </c>
      <c r="T839" s="28">
        <f>IFERROR(INDEX('Clean Gamification Data'!$C:$C,MATCH($B839,'Clean Gamification Data'!$A:$A,0)),"Not Found")</f>
        <v>70.274884729999997</v>
      </c>
      <c r="U839" s="28">
        <f>IFERROR(INDEX('Clean Gamification Data'!$D:$D,MATCH($B839,'Clean Gamification Data'!$A:$A,0)),"Not Found")</f>
        <v>82.706544780000002</v>
      </c>
      <c r="V839" s="28">
        <f>IFERROR(INDEX('Clean Gamification Data'!$E:$E,MATCH($B839,'Clean Gamification Data'!$A:$A,0)),"Not Found")</f>
        <v>62.007956790000001</v>
      </c>
      <c r="W839" s="28">
        <f>IFERROR(INDEX('Clean Gamification Data'!$F:$F,MATCH($B839,'Clean Gamification Data'!$A:$A,0)),"Not Found")</f>
        <v>86.619533320000002</v>
      </c>
      <c r="X839" s="28">
        <f>IFERROR(INDEX('Clean Gamification Data'!$G:$G,MATCH($B839,'Clean Gamification Data'!$A:$A,0)),"Not Found")</f>
        <v>76.305902739999993</v>
      </c>
      <c r="Y839" s="28">
        <f>IFERROR(INDEX('Clean Gamification Data'!$H:$H,MATCH($B839,'Clean Gamification Data'!$A:$A,0)),"Not Found")</f>
        <v>75.290807360000002</v>
      </c>
      <c r="Z839" s="28">
        <f>IFERROR(INDEX('Clean Gamification Data'!$I:$I,MATCH($B839,'Clean Gamification Data'!$A:$A,0)),"Not Found")</f>
        <v>50.087572360000003</v>
      </c>
      <c r="AA839" s="28">
        <f>Table1[[#This Row],[Engagement (Gamification %)]]-Table1[[#This Row],[Engagement (Non-Gamification %)]]</f>
        <v>16.691272609999999</v>
      </c>
      <c r="AB839" s="28">
        <f>Table1[[#This Row],[Motivation (Gamification %)]]-Table1[[#This Row],[Motivation (Non-Gamification %)]]</f>
        <v>20.69858799</v>
      </c>
      <c r="AC839" s="28">
        <f>Table1[[#This Row],[Participation (Gamification %)]]-Table1[[#This Row],[Participation (Non-Gamification %)]]</f>
        <v>10.313630580000009</v>
      </c>
      <c r="AD839" s="28">
        <f>Table1[[#This Row],[Learning Outcomes (Gamification %)]]-Table1[[#This Row],[Learning Outcomes (Non-Gamification %)]]</f>
        <v>25.203234999999999</v>
      </c>
      <c r="AE839" s="44" t="str">
        <f>IF(Table1[[#This Row],[Overall Effectiveness]]&lt;3.9,"Low",IF(Table1[[#This Row],[Overall Effectiveness]]&lt;4.2,"Medium","High"))</f>
        <v>Medium</v>
      </c>
      <c r="AF839" s="30" t="str">
        <f t="shared" si="82"/>
        <v>Experiments</v>
      </c>
      <c r="AG839" s="30" t="str">
        <f t="shared" si="83"/>
        <v>Experiments</v>
      </c>
      <c r="AH839" s="27">
        <f>COUNTIF(Teacher_Master!$D$2:$D$16,AF839)</f>
        <v>3</v>
      </c>
      <c r="AI839" s="30" t="str">
        <f>INDEX(Teacher_Master!$B$2:$B$16,MATCH(AF839,Teacher_Master!$D$2:$D$16,0))</f>
        <v>Prof. Rahul Singh</v>
      </c>
    </row>
    <row r="840" spans="1:35" ht="14.25" customHeight="1" x14ac:dyDescent="0.3">
      <c r="A840" s="31" t="s">
        <v>1718</v>
      </c>
      <c r="B840" s="31" t="s">
        <v>2687</v>
      </c>
      <c r="C840" s="31" t="s">
        <v>2882</v>
      </c>
      <c r="D840" s="12">
        <f t="shared" ca="1" si="78"/>
        <v>25</v>
      </c>
      <c r="E840" s="12" t="str">
        <f ca="1">IF(Table1[[#This Row],[Age]]&lt;=22,"20-22",IF(Table1[[#This Row],[Age]]&lt;=25,"23-25",IF(Table1[[#This Row],[Age]]&lt;=28,"26-28","29-30")))</f>
        <v>23-25</v>
      </c>
      <c r="F840" s="12">
        <v>4.5</v>
      </c>
      <c r="G840" s="12">
        <v>4.1500000000000004</v>
      </c>
      <c r="H840" s="12">
        <v>3.86</v>
      </c>
      <c r="I840" s="12">
        <v>3.76</v>
      </c>
      <c r="J840" s="12">
        <v>4.3</v>
      </c>
      <c r="K840" s="12">
        <v>3.89</v>
      </c>
      <c r="L840" s="12" t="s">
        <v>211</v>
      </c>
      <c r="M840" s="12">
        <v>4.5599999999999996</v>
      </c>
      <c r="N840" s="12">
        <v>4.01</v>
      </c>
      <c r="O840" s="12">
        <v>4.0599999999999996</v>
      </c>
      <c r="P840" s="12">
        <f t="shared" si="79"/>
        <v>4.1139999999999999</v>
      </c>
      <c r="Q840" s="12">
        <f t="shared" si="80"/>
        <v>4.1100000000000003</v>
      </c>
      <c r="R840" s="12">
        <f t="shared" si="81"/>
        <v>4.13</v>
      </c>
      <c r="S840" s="28">
        <f>IFERROR(INDEX('Clean Gamification Data'!$B:$B,MATCH($B840,'Clean Gamification Data'!$A:$A,0)),"Not Found")</f>
        <v>99.9</v>
      </c>
      <c r="T840" s="28">
        <f>IFERROR(INDEX('Clean Gamification Data'!$C:$C,MATCH($B840,'Clean Gamification Data'!$A:$A,0)),"Not Found")</f>
        <v>73.945139920000003</v>
      </c>
      <c r="U840" s="28">
        <f>IFERROR(INDEX('Clean Gamification Data'!$D:$D,MATCH($B840,'Clean Gamification Data'!$A:$A,0)),"Not Found")</f>
        <v>73.058502230000002</v>
      </c>
      <c r="V840" s="28">
        <f>IFERROR(INDEX('Clean Gamification Data'!$E:$E,MATCH($B840,'Clean Gamification Data'!$A:$A,0)),"Not Found")</f>
        <v>65.904372690000002</v>
      </c>
      <c r="W840" s="28">
        <f>IFERROR(INDEX('Clean Gamification Data'!$F:$F,MATCH($B840,'Clean Gamification Data'!$A:$A,0)),"Not Found")</f>
        <v>87.170791390000005</v>
      </c>
      <c r="X840" s="28">
        <f>IFERROR(INDEX('Clean Gamification Data'!$G:$G,MATCH($B840,'Clean Gamification Data'!$A:$A,0)),"Not Found")</f>
        <v>82.095407480000006</v>
      </c>
      <c r="Y840" s="28">
        <f>IFERROR(INDEX('Clean Gamification Data'!$H:$H,MATCH($B840,'Clean Gamification Data'!$A:$A,0)),"Not Found")</f>
        <v>66.691804820000002</v>
      </c>
      <c r="Z840" s="28">
        <f>IFERROR(INDEX('Clean Gamification Data'!$I:$I,MATCH($B840,'Clean Gamification Data'!$A:$A,0)),"Not Found")</f>
        <v>52.623130600000003</v>
      </c>
      <c r="AA840" s="28">
        <f>Table1[[#This Row],[Engagement (Gamification %)]]-Table1[[#This Row],[Engagement (Non-Gamification %)]]</f>
        <v>25.954860080000003</v>
      </c>
      <c r="AB840" s="28">
        <f>Table1[[#This Row],[Motivation (Gamification %)]]-Table1[[#This Row],[Motivation (Non-Gamification %)]]</f>
        <v>7.1541295399999996</v>
      </c>
      <c r="AC840" s="28">
        <f>Table1[[#This Row],[Participation (Gamification %)]]-Table1[[#This Row],[Participation (Non-Gamification %)]]</f>
        <v>5.0753839099999993</v>
      </c>
      <c r="AD840" s="28">
        <f>Table1[[#This Row],[Learning Outcomes (Gamification %)]]-Table1[[#This Row],[Learning Outcomes (Non-Gamification %)]]</f>
        <v>14.068674219999998</v>
      </c>
      <c r="AE840" s="44" t="str">
        <f>IF(Table1[[#This Row],[Overall Effectiveness]]&lt;3.9,"Low",IF(Table1[[#This Row],[Overall Effectiveness]]&lt;4.2,"Medium","High"))</f>
        <v>Medium</v>
      </c>
      <c r="AF840" s="30" t="str">
        <f t="shared" si="82"/>
        <v>Lectures</v>
      </c>
      <c r="AG840" s="30" t="str">
        <f t="shared" si="83"/>
        <v>Group Projects</v>
      </c>
      <c r="AH840" s="27">
        <f>COUNTIF(Teacher_Master!$D$2:$D$16,AF840)</f>
        <v>3</v>
      </c>
      <c r="AI840" s="30" t="str">
        <f>INDEX(Teacher_Master!$B$2:$B$16,MATCH(AF840,Teacher_Master!$D$2:$D$16,0))</f>
        <v>Prof. Vikram Gupta</v>
      </c>
    </row>
    <row r="841" spans="1:35" ht="14.25" customHeight="1" x14ac:dyDescent="0.3">
      <c r="A841" s="31" t="s">
        <v>1720</v>
      </c>
      <c r="B841" s="31" t="s">
        <v>2688</v>
      </c>
      <c r="C841" s="31" t="s">
        <v>2881</v>
      </c>
      <c r="D841" s="12">
        <f t="shared" ca="1" si="78"/>
        <v>30</v>
      </c>
      <c r="E841" s="12" t="str">
        <f ca="1">IF(Table1[[#This Row],[Age]]&lt;=22,"20-22",IF(Table1[[#This Row],[Age]]&lt;=25,"23-25",IF(Table1[[#This Row],[Age]]&lt;=28,"26-28","29-30")))</f>
        <v>29-30</v>
      </c>
      <c r="F841" s="12">
        <v>3.41</v>
      </c>
      <c r="G841" s="12">
        <v>4.05</v>
      </c>
      <c r="H841" s="12">
        <v>4.22</v>
      </c>
      <c r="I841" s="12">
        <v>4.72</v>
      </c>
      <c r="J841" s="12">
        <v>3.67</v>
      </c>
      <c r="K841" s="12">
        <v>3.99</v>
      </c>
      <c r="L841" s="12" t="s">
        <v>211</v>
      </c>
      <c r="M841" s="12">
        <v>4.21</v>
      </c>
      <c r="N841" s="12">
        <v>3.82</v>
      </c>
      <c r="O841" s="12">
        <v>3.71</v>
      </c>
      <c r="P841" s="12">
        <f t="shared" si="79"/>
        <v>4.0140000000000002</v>
      </c>
      <c r="Q841" s="12">
        <f t="shared" si="80"/>
        <v>4.01</v>
      </c>
      <c r="R841" s="12">
        <f t="shared" si="81"/>
        <v>3.9325000000000001</v>
      </c>
      <c r="S841" s="28">
        <f>IFERROR(INDEX('Clean Gamification Data'!$B:$B,MATCH($B841,'Clean Gamification Data'!$A:$A,0)),"Not Found")</f>
        <v>82.644494690000002</v>
      </c>
      <c r="T841" s="28">
        <f>IFERROR(INDEX('Clean Gamification Data'!$C:$C,MATCH($B841,'Clean Gamification Data'!$A:$A,0)),"Not Found")</f>
        <v>66.519075369999996</v>
      </c>
      <c r="U841" s="28">
        <f>IFERROR(INDEX('Clean Gamification Data'!$D:$D,MATCH($B841,'Clean Gamification Data'!$A:$A,0)),"Not Found")</f>
        <v>78.954257130000002</v>
      </c>
      <c r="V841" s="28">
        <f>IFERROR(INDEX('Clean Gamification Data'!$E:$E,MATCH($B841,'Clean Gamification Data'!$A:$A,0)),"Not Found")</f>
        <v>65.330485749999994</v>
      </c>
      <c r="W841" s="28">
        <f>IFERROR(INDEX('Clean Gamification Data'!$F:$F,MATCH($B841,'Clean Gamification Data'!$A:$A,0)),"Not Found")</f>
        <v>85.871708720000001</v>
      </c>
      <c r="X841" s="28">
        <f>IFERROR(INDEX('Clean Gamification Data'!$G:$G,MATCH($B841,'Clean Gamification Data'!$A:$A,0)),"Not Found")</f>
        <v>85</v>
      </c>
      <c r="Y841" s="28">
        <f>IFERROR(INDEX('Clean Gamification Data'!$H:$H,MATCH($B841,'Clean Gamification Data'!$A:$A,0)),"Not Found")</f>
        <v>75.760432190000003</v>
      </c>
      <c r="Z841" s="28">
        <f>IFERROR(INDEX('Clean Gamification Data'!$I:$I,MATCH($B841,'Clean Gamification Data'!$A:$A,0)),"Not Found")</f>
        <v>62.483004149999999</v>
      </c>
      <c r="AA841" s="28">
        <f>Table1[[#This Row],[Engagement (Gamification %)]]-Table1[[#This Row],[Engagement (Non-Gamification %)]]</f>
        <v>16.125419320000006</v>
      </c>
      <c r="AB841" s="28">
        <f>Table1[[#This Row],[Motivation (Gamification %)]]-Table1[[#This Row],[Motivation (Non-Gamification %)]]</f>
        <v>13.623771380000008</v>
      </c>
      <c r="AC841" s="28">
        <f>Table1[[#This Row],[Participation (Gamification %)]]-Table1[[#This Row],[Participation (Non-Gamification %)]]</f>
        <v>0.87170872000000088</v>
      </c>
      <c r="AD841" s="28">
        <f>Table1[[#This Row],[Learning Outcomes (Gamification %)]]-Table1[[#This Row],[Learning Outcomes (Non-Gamification %)]]</f>
        <v>13.277428040000004</v>
      </c>
      <c r="AE841" s="44" t="str">
        <f>IF(Table1[[#This Row],[Overall Effectiveness]]&lt;3.9,"Low",IF(Table1[[#This Row],[Overall Effectiveness]]&lt;4.2,"Medium","High"))</f>
        <v>Medium</v>
      </c>
      <c r="AF841" s="30" t="str">
        <f t="shared" si="82"/>
        <v>Experiments</v>
      </c>
      <c r="AG841" s="30" t="str">
        <f t="shared" si="83"/>
        <v>Group Projects</v>
      </c>
      <c r="AH841" s="27">
        <f>COUNTIF(Teacher_Master!$D$2:$D$16,AF841)</f>
        <v>3</v>
      </c>
      <c r="AI841" s="30" t="str">
        <f>INDEX(Teacher_Master!$B$2:$B$16,MATCH(AF841,Teacher_Master!$D$2:$D$16,0))</f>
        <v>Prof. Rahul Singh</v>
      </c>
    </row>
    <row r="842" spans="1:35" ht="14.25" customHeight="1" x14ac:dyDescent="0.3">
      <c r="A842" s="31" t="s">
        <v>1722</v>
      </c>
      <c r="B842" s="31" t="s">
        <v>2689</v>
      </c>
      <c r="C842" s="31" t="s">
        <v>2881</v>
      </c>
      <c r="D842" s="12">
        <f t="shared" ca="1" si="78"/>
        <v>24</v>
      </c>
      <c r="E842" s="12" t="str">
        <f ca="1">IF(Table1[[#This Row],[Age]]&lt;=22,"20-22",IF(Table1[[#This Row],[Age]]&lt;=25,"23-25",IF(Table1[[#This Row],[Age]]&lt;=28,"26-28","29-30")))</f>
        <v>23-25</v>
      </c>
      <c r="F842" s="12">
        <v>3.95</v>
      </c>
      <c r="G842" s="12">
        <v>4.58</v>
      </c>
      <c r="H842" s="12">
        <v>3.95</v>
      </c>
      <c r="I842" s="12">
        <v>4.3499999999999996</v>
      </c>
      <c r="J842" s="12">
        <v>4.45</v>
      </c>
      <c r="K842" s="12">
        <v>3.82</v>
      </c>
      <c r="L842" s="12">
        <v>3.79</v>
      </c>
      <c r="M842" s="12">
        <v>4.3</v>
      </c>
      <c r="N842" s="12">
        <v>3.82</v>
      </c>
      <c r="O842" s="12">
        <v>3.7</v>
      </c>
      <c r="P842" s="12">
        <f t="shared" si="79"/>
        <v>4.2559999999999993</v>
      </c>
      <c r="Q842" s="12">
        <f t="shared" si="80"/>
        <v>4.26</v>
      </c>
      <c r="R842" s="12">
        <f t="shared" si="81"/>
        <v>3.8860000000000001</v>
      </c>
      <c r="S842" s="28">
        <f>IFERROR(INDEX('Clean Gamification Data'!$B:$B,MATCH($B842,'Clean Gamification Data'!$A:$A,0)),"Not Found")</f>
        <v>92.278184049999993</v>
      </c>
      <c r="T842" s="28">
        <f>IFERROR(INDEX('Clean Gamification Data'!$C:$C,MATCH($B842,'Clean Gamification Data'!$A:$A,0)),"Not Found")</f>
        <v>71.882845549999999</v>
      </c>
      <c r="U842" s="28">
        <f>IFERROR(INDEX('Clean Gamification Data'!$D:$D,MATCH($B842,'Clean Gamification Data'!$A:$A,0)),"Not Found")</f>
        <v>70.939434460000001</v>
      </c>
      <c r="V842" s="28">
        <f>IFERROR(INDEX('Clean Gamification Data'!$E:$E,MATCH($B842,'Clean Gamification Data'!$A:$A,0)),"Not Found")</f>
        <v>75</v>
      </c>
      <c r="W842" s="28">
        <f>IFERROR(INDEX('Clean Gamification Data'!$F:$F,MATCH($B842,'Clean Gamification Data'!$A:$A,0)),"Not Found")</f>
        <v>99.9</v>
      </c>
      <c r="X842" s="28">
        <f>IFERROR(INDEX('Clean Gamification Data'!$G:$G,MATCH($B842,'Clean Gamification Data'!$A:$A,0)),"Not Found")</f>
        <v>82.29928357</v>
      </c>
      <c r="Y842" s="28">
        <f>IFERROR(INDEX('Clean Gamification Data'!$H:$H,MATCH($B842,'Clean Gamification Data'!$A:$A,0)),"Not Found")</f>
        <v>70.345771499999998</v>
      </c>
      <c r="Z842" s="28">
        <f>IFERROR(INDEX('Clean Gamification Data'!$I:$I,MATCH($B842,'Clean Gamification Data'!$A:$A,0)),"Not Found")</f>
        <v>57.358232090000001</v>
      </c>
      <c r="AA842" s="28">
        <f>Table1[[#This Row],[Engagement (Gamification %)]]-Table1[[#This Row],[Engagement (Non-Gamification %)]]</f>
        <v>20.395338499999994</v>
      </c>
      <c r="AB842" s="28">
        <f>Table1[[#This Row],[Motivation (Gamification %)]]-Table1[[#This Row],[Motivation (Non-Gamification %)]]</f>
        <v>-4.0605655399999989</v>
      </c>
      <c r="AC842" s="28">
        <f>Table1[[#This Row],[Participation (Gamification %)]]-Table1[[#This Row],[Participation (Non-Gamification %)]]</f>
        <v>17.600716430000006</v>
      </c>
      <c r="AD842" s="28">
        <f>Table1[[#This Row],[Learning Outcomes (Gamification %)]]-Table1[[#This Row],[Learning Outcomes (Non-Gamification %)]]</f>
        <v>12.987539409999997</v>
      </c>
      <c r="AE842" s="44" t="str">
        <f>IF(Table1[[#This Row],[Overall Effectiveness]]&lt;3.9,"Low",IF(Table1[[#This Row],[Overall Effectiveness]]&lt;4.2,"Medium","High"))</f>
        <v>High</v>
      </c>
      <c r="AF842" s="30" t="str">
        <f t="shared" si="82"/>
        <v>Case Studies</v>
      </c>
      <c r="AG842" s="30" t="str">
        <f t="shared" si="83"/>
        <v>Group Projects</v>
      </c>
      <c r="AH842" s="27">
        <f>COUNTIF(Teacher_Master!$D$2:$D$16,AF842)</f>
        <v>3</v>
      </c>
      <c r="AI842" s="30" t="str">
        <f>INDEX(Teacher_Master!$B$2:$B$16,MATCH(AF842,Teacher_Master!$D$2:$D$16,0))</f>
        <v>Prof. Rajesh Mukherjee</v>
      </c>
    </row>
    <row r="843" spans="1:35" ht="14.25" customHeight="1" x14ac:dyDescent="0.3">
      <c r="A843" s="31" t="s">
        <v>1724</v>
      </c>
      <c r="B843" s="31" t="s">
        <v>1725</v>
      </c>
      <c r="C843" s="31" t="s">
        <v>2882</v>
      </c>
      <c r="D843" s="12">
        <f t="shared" ca="1" si="78"/>
        <v>29</v>
      </c>
      <c r="E843" s="12" t="str">
        <f ca="1">IF(Table1[[#This Row],[Age]]&lt;=22,"20-22",IF(Table1[[#This Row],[Age]]&lt;=25,"23-25",IF(Table1[[#This Row],[Age]]&lt;=28,"26-28","29-30")))</f>
        <v>29-30</v>
      </c>
      <c r="F843" s="12">
        <v>4.0199999999999996</v>
      </c>
      <c r="G843" s="12">
        <v>4.54</v>
      </c>
      <c r="H843" s="12">
        <v>3.69</v>
      </c>
      <c r="I843" s="12">
        <v>3.83</v>
      </c>
      <c r="J843" s="12">
        <v>3.53</v>
      </c>
      <c r="K843" s="12">
        <v>3.75</v>
      </c>
      <c r="L843" s="12">
        <v>4.12</v>
      </c>
      <c r="M843" s="12">
        <v>4.08</v>
      </c>
      <c r="N843" s="12">
        <v>4.03</v>
      </c>
      <c r="O843" s="12">
        <v>3.82</v>
      </c>
      <c r="P843" s="12">
        <f t="shared" si="79"/>
        <v>3.9219999999999997</v>
      </c>
      <c r="Q843" s="12">
        <f t="shared" si="80"/>
        <v>3.92</v>
      </c>
      <c r="R843" s="12">
        <f t="shared" si="81"/>
        <v>3.96</v>
      </c>
      <c r="S843" s="28">
        <f>IFERROR(INDEX('Clean Gamification Data'!$B:$B,MATCH($B843,'Clean Gamification Data'!$A:$A,0)),"Not Found")</f>
        <v>75</v>
      </c>
      <c r="T843" s="28">
        <f>IFERROR(INDEX('Clean Gamification Data'!$C:$C,MATCH($B843,'Clean Gamification Data'!$A:$A,0)),"Not Found")</f>
        <v>72.381372470000002</v>
      </c>
      <c r="U843" s="28">
        <f>IFERROR(INDEX('Clean Gamification Data'!$D:$D,MATCH($B843,'Clean Gamification Data'!$A:$A,0)),"Not Found")</f>
        <v>78.881502429999998</v>
      </c>
      <c r="V843" s="28">
        <f>IFERROR(INDEX('Clean Gamification Data'!$E:$E,MATCH($B843,'Clean Gamification Data'!$A:$A,0)),"Not Found")</f>
        <v>71.633822289999998</v>
      </c>
      <c r="W843" s="28">
        <f>IFERROR(INDEX('Clean Gamification Data'!$F:$F,MATCH($B843,'Clean Gamification Data'!$A:$A,0)),"Not Found")</f>
        <v>87.153311869999996</v>
      </c>
      <c r="X843" s="28">
        <f>IFERROR(INDEX('Clean Gamification Data'!$G:$G,MATCH($B843,'Clean Gamification Data'!$A:$A,0)),"Not Found")</f>
        <v>71.401498900000007</v>
      </c>
      <c r="Y843" s="28">
        <f>IFERROR(INDEX('Clean Gamification Data'!$H:$H,MATCH($B843,'Clean Gamification Data'!$A:$A,0)),"Not Found")</f>
        <v>75.033392190000001</v>
      </c>
      <c r="Z843" s="28">
        <f>IFERROR(INDEX('Clean Gamification Data'!$I:$I,MATCH($B843,'Clean Gamification Data'!$A:$A,0)),"Not Found")</f>
        <v>58.614790769999999</v>
      </c>
      <c r="AA843" s="28">
        <f>Table1[[#This Row],[Engagement (Gamification %)]]-Table1[[#This Row],[Engagement (Non-Gamification %)]]</f>
        <v>2.6186275299999977</v>
      </c>
      <c r="AB843" s="28">
        <f>Table1[[#This Row],[Motivation (Gamification %)]]-Table1[[#This Row],[Motivation (Non-Gamification %)]]</f>
        <v>7.2476801399999999</v>
      </c>
      <c r="AC843" s="28">
        <f>Table1[[#This Row],[Participation (Gamification %)]]-Table1[[#This Row],[Participation (Non-Gamification %)]]</f>
        <v>15.751812969999989</v>
      </c>
      <c r="AD843" s="28">
        <f>Table1[[#This Row],[Learning Outcomes (Gamification %)]]-Table1[[#This Row],[Learning Outcomes (Non-Gamification %)]]</f>
        <v>16.418601420000002</v>
      </c>
      <c r="AE843" s="44" t="str">
        <f>IF(Table1[[#This Row],[Overall Effectiveness]]&lt;3.9,"Low",IF(Table1[[#This Row],[Overall Effectiveness]]&lt;4.2,"Medium","High"))</f>
        <v>Medium</v>
      </c>
      <c r="AF843" s="30" t="str">
        <f t="shared" si="82"/>
        <v>Case Studies</v>
      </c>
      <c r="AG843" s="30" t="str">
        <f t="shared" si="83"/>
        <v>Case Studies</v>
      </c>
      <c r="AH843" s="27">
        <f>COUNTIF(Teacher_Master!$D$2:$D$16,AF843)</f>
        <v>3</v>
      </c>
      <c r="AI843" s="30" t="str">
        <f>INDEX(Teacher_Master!$B$2:$B$16,MATCH(AF843,Teacher_Master!$D$2:$D$16,0))</f>
        <v>Prof. Rajesh Mukherjee</v>
      </c>
    </row>
    <row r="844" spans="1:35" ht="14.25" customHeight="1" x14ac:dyDescent="0.3">
      <c r="A844" s="31" t="s">
        <v>1726</v>
      </c>
      <c r="B844" s="31" t="s">
        <v>2690</v>
      </c>
      <c r="C844" s="31" t="s">
        <v>2882</v>
      </c>
      <c r="D844" s="12">
        <f t="shared" ca="1" si="78"/>
        <v>24</v>
      </c>
      <c r="E844" s="12" t="str">
        <f ca="1">IF(Table1[[#This Row],[Age]]&lt;=22,"20-22",IF(Table1[[#This Row],[Age]]&lt;=25,"23-25",IF(Table1[[#This Row],[Age]]&lt;=28,"26-28","29-30")))</f>
        <v>23-25</v>
      </c>
      <c r="F844" s="12">
        <v>4.38</v>
      </c>
      <c r="G844" s="12">
        <v>3.9</v>
      </c>
      <c r="H844" s="12">
        <v>4.1100000000000003</v>
      </c>
      <c r="I844" s="12">
        <v>3.15</v>
      </c>
      <c r="J844" s="12">
        <v>4.24</v>
      </c>
      <c r="K844" s="12">
        <v>3.57</v>
      </c>
      <c r="L844" s="12">
        <v>4.1100000000000003</v>
      </c>
      <c r="M844" s="12">
        <v>4.7300000000000004</v>
      </c>
      <c r="N844" s="12">
        <v>4.3600000000000003</v>
      </c>
      <c r="O844" s="12">
        <v>4.6500000000000004</v>
      </c>
      <c r="P844" s="12">
        <f t="shared" si="79"/>
        <v>3.9560000000000004</v>
      </c>
      <c r="Q844" s="12">
        <f t="shared" si="80"/>
        <v>3.96</v>
      </c>
      <c r="R844" s="12">
        <f t="shared" si="81"/>
        <v>4.2840000000000007</v>
      </c>
      <c r="S844" s="28">
        <f>IFERROR(INDEX('Clean Gamification Data'!$B:$B,MATCH($B844,'Clean Gamification Data'!$A:$A,0)),"Not Found")</f>
        <v>85.585812919999995</v>
      </c>
      <c r="T844" s="28">
        <f>IFERROR(INDEX('Clean Gamification Data'!$C:$C,MATCH($B844,'Clean Gamification Data'!$A:$A,0)),"Not Found")</f>
        <v>64.542220330000006</v>
      </c>
      <c r="U844" s="28">
        <f>IFERROR(INDEX('Clean Gamification Data'!$D:$D,MATCH($B844,'Clean Gamification Data'!$A:$A,0)),"Not Found")</f>
        <v>78.677207249999995</v>
      </c>
      <c r="V844" s="28">
        <f>IFERROR(INDEX('Clean Gamification Data'!$E:$E,MATCH($B844,'Clean Gamification Data'!$A:$A,0)),"Not Found")</f>
        <v>67.485173430000003</v>
      </c>
      <c r="W844" s="28">
        <f>IFERROR(INDEX('Clean Gamification Data'!$F:$F,MATCH($B844,'Clean Gamification Data'!$A:$A,0)),"Not Found")</f>
        <v>97.394041439999995</v>
      </c>
      <c r="X844" s="28">
        <f>IFERROR(INDEX('Clean Gamification Data'!$G:$G,MATCH($B844,'Clean Gamification Data'!$A:$A,0)),"Not Found")</f>
        <v>80.832874169999997</v>
      </c>
      <c r="Y844" s="28">
        <f>IFERROR(INDEX('Clean Gamification Data'!$H:$H,MATCH($B844,'Clean Gamification Data'!$A:$A,0)),"Not Found")</f>
        <v>69.438102290000003</v>
      </c>
      <c r="Z844" s="28">
        <f>IFERROR(INDEX('Clean Gamification Data'!$I:$I,MATCH($B844,'Clean Gamification Data'!$A:$A,0)),"Not Found")</f>
        <v>70</v>
      </c>
      <c r="AA844" s="28">
        <f>Table1[[#This Row],[Engagement (Gamification %)]]-Table1[[#This Row],[Engagement (Non-Gamification %)]]</f>
        <v>21.043592589999989</v>
      </c>
      <c r="AB844" s="28">
        <f>Table1[[#This Row],[Motivation (Gamification %)]]-Table1[[#This Row],[Motivation (Non-Gamification %)]]</f>
        <v>11.192033819999992</v>
      </c>
      <c r="AC844" s="28">
        <f>Table1[[#This Row],[Participation (Gamification %)]]-Table1[[#This Row],[Participation (Non-Gamification %)]]</f>
        <v>16.561167269999999</v>
      </c>
      <c r="AD844" s="28">
        <f>Table1[[#This Row],[Learning Outcomes (Gamification %)]]-Table1[[#This Row],[Learning Outcomes (Non-Gamification %)]]</f>
        <v>-0.56189770999999666</v>
      </c>
      <c r="AE844" s="44" t="str">
        <f>IF(Table1[[#This Row],[Overall Effectiveness]]&lt;3.9,"Low",IF(Table1[[#This Row],[Overall Effectiveness]]&lt;4.2,"Medium","High"))</f>
        <v>Medium</v>
      </c>
      <c r="AF844" s="30" t="str">
        <f t="shared" si="82"/>
        <v>Lectures</v>
      </c>
      <c r="AG844" s="30" t="str">
        <f t="shared" si="83"/>
        <v>Group Projects</v>
      </c>
      <c r="AH844" s="27">
        <f>COUNTIF(Teacher_Master!$D$2:$D$16,AF844)</f>
        <v>3</v>
      </c>
      <c r="AI844" s="30" t="str">
        <f>INDEX(Teacher_Master!$B$2:$B$16,MATCH(AF844,Teacher_Master!$D$2:$D$16,0))</f>
        <v>Prof. Vikram Gupta</v>
      </c>
    </row>
    <row r="845" spans="1:35" ht="14.25" customHeight="1" x14ac:dyDescent="0.3">
      <c r="A845" s="31" t="s">
        <v>1728</v>
      </c>
      <c r="B845" s="31" t="s">
        <v>2691</v>
      </c>
      <c r="C845" s="31" t="s">
        <v>2882</v>
      </c>
      <c r="D845" s="12">
        <f t="shared" ca="1" si="78"/>
        <v>28</v>
      </c>
      <c r="E845" s="12" t="str">
        <f ca="1">IF(Table1[[#This Row],[Age]]&lt;=22,"20-22",IF(Table1[[#This Row],[Age]]&lt;=25,"23-25",IF(Table1[[#This Row],[Age]]&lt;=28,"26-28","29-30")))</f>
        <v>26-28</v>
      </c>
      <c r="F845" s="12">
        <v>4.2699999999999996</v>
      </c>
      <c r="G845" s="12">
        <v>4.1399999999999997</v>
      </c>
      <c r="H845" s="12">
        <v>4.57</v>
      </c>
      <c r="I845" s="12">
        <v>4.17</v>
      </c>
      <c r="J845" s="12">
        <v>3.76</v>
      </c>
      <c r="K845" s="12">
        <v>4.16</v>
      </c>
      <c r="L845" s="12">
        <v>4</v>
      </c>
      <c r="M845" s="12">
        <v>3.99</v>
      </c>
      <c r="N845" s="12">
        <v>4.12</v>
      </c>
      <c r="O845" s="12">
        <v>4.1900000000000004</v>
      </c>
      <c r="P845" s="12">
        <f t="shared" si="79"/>
        <v>4.1819999999999995</v>
      </c>
      <c r="Q845" s="12">
        <f t="shared" si="80"/>
        <v>4.18</v>
      </c>
      <c r="R845" s="12">
        <f t="shared" si="81"/>
        <v>4.0920000000000005</v>
      </c>
      <c r="S845" s="28">
        <f>IFERROR(INDEX('Clean Gamification Data'!$B:$B,MATCH($B845,'Clean Gamification Data'!$A:$A,0)),"Not Found")</f>
        <v>86.657699190000002</v>
      </c>
      <c r="T845" s="28">
        <f>IFERROR(INDEX('Clean Gamification Data'!$C:$C,MATCH($B845,'Clean Gamification Data'!$A:$A,0)),"Not Found")</f>
        <v>78.331893449999995</v>
      </c>
      <c r="U845" s="28">
        <f>IFERROR(INDEX('Clean Gamification Data'!$D:$D,MATCH($B845,'Clean Gamification Data'!$A:$A,0)),"Not Found")</f>
        <v>81.136999919999994</v>
      </c>
      <c r="V845" s="28">
        <f>IFERROR(INDEX('Clean Gamification Data'!$E:$E,MATCH($B845,'Clean Gamification Data'!$A:$A,0)),"Not Found")</f>
        <v>68.724228690000004</v>
      </c>
      <c r="W845" s="28">
        <f>IFERROR(INDEX('Clean Gamification Data'!$F:$F,MATCH($B845,'Clean Gamification Data'!$A:$A,0)),"Not Found")</f>
        <v>89.989132150000003</v>
      </c>
      <c r="X845" s="28">
        <f>IFERROR(INDEX('Clean Gamification Data'!$G:$G,MATCH($B845,'Clean Gamification Data'!$A:$A,0)),"Not Found")</f>
        <v>79.935759430000004</v>
      </c>
      <c r="Y845" s="28">
        <f>IFERROR(INDEX('Clean Gamification Data'!$H:$H,MATCH($B845,'Clean Gamification Data'!$A:$A,0)),"Not Found")</f>
        <v>66.810093170000002</v>
      </c>
      <c r="Z845" s="28">
        <f>IFERROR(INDEX('Clean Gamification Data'!$I:$I,MATCH($B845,'Clean Gamification Data'!$A:$A,0)),"Not Found")</f>
        <v>55.216035869999999</v>
      </c>
      <c r="AA845" s="28">
        <f>Table1[[#This Row],[Engagement (Gamification %)]]-Table1[[#This Row],[Engagement (Non-Gamification %)]]</f>
        <v>8.3258057400000069</v>
      </c>
      <c r="AB845" s="28">
        <f>Table1[[#This Row],[Motivation (Gamification %)]]-Table1[[#This Row],[Motivation (Non-Gamification %)]]</f>
        <v>12.41277122999999</v>
      </c>
      <c r="AC845" s="28">
        <f>Table1[[#This Row],[Participation (Gamification %)]]-Table1[[#This Row],[Participation (Non-Gamification %)]]</f>
        <v>10.053372719999999</v>
      </c>
      <c r="AD845" s="28">
        <f>Table1[[#This Row],[Learning Outcomes (Gamification %)]]-Table1[[#This Row],[Learning Outcomes (Non-Gamification %)]]</f>
        <v>11.594057300000003</v>
      </c>
      <c r="AE845" s="44" t="str">
        <f>IF(Table1[[#This Row],[Overall Effectiveness]]&lt;3.9,"Low",IF(Table1[[#This Row],[Overall Effectiveness]]&lt;4.2,"Medium","High"))</f>
        <v>Medium</v>
      </c>
      <c r="AF845" s="30" t="str">
        <f t="shared" si="82"/>
        <v>Group Projects</v>
      </c>
      <c r="AG845" s="30" t="str">
        <f t="shared" si="83"/>
        <v>Online Tutorials</v>
      </c>
      <c r="AH845" s="27">
        <f>COUNTIF(Teacher_Master!$D$2:$D$16,AF845)</f>
        <v>3</v>
      </c>
      <c r="AI845" s="30" t="str">
        <f>INDEX(Teacher_Master!$B$2:$B$16,MATCH(AF845,Teacher_Master!$D$2:$D$16,0))</f>
        <v>Dr. Rohan Dutta</v>
      </c>
    </row>
    <row r="846" spans="1:35" ht="14.25" customHeight="1" x14ac:dyDescent="0.3">
      <c r="A846" s="31" t="s">
        <v>1730</v>
      </c>
      <c r="B846" s="31" t="s">
        <v>2692</v>
      </c>
      <c r="C846" s="31" t="s">
        <v>2881</v>
      </c>
      <c r="D846" s="12">
        <f t="shared" ca="1" si="78"/>
        <v>29</v>
      </c>
      <c r="E846" s="12" t="str">
        <f ca="1">IF(Table1[[#This Row],[Age]]&lt;=22,"20-22",IF(Table1[[#This Row],[Age]]&lt;=25,"23-25",IF(Table1[[#This Row],[Age]]&lt;=28,"26-28","29-30")))</f>
        <v>29-30</v>
      </c>
      <c r="F846" s="12">
        <v>4.3600000000000003</v>
      </c>
      <c r="G846" s="12">
        <v>4.3899999999999997</v>
      </c>
      <c r="H846" s="12">
        <v>3.85</v>
      </c>
      <c r="I846" s="12">
        <v>3.98</v>
      </c>
      <c r="J846" s="12">
        <v>3.57</v>
      </c>
      <c r="K846" s="12">
        <v>4.08</v>
      </c>
      <c r="L846" s="12">
        <v>4.13</v>
      </c>
      <c r="M846" s="12">
        <v>4.57</v>
      </c>
      <c r="N846" s="12">
        <v>3.69</v>
      </c>
      <c r="O846" s="12">
        <v>4.21</v>
      </c>
      <c r="P846" s="12">
        <f t="shared" si="79"/>
        <v>4.0299999999999994</v>
      </c>
      <c r="Q846" s="12">
        <f t="shared" si="80"/>
        <v>4.03</v>
      </c>
      <c r="R846" s="12">
        <f t="shared" si="81"/>
        <v>4.136000000000001</v>
      </c>
      <c r="S846" s="28">
        <f>IFERROR(INDEX('Clean Gamification Data'!$B:$B,MATCH($B846,'Clean Gamification Data'!$A:$A,0)),"Not Found")</f>
        <v>90.185364250000006</v>
      </c>
      <c r="T846" s="28">
        <f>IFERROR(INDEX('Clean Gamification Data'!$C:$C,MATCH($B846,'Clean Gamification Data'!$A:$A,0)),"Not Found")</f>
        <v>72.715478700000006</v>
      </c>
      <c r="U846" s="28">
        <f>IFERROR(INDEX('Clean Gamification Data'!$D:$D,MATCH($B846,'Clean Gamification Data'!$A:$A,0)),"Not Found")</f>
        <v>72.198148930000002</v>
      </c>
      <c r="V846" s="28">
        <f>IFERROR(INDEX('Clean Gamification Data'!$E:$E,MATCH($B846,'Clean Gamification Data'!$A:$A,0)),"Not Found")</f>
        <v>63.820315880000003</v>
      </c>
      <c r="W846" s="28">
        <f>IFERROR(INDEX('Clean Gamification Data'!$F:$F,MATCH($B846,'Clean Gamification Data'!$A:$A,0)),"Not Found")</f>
        <v>93.037863569999999</v>
      </c>
      <c r="X846" s="28">
        <f>IFERROR(INDEX('Clean Gamification Data'!$G:$G,MATCH($B846,'Clean Gamification Data'!$A:$A,0)),"Not Found")</f>
        <v>70.601127259999998</v>
      </c>
      <c r="Y846" s="28">
        <f>IFERROR(INDEX('Clean Gamification Data'!$H:$H,MATCH($B846,'Clean Gamification Data'!$A:$A,0)),"Not Found")</f>
        <v>70.440766199999999</v>
      </c>
      <c r="Z846" s="28">
        <f>IFERROR(INDEX('Clean Gamification Data'!$I:$I,MATCH($B846,'Clean Gamification Data'!$A:$A,0)),"Not Found")</f>
        <v>50</v>
      </c>
      <c r="AA846" s="28">
        <f>Table1[[#This Row],[Engagement (Gamification %)]]-Table1[[#This Row],[Engagement (Non-Gamification %)]]</f>
        <v>17.469885550000001</v>
      </c>
      <c r="AB846" s="28">
        <f>Table1[[#This Row],[Motivation (Gamification %)]]-Table1[[#This Row],[Motivation (Non-Gamification %)]]</f>
        <v>8.3778330499999996</v>
      </c>
      <c r="AC846" s="28">
        <f>Table1[[#This Row],[Participation (Gamification %)]]-Table1[[#This Row],[Participation (Non-Gamification %)]]</f>
        <v>22.436736310000001</v>
      </c>
      <c r="AD846" s="28">
        <f>Table1[[#This Row],[Learning Outcomes (Gamification %)]]-Table1[[#This Row],[Learning Outcomes (Non-Gamification %)]]</f>
        <v>20.440766199999999</v>
      </c>
      <c r="AE846" s="44" t="str">
        <f>IF(Table1[[#This Row],[Overall Effectiveness]]&lt;3.9,"Low",IF(Table1[[#This Row],[Overall Effectiveness]]&lt;4.2,"Medium","High"))</f>
        <v>Medium</v>
      </c>
      <c r="AF846" s="30" t="str">
        <f t="shared" si="82"/>
        <v>Case Studies</v>
      </c>
      <c r="AG846" s="30" t="str">
        <f t="shared" si="83"/>
        <v>Group Projects</v>
      </c>
      <c r="AH846" s="27">
        <f>COUNTIF(Teacher_Master!$D$2:$D$16,AF846)</f>
        <v>3</v>
      </c>
      <c r="AI846" s="30" t="str">
        <f>INDEX(Teacher_Master!$B$2:$B$16,MATCH(AF846,Teacher_Master!$D$2:$D$16,0))</f>
        <v>Prof. Rajesh Mukherjee</v>
      </c>
    </row>
    <row r="847" spans="1:35" ht="14.25" customHeight="1" x14ac:dyDescent="0.3">
      <c r="A847" s="31" t="s">
        <v>1732</v>
      </c>
      <c r="B847" s="31" t="s">
        <v>2693</v>
      </c>
      <c r="C847" s="31" t="s">
        <v>2882</v>
      </c>
      <c r="D847" s="12">
        <f t="shared" ca="1" si="78"/>
        <v>28</v>
      </c>
      <c r="E847" s="12" t="str">
        <f ca="1">IF(Table1[[#This Row],[Age]]&lt;=22,"20-22",IF(Table1[[#This Row],[Age]]&lt;=25,"23-25",IF(Table1[[#This Row],[Age]]&lt;=28,"26-28","29-30")))</f>
        <v>26-28</v>
      </c>
      <c r="F847" s="12">
        <v>3.66</v>
      </c>
      <c r="G847" s="12">
        <v>3.83</v>
      </c>
      <c r="H847" s="12">
        <v>3.94</v>
      </c>
      <c r="I847" s="12" t="s">
        <v>211</v>
      </c>
      <c r="J847" s="12">
        <v>4.3</v>
      </c>
      <c r="K847" s="12">
        <v>3.42</v>
      </c>
      <c r="L847" s="12">
        <v>3.84</v>
      </c>
      <c r="M847" s="12">
        <v>4.3</v>
      </c>
      <c r="N847" s="12">
        <v>3.93</v>
      </c>
      <c r="O847" s="12">
        <v>4.01</v>
      </c>
      <c r="P847" s="12">
        <f t="shared" si="79"/>
        <v>3.9325000000000001</v>
      </c>
      <c r="Q847" s="12">
        <f t="shared" si="80"/>
        <v>3.93</v>
      </c>
      <c r="R847" s="12">
        <f t="shared" si="81"/>
        <v>3.9</v>
      </c>
      <c r="S847" s="28">
        <f>IFERROR(INDEX('Clean Gamification Data'!$B:$B,MATCH($B847,'Clean Gamification Data'!$A:$A,0)),"Not Found")</f>
        <v>89.753549960000001</v>
      </c>
      <c r="T847" s="28">
        <f>IFERROR(INDEX('Clean Gamification Data'!$C:$C,MATCH($B847,'Clean Gamification Data'!$A:$A,0)),"Not Found")</f>
        <v>60</v>
      </c>
      <c r="U847" s="28">
        <f>IFERROR(INDEX('Clean Gamification Data'!$D:$D,MATCH($B847,'Clean Gamification Data'!$A:$A,0)),"Not Found")</f>
        <v>70</v>
      </c>
      <c r="V847" s="28">
        <f>IFERROR(INDEX('Clean Gamification Data'!$E:$E,MATCH($B847,'Clean Gamification Data'!$A:$A,0)),"Not Found")</f>
        <v>60.967365239999999</v>
      </c>
      <c r="W847" s="28">
        <f>IFERROR(INDEX('Clean Gamification Data'!$F:$F,MATCH($B847,'Clean Gamification Data'!$A:$A,0)),"Not Found")</f>
        <v>99.9</v>
      </c>
      <c r="X847" s="28">
        <f>IFERROR(INDEX('Clean Gamification Data'!$G:$G,MATCH($B847,'Clean Gamification Data'!$A:$A,0)),"Not Found")</f>
        <v>73.684411760000003</v>
      </c>
      <c r="Y847" s="28">
        <f>IFERROR(INDEX('Clean Gamification Data'!$H:$H,MATCH($B847,'Clean Gamification Data'!$A:$A,0)),"Not Found")</f>
        <v>70.499003389999999</v>
      </c>
      <c r="Z847" s="28">
        <f>IFERROR(INDEX('Clean Gamification Data'!$I:$I,MATCH($B847,'Clean Gamification Data'!$A:$A,0)),"Not Found")</f>
        <v>53.45108862</v>
      </c>
      <c r="AA847" s="28">
        <f>Table1[[#This Row],[Engagement (Gamification %)]]-Table1[[#This Row],[Engagement (Non-Gamification %)]]</f>
        <v>29.753549960000001</v>
      </c>
      <c r="AB847" s="28">
        <f>Table1[[#This Row],[Motivation (Gamification %)]]-Table1[[#This Row],[Motivation (Non-Gamification %)]]</f>
        <v>9.0326347600000005</v>
      </c>
      <c r="AC847" s="28">
        <f>Table1[[#This Row],[Participation (Gamification %)]]-Table1[[#This Row],[Participation (Non-Gamification %)]]</f>
        <v>26.215588240000002</v>
      </c>
      <c r="AD847" s="28">
        <f>Table1[[#This Row],[Learning Outcomes (Gamification %)]]-Table1[[#This Row],[Learning Outcomes (Non-Gamification %)]]</f>
        <v>17.047914769999998</v>
      </c>
      <c r="AE847" s="44" t="str">
        <f>IF(Table1[[#This Row],[Overall Effectiveness]]&lt;3.9,"Low",IF(Table1[[#This Row],[Overall Effectiveness]]&lt;4.2,"Medium","High"))</f>
        <v>Medium</v>
      </c>
      <c r="AF847" s="30" t="str">
        <f t="shared" si="82"/>
        <v>Online Tutorials</v>
      </c>
      <c r="AG847" s="30" t="str">
        <f t="shared" si="83"/>
        <v>Group Projects</v>
      </c>
      <c r="AH847" s="27">
        <f>COUNTIF(Teacher_Master!$D$2:$D$16,AF847)</f>
        <v>3</v>
      </c>
      <c r="AI847" s="30" t="str">
        <f>INDEX(Teacher_Master!$B$2:$B$16,MATCH(AF847,Teacher_Master!$D$2:$D$16,0))</f>
        <v>Prof. Kavita Rao</v>
      </c>
    </row>
    <row r="848" spans="1:35" ht="14.25" customHeight="1" x14ac:dyDescent="0.3">
      <c r="A848" s="31" t="s">
        <v>1734</v>
      </c>
      <c r="B848" s="31" t="s">
        <v>1735</v>
      </c>
      <c r="C848" s="31" t="s">
        <v>2882</v>
      </c>
      <c r="D848" s="12">
        <f t="shared" ca="1" si="78"/>
        <v>20</v>
      </c>
      <c r="E848" s="12" t="str">
        <f ca="1">IF(Table1[[#This Row],[Age]]&lt;=22,"20-22",IF(Table1[[#This Row],[Age]]&lt;=25,"23-25",IF(Table1[[#This Row],[Age]]&lt;=28,"26-28","29-30")))</f>
        <v>20-22</v>
      </c>
      <c r="F848" s="12">
        <v>3.45</v>
      </c>
      <c r="G848" s="12">
        <v>4.0599999999999996</v>
      </c>
      <c r="H848" s="12">
        <v>3.72</v>
      </c>
      <c r="I848" s="12">
        <v>3.89</v>
      </c>
      <c r="J848" s="12">
        <v>3.78</v>
      </c>
      <c r="K848" s="12">
        <v>4.41</v>
      </c>
      <c r="L848" s="12">
        <v>3.89</v>
      </c>
      <c r="M848" s="12">
        <v>3.99</v>
      </c>
      <c r="N848" s="12">
        <v>4.3600000000000003</v>
      </c>
      <c r="O848" s="12">
        <v>4.1900000000000004</v>
      </c>
      <c r="P848" s="12">
        <f t="shared" si="79"/>
        <v>3.7800000000000002</v>
      </c>
      <c r="Q848" s="12">
        <f t="shared" si="80"/>
        <v>3.78</v>
      </c>
      <c r="R848" s="12">
        <f t="shared" si="81"/>
        <v>4.168000000000001</v>
      </c>
      <c r="S848" s="28">
        <f>IFERROR(INDEX('Clean Gamification Data'!$B:$B,MATCH($B848,'Clean Gamification Data'!$A:$A,0)),"Not Found")</f>
        <v>90.070966609999999</v>
      </c>
      <c r="T848" s="28">
        <f>IFERROR(INDEX('Clean Gamification Data'!$C:$C,MATCH($B848,'Clean Gamification Data'!$A:$A,0)),"Not Found")</f>
        <v>68.791107850000003</v>
      </c>
      <c r="U848" s="28">
        <f>IFERROR(INDEX('Clean Gamification Data'!$D:$D,MATCH($B848,'Clean Gamification Data'!$A:$A,0)),"Not Found")</f>
        <v>72.29218865</v>
      </c>
      <c r="V848" s="28">
        <f>IFERROR(INDEX('Clean Gamification Data'!$E:$E,MATCH($B848,'Clean Gamification Data'!$A:$A,0)),"Not Found")</f>
        <v>64.509055430000004</v>
      </c>
      <c r="W848" s="28">
        <f>IFERROR(INDEX('Clean Gamification Data'!$F:$F,MATCH($B848,'Clean Gamification Data'!$A:$A,0)),"Not Found")</f>
        <v>85.944058839999997</v>
      </c>
      <c r="X848" s="28">
        <f>IFERROR(INDEX('Clean Gamification Data'!$G:$G,MATCH($B848,'Clean Gamification Data'!$A:$A,0)),"Not Found")</f>
        <v>80.684638879999994</v>
      </c>
      <c r="Y848" s="28">
        <f>IFERROR(INDEX('Clean Gamification Data'!$H:$H,MATCH($B848,'Clean Gamification Data'!$A:$A,0)),"Not Found")</f>
        <v>66.735370239999995</v>
      </c>
      <c r="Z848" s="28">
        <f>IFERROR(INDEX('Clean Gamification Data'!$I:$I,MATCH($B848,'Clean Gamification Data'!$A:$A,0)),"Not Found")</f>
        <v>51.24188839</v>
      </c>
      <c r="AA848" s="28">
        <f>Table1[[#This Row],[Engagement (Gamification %)]]-Table1[[#This Row],[Engagement (Non-Gamification %)]]</f>
        <v>21.279858759999996</v>
      </c>
      <c r="AB848" s="28">
        <f>Table1[[#This Row],[Motivation (Gamification %)]]-Table1[[#This Row],[Motivation (Non-Gamification %)]]</f>
        <v>7.7831332199999963</v>
      </c>
      <c r="AC848" s="28">
        <f>Table1[[#This Row],[Participation (Gamification %)]]-Table1[[#This Row],[Participation (Non-Gamification %)]]</f>
        <v>5.2594199600000024</v>
      </c>
      <c r="AD848" s="28">
        <f>Table1[[#This Row],[Learning Outcomes (Gamification %)]]-Table1[[#This Row],[Learning Outcomes (Non-Gamification %)]]</f>
        <v>15.493481849999995</v>
      </c>
      <c r="AE848" s="44" t="str">
        <f>IF(Table1[[#This Row],[Overall Effectiveness]]&lt;3.9,"Low",IF(Table1[[#This Row],[Overall Effectiveness]]&lt;4.2,"Medium","High"))</f>
        <v>Low</v>
      </c>
      <c r="AF848" s="30" t="str">
        <f t="shared" si="82"/>
        <v>Case Studies</v>
      </c>
      <c r="AG848" s="30" t="str">
        <f t="shared" si="83"/>
        <v>Lectures</v>
      </c>
      <c r="AH848" s="27">
        <f>COUNTIF(Teacher_Master!$D$2:$D$16,AF848)</f>
        <v>3</v>
      </c>
      <c r="AI848" s="30" t="str">
        <f>INDEX(Teacher_Master!$B$2:$B$16,MATCH(AF848,Teacher_Master!$D$2:$D$16,0))</f>
        <v>Prof. Rajesh Mukherjee</v>
      </c>
    </row>
    <row r="849" spans="1:35" ht="14.25" customHeight="1" x14ac:dyDescent="0.3">
      <c r="A849" s="31" t="s">
        <v>1736</v>
      </c>
      <c r="B849" s="31" t="s">
        <v>1737</v>
      </c>
      <c r="C849" s="31" t="s">
        <v>2882</v>
      </c>
      <c r="D849" s="12">
        <f t="shared" ca="1" si="78"/>
        <v>29</v>
      </c>
      <c r="E849" s="12" t="str">
        <f ca="1">IF(Table1[[#This Row],[Age]]&lt;=22,"20-22",IF(Table1[[#This Row],[Age]]&lt;=25,"23-25",IF(Table1[[#This Row],[Age]]&lt;=28,"26-28","29-30")))</f>
        <v>29-30</v>
      </c>
      <c r="F849" s="12">
        <v>3.9</v>
      </c>
      <c r="G849" s="12">
        <v>3.98</v>
      </c>
      <c r="H849" s="12">
        <v>3.9</v>
      </c>
      <c r="I849" s="12">
        <v>4.03</v>
      </c>
      <c r="J849" s="12">
        <v>3.95</v>
      </c>
      <c r="K849" s="12">
        <v>4.05</v>
      </c>
      <c r="L849" s="12">
        <v>3.98</v>
      </c>
      <c r="M849" s="12">
        <v>4.03</v>
      </c>
      <c r="N849" s="12">
        <v>4.16</v>
      </c>
      <c r="O849" s="12">
        <v>3.81</v>
      </c>
      <c r="P849" s="12">
        <f t="shared" si="79"/>
        <v>3.9519999999999995</v>
      </c>
      <c r="Q849" s="12">
        <f t="shared" si="80"/>
        <v>3.95</v>
      </c>
      <c r="R849" s="12">
        <f t="shared" si="81"/>
        <v>4.0059999999999993</v>
      </c>
      <c r="S849" s="28">
        <f>IFERROR(INDEX('Clean Gamification Data'!$B:$B,MATCH($B849,'Clean Gamification Data'!$A:$A,0)),"Not Found")</f>
        <v>88.222170129999995</v>
      </c>
      <c r="T849" s="28">
        <f>IFERROR(INDEX('Clean Gamification Data'!$C:$C,MATCH($B849,'Clean Gamification Data'!$A:$A,0)),"Not Found")</f>
        <v>72.519924090000004</v>
      </c>
      <c r="U849" s="28">
        <f>IFERROR(INDEX('Clean Gamification Data'!$D:$D,MATCH($B849,'Clean Gamification Data'!$A:$A,0)),"Not Found")</f>
        <v>70</v>
      </c>
      <c r="V849" s="28">
        <f>IFERROR(INDEX('Clean Gamification Data'!$E:$E,MATCH($B849,'Clean Gamification Data'!$A:$A,0)),"Not Found")</f>
        <v>64.370126240000005</v>
      </c>
      <c r="W849" s="28">
        <f>IFERROR(INDEX('Clean Gamification Data'!$F:$F,MATCH($B849,'Clean Gamification Data'!$A:$A,0)),"Not Found")</f>
        <v>85.513081709999994</v>
      </c>
      <c r="X849" s="28">
        <f>IFERROR(INDEX('Clean Gamification Data'!$G:$G,MATCH($B849,'Clean Gamification Data'!$A:$A,0)),"Not Found")</f>
        <v>71.092453500000005</v>
      </c>
      <c r="Y849" s="28">
        <f>IFERROR(INDEX('Clean Gamification Data'!$H:$H,MATCH($B849,'Clean Gamification Data'!$A:$A,0)),"Not Found")</f>
        <v>72.011592429999993</v>
      </c>
      <c r="Z849" s="28">
        <f>IFERROR(INDEX('Clean Gamification Data'!$I:$I,MATCH($B849,'Clean Gamification Data'!$A:$A,0)),"Not Found")</f>
        <v>50</v>
      </c>
      <c r="AA849" s="28">
        <f>Table1[[#This Row],[Engagement (Gamification %)]]-Table1[[#This Row],[Engagement (Non-Gamification %)]]</f>
        <v>15.702246039999991</v>
      </c>
      <c r="AB849" s="28">
        <f>Table1[[#This Row],[Motivation (Gamification %)]]-Table1[[#This Row],[Motivation (Non-Gamification %)]]</f>
        <v>5.6298737599999953</v>
      </c>
      <c r="AC849" s="28">
        <f>Table1[[#This Row],[Participation (Gamification %)]]-Table1[[#This Row],[Participation (Non-Gamification %)]]</f>
        <v>14.42062820999999</v>
      </c>
      <c r="AD849" s="28">
        <f>Table1[[#This Row],[Learning Outcomes (Gamification %)]]-Table1[[#This Row],[Learning Outcomes (Non-Gamification %)]]</f>
        <v>22.011592429999993</v>
      </c>
      <c r="AE849" s="44" t="str">
        <f>IF(Table1[[#This Row],[Overall Effectiveness]]&lt;3.9,"Low",IF(Table1[[#This Row],[Overall Effectiveness]]&lt;4.2,"Medium","High"))</f>
        <v>Medium</v>
      </c>
      <c r="AF849" s="30" t="str">
        <f t="shared" si="82"/>
        <v>Experiments</v>
      </c>
      <c r="AG849" s="30" t="str">
        <f t="shared" si="83"/>
        <v>Experiments</v>
      </c>
      <c r="AH849" s="27">
        <f>COUNTIF(Teacher_Master!$D$2:$D$16,AF849)</f>
        <v>3</v>
      </c>
      <c r="AI849" s="30" t="str">
        <f>INDEX(Teacher_Master!$B$2:$B$16,MATCH(AF849,Teacher_Master!$D$2:$D$16,0))</f>
        <v>Prof. Rahul Singh</v>
      </c>
    </row>
    <row r="850" spans="1:35" ht="14.25" customHeight="1" x14ac:dyDescent="0.3">
      <c r="A850" s="31" t="s">
        <v>1738</v>
      </c>
      <c r="B850" s="31" t="s">
        <v>2694</v>
      </c>
      <c r="C850" s="31" t="s">
        <v>2882</v>
      </c>
      <c r="D850" s="12">
        <f t="shared" ca="1" si="78"/>
        <v>25</v>
      </c>
      <c r="E850" s="12" t="str">
        <f ca="1">IF(Table1[[#This Row],[Age]]&lt;=22,"20-22",IF(Table1[[#This Row],[Age]]&lt;=25,"23-25",IF(Table1[[#This Row],[Age]]&lt;=28,"26-28","29-30")))</f>
        <v>23-25</v>
      </c>
      <c r="F850" s="12">
        <v>4.0199999999999996</v>
      </c>
      <c r="G850" s="12">
        <v>3.94</v>
      </c>
      <c r="H850" s="12">
        <v>4.63</v>
      </c>
      <c r="I850" s="12">
        <v>3.44</v>
      </c>
      <c r="J850" s="12">
        <v>4.42</v>
      </c>
      <c r="K850" s="12">
        <v>4.24</v>
      </c>
      <c r="L850" s="12">
        <v>4.5</v>
      </c>
      <c r="M850" s="12">
        <v>3.46</v>
      </c>
      <c r="N850" s="12">
        <v>3.73</v>
      </c>
      <c r="O850" s="12">
        <v>4.05</v>
      </c>
      <c r="P850" s="12">
        <f t="shared" si="79"/>
        <v>4.0900000000000007</v>
      </c>
      <c r="Q850" s="12">
        <f t="shared" si="80"/>
        <v>4.09</v>
      </c>
      <c r="R850" s="12">
        <f t="shared" si="81"/>
        <v>3.996</v>
      </c>
      <c r="S850" s="28">
        <f>IFERROR(INDEX('Clean Gamification Data'!$B:$B,MATCH($B850,'Clean Gamification Data'!$A:$A,0)),"Not Found")</f>
        <v>88.484654039999995</v>
      </c>
      <c r="T850" s="28">
        <f>IFERROR(INDEX('Clean Gamification Data'!$C:$C,MATCH($B850,'Clean Gamification Data'!$A:$A,0)),"Not Found")</f>
        <v>60</v>
      </c>
      <c r="U850" s="28">
        <f>IFERROR(INDEX('Clean Gamification Data'!$D:$D,MATCH($B850,'Clean Gamification Data'!$A:$A,0)),"Not Found")</f>
        <v>70.361490770000003</v>
      </c>
      <c r="V850" s="28">
        <f>IFERROR(INDEX('Clean Gamification Data'!$E:$E,MATCH($B850,'Clean Gamification Data'!$A:$A,0)),"Not Found")</f>
        <v>57.848343900000003</v>
      </c>
      <c r="W850" s="28">
        <f>IFERROR(INDEX('Clean Gamification Data'!$F:$F,MATCH($B850,'Clean Gamification Data'!$A:$A,0)),"Not Found")</f>
        <v>97.404090280000005</v>
      </c>
      <c r="X850" s="28">
        <f>IFERROR(INDEX('Clean Gamification Data'!$G:$G,MATCH($B850,'Clean Gamification Data'!$A:$A,0)),"Not Found")</f>
        <v>71.472636390000005</v>
      </c>
      <c r="Y850" s="28">
        <f>IFERROR(INDEX('Clean Gamification Data'!$H:$H,MATCH($B850,'Clean Gamification Data'!$A:$A,0)),"Not Found")</f>
        <v>76.525317520000002</v>
      </c>
      <c r="Z850" s="28">
        <f>IFERROR(INDEX('Clean Gamification Data'!$I:$I,MATCH($B850,'Clean Gamification Data'!$A:$A,0)),"Not Found")</f>
        <v>51.780399449999997</v>
      </c>
      <c r="AA850" s="28">
        <f>Table1[[#This Row],[Engagement (Gamification %)]]-Table1[[#This Row],[Engagement (Non-Gamification %)]]</f>
        <v>28.484654039999995</v>
      </c>
      <c r="AB850" s="28">
        <f>Table1[[#This Row],[Motivation (Gamification %)]]-Table1[[#This Row],[Motivation (Non-Gamification %)]]</f>
        <v>12.51314687</v>
      </c>
      <c r="AC850" s="28">
        <f>Table1[[#This Row],[Participation (Gamification %)]]-Table1[[#This Row],[Participation (Non-Gamification %)]]</f>
        <v>25.93145389</v>
      </c>
      <c r="AD850" s="28">
        <f>Table1[[#This Row],[Learning Outcomes (Gamification %)]]-Table1[[#This Row],[Learning Outcomes (Non-Gamification %)]]</f>
        <v>24.744918070000004</v>
      </c>
      <c r="AE850" s="44" t="str">
        <f>IF(Table1[[#This Row],[Overall Effectiveness]]&lt;3.9,"Low",IF(Table1[[#This Row],[Overall Effectiveness]]&lt;4.2,"Medium","High"))</f>
        <v>Medium</v>
      </c>
      <c r="AF850" s="30" t="str">
        <f t="shared" si="82"/>
        <v>Group Projects</v>
      </c>
      <c r="AG850" s="30" t="str">
        <f t="shared" si="83"/>
        <v>Case Studies</v>
      </c>
      <c r="AH850" s="27">
        <f>COUNTIF(Teacher_Master!$D$2:$D$16,AF850)</f>
        <v>3</v>
      </c>
      <c r="AI850" s="30" t="str">
        <f>INDEX(Teacher_Master!$B$2:$B$16,MATCH(AF850,Teacher_Master!$D$2:$D$16,0))</f>
        <v>Dr. Rohan Dutta</v>
      </c>
    </row>
    <row r="851" spans="1:35" ht="14.25" customHeight="1" x14ac:dyDescent="0.3">
      <c r="A851" s="31" t="s">
        <v>1740</v>
      </c>
      <c r="B851" s="31" t="s">
        <v>2695</v>
      </c>
      <c r="C851" s="31" t="s">
        <v>2882</v>
      </c>
      <c r="D851" s="12">
        <f t="shared" ca="1" si="78"/>
        <v>21</v>
      </c>
      <c r="E851" s="12" t="str">
        <f ca="1">IF(Table1[[#This Row],[Age]]&lt;=22,"20-22",IF(Table1[[#This Row],[Age]]&lt;=25,"23-25",IF(Table1[[#This Row],[Age]]&lt;=28,"26-28","29-30")))</f>
        <v>20-22</v>
      </c>
      <c r="F851" s="12">
        <v>4</v>
      </c>
      <c r="G851" s="12">
        <v>3.9</v>
      </c>
      <c r="H851" s="12">
        <v>3.35</v>
      </c>
      <c r="I851" s="12">
        <v>4.18</v>
      </c>
      <c r="J851" s="12">
        <v>4.04</v>
      </c>
      <c r="K851" s="12">
        <v>4.13</v>
      </c>
      <c r="L851" s="12">
        <v>3.92</v>
      </c>
      <c r="M851" s="12">
        <v>4.26</v>
      </c>
      <c r="N851" s="12">
        <v>3.77</v>
      </c>
      <c r="O851" s="12">
        <v>4.5199999999999996</v>
      </c>
      <c r="P851" s="12">
        <f t="shared" si="79"/>
        <v>3.8939999999999997</v>
      </c>
      <c r="Q851" s="12">
        <f t="shared" si="80"/>
        <v>3.89</v>
      </c>
      <c r="R851" s="12">
        <f t="shared" si="81"/>
        <v>4.12</v>
      </c>
      <c r="S851" s="28">
        <f>IFERROR(INDEX('Clean Gamification Data'!$B:$B,MATCH($B851,'Clean Gamification Data'!$A:$A,0)),"Not Found")</f>
        <v>92.909657249999995</v>
      </c>
      <c r="T851" s="28">
        <f>IFERROR(INDEX('Clean Gamification Data'!$C:$C,MATCH($B851,'Clean Gamification Data'!$A:$A,0)),"Not Found")</f>
        <v>60</v>
      </c>
      <c r="U851" s="28">
        <f>IFERROR(INDEX('Clean Gamification Data'!$D:$D,MATCH($B851,'Clean Gamification Data'!$A:$A,0)),"Not Found")</f>
        <v>84.210811410000005</v>
      </c>
      <c r="V851" s="28">
        <f>IFERROR(INDEX('Clean Gamification Data'!$E:$E,MATCH($B851,'Clean Gamification Data'!$A:$A,0)),"Not Found")</f>
        <v>67.818017789999999</v>
      </c>
      <c r="W851" s="28">
        <f>IFERROR(INDEX('Clean Gamification Data'!$F:$F,MATCH($B851,'Clean Gamification Data'!$A:$A,0)),"Not Found")</f>
        <v>82.469820979999994</v>
      </c>
      <c r="X851" s="28">
        <f>IFERROR(INDEX('Clean Gamification Data'!$G:$G,MATCH($B851,'Clean Gamification Data'!$A:$A,0)),"Not Found")</f>
        <v>84.451217920000005</v>
      </c>
      <c r="Y851" s="28">
        <f>IFERROR(INDEX('Clean Gamification Data'!$H:$H,MATCH($B851,'Clean Gamification Data'!$A:$A,0)),"Not Found")</f>
        <v>77.37237958</v>
      </c>
      <c r="Z851" s="28">
        <f>IFERROR(INDEX('Clean Gamification Data'!$I:$I,MATCH($B851,'Clean Gamification Data'!$A:$A,0)),"Not Found")</f>
        <v>51.823105890000001</v>
      </c>
      <c r="AA851" s="28">
        <f>Table1[[#This Row],[Engagement (Gamification %)]]-Table1[[#This Row],[Engagement (Non-Gamification %)]]</f>
        <v>32.909657249999995</v>
      </c>
      <c r="AB851" s="28">
        <f>Table1[[#This Row],[Motivation (Gamification %)]]-Table1[[#This Row],[Motivation (Non-Gamification %)]]</f>
        <v>16.392793620000006</v>
      </c>
      <c r="AC851" s="28">
        <f>Table1[[#This Row],[Participation (Gamification %)]]-Table1[[#This Row],[Participation (Non-Gamification %)]]</f>
        <v>-1.9813969400000104</v>
      </c>
      <c r="AD851" s="28">
        <f>Table1[[#This Row],[Learning Outcomes (Gamification %)]]-Table1[[#This Row],[Learning Outcomes (Non-Gamification %)]]</f>
        <v>25.54927369</v>
      </c>
      <c r="AE851" s="44" t="str">
        <f>IF(Table1[[#This Row],[Overall Effectiveness]]&lt;3.9,"Low",IF(Table1[[#This Row],[Overall Effectiveness]]&lt;4.2,"Medium","High"))</f>
        <v>Low</v>
      </c>
      <c r="AF851" s="30" t="str">
        <f t="shared" si="82"/>
        <v>Experiments</v>
      </c>
      <c r="AG851" s="30" t="str">
        <f t="shared" si="83"/>
        <v>Online Tutorials</v>
      </c>
      <c r="AH851" s="27">
        <f>COUNTIF(Teacher_Master!$D$2:$D$16,AF851)</f>
        <v>3</v>
      </c>
      <c r="AI851" s="30" t="str">
        <f>INDEX(Teacher_Master!$B$2:$B$16,MATCH(AF851,Teacher_Master!$D$2:$D$16,0))</f>
        <v>Prof. Rahul Singh</v>
      </c>
    </row>
    <row r="852" spans="1:35" ht="14.25" customHeight="1" x14ac:dyDescent="0.3">
      <c r="A852" s="31" t="s">
        <v>1742</v>
      </c>
      <c r="B852" s="31" t="s">
        <v>2696</v>
      </c>
      <c r="C852" s="31" t="s">
        <v>2882</v>
      </c>
      <c r="D852" s="12">
        <f t="shared" ca="1" si="78"/>
        <v>29</v>
      </c>
      <c r="E852" s="12" t="str">
        <f ca="1">IF(Table1[[#This Row],[Age]]&lt;=22,"20-22",IF(Table1[[#This Row],[Age]]&lt;=25,"23-25",IF(Table1[[#This Row],[Age]]&lt;=28,"26-28","29-30")))</f>
        <v>29-30</v>
      </c>
      <c r="F852" s="12">
        <v>3.55</v>
      </c>
      <c r="G852" s="12">
        <v>3.9</v>
      </c>
      <c r="H852" s="12">
        <v>4.47</v>
      </c>
      <c r="I852" s="12">
        <v>3.83</v>
      </c>
      <c r="J852" s="12">
        <v>4.22</v>
      </c>
      <c r="K852" s="12">
        <v>3.89</v>
      </c>
      <c r="L852" s="12">
        <v>4.75</v>
      </c>
      <c r="M852" s="12">
        <v>4.3899999999999997</v>
      </c>
      <c r="N852" s="12">
        <v>4.46</v>
      </c>
      <c r="O852" s="12">
        <v>3.77</v>
      </c>
      <c r="P852" s="12">
        <f t="shared" si="79"/>
        <v>3.9939999999999998</v>
      </c>
      <c r="Q852" s="12">
        <f t="shared" si="80"/>
        <v>3.99</v>
      </c>
      <c r="R852" s="12">
        <f t="shared" si="81"/>
        <v>4.2520000000000007</v>
      </c>
      <c r="S852" s="28">
        <f>IFERROR(INDEX('Clean Gamification Data'!$B:$B,MATCH($B852,'Clean Gamification Data'!$A:$A,0)),"Not Found")</f>
        <v>83.243314729999994</v>
      </c>
      <c r="T852" s="28">
        <f>IFERROR(INDEX('Clean Gamification Data'!$C:$C,MATCH($B852,'Clean Gamification Data'!$A:$A,0)),"Not Found")</f>
        <v>60</v>
      </c>
      <c r="U852" s="28">
        <f>IFERROR(INDEX('Clean Gamification Data'!$D:$D,MATCH($B852,'Clean Gamification Data'!$A:$A,0)),"Not Found")</f>
        <v>74.720067169999993</v>
      </c>
      <c r="V852" s="28">
        <f>IFERROR(INDEX('Clean Gamification Data'!$E:$E,MATCH($B852,'Clean Gamification Data'!$A:$A,0)),"Not Found")</f>
        <v>59.142103990000003</v>
      </c>
      <c r="W852" s="28">
        <f>IFERROR(INDEX('Clean Gamification Data'!$F:$F,MATCH($B852,'Clean Gamification Data'!$A:$A,0)),"Not Found")</f>
        <v>94.144009969999999</v>
      </c>
      <c r="X852" s="28">
        <f>IFERROR(INDEX('Clean Gamification Data'!$G:$G,MATCH($B852,'Clean Gamification Data'!$A:$A,0)),"Not Found")</f>
        <v>81.239048440000005</v>
      </c>
      <c r="Y852" s="28">
        <f>IFERROR(INDEX('Clean Gamification Data'!$H:$H,MATCH($B852,'Clean Gamification Data'!$A:$A,0)),"Not Found")</f>
        <v>68.205526309999996</v>
      </c>
      <c r="Z852" s="28">
        <f>IFERROR(INDEX('Clean Gamification Data'!$I:$I,MATCH($B852,'Clean Gamification Data'!$A:$A,0)),"Not Found")</f>
        <v>62.094173439999999</v>
      </c>
      <c r="AA852" s="28">
        <f>Table1[[#This Row],[Engagement (Gamification %)]]-Table1[[#This Row],[Engagement (Non-Gamification %)]]</f>
        <v>23.243314729999994</v>
      </c>
      <c r="AB852" s="28">
        <f>Table1[[#This Row],[Motivation (Gamification %)]]-Table1[[#This Row],[Motivation (Non-Gamification %)]]</f>
        <v>15.57796317999999</v>
      </c>
      <c r="AC852" s="28">
        <f>Table1[[#This Row],[Participation (Gamification %)]]-Table1[[#This Row],[Participation (Non-Gamification %)]]</f>
        <v>12.904961529999994</v>
      </c>
      <c r="AD852" s="28">
        <f>Table1[[#This Row],[Learning Outcomes (Gamification %)]]-Table1[[#This Row],[Learning Outcomes (Non-Gamification %)]]</f>
        <v>6.1113528699999975</v>
      </c>
      <c r="AE852" s="44" t="str">
        <f>IF(Table1[[#This Row],[Overall Effectiveness]]&lt;3.9,"Low",IF(Table1[[#This Row],[Overall Effectiveness]]&lt;4.2,"Medium","High"))</f>
        <v>Medium</v>
      </c>
      <c r="AF852" s="30" t="str">
        <f t="shared" si="82"/>
        <v>Group Projects</v>
      </c>
      <c r="AG852" s="30" t="str">
        <f t="shared" si="83"/>
        <v>Case Studies</v>
      </c>
      <c r="AH852" s="27">
        <f>COUNTIF(Teacher_Master!$D$2:$D$16,AF852)</f>
        <v>3</v>
      </c>
      <c r="AI852" s="30" t="str">
        <f>INDEX(Teacher_Master!$B$2:$B$16,MATCH(AF852,Teacher_Master!$D$2:$D$16,0))</f>
        <v>Dr. Rohan Dutta</v>
      </c>
    </row>
    <row r="853" spans="1:35" ht="14.25" customHeight="1" x14ac:dyDescent="0.3">
      <c r="A853" s="31" t="s">
        <v>1744</v>
      </c>
      <c r="B853" s="31" t="s">
        <v>1745</v>
      </c>
      <c r="C853" s="31" t="s">
        <v>2881</v>
      </c>
      <c r="D853" s="12">
        <f t="shared" ca="1" si="78"/>
        <v>30</v>
      </c>
      <c r="E853" s="12" t="str">
        <f ca="1">IF(Table1[[#This Row],[Age]]&lt;=22,"20-22",IF(Table1[[#This Row],[Age]]&lt;=25,"23-25",IF(Table1[[#This Row],[Age]]&lt;=28,"26-28","29-30")))</f>
        <v>29-30</v>
      </c>
      <c r="F853" s="12">
        <v>4.83</v>
      </c>
      <c r="G853" s="12">
        <v>3.96</v>
      </c>
      <c r="H853" s="12">
        <v>3.69</v>
      </c>
      <c r="I853" s="12">
        <v>3.8</v>
      </c>
      <c r="J853" s="12">
        <v>4.4000000000000004</v>
      </c>
      <c r="K853" s="12">
        <v>4.25</v>
      </c>
      <c r="L853" s="12">
        <v>4.29</v>
      </c>
      <c r="M853" s="12">
        <v>3.97</v>
      </c>
      <c r="N853" s="12">
        <v>4.13</v>
      </c>
      <c r="O853" s="12" t="s">
        <v>211</v>
      </c>
      <c r="P853" s="12">
        <f t="shared" si="79"/>
        <v>4.1360000000000001</v>
      </c>
      <c r="Q853" s="12">
        <f t="shared" si="80"/>
        <v>4.1399999999999997</v>
      </c>
      <c r="R853" s="12">
        <f t="shared" si="81"/>
        <v>4.16</v>
      </c>
      <c r="S853" s="28">
        <f>IFERROR(INDEX('Clean Gamification Data'!$B:$B,MATCH($B853,'Clean Gamification Data'!$A:$A,0)),"Not Found")</f>
        <v>84.318342459999997</v>
      </c>
      <c r="T853" s="28">
        <f>IFERROR(INDEX('Clean Gamification Data'!$C:$C,MATCH($B853,'Clean Gamification Data'!$A:$A,0)),"Not Found")</f>
        <v>60</v>
      </c>
      <c r="U853" s="28">
        <f>IFERROR(INDEX('Clean Gamification Data'!$D:$D,MATCH($B853,'Clean Gamification Data'!$A:$A,0)),"Not Found")</f>
        <v>79.321484260000005</v>
      </c>
      <c r="V853" s="28">
        <f>IFERROR(INDEX('Clean Gamification Data'!$E:$E,MATCH($B853,'Clean Gamification Data'!$A:$A,0)),"Not Found")</f>
        <v>64.164866070000002</v>
      </c>
      <c r="W853" s="28">
        <f>IFERROR(INDEX('Clean Gamification Data'!$F:$F,MATCH($B853,'Clean Gamification Data'!$A:$A,0)),"Not Found")</f>
        <v>92.507966929999995</v>
      </c>
      <c r="X853" s="28">
        <f>IFERROR(INDEX('Clean Gamification Data'!$G:$G,MATCH($B853,'Clean Gamification Data'!$A:$A,0)),"Not Found")</f>
        <v>81.299232160000003</v>
      </c>
      <c r="Y853" s="28">
        <f>IFERROR(INDEX('Clean Gamification Data'!$H:$H,MATCH($B853,'Clean Gamification Data'!$A:$A,0)),"Not Found")</f>
        <v>67.87344324</v>
      </c>
      <c r="Z853" s="28">
        <f>IFERROR(INDEX('Clean Gamification Data'!$I:$I,MATCH($B853,'Clean Gamification Data'!$A:$A,0)),"Not Found")</f>
        <v>53.959045230000001</v>
      </c>
      <c r="AA853" s="28">
        <f>Table1[[#This Row],[Engagement (Gamification %)]]-Table1[[#This Row],[Engagement (Non-Gamification %)]]</f>
        <v>24.318342459999997</v>
      </c>
      <c r="AB853" s="28">
        <f>Table1[[#This Row],[Motivation (Gamification %)]]-Table1[[#This Row],[Motivation (Non-Gamification %)]]</f>
        <v>15.156618190000003</v>
      </c>
      <c r="AC853" s="28">
        <f>Table1[[#This Row],[Participation (Gamification %)]]-Table1[[#This Row],[Participation (Non-Gamification %)]]</f>
        <v>11.208734769999992</v>
      </c>
      <c r="AD853" s="28">
        <f>Table1[[#This Row],[Learning Outcomes (Gamification %)]]-Table1[[#This Row],[Learning Outcomes (Non-Gamification %)]]</f>
        <v>13.914398009999999</v>
      </c>
      <c r="AE853" s="44" t="str">
        <f>IF(Table1[[#This Row],[Overall Effectiveness]]&lt;3.9,"Low",IF(Table1[[#This Row],[Overall Effectiveness]]&lt;4.2,"Medium","High"))</f>
        <v>Medium</v>
      </c>
      <c r="AF853" s="30" t="str">
        <f t="shared" si="82"/>
        <v>Lectures</v>
      </c>
      <c r="AG853" s="30" t="str">
        <f t="shared" si="83"/>
        <v>Case Studies</v>
      </c>
      <c r="AH853" s="27">
        <f>COUNTIF(Teacher_Master!$D$2:$D$16,AF853)</f>
        <v>3</v>
      </c>
      <c r="AI853" s="30" t="str">
        <f>INDEX(Teacher_Master!$B$2:$B$16,MATCH(AF853,Teacher_Master!$D$2:$D$16,0))</f>
        <v>Prof. Vikram Gupta</v>
      </c>
    </row>
    <row r="854" spans="1:35" ht="14.25" customHeight="1" x14ac:dyDescent="0.3">
      <c r="A854" s="31" t="s">
        <v>1746</v>
      </c>
      <c r="B854" s="31" t="s">
        <v>2697</v>
      </c>
      <c r="C854" s="31" t="s">
        <v>2882</v>
      </c>
      <c r="D854" s="12">
        <f t="shared" ca="1" si="78"/>
        <v>22</v>
      </c>
      <c r="E854" s="12" t="str">
        <f ca="1">IF(Table1[[#This Row],[Age]]&lt;=22,"20-22",IF(Table1[[#This Row],[Age]]&lt;=25,"23-25",IF(Table1[[#This Row],[Age]]&lt;=28,"26-28","29-30")))</f>
        <v>20-22</v>
      </c>
      <c r="F854" s="12">
        <v>3.5</v>
      </c>
      <c r="G854" s="12">
        <v>4.13</v>
      </c>
      <c r="H854" s="12">
        <v>4.21</v>
      </c>
      <c r="I854" s="12">
        <v>3.89</v>
      </c>
      <c r="J854" s="12">
        <v>4.12</v>
      </c>
      <c r="K854" s="12">
        <v>4.0199999999999996</v>
      </c>
      <c r="L854" s="12">
        <v>4.09</v>
      </c>
      <c r="M854" s="12">
        <v>3.84</v>
      </c>
      <c r="N854" s="12">
        <v>3.81</v>
      </c>
      <c r="O854" s="12">
        <v>3.85</v>
      </c>
      <c r="P854" s="12">
        <f t="shared" si="79"/>
        <v>3.97</v>
      </c>
      <c r="Q854" s="12">
        <f t="shared" si="80"/>
        <v>3.97</v>
      </c>
      <c r="R854" s="12">
        <f t="shared" si="81"/>
        <v>3.9219999999999997</v>
      </c>
      <c r="S854" s="28">
        <f>IFERROR(INDEX('Clean Gamification Data'!$B:$B,MATCH($B854,'Clean Gamification Data'!$A:$A,0)),"Not Found")</f>
        <v>87.440584360000003</v>
      </c>
      <c r="T854" s="28">
        <f>IFERROR(INDEX('Clean Gamification Data'!$C:$C,MATCH($B854,'Clean Gamification Data'!$A:$A,0)),"Not Found")</f>
        <v>60.407725650000003</v>
      </c>
      <c r="U854" s="28">
        <f>IFERROR(INDEX('Clean Gamification Data'!$D:$D,MATCH($B854,'Clean Gamification Data'!$A:$A,0)),"Not Found")</f>
        <v>81.592606410000002</v>
      </c>
      <c r="V854" s="28">
        <f>IFERROR(INDEX('Clean Gamification Data'!$E:$E,MATCH($B854,'Clean Gamification Data'!$A:$A,0)),"Not Found")</f>
        <v>66.149927989999995</v>
      </c>
      <c r="W854" s="28">
        <f>IFERROR(INDEX('Clean Gamification Data'!$F:$F,MATCH($B854,'Clean Gamification Data'!$A:$A,0)),"Not Found")</f>
        <v>85.288946129999999</v>
      </c>
      <c r="X854" s="28">
        <f>IFERROR(INDEX('Clean Gamification Data'!$G:$G,MATCH($B854,'Clean Gamification Data'!$A:$A,0)),"Not Found")</f>
        <v>84.181086339999993</v>
      </c>
      <c r="Y854" s="28">
        <f>IFERROR(INDEX('Clean Gamification Data'!$H:$H,MATCH($B854,'Clean Gamification Data'!$A:$A,0)),"Not Found")</f>
        <v>76.418451509999997</v>
      </c>
      <c r="Z854" s="28">
        <f>IFERROR(INDEX('Clean Gamification Data'!$I:$I,MATCH($B854,'Clean Gamification Data'!$A:$A,0)),"Not Found")</f>
        <v>56.268289350000003</v>
      </c>
      <c r="AA854" s="28">
        <f>Table1[[#This Row],[Engagement (Gamification %)]]-Table1[[#This Row],[Engagement (Non-Gamification %)]]</f>
        <v>27.032858709999999</v>
      </c>
      <c r="AB854" s="28">
        <f>Table1[[#This Row],[Motivation (Gamification %)]]-Table1[[#This Row],[Motivation (Non-Gamification %)]]</f>
        <v>15.442678420000007</v>
      </c>
      <c r="AC854" s="28">
        <f>Table1[[#This Row],[Participation (Gamification %)]]-Table1[[#This Row],[Participation (Non-Gamification %)]]</f>
        <v>1.1078597900000062</v>
      </c>
      <c r="AD854" s="28">
        <f>Table1[[#This Row],[Learning Outcomes (Gamification %)]]-Table1[[#This Row],[Learning Outcomes (Non-Gamification %)]]</f>
        <v>20.150162159999994</v>
      </c>
      <c r="AE854" s="44" t="str">
        <f>IF(Table1[[#This Row],[Overall Effectiveness]]&lt;3.9,"Low",IF(Table1[[#This Row],[Overall Effectiveness]]&lt;4.2,"Medium","High"))</f>
        <v>Medium</v>
      </c>
      <c r="AF854" s="30" t="str">
        <f t="shared" si="82"/>
        <v>Group Projects</v>
      </c>
      <c r="AG854" s="30" t="str">
        <f t="shared" si="83"/>
        <v>Case Studies</v>
      </c>
      <c r="AH854" s="27">
        <f>COUNTIF(Teacher_Master!$D$2:$D$16,AF854)</f>
        <v>3</v>
      </c>
      <c r="AI854" s="30" t="str">
        <f>INDEX(Teacher_Master!$B$2:$B$16,MATCH(AF854,Teacher_Master!$D$2:$D$16,0))</f>
        <v>Dr. Rohan Dutta</v>
      </c>
    </row>
    <row r="855" spans="1:35" ht="14.25" customHeight="1" x14ac:dyDescent="0.3">
      <c r="A855" s="31" t="s">
        <v>1748</v>
      </c>
      <c r="B855" s="31" t="s">
        <v>1749</v>
      </c>
      <c r="C855" s="31" t="s">
        <v>2882</v>
      </c>
      <c r="D855" s="12">
        <f t="shared" ca="1" si="78"/>
        <v>27</v>
      </c>
      <c r="E855" s="12" t="str">
        <f ca="1">IF(Table1[[#This Row],[Age]]&lt;=22,"20-22",IF(Table1[[#This Row],[Age]]&lt;=25,"23-25",IF(Table1[[#This Row],[Age]]&lt;=28,"26-28","29-30")))</f>
        <v>26-28</v>
      </c>
      <c r="F855" s="12">
        <v>4.57</v>
      </c>
      <c r="G855" s="12">
        <v>4.2300000000000004</v>
      </c>
      <c r="H855" s="12">
        <v>3.94</v>
      </c>
      <c r="I855" s="12">
        <v>3.73</v>
      </c>
      <c r="J855" s="12">
        <v>3.89</v>
      </c>
      <c r="K855" s="12">
        <v>4.13</v>
      </c>
      <c r="L855" s="12">
        <v>3.42</v>
      </c>
      <c r="M855" s="12">
        <v>4.3099999999999996</v>
      </c>
      <c r="N855" s="12">
        <v>4.3499999999999996</v>
      </c>
      <c r="O855" s="12">
        <v>4.0199999999999996</v>
      </c>
      <c r="P855" s="12">
        <f t="shared" si="79"/>
        <v>4.0720000000000001</v>
      </c>
      <c r="Q855" s="12">
        <f t="shared" si="80"/>
        <v>4.07</v>
      </c>
      <c r="R855" s="12">
        <f t="shared" si="81"/>
        <v>4.0460000000000003</v>
      </c>
      <c r="S855" s="28">
        <f>IFERROR(INDEX('Clean Gamification Data'!$B:$B,MATCH($B855,'Clean Gamification Data'!$A:$A,0)),"Not Found")</f>
        <v>77.911633780000003</v>
      </c>
      <c r="T855" s="28">
        <f>IFERROR(INDEX('Clean Gamification Data'!$C:$C,MATCH($B855,'Clean Gamification Data'!$A:$A,0)),"Not Found")</f>
        <v>74.817616540000003</v>
      </c>
      <c r="U855" s="28">
        <f>IFERROR(INDEX('Clean Gamification Data'!$D:$D,MATCH($B855,'Clean Gamification Data'!$A:$A,0)),"Not Found")</f>
        <v>75.471670759999995</v>
      </c>
      <c r="V855" s="28">
        <f>IFERROR(INDEX('Clean Gamification Data'!$E:$E,MATCH($B855,'Clean Gamification Data'!$A:$A,0)),"Not Found")</f>
        <v>67.184501510000004</v>
      </c>
      <c r="W855" s="28">
        <f>IFERROR(INDEX('Clean Gamification Data'!$F:$F,MATCH($B855,'Clean Gamification Data'!$A:$A,0)),"Not Found")</f>
        <v>91.700686849999997</v>
      </c>
      <c r="X855" s="28">
        <f>IFERROR(INDEX('Clean Gamification Data'!$G:$G,MATCH($B855,'Clean Gamification Data'!$A:$A,0)),"Not Found")</f>
        <v>66.850510970000002</v>
      </c>
      <c r="Y855" s="28">
        <f>IFERROR(INDEX('Clean Gamification Data'!$H:$H,MATCH($B855,'Clean Gamification Data'!$A:$A,0)),"Not Found")</f>
        <v>70.960595819999995</v>
      </c>
      <c r="Z855" s="28">
        <f>IFERROR(INDEX('Clean Gamification Data'!$I:$I,MATCH($B855,'Clean Gamification Data'!$A:$A,0)),"Not Found")</f>
        <v>58.231700289999999</v>
      </c>
      <c r="AA855" s="28">
        <f>Table1[[#This Row],[Engagement (Gamification %)]]-Table1[[#This Row],[Engagement (Non-Gamification %)]]</f>
        <v>3.0940172399999994</v>
      </c>
      <c r="AB855" s="28">
        <f>Table1[[#This Row],[Motivation (Gamification %)]]-Table1[[#This Row],[Motivation (Non-Gamification %)]]</f>
        <v>8.2871692499999909</v>
      </c>
      <c r="AC855" s="28">
        <f>Table1[[#This Row],[Participation (Gamification %)]]-Table1[[#This Row],[Participation (Non-Gamification %)]]</f>
        <v>24.850175879999995</v>
      </c>
      <c r="AD855" s="28">
        <f>Table1[[#This Row],[Learning Outcomes (Gamification %)]]-Table1[[#This Row],[Learning Outcomes (Non-Gamification %)]]</f>
        <v>12.728895529999996</v>
      </c>
      <c r="AE855" s="44" t="str">
        <f>IF(Table1[[#This Row],[Overall Effectiveness]]&lt;3.9,"Low",IF(Table1[[#This Row],[Overall Effectiveness]]&lt;4.2,"Medium","High"))</f>
        <v>Medium</v>
      </c>
      <c r="AF855" s="30" t="str">
        <f t="shared" si="82"/>
        <v>Lectures</v>
      </c>
      <c r="AG855" s="30" t="str">
        <f t="shared" si="83"/>
        <v>Experiments</v>
      </c>
      <c r="AH855" s="27">
        <f>COUNTIF(Teacher_Master!$D$2:$D$16,AF855)</f>
        <v>3</v>
      </c>
      <c r="AI855" s="30" t="str">
        <f>INDEX(Teacher_Master!$B$2:$B$16,MATCH(AF855,Teacher_Master!$D$2:$D$16,0))</f>
        <v>Prof. Vikram Gupta</v>
      </c>
    </row>
    <row r="856" spans="1:35" ht="14.25" customHeight="1" x14ac:dyDescent="0.3">
      <c r="A856" s="31" t="s">
        <v>1750</v>
      </c>
      <c r="B856" s="31" t="s">
        <v>2698</v>
      </c>
      <c r="C856" s="31" t="s">
        <v>2882</v>
      </c>
      <c r="D856" s="12">
        <f t="shared" ca="1" si="78"/>
        <v>20</v>
      </c>
      <c r="E856" s="12" t="str">
        <f ca="1">IF(Table1[[#This Row],[Age]]&lt;=22,"20-22",IF(Table1[[#This Row],[Age]]&lt;=25,"23-25",IF(Table1[[#This Row],[Age]]&lt;=28,"26-28","29-30")))</f>
        <v>20-22</v>
      </c>
      <c r="F856" s="12">
        <v>3.95</v>
      </c>
      <c r="G856" s="12" t="s">
        <v>211</v>
      </c>
      <c r="H856" s="12" t="s">
        <v>211</v>
      </c>
      <c r="I856" s="12">
        <v>4.47</v>
      </c>
      <c r="J856" s="12">
        <v>4.13</v>
      </c>
      <c r="K856" s="12">
        <v>4.58</v>
      </c>
      <c r="L856" s="12">
        <v>4.4800000000000004</v>
      </c>
      <c r="M856" s="12">
        <v>3.68</v>
      </c>
      <c r="N856" s="12">
        <v>3.16</v>
      </c>
      <c r="O856" s="12">
        <v>3.64</v>
      </c>
      <c r="P856" s="12">
        <f t="shared" si="79"/>
        <v>4.1833333333333336</v>
      </c>
      <c r="Q856" s="12">
        <f t="shared" si="80"/>
        <v>4.18</v>
      </c>
      <c r="R856" s="12">
        <f t="shared" si="81"/>
        <v>3.9079999999999999</v>
      </c>
      <c r="S856" s="28">
        <f>IFERROR(INDEX('Clean Gamification Data'!$B:$B,MATCH($B856,'Clean Gamification Data'!$A:$A,0)),"Not Found")</f>
        <v>79.6464517</v>
      </c>
      <c r="T856" s="28">
        <f>IFERROR(INDEX('Clean Gamification Data'!$C:$C,MATCH($B856,'Clean Gamification Data'!$A:$A,0)),"Not Found")</f>
        <v>74.814343210000004</v>
      </c>
      <c r="U856" s="28">
        <f>IFERROR(INDEX('Clean Gamification Data'!$D:$D,MATCH($B856,'Clean Gamification Data'!$A:$A,0)),"Not Found")</f>
        <v>84.99681932</v>
      </c>
      <c r="V856" s="28">
        <f>IFERROR(INDEX('Clean Gamification Data'!$E:$E,MATCH($B856,'Clean Gamification Data'!$A:$A,0)),"Not Found")</f>
        <v>55</v>
      </c>
      <c r="W856" s="28">
        <f>IFERROR(INDEX('Clean Gamification Data'!$F:$F,MATCH($B856,'Clean Gamification Data'!$A:$A,0)),"Not Found")</f>
        <v>98.623760709999999</v>
      </c>
      <c r="X856" s="28">
        <f>IFERROR(INDEX('Clean Gamification Data'!$G:$G,MATCH($B856,'Clean Gamification Data'!$A:$A,0)),"Not Found")</f>
        <v>81.51944666</v>
      </c>
      <c r="Y856" s="28">
        <f>IFERROR(INDEX('Clean Gamification Data'!$H:$H,MATCH($B856,'Clean Gamification Data'!$A:$A,0)),"Not Found")</f>
        <v>70.568964399999999</v>
      </c>
      <c r="Z856" s="28">
        <f>IFERROR(INDEX('Clean Gamification Data'!$I:$I,MATCH($B856,'Clean Gamification Data'!$A:$A,0)),"Not Found")</f>
        <v>58.503592580000003</v>
      </c>
      <c r="AA856" s="28">
        <f>Table1[[#This Row],[Engagement (Gamification %)]]-Table1[[#This Row],[Engagement (Non-Gamification %)]]</f>
        <v>4.832108489999996</v>
      </c>
      <c r="AB856" s="28">
        <f>Table1[[#This Row],[Motivation (Gamification %)]]-Table1[[#This Row],[Motivation (Non-Gamification %)]]</f>
        <v>29.99681932</v>
      </c>
      <c r="AC856" s="28">
        <f>Table1[[#This Row],[Participation (Gamification %)]]-Table1[[#This Row],[Participation (Non-Gamification %)]]</f>
        <v>17.104314049999999</v>
      </c>
      <c r="AD856" s="28">
        <f>Table1[[#This Row],[Learning Outcomes (Gamification %)]]-Table1[[#This Row],[Learning Outcomes (Non-Gamification %)]]</f>
        <v>12.065371819999996</v>
      </c>
      <c r="AE856" s="44" t="str">
        <f>IF(Table1[[#This Row],[Overall Effectiveness]]&lt;3.9,"Low",IF(Table1[[#This Row],[Overall Effectiveness]]&lt;4.2,"Medium","High"))</f>
        <v>Medium</v>
      </c>
      <c r="AF856" s="30" t="str">
        <f t="shared" si="82"/>
        <v>Experiments</v>
      </c>
      <c r="AG856" s="30" t="str">
        <f t="shared" si="83"/>
        <v>Lectures</v>
      </c>
      <c r="AH856" s="27">
        <f>COUNTIF(Teacher_Master!$D$2:$D$16,AF856)</f>
        <v>3</v>
      </c>
      <c r="AI856" s="30" t="str">
        <f>INDEX(Teacher_Master!$B$2:$B$16,MATCH(AF856,Teacher_Master!$D$2:$D$16,0))</f>
        <v>Prof. Rahul Singh</v>
      </c>
    </row>
    <row r="857" spans="1:35" ht="14.25" customHeight="1" x14ac:dyDescent="0.3">
      <c r="A857" s="31" t="s">
        <v>1752</v>
      </c>
      <c r="B857" s="31" t="s">
        <v>2699</v>
      </c>
      <c r="C857" s="31" t="s">
        <v>2881</v>
      </c>
      <c r="D857" s="12">
        <f t="shared" ca="1" si="78"/>
        <v>29</v>
      </c>
      <c r="E857" s="12" t="str">
        <f ca="1">IF(Table1[[#This Row],[Age]]&lt;=22,"20-22",IF(Table1[[#This Row],[Age]]&lt;=25,"23-25",IF(Table1[[#This Row],[Age]]&lt;=28,"26-28","29-30")))</f>
        <v>29-30</v>
      </c>
      <c r="F857" s="12">
        <v>4.0999999999999996</v>
      </c>
      <c r="G857" s="12">
        <v>3.93</v>
      </c>
      <c r="H857" s="12">
        <v>4.1900000000000004</v>
      </c>
      <c r="I857" s="12">
        <v>4.1900000000000004</v>
      </c>
      <c r="J857" s="12">
        <v>4.34</v>
      </c>
      <c r="K857" s="12">
        <v>4.13</v>
      </c>
      <c r="L857" s="12">
        <v>3.92</v>
      </c>
      <c r="M857" s="12">
        <v>3.85</v>
      </c>
      <c r="N857" s="12">
        <v>3.93</v>
      </c>
      <c r="O857" s="12">
        <v>4.47</v>
      </c>
      <c r="P857" s="12">
        <f t="shared" si="79"/>
        <v>4.1500000000000004</v>
      </c>
      <c r="Q857" s="12">
        <f t="shared" si="80"/>
        <v>4.1500000000000004</v>
      </c>
      <c r="R857" s="12">
        <f t="shared" si="81"/>
        <v>4.0600000000000005</v>
      </c>
      <c r="S857" s="28">
        <f>IFERROR(INDEX('Clean Gamification Data'!$B:$B,MATCH($B857,'Clean Gamification Data'!$A:$A,0)),"Not Found")</f>
        <v>88.997146520000001</v>
      </c>
      <c r="T857" s="28">
        <f>IFERROR(INDEX('Clean Gamification Data'!$C:$C,MATCH($B857,'Clean Gamification Data'!$A:$A,0)),"Not Found")</f>
        <v>72.070017919999998</v>
      </c>
      <c r="U857" s="28">
        <f>IFERROR(INDEX('Clean Gamification Data'!$D:$D,MATCH($B857,'Clean Gamification Data'!$A:$A,0)),"Not Found")</f>
        <v>87.011450310000001</v>
      </c>
      <c r="V857" s="28">
        <f>IFERROR(INDEX('Clean Gamification Data'!$E:$E,MATCH($B857,'Clean Gamification Data'!$A:$A,0)),"Not Found")</f>
        <v>68.801389</v>
      </c>
      <c r="W857" s="28">
        <f>IFERROR(INDEX('Clean Gamification Data'!$F:$F,MATCH($B857,'Clean Gamification Data'!$A:$A,0)),"Not Found")</f>
        <v>98.404505080000007</v>
      </c>
      <c r="X857" s="28">
        <f>IFERROR(INDEX('Clean Gamification Data'!$G:$G,MATCH($B857,'Clean Gamification Data'!$A:$A,0)),"Not Found")</f>
        <v>80.291243350000002</v>
      </c>
      <c r="Y857" s="28">
        <f>IFERROR(INDEX('Clean Gamification Data'!$H:$H,MATCH($B857,'Clean Gamification Data'!$A:$A,0)),"Not Found")</f>
        <v>69.026647519999997</v>
      </c>
      <c r="Z857" s="28">
        <f>IFERROR(INDEX('Clean Gamification Data'!$I:$I,MATCH($B857,'Clean Gamification Data'!$A:$A,0)),"Not Found")</f>
        <v>64.723500119999997</v>
      </c>
      <c r="AA857" s="28">
        <f>Table1[[#This Row],[Engagement (Gamification %)]]-Table1[[#This Row],[Engagement (Non-Gamification %)]]</f>
        <v>16.927128600000003</v>
      </c>
      <c r="AB857" s="28">
        <f>Table1[[#This Row],[Motivation (Gamification %)]]-Table1[[#This Row],[Motivation (Non-Gamification %)]]</f>
        <v>18.21006131</v>
      </c>
      <c r="AC857" s="28">
        <f>Table1[[#This Row],[Participation (Gamification %)]]-Table1[[#This Row],[Participation (Non-Gamification %)]]</f>
        <v>18.113261730000005</v>
      </c>
      <c r="AD857" s="28">
        <f>Table1[[#This Row],[Learning Outcomes (Gamification %)]]-Table1[[#This Row],[Learning Outcomes (Non-Gamification %)]]</f>
        <v>4.3031474000000003</v>
      </c>
      <c r="AE857" s="44" t="str">
        <f>IF(Table1[[#This Row],[Overall Effectiveness]]&lt;3.9,"Low",IF(Table1[[#This Row],[Overall Effectiveness]]&lt;4.2,"Medium","High"))</f>
        <v>Medium</v>
      </c>
      <c r="AF857" s="30" t="str">
        <f t="shared" si="82"/>
        <v>Online Tutorials</v>
      </c>
      <c r="AG857" s="30" t="str">
        <f t="shared" si="83"/>
        <v>Online Tutorials</v>
      </c>
      <c r="AH857" s="27">
        <f>COUNTIF(Teacher_Master!$D$2:$D$16,AF857)</f>
        <v>3</v>
      </c>
      <c r="AI857" s="30" t="str">
        <f>INDEX(Teacher_Master!$B$2:$B$16,MATCH(AF857,Teacher_Master!$D$2:$D$16,0))</f>
        <v>Prof. Kavita Rao</v>
      </c>
    </row>
    <row r="858" spans="1:35" ht="14.25" customHeight="1" x14ac:dyDescent="0.3">
      <c r="A858" s="31" t="s">
        <v>1754</v>
      </c>
      <c r="B858" s="31" t="s">
        <v>1755</v>
      </c>
      <c r="C858" s="31" t="s">
        <v>2882</v>
      </c>
      <c r="D858" s="12">
        <f t="shared" ca="1" si="78"/>
        <v>26</v>
      </c>
      <c r="E858" s="12" t="str">
        <f ca="1">IF(Table1[[#This Row],[Age]]&lt;=22,"20-22",IF(Table1[[#This Row],[Age]]&lt;=25,"23-25",IF(Table1[[#This Row],[Age]]&lt;=28,"26-28","29-30")))</f>
        <v>26-28</v>
      </c>
      <c r="F858" s="12">
        <v>3.98</v>
      </c>
      <c r="G858" s="12">
        <v>3.94</v>
      </c>
      <c r="H858" s="12">
        <v>4.25</v>
      </c>
      <c r="I858" s="12">
        <v>3.97</v>
      </c>
      <c r="J858" s="12">
        <v>3.89</v>
      </c>
      <c r="K858" s="12">
        <v>3.49</v>
      </c>
      <c r="L858" s="12">
        <v>4.5599999999999996</v>
      </c>
      <c r="M858" s="12">
        <v>3.67</v>
      </c>
      <c r="N858" s="12">
        <v>3.8</v>
      </c>
      <c r="O858" s="12">
        <v>4.1399999999999997</v>
      </c>
      <c r="P858" s="12">
        <f t="shared" si="79"/>
        <v>4.0060000000000002</v>
      </c>
      <c r="Q858" s="12">
        <f t="shared" si="80"/>
        <v>4.01</v>
      </c>
      <c r="R858" s="12">
        <f t="shared" si="81"/>
        <v>3.9319999999999999</v>
      </c>
      <c r="S858" s="28">
        <f>IFERROR(INDEX('Clean Gamification Data'!$B:$B,MATCH($B858,'Clean Gamification Data'!$A:$A,0)),"Not Found")</f>
        <v>78.327619659999996</v>
      </c>
      <c r="T858" s="28">
        <f>IFERROR(INDEX('Clean Gamification Data'!$C:$C,MATCH($B858,'Clean Gamification Data'!$A:$A,0)),"Not Found")</f>
        <v>69.218818900000002</v>
      </c>
      <c r="U858" s="28">
        <f>IFERROR(INDEX('Clean Gamification Data'!$D:$D,MATCH($B858,'Clean Gamification Data'!$A:$A,0)),"Not Found")</f>
        <v>71.596849329999998</v>
      </c>
      <c r="V858" s="28">
        <f>IFERROR(INDEX('Clean Gamification Data'!$E:$E,MATCH($B858,'Clean Gamification Data'!$A:$A,0)),"Not Found")</f>
        <v>60.436513429999998</v>
      </c>
      <c r="W858" s="28">
        <f>IFERROR(INDEX('Clean Gamification Data'!$F:$F,MATCH($B858,'Clean Gamification Data'!$A:$A,0)),"Not Found")</f>
        <v>98.714185459999996</v>
      </c>
      <c r="X858" s="28">
        <f>IFERROR(INDEX('Clean Gamification Data'!$G:$G,MATCH($B858,'Clean Gamification Data'!$A:$A,0)),"Not Found")</f>
        <v>77.477918399999993</v>
      </c>
      <c r="Y858" s="28">
        <f>IFERROR(INDEX('Clean Gamification Data'!$H:$H,MATCH($B858,'Clean Gamification Data'!$A:$A,0)),"Not Found")</f>
        <v>73.571604140000005</v>
      </c>
      <c r="Z858" s="28">
        <f>IFERROR(INDEX('Clean Gamification Data'!$I:$I,MATCH($B858,'Clean Gamification Data'!$A:$A,0)),"Not Found")</f>
        <v>51.501643700000002</v>
      </c>
      <c r="AA858" s="28">
        <f>Table1[[#This Row],[Engagement (Gamification %)]]-Table1[[#This Row],[Engagement (Non-Gamification %)]]</f>
        <v>9.1088007599999941</v>
      </c>
      <c r="AB858" s="28">
        <f>Table1[[#This Row],[Motivation (Gamification %)]]-Table1[[#This Row],[Motivation (Non-Gamification %)]]</f>
        <v>11.1603359</v>
      </c>
      <c r="AC858" s="28">
        <f>Table1[[#This Row],[Participation (Gamification %)]]-Table1[[#This Row],[Participation (Non-Gamification %)]]</f>
        <v>21.236267060000003</v>
      </c>
      <c r="AD858" s="28">
        <f>Table1[[#This Row],[Learning Outcomes (Gamification %)]]-Table1[[#This Row],[Learning Outcomes (Non-Gamification %)]]</f>
        <v>22.069960440000003</v>
      </c>
      <c r="AE858" s="44" t="str">
        <f>IF(Table1[[#This Row],[Overall Effectiveness]]&lt;3.9,"Low",IF(Table1[[#This Row],[Overall Effectiveness]]&lt;4.2,"Medium","High"))</f>
        <v>Medium</v>
      </c>
      <c r="AF858" s="30" t="str">
        <f t="shared" si="82"/>
        <v>Group Projects</v>
      </c>
      <c r="AG858" s="30" t="str">
        <f t="shared" si="83"/>
        <v>Case Studies</v>
      </c>
      <c r="AH858" s="27">
        <f>COUNTIF(Teacher_Master!$D$2:$D$16,AF858)</f>
        <v>3</v>
      </c>
      <c r="AI858" s="30" t="str">
        <f>INDEX(Teacher_Master!$B$2:$B$16,MATCH(AF858,Teacher_Master!$D$2:$D$16,0))</f>
        <v>Dr. Rohan Dutta</v>
      </c>
    </row>
    <row r="859" spans="1:35" ht="14.25" customHeight="1" x14ac:dyDescent="0.3">
      <c r="A859" s="31" t="s">
        <v>1756</v>
      </c>
      <c r="B859" s="31" t="s">
        <v>1757</v>
      </c>
      <c r="C859" s="31" t="s">
        <v>2882</v>
      </c>
      <c r="D859" s="12">
        <f t="shared" ca="1" si="78"/>
        <v>29</v>
      </c>
      <c r="E859" s="12" t="str">
        <f ca="1">IF(Table1[[#This Row],[Age]]&lt;=22,"20-22",IF(Table1[[#This Row],[Age]]&lt;=25,"23-25",IF(Table1[[#This Row],[Age]]&lt;=28,"26-28","29-30")))</f>
        <v>29-30</v>
      </c>
      <c r="F859" s="12">
        <v>4.21</v>
      </c>
      <c r="G859" s="12">
        <v>3.87</v>
      </c>
      <c r="H859" s="12">
        <v>4.2699999999999996</v>
      </c>
      <c r="I859" s="12">
        <v>3.88</v>
      </c>
      <c r="J859" s="12">
        <v>3.9</v>
      </c>
      <c r="K859" s="12">
        <v>4.01</v>
      </c>
      <c r="L859" s="12">
        <v>3.86</v>
      </c>
      <c r="M859" s="12">
        <v>4.32</v>
      </c>
      <c r="N859" s="12">
        <v>4.4000000000000004</v>
      </c>
      <c r="O859" s="12">
        <v>3.94</v>
      </c>
      <c r="P859" s="12">
        <f t="shared" si="79"/>
        <v>4.0259999999999998</v>
      </c>
      <c r="Q859" s="12">
        <f t="shared" si="80"/>
        <v>4.03</v>
      </c>
      <c r="R859" s="12">
        <f t="shared" si="81"/>
        <v>4.1059999999999999</v>
      </c>
      <c r="S859" s="28">
        <f>IFERROR(INDEX('Clean Gamification Data'!$B:$B,MATCH($B859,'Clean Gamification Data'!$A:$A,0)),"Not Found")</f>
        <v>92.437059009999999</v>
      </c>
      <c r="T859" s="28">
        <f>IFERROR(INDEX('Clean Gamification Data'!$C:$C,MATCH($B859,'Clean Gamification Data'!$A:$A,0)),"Not Found")</f>
        <v>66.334184179999994</v>
      </c>
      <c r="U859" s="28">
        <f>IFERROR(INDEX('Clean Gamification Data'!$D:$D,MATCH($B859,'Clean Gamification Data'!$A:$A,0)),"Not Found")</f>
        <v>70.659812509999995</v>
      </c>
      <c r="V859" s="28">
        <f>IFERROR(INDEX('Clean Gamification Data'!$E:$E,MATCH($B859,'Clean Gamification Data'!$A:$A,0)),"Not Found")</f>
        <v>58.378716429999997</v>
      </c>
      <c r="W859" s="28">
        <f>IFERROR(INDEX('Clean Gamification Data'!$F:$F,MATCH($B859,'Clean Gamification Data'!$A:$A,0)),"Not Found")</f>
        <v>95.517763299999999</v>
      </c>
      <c r="X859" s="28">
        <f>IFERROR(INDEX('Clean Gamification Data'!$G:$G,MATCH($B859,'Clean Gamification Data'!$A:$A,0)),"Not Found")</f>
        <v>75.535233309999995</v>
      </c>
      <c r="Y859" s="28">
        <f>IFERROR(INDEX('Clean Gamification Data'!$H:$H,MATCH($B859,'Clean Gamification Data'!$A:$A,0)),"Not Found")</f>
        <v>75.966829880000006</v>
      </c>
      <c r="Z859" s="28">
        <f>IFERROR(INDEX('Clean Gamification Data'!$I:$I,MATCH($B859,'Clean Gamification Data'!$A:$A,0)),"Not Found")</f>
        <v>61.333092129999997</v>
      </c>
      <c r="AA859" s="28">
        <f>Table1[[#This Row],[Engagement (Gamification %)]]-Table1[[#This Row],[Engagement (Non-Gamification %)]]</f>
        <v>26.102874830000005</v>
      </c>
      <c r="AB859" s="28">
        <f>Table1[[#This Row],[Motivation (Gamification %)]]-Table1[[#This Row],[Motivation (Non-Gamification %)]]</f>
        <v>12.281096079999998</v>
      </c>
      <c r="AC859" s="28">
        <f>Table1[[#This Row],[Participation (Gamification %)]]-Table1[[#This Row],[Participation (Non-Gamification %)]]</f>
        <v>19.982529990000003</v>
      </c>
      <c r="AD859" s="28">
        <f>Table1[[#This Row],[Learning Outcomes (Gamification %)]]-Table1[[#This Row],[Learning Outcomes (Non-Gamification %)]]</f>
        <v>14.633737750000009</v>
      </c>
      <c r="AE859" s="44" t="str">
        <f>IF(Table1[[#This Row],[Overall Effectiveness]]&lt;3.9,"Low",IF(Table1[[#This Row],[Overall Effectiveness]]&lt;4.2,"Medium","High"))</f>
        <v>Medium</v>
      </c>
      <c r="AF859" s="30" t="str">
        <f t="shared" si="82"/>
        <v>Group Projects</v>
      </c>
      <c r="AG859" s="30" t="str">
        <f t="shared" si="83"/>
        <v>Experiments</v>
      </c>
      <c r="AH859" s="27">
        <f>COUNTIF(Teacher_Master!$D$2:$D$16,AF859)</f>
        <v>3</v>
      </c>
      <c r="AI859" s="30" t="str">
        <f>INDEX(Teacher_Master!$B$2:$B$16,MATCH(AF859,Teacher_Master!$D$2:$D$16,0))</f>
        <v>Dr. Rohan Dutta</v>
      </c>
    </row>
    <row r="860" spans="1:35" ht="14.25" customHeight="1" x14ac:dyDescent="0.3">
      <c r="A860" s="31" t="s">
        <v>1758</v>
      </c>
      <c r="B860" s="31" t="s">
        <v>2700</v>
      </c>
      <c r="C860" s="31" t="s">
        <v>2882</v>
      </c>
      <c r="D860" s="12">
        <f t="shared" ca="1" si="78"/>
        <v>21</v>
      </c>
      <c r="E860" s="12" t="str">
        <f ca="1">IF(Table1[[#This Row],[Age]]&lt;=22,"20-22",IF(Table1[[#This Row],[Age]]&lt;=25,"23-25",IF(Table1[[#This Row],[Age]]&lt;=28,"26-28","29-30")))</f>
        <v>20-22</v>
      </c>
      <c r="F860" s="12">
        <v>4.57</v>
      </c>
      <c r="G860" s="12">
        <v>3.73</v>
      </c>
      <c r="H860" s="12">
        <v>3.78</v>
      </c>
      <c r="I860" s="12">
        <v>4.01</v>
      </c>
      <c r="J860" s="12">
        <v>3.9</v>
      </c>
      <c r="K860" s="12">
        <v>4</v>
      </c>
      <c r="L860" s="12">
        <v>3.96</v>
      </c>
      <c r="M860" s="12">
        <v>3.49</v>
      </c>
      <c r="N860" s="12">
        <v>4.28</v>
      </c>
      <c r="O860" s="12">
        <v>4.0999999999999996</v>
      </c>
      <c r="P860" s="12">
        <f t="shared" si="79"/>
        <v>3.9979999999999998</v>
      </c>
      <c r="Q860" s="12">
        <f t="shared" si="80"/>
        <v>4</v>
      </c>
      <c r="R860" s="12">
        <f t="shared" si="81"/>
        <v>3.9659999999999997</v>
      </c>
      <c r="S860" s="28">
        <f>IFERROR(INDEX('Clean Gamification Data'!$B:$B,MATCH($B860,'Clean Gamification Data'!$A:$A,0)),"Not Found")</f>
        <v>85.332889170000001</v>
      </c>
      <c r="T860" s="28">
        <f>IFERROR(INDEX('Clean Gamification Data'!$C:$C,MATCH($B860,'Clean Gamification Data'!$A:$A,0)),"Not Found")</f>
        <v>80</v>
      </c>
      <c r="U860" s="28">
        <f>IFERROR(INDEX('Clean Gamification Data'!$D:$D,MATCH($B860,'Clean Gamification Data'!$A:$A,0)),"Not Found")</f>
        <v>77.779347920000006</v>
      </c>
      <c r="V860" s="28">
        <f>IFERROR(INDEX('Clean Gamification Data'!$E:$E,MATCH($B860,'Clean Gamification Data'!$A:$A,0)),"Not Found")</f>
        <v>63.998736639999997</v>
      </c>
      <c r="W860" s="28">
        <f>IFERROR(INDEX('Clean Gamification Data'!$F:$F,MATCH($B860,'Clean Gamification Data'!$A:$A,0)),"Not Found")</f>
        <v>80.747840400000001</v>
      </c>
      <c r="X860" s="28">
        <f>IFERROR(INDEX('Clean Gamification Data'!$G:$G,MATCH($B860,'Clean Gamification Data'!$A:$A,0)),"Not Found")</f>
        <v>85</v>
      </c>
      <c r="Y860" s="28">
        <f>IFERROR(INDEX('Clean Gamification Data'!$H:$H,MATCH($B860,'Clean Gamification Data'!$A:$A,0)),"Not Found")</f>
        <v>65</v>
      </c>
      <c r="Z860" s="28">
        <f>IFERROR(INDEX('Clean Gamification Data'!$I:$I,MATCH($B860,'Clean Gamification Data'!$A:$A,0)),"Not Found")</f>
        <v>55.791503229999996</v>
      </c>
      <c r="AA860" s="28">
        <f>Table1[[#This Row],[Engagement (Gamification %)]]-Table1[[#This Row],[Engagement (Non-Gamification %)]]</f>
        <v>5.3328891700000014</v>
      </c>
      <c r="AB860" s="28">
        <f>Table1[[#This Row],[Motivation (Gamification %)]]-Table1[[#This Row],[Motivation (Non-Gamification %)]]</f>
        <v>13.780611280000009</v>
      </c>
      <c r="AC860" s="28">
        <f>Table1[[#This Row],[Participation (Gamification %)]]-Table1[[#This Row],[Participation (Non-Gamification %)]]</f>
        <v>-4.2521595999999988</v>
      </c>
      <c r="AD860" s="28">
        <f>Table1[[#This Row],[Learning Outcomes (Gamification %)]]-Table1[[#This Row],[Learning Outcomes (Non-Gamification %)]]</f>
        <v>9.2084967700000036</v>
      </c>
      <c r="AE860" s="44" t="str">
        <f>IF(Table1[[#This Row],[Overall Effectiveness]]&lt;3.9,"Low",IF(Table1[[#This Row],[Overall Effectiveness]]&lt;4.2,"Medium","High"))</f>
        <v>Medium</v>
      </c>
      <c r="AF860" s="30" t="str">
        <f t="shared" si="82"/>
        <v>Lectures</v>
      </c>
      <c r="AG860" s="30" t="str">
        <f t="shared" si="83"/>
        <v>Experiments</v>
      </c>
      <c r="AH860" s="27">
        <f>COUNTIF(Teacher_Master!$D$2:$D$16,AF860)</f>
        <v>3</v>
      </c>
      <c r="AI860" s="30" t="str">
        <f>INDEX(Teacher_Master!$B$2:$B$16,MATCH(AF860,Teacher_Master!$D$2:$D$16,0))</f>
        <v>Prof. Vikram Gupta</v>
      </c>
    </row>
    <row r="861" spans="1:35" ht="14.25" customHeight="1" x14ac:dyDescent="0.3">
      <c r="A861" s="31" t="s">
        <v>1760</v>
      </c>
      <c r="B861" s="31" t="s">
        <v>2701</v>
      </c>
      <c r="C861" s="31" t="s">
        <v>2881</v>
      </c>
      <c r="D861" s="12">
        <f t="shared" ca="1" si="78"/>
        <v>23</v>
      </c>
      <c r="E861" s="12" t="str">
        <f ca="1">IF(Table1[[#This Row],[Age]]&lt;=22,"20-22",IF(Table1[[#This Row],[Age]]&lt;=25,"23-25",IF(Table1[[#This Row],[Age]]&lt;=28,"26-28","29-30")))</f>
        <v>23-25</v>
      </c>
      <c r="F861" s="12">
        <v>4.1100000000000003</v>
      </c>
      <c r="G861" s="12">
        <v>4.03</v>
      </c>
      <c r="H861" s="12">
        <v>4.18</v>
      </c>
      <c r="I861" s="12">
        <v>3.83</v>
      </c>
      <c r="J861" s="12">
        <v>3.82</v>
      </c>
      <c r="K861" s="12">
        <v>3.91</v>
      </c>
      <c r="L861" s="12">
        <v>4.16</v>
      </c>
      <c r="M861" s="12">
        <v>4.03</v>
      </c>
      <c r="N861" s="12">
        <v>4.24</v>
      </c>
      <c r="O861" s="12">
        <v>3.8</v>
      </c>
      <c r="P861" s="12">
        <f t="shared" si="79"/>
        <v>3.9939999999999998</v>
      </c>
      <c r="Q861" s="12">
        <f t="shared" si="80"/>
        <v>3.99</v>
      </c>
      <c r="R861" s="12">
        <f t="shared" si="81"/>
        <v>4.0280000000000005</v>
      </c>
      <c r="S861" s="28">
        <f>IFERROR(INDEX('Clean Gamification Data'!$B:$B,MATCH($B861,'Clean Gamification Data'!$A:$A,0)),"Not Found")</f>
        <v>77.707403650000003</v>
      </c>
      <c r="T861" s="28">
        <f>IFERROR(INDEX('Clean Gamification Data'!$C:$C,MATCH($B861,'Clean Gamification Data'!$A:$A,0)),"Not Found")</f>
        <v>77.088097899999994</v>
      </c>
      <c r="U861" s="28">
        <f>IFERROR(INDEX('Clean Gamification Data'!$D:$D,MATCH($B861,'Clean Gamification Data'!$A:$A,0)),"Not Found")</f>
        <v>77.249734340000003</v>
      </c>
      <c r="V861" s="28">
        <f>IFERROR(INDEX('Clean Gamification Data'!$E:$E,MATCH($B861,'Clean Gamification Data'!$A:$A,0)),"Not Found")</f>
        <v>59.211400439999998</v>
      </c>
      <c r="W861" s="28">
        <f>IFERROR(INDEX('Clean Gamification Data'!$F:$F,MATCH($B861,'Clean Gamification Data'!$A:$A,0)),"Not Found")</f>
        <v>84.728059779999995</v>
      </c>
      <c r="X861" s="28">
        <f>IFERROR(INDEX('Clean Gamification Data'!$G:$G,MATCH($B861,'Clean Gamification Data'!$A:$A,0)),"Not Found")</f>
        <v>78.133578819999997</v>
      </c>
      <c r="Y861" s="28">
        <f>IFERROR(INDEX('Clean Gamification Data'!$H:$H,MATCH($B861,'Clean Gamification Data'!$A:$A,0)),"Not Found")</f>
        <v>75.213742389999993</v>
      </c>
      <c r="Z861" s="28">
        <f>IFERROR(INDEX('Clean Gamification Data'!$I:$I,MATCH($B861,'Clean Gamification Data'!$A:$A,0)),"Not Found")</f>
        <v>50.087413840000004</v>
      </c>
      <c r="AA861" s="28">
        <f>Table1[[#This Row],[Engagement (Gamification %)]]-Table1[[#This Row],[Engagement (Non-Gamification %)]]</f>
        <v>0.61930575000000943</v>
      </c>
      <c r="AB861" s="28">
        <f>Table1[[#This Row],[Motivation (Gamification %)]]-Table1[[#This Row],[Motivation (Non-Gamification %)]]</f>
        <v>18.038333900000005</v>
      </c>
      <c r="AC861" s="28">
        <f>Table1[[#This Row],[Participation (Gamification %)]]-Table1[[#This Row],[Participation (Non-Gamification %)]]</f>
        <v>6.5944809599999985</v>
      </c>
      <c r="AD861" s="28">
        <f>Table1[[#This Row],[Learning Outcomes (Gamification %)]]-Table1[[#This Row],[Learning Outcomes (Non-Gamification %)]]</f>
        <v>25.12632854999999</v>
      </c>
      <c r="AE861" s="44" t="str">
        <f>IF(Table1[[#This Row],[Overall Effectiveness]]&lt;3.9,"Low",IF(Table1[[#This Row],[Overall Effectiveness]]&lt;4.2,"Medium","High"))</f>
        <v>Medium</v>
      </c>
      <c r="AF861" s="30" t="str">
        <f t="shared" si="82"/>
        <v>Group Projects</v>
      </c>
      <c r="AG861" s="30" t="str">
        <f t="shared" si="83"/>
        <v>Experiments</v>
      </c>
      <c r="AH861" s="27">
        <f>COUNTIF(Teacher_Master!$D$2:$D$16,AF861)</f>
        <v>3</v>
      </c>
      <c r="AI861" s="30" t="str">
        <f>INDEX(Teacher_Master!$B$2:$B$16,MATCH(AF861,Teacher_Master!$D$2:$D$16,0))</f>
        <v>Dr. Rohan Dutta</v>
      </c>
    </row>
    <row r="862" spans="1:35" ht="14.25" customHeight="1" x14ac:dyDescent="0.3">
      <c r="A862" s="31" t="s">
        <v>1762</v>
      </c>
      <c r="B862" s="31" t="s">
        <v>2702</v>
      </c>
      <c r="C862" s="31" t="s">
        <v>2882</v>
      </c>
      <c r="D862" s="12">
        <f t="shared" ca="1" si="78"/>
        <v>28</v>
      </c>
      <c r="E862" s="12" t="str">
        <f ca="1">IF(Table1[[#This Row],[Age]]&lt;=22,"20-22",IF(Table1[[#This Row],[Age]]&lt;=25,"23-25",IF(Table1[[#This Row],[Age]]&lt;=28,"26-28","29-30")))</f>
        <v>26-28</v>
      </c>
      <c r="F862" s="12" t="s">
        <v>211</v>
      </c>
      <c r="G862" s="12">
        <v>4.1100000000000003</v>
      </c>
      <c r="H862" s="12">
        <v>4.1100000000000003</v>
      </c>
      <c r="I862" s="12">
        <v>4.25</v>
      </c>
      <c r="J862" s="12">
        <v>3.95</v>
      </c>
      <c r="K862" s="12">
        <v>4.09</v>
      </c>
      <c r="L862" s="12">
        <v>3.91</v>
      </c>
      <c r="M862" s="12" t="s">
        <v>211</v>
      </c>
      <c r="N862" s="12">
        <v>4.01</v>
      </c>
      <c r="O862" s="12">
        <v>4.1100000000000003</v>
      </c>
      <c r="P862" s="12">
        <f t="shared" si="79"/>
        <v>4.1050000000000004</v>
      </c>
      <c r="Q862" s="12">
        <f t="shared" si="80"/>
        <v>4.1100000000000003</v>
      </c>
      <c r="R862" s="12">
        <f t="shared" si="81"/>
        <v>4.03</v>
      </c>
      <c r="S862" s="28">
        <f>IFERROR(INDEX('Clean Gamification Data'!$B:$B,MATCH($B862,'Clean Gamification Data'!$A:$A,0)),"Not Found")</f>
        <v>83.918360469999996</v>
      </c>
      <c r="T862" s="28">
        <f>IFERROR(INDEX('Clean Gamification Data'!$C:$C,MATCH($B862,'Clean Gamification Data'!$A:$A,0)),"Not Found")</f>
        <v>60</v>
      </c>
      <c r="U862" s="28">
        <f>IFERROR(INDEX('Clean Gamification Data'!$D:$D,MATCH($B862,'Clean Gamification Data'!$A:$A,0)),"Not Found")</f>
        <v>71.104788350000007</v>
      </c>
      <c r="V862" s="28">
        <f>IFERROR(INDEX('Clean Gamification Data'!$E:$E,MATCH($B862,'Clean Gamification Data'!$A:$A,0)),"Not Found")</f>
        <v>65.581813350000004</v>
      </c>
      <c r="W862" s="28">
        <f>IFERROR(INDEX('Clean Gamification Data'!$F:$F,MATCH($B862,'Clean Gamification Data'!$A:$A,0)),"Not Found")</f>
        <v>96.158130220000004</v>
      </c>
      <c r="X862" s="28">
        <f>IFERROR(INDEX('Clean Gamification Data'!$G:$G,MATCH($B862,'Clean Gamification Data'!$A:$A,0)),"Not Found")</f>
        <v>76.009793970000004</v>
      </c>
      <c r="Y862" s="28">
        <f>IFERROR(INDEX('Clean Gamification Data'!$H:$H,MATCH($B862,'Clean Gamification Data'!$A:$A,0)),"Not Found")</f>
        <v>74.471067270000006</v>
      </c>
      <c r="Z862" s="28">
        <f>IFERROR(INDEX('Clean Gamification Data'!$I:$I,MATCH($B862,'Clean Gamification Data'!$A:$A,0)),"Not Found")</f>
        <v>51.74351102</v>
      </c>
      <c r="AA862" s="28">
        <f>Table1[[#This Row],[Engagement (Gamification %)]]-Table1[[#This Row],[Engagement (Non-Gamification %)]]</f>
        <v>23.918360469999996</v>
      </c>
      <c r="AB862" s="28">
        <f>Table1[[#This Row],[Motivation (Gamification %)]]-Table1[[#This Row],[Motivation (Non-Gamification %)]]</f>
        <v>5.5229750000000024</v>
      </c>
      <c r="AC862" s="28">
        <f>Table1[[#This Row],[Participation (Gamification %)]]-Table1[[#This Row],[Participation (Non-Gamification %)]]</f>
        <v>20.14833625</v>
      </c>
      <c r="AD862" s="28">
        <f>Table1[[#This Row],[Learning Outcomes (Gamification %)]]-Table1[[#This Row],[Learning Outcomes (Non-Gamification %)]]</f>
        <v>22.727556250000006</v>
      </c>
      <c r="AE862" s="44" t="str">
        <f>IF(Table1[[#This Row],[Overall Effectiveness]]&lt;3.9,"Low",IF(Table1[[#This Row],[Overall Effectiveness]]&lt;4.2,"Medium","High"))</f>
        <v>Medium</v>
      </c>
      <c r="AF862" s="30" t="str">
        <f t="shared" si="82"/>
        <v>Experiments</v>
      </c>
      <c r="AG862" s="30" t="str">
        <f t="shared" si="83"/>
        <v>Online Tutorials</v>
      </c>
      <c r="AH862" s="27">
        <f>COUNTIF(Teacher_Master!$D$2:$D$16,AF862)</f>
        <v>3</v>
      </c>
      <c r="AI862" s="30" t="str">
        <f>INDEX(Teacher_Master!$B$2:$B$16,MATCH(AF862,Teacher_Master!$D$2:$D$16,0))</f>
        <v>Prof. Rahul Singh</v>
      </c>
    </row>
    <row r="863" spans="1:35" ht="14.25" customHeight="1" x14ac:dyDescent="0.3">
      <c r="A863" s="31" t="s">
        <v>1764</v>
      </c>
      <c r="B863" s="31" t="s">
        <v>2703</v>
      </c>
      <c r="C863" s="31" t="s">
        <v>2881</v>
      </c>
      <c r="D863" s="12">
        <f t="shared" ca="1" si="78"/>
        <v>22</v>
      </c>
      <c r="E863" s="12" t="str">
        <f ca="1">IF(Table1[[#This Row],[Age]]&lt;=22,"20-22",IF(Table1[[#This Row],[Age]]&lt;=25,"23-25",IF(Table1[[#This Row],[Age]]&lt;=28,"26-28","29-30")))</f>
        <v>20-22</v>
      </c>
      <c r="F863" s="12">
        <v>4.67</v>
      </c>
      <c r="G863" s="12">
        <v>3.72</v>
      </c>
      <c r="H863" s="12">
        <v>4.21</v>
      </c>
      <c r="I863" s="12">
        <v>3.65</v>
      </c>
      <c r="J863" s="12">
        <v>4.0599999999999996</v>
      </c>
      <c r="K863" s="12">
        <v>3.76</v>
      </c>
      <c r="L863" s="12">
        <v>4.21</v>
      </c>
      <c r="M863" s="12">
        <v>3.75</v>
      </c>
      <c r="N863" s="12">
        <v>3.59</v>
      </c>
      <c r="O863" s="12">
        <v>4.28</v>
      </c>
      <c r="P863" s="12">
        <f t="shared" si="79"/>
        <v>4.0619999999999994</v>
      </c>
      <c r="Q863" s="12">
        <f t="shared" si="80"/>
        <v>4.0599999999999996</v>
      </c>
      <c r="R863" s="12">
        <f t="shared" si="81"/>
        <v>3.9180000000000001</v>
      </c>
      <c r="S863" s="28">
        <f>IFERROR(INDEX('Clean Gamification Data'!$B:$B,MATCH($B863,'Clean Gamification Data'!$A:$A,0)),"Not Found")</f>
        <v>84.314129289999997</v>
      </c>
      <c r="T863" s="28">
        <f>IFERROR(INDEX('Clean Gamification Data'!$C:$C,MATCH($B863,'Clean Gamification Data'!$A:$A,0)),"Not Found")</f>
        <v>73.893432540000006</v>
      </c>
      <c r="U863" s="28">
        <f>IFERROR(INDEX('Clean Gamification Data'!$D:$D,MATCH($B863,'Clean Gamification Data'!$A:$A,0)),"Not Found")</f>
        <v>77.582509540000004</v>
      </c>
      <c r="V863" s="28">
        <f>IFERROR(INDEX('Clean Gamification Data'!$E:$E,MATCH($B863,'Clean Gamification Data'!$A:$A,0)),"Not Found")</f>
        <v>66.496180229999993</v>
      </c>
      <c r="W863" s="28">
        <f>IFERROR(INDEX('Clean Gamification Data'!$F:$F,MATCH($B863,'Clean Gamification Data'!$A:$A,0)),"Not Found")</f>
        <v>90.427809620000005</v>
      </c>
      <c r="X863" s="28">
        <f>IFERROR(INDEX('Clean Gamification Data'!$G:$G,MATCH($B863,'Clean Gamification Data'!$A:$A,0)),"Not Found")</f>
        <v>79.768744209999994</v>
      </c>
      <c r="Y863" s="28">
        <f>IFERROR(INDEX('Clean Gamification Data'!$H:$H,MATCH($B863,'Clean Gamification Data'!$A:$A,0)),"Not Found")</f>
        <v>69.501991189999998</v>
      </c>
      <c r="Z863" s="28">
        <f>IFERROR(INDEX('Clean Gamification Data'!$I:$I,MATCH($B863,'Clean Gamification Data'!$A:$A,0)),"Not Found")</f>
        <v>50</v>
      </c>
      <c r="AA863" s="28">
        <f>Table1[[#This Row],[Engagement (Gamification %)]]-Table1[[#This Row],[Engagement (Non-Gamification %)]]</f>
        <v>10.420696749999991</v>
      </c>
      <c r="AB863" s="28">
        <f>Table1[[#This Row],[Motivation (Gamification %)]]-Table1[[#This Row],[Motivation (Non-Gamification %)]]</f>
        <v>11.086329310000011</v>
      </c>
      <c r="AC863" s="28">
        <f>Table1[[#This Row],[Participation (Gamification %)]]-Table1[[#This Row],[Participation (Non-Gamification %)]]</f>
        <v>10.659065410000011</v>
      </c>
      <c r="AD863" s="28">
        <f>Table1[[#This Row],[Learning Outcomes (Gamification %)]]-Table1[[#This Row],[Learning Outcomes (Non-Gamification %)]]</f>
        <v>19.501991189999998</v>
      </c>
      <c r="AE863" s="44" t="str">
        <f>IF(Table1[[#This Row],[Overall Effectiveness]]&lt;3.9,"Low",IF(Table1[[#This Row],[Overall Effectiveness]]&lt;4.2,"Medium","High"))</f>
        <v>Medium</v>
      </c>
      <c r="AF863" s="30" t="str">
        <f t="shared" si="82"/>
        <v>Lectures</v>
      </c>
      <c r="AG863" s="30" t="str">
        <f t="shared" si="83"/>
        <v>Online Tutorials</v>
      </c>
      <c r="AH863" s="27">
        <f>COUNTIF(Teacher_Master!$D$2:$D$16,AF863)</f>
        <v>3</v>
      </c>
      <c r="AI863" s="30" t="str">
        <f>INDEX(Teacher_Master!$B$2:$B$16,MATCH(AF863,Teacher_Master!$D$2:$D$16,0))</f>
        <v>Prof. Vikram Gupta</v>
      </c>
    </row>
    <row r="864" spans="1:35" ht="14.25" customHeight="1" x14ac:dyDescent="0.3">
      <c r="A864" s="31" t="s">
        <v>1766</v>
      </c>
      <c r="B864" s="31" t="s">
        <v>2704</v>
      </c>
      <c r="C864" s="31" t="s">
        <v>2882</v>
      </c>
      <c r="D864" s="12">
        <f t="shared" ca="1" si="78"/>
        <v>25</v>
      </c>
      <c r="E864" s="12" t="str">
        <f ca="1">IF(Table1[[#This Row],[Age]]&lt;=22,"20-22",IF(Table1[[#This Row],[Age]]&lt;=25,"23-25",IF(Table1[[#This Row],[Age]]&lt;=28,"26-28","29-30")))</f>
        <v>23-25</v>
      </c>
      <c r="F864" s="12">
        <v>3.3</v>
      </c>
      <c r="G864" s="12">
        <v>3.79</v>
      </c>
      <c r="H864" s="12">
        <v>4.29</v>
      </c>
      <c r="I864" s="12">
        <v>3.94</v>
      </c>
      <c r="J864" s="12">
        <v>4.45</v>
      </c>
      <c r="K864" s="12">
        <v>4.03</v>
      </c>
      <c r="L864" s="12">
        <v>3.6</v>
      </c>
      <c r="M864" s="12">
        <v>4.28</v>
      </c>
      <c r="N864" s="12">
        <v>4.08</v>
      </c>
      <c r="O864" s="12">
        <v>3.8</v>
      </c>
      <c r="P864" s="12">
        <f t="shared" si="79"/>
        <v>3.9539999999999997</v>
      </c>
      <c r="Q864" s="12">
        <f t="shared" si="80"/>
        <v>3.95</v>
      </c>
      <c r="R864" s="12">
        <f t="shared" si="81"/>
        <v>3.9579999999999997</v>
      </c>
      <c r="S864" s="28">
        <f>IFERROR(INDEX('Clean Gamification Data'!$B:$B,MATCH($B864,'Clean Gamification Data'!$A:$A,0)),"Not Found")</f>
        <v>94.682766790000002</v>
      </c>
      <c r="T864" s="28">
        <f>IFERROR(INDEX('Clean Gamification Data'!$C:$C,MATCH($B864,'Clean Gamification Data'!$A:$A,0)),"Not Found")</f>
        <v>72.917688999999996</v>
      </c>
      <c r="U864" s="28">
        <f>IFERROR(INDEX('Clean Gamification Data'!$D:$D,MATCH($B864,'Clean Gamification Data'!$A:$A,0)),"Not Found")</f>
        <v>70</v>
      </c>
      <c r="V864" s="28">
        <f>IFERROR(INDEX('Clean Gamification Data'!$E:$E,MATCH($B864,'Clean Gamification Data'!$A:$A,0)),"Not Found")</f>
        <v>65.433143950000002</v>
      </c>
      <c r="W864" s="28">
        <f>IFERROR(INDEX('Clean Gamification Data'!$F:$F,MATCH($B864,'Clean Gamification Data'!$A:$A,0)),"Not Found")</f>
        <v>80.222271379999995</v>
      </c>
      <c r="X864" s="28">
        <f>IFERROR(INDEX('Clean Gamification Data'!$G:$G,MATCH($B864,'Clean Gamification Data'!$A:$A,0)),"Not Found")</f>
        <v>79.411856069999999</v>
      </c>
      <c r="Y864" s="28">
        <f>IFERROR(INDEX('Clean Gamification Data'!$H:$H,MATCH($B864,'Clean Gamification Data'!$A:$A,0)),"Not Found")</f>
        <v>68.43832879</v>
      </c>
      <c r="Z864" s="28">
        <f>IFERROR(INDEX('Clean Gamification Data'!$I:$I,MATCH($B864,'Clean Gamification Data'!$A:$A,0)),"Not Found")</f>
        <v>65.383029820000004</v>
      </c>
      <c r="AA864" s="28">
        <f>Table1[[#This Row],[Engagement (Gamification %)]]-Table1[[#This Row],[Engagement (Non-Gamification %)]]</f>
        <v>21.765077790000007</v>
      </c>
      <c r="AB864" s="28">
        <f>Table1[[#This Row],[Motivation (Gamification %)]]-Table1[[#This Row],[Motivation (Non-Gamification %)]]</f>
        <v>4.5668560499999984</v>
      </c>
      <c r="AC864" s="28">
        <f>Table1[[#This Row],[Participation (Gamification %)]]-Table1[[#This Row],[Participation (Non-Gamification %)]]</f>
        <v>0.81041530999999623</v>
      </c>
      <c r="AD864" s="28">
        <f>Table1[[#This Row],[Learning Outcomes (Gamification %)]]-Table1[[#This Row],[Learning Outcomes (Non-Gamification %)]]</f>
        <v>3.0552989699999955</v>
      </c>
      <c r="AE864" s="44" t="str">
        <f>IF(Table1[[#This Row],[Overall Effectiveness]]&lt;3.9,"Low",IF(Table1[[#This Row],[Overall Effectiveness]]&lt;4.2,"Medium","High"))</f>
        <v>Medium</v>
      </c>
      <c r="AF864" s="30" t="str">
        <f t="shared" si="82"/>
        <v>Online Tutorials</v>
      </c>
      <c r="AG864" s="30" t="str">
        <f t="shared" si="83"/>
        <v>Group Projects</v>
      </c>
      <c r="AH864" s="27">
        <f>COUNTIF(Teacher_Master!$D$2:$D$16,AF864)</f>
        <v>3</v>
      </c>
      <c r="AI864" s="30" t="str">
        <f>INDEX(Teacher_Master!$B$2:$B$16,MATCH(AF864,Teacher_Master!$D$2:$D$16,0))</f>
        <v>Prof. Kavita Rao</v>
      </c>
    </row>
    <row r="865" spans="1:35" ht="14.25" customHeight="1" x14ac:dyDescent="0.3">
      <c r="A865" s="31" t="s">
        <v>1768</v>
      </c>
      <c r="B865" s="31" t="s">
        <v>2705</v>
      </c>
      <c r="C865" s="31" t="s">
        <v>2882</v>
      </c>
      <c r="D865" s="12">
        <f t="shared" ca="1" si="78"/>
        <v>28</v>
      </c>
      <c r="E865" s="12" t="str">
        <f ca="1">IF(Table1[[#This Row],[Age]]&lt;=22,"20-22",IF(Table1[[#This Row],[Age]]&lt;=25,"23-25",IF(Table1[[#This Row],[Age]]&lt;=28,"26-28","29-30")))</f>
        <v>26-28</v>
      </c>
      <c r="F865" s="12">
        <v>4.03</v>
      </c>
      <c r="G865" s="12">
        <v>3.32</v>
      </c>
      <c r="H865" s="12">
        <v>4.09</v>
      </c>
      <c r="I865" s="12">
        <v>4.09</v>
      </c>
      <c r="J865" s="12">
        <v>4.29</v>
      </c>
      <c r="K865" s="12">
        <v>3.3</v>
      </c>
      <c r="L865" s="12">
        <v>4.26</v>
      </c>
      <c r="M865" s="12">
        <v>4.17</v>
      </c>
      <c r="N865" s="12">
        <v>3.77</v>
      </c>
      <c r="O865" s="12">
        <v>3.97</v>
      </c>
      <c r="P865" s="12">
        <f t="shared" si="79"/>
        <v>3.964</v>
      </c>
      <c r="Q865" s="12">
        <f t="shared" si="80"/>
        <v>3.96</v>
      </c>
      <c r="R865" s="12">
        <f t="shared" si="81"/>
        <v>3.8939999999999997</v>
      </c>
      <c r="S865" s="28">
        <f>IFERROR(INDEX('Clean Gamification Data'!$B:$B,MATCH($B865,'Clean Gamification Data'!$A:$A,0)),"Not Found")</f>
        <v>83.544465720000005</v>
      </c>
      <c r="T865" s="28">
        <f>IFERROR(INDEX('Clean Gamification Data'!$C:$C,MATCH($B865,'Clean Gamification Data'!$A:$A,0)),"Not Found")</f>
        <v>68.458982199999994</v>
      </c>
      <c r="U865" s="28">
        <f>IFERROR(INDEX('Clean Gamification Data'!$D:$D,MATCH($B865,'Clean Gamification Data'!$A:$A,0)),"Not Found")</f>
        <v>73.31004867</v>
      </c>
      <c r="V865" s="28">
        <f>IFERROR(INDEX('Clean Gamification Data'!$E:$E,MATCH($B865,'Clean Gamification Data'!$A:$A,0)),"Not Found")</f>
        <v>70.145790419999997</v>
      </c>
      <c r="W865" s="28">
        <f>IFERROR(INDEX('Clean Gamification Data'!$F:$F,MATCH($B865,'Clean Gamification Data'!$A:$A,0)),"Not Found")</f>
        <v>93.192575629999993</v>
      </c>
      <c r="X865" s="28">
        <f>IFERROR(INDEX('Clean Gamification Data'!$G:$G,MATCH($B865,'Clean Gamification Data'!$A:$A,0)),"Not Found")</f>
        <v>67.471149569999994</v>
      </c>
      <c r="Y865" s="28">
        <f>IFERROR(INDEX('Clean Gamification Data'!$H:$H,MATCH($B865,'Clean Gamification Data'!$A:$A,0)),"Not Found")</f>
        <v>72.266714469999997</v>
      </c>
      <c r="Z865" s="28">
        <f>IFERROR(INDEX('Clean Gamification Data'!$I:$I,MATCH($B865,'Clean Gamification Data'!$A:$A,0)),"Not Found")</f>
        <v>53.737782090000003</v>
      </c>
      <c r="AA865" s="28">
        <f>Table1[[#This Row],[Engagement (Gamification %)]]-Table1[[#This Row],[Engagement (Non-Gamification %)]]</f>
        <v>15.085483520000011</v>
      </c>
      <c r="AB865" s="28">
        <f>Table1[[#This Row],[Motivation (Gamification %)]]-Table1[[#This Row],[Motivation (Non-Gamification %)]]</f>
        <v>3.1642582500000032</v>
      </c>
      <c r="AC865" s="28">
        <f>Table1[[#This Row],[Participation (Gamification %)]]-Table1[[#This Row],[Participation (Non-Gamification %)]]</f>
        <v>25.721426059999999</v>
      </c>
      <c r="AD865" s="28">
        <f>Table1[[#This Row],[Learning Outcomes (Gamification %)]]-Table1[[#This Row],[Learning Outcomes (Non-Gamification %)]]</f>
        <v>18.528932379999993</v>
      </c>
      <c r="AE865" s="44" t="str">
        <f>IF(Table1[[#This Row],[Overall Effectiveness]]&lt;3.9,"Low",IF(Table1[[#This Row],[Overall Effectiveness]]&lt;4.2,"Medium","High"))</f>
        <v>Medium</v>
      </c>
      <c r="AF865" s="30" t="str">
        <f t="shared" si="82"/>
        <v>Online Tutorials</v>
      </c>
      <c r="AG865" s="30" t="str">
        <f t="shared" si="83"/>
        <v>Case Studies</v>
      </c>
      <c r="AH865" s="27">
        <f>COUNTIF(Teacher_Master!$D$2:$D$16,AF865)</f>
        <v>3</v>
      </c>
      <c r="AI865" s="30" t="str">
        <f>INDEX(Teacher_Master!$B$2:$B$16,MATCH(AF865,Teacher_Master!$D$2:$D$16,0))</f>
        <v>Prof. Kavita Rao</v>
      </c>
    </row>
    <row r="866" spans="1:35" ht="14.25" customHeight="1" x14ac:dyDescent="0.3">
      <c r="A866" s="31" t="s">
        <v>1770</v>
      </c>
      <c r="B866" s="31" t="s">
        <v>1771</v>
      </c>
      <c r="C866" s="31" t="s">
        <v>2881</v>
      </c>
      <c r="D866" s="12">
        <f t="shared" ca="1" si="78"/>
        <v>27</v>
      </c>
      <c r="E866" s="12" t="str">
        <f ca="1">IF(Table1[[#This Row],[Age]]&lt;=22,"20-22",IF(Table1[[#This Row],[Age]]&lt;=25,"23-25",IF(Table1[[#This Row],[Age]]&lt;=28,"26-28","29-30")))</f>
        <v>26-28</v>
      </c>
      <c r="F866" s="12">
        <v>3.75</v>
      </c>
      <c r="G866" s="12">
        <v>4.41</v>
      </c>
      <c r="H866" s="12">
        <v>4.17</v>
      </c>
      <c r="I866" s="12">
        <v>3.48</v>
      </c>
      <c r="J866" s="12">
        <v>3.92</v>
      </c>
      <c r="K866" s="12">
        <v>3.95</v>
      </c>
      <c r="L866" s="12">
        <v>3.79</v>
      </c>
      <c r="M866" s="12">
        <v>3.93</v>
      </c>
      <c r="N866" s="12">
        <v>4.03</v>
      </c>
      <c r="O866" s="12">
        <v>4.25</v>
      </c>
      <c r="P866" s="12">
        <f t="shared" si="79"/>
        <v>3.9460000000000002</v>
      </c>
      <c r="Q866" s="12">
        <f t="shared" si="80"/>
        <v>3.95</v>
      </c>
      <c r="R866" s="12">
        <f t="shared" si="81"/>
        <v>3.9899999999999998</v>
      </c>
      <c r="S866" s="28">
        <f>IFERROR(INDEX('Clean Gamification Data'!$B:$B,MATCH($B866,'Clean Gamification Data'!$A:$A,0)),"Not Found")</f>
        <v>75</v>
      </c>
      <c r="T866" s="28">
        <f>IFERROR(INDEX('Clean Gamification Data'!$C:$C,MATCH($B866,'Clean Gamification Data'!$A:$A,0)),"Not Found")</f>
        <v>68.096452249999999</v>
      </c>
      <c r="U866" s="28">
        <f>IFERROR(INDEX('Clean Gamification Data'!$D:$D,MATCH($B866,'Clean Gamification Data'!$A:$A,0)),"Not Found")</f>
        <v>85.585654239999997</v>
      </c>
      <c r="V866" s="28">
        <f>IFERROR(INDEX('Clean Gamification Data'!$E:$E,MATCH($B866,'Clean Gamification Data'!$A:$A,0)),"Not Found")</f>
        <v>67.752702819999996</v>
      </c>
      <c r="W866" s="28">
        <f>IFERROR(INDEX('Clean Gamification Data'!$F:$F,MATCH($B866,'Clean Gamification Data'!$A:$A,0)),"Not Found")</f>
        <v>92.221588609999998</v>
      </c>
      <c r="X866" s="28">
        <f>IFERROR(INDEX('Clean Gamification Data'!$G:$G,MATCH($B866,'Clean Gamification Data'!$A:$A,0)),"Not Found")</f>
        <v>81.992269399999998</v>
      </c>
      <c r="Y866" s="28">
        <f>IFERROR(INDEX('Clean Gamification Data'!$H:$H,MATCH($B866,'Clean Gamification Data'!$A:$A,0)),"Not Found")</f>
        <v>68.939015749999996</v>
      </c>
      <c r="Z866" s="28">
        <f>IFERROR(INDEX('Clean Gamification Data'!$I:$I,MATCH($B866,'Clean Gamification Data'!$A:$A,0)),"Not Found")</f>
        <v>54.063121109999997</v>
      </c>
      <c r="AA866" s="28">
        <f>Table1[[#This Row],[Engagement (Gamification %)]]-Table1[[#This Row],[Engagement (Non-Gamification %)]]</f>
        <v>6.9035477500000013</v>
      </c>
      <c r="AB866" s="28">
        <f>Table1[[#This Row],[Motivation (Gamification %)]]-Table1[[#This Row],[Motivation (Non-Gamification %)]]</f>
        <v>17.832951420000001</v>
      </c>
      <c r="AC866" s="28">
        <f>Table1[[#This Row],[Participation (Gamification %)]]-Table1[[#This Row],[Participation (Non-Gamification %)]]</f>
        <v>10.22931921</v>
      </c>
      <c r="AD866" s="28">
        <f>Table1[[#This Row],[Learning Outcomes (Gamification %)]]-Table1[[#This Row],[Learning Outcomes (Non-Gamification %)]]</f>
        <v>14.875894639999999</v>
      </c>
      <c r="AE866" s="44" t="str">
        <f>IF(Table1[[#This Row],[Overall Effectiveness]]&lt;3.9,"Low",IF(Table1[[#This Row],[Overall Effectiveness]]&lt;4.2,"Medium","High"))</f>
        <v>Medium</v>
      </c>
      <c r="AF866" s="30" t="str">
        <f t="shared" si="82"/>
        <v>Case Studies</v>
      </c>
      <c r="AG866" s="30" t="str">
        <f t="shared" si="83"/>
        <v>Online Tutorials</v>
      </c>
      <c r="AH866" s="27">
        <f>COUNTIF(Teacher_Master!$D$2:$D$16,AF866)</f>
        <v>3</v>
      </c>
      <c r="AI866" s="30" t="str">
        <f>INDEX(Teacher_Master!$B$2:$B$16,MATCH(AF866,Teacher_Master!$D$2:$D$16,0))</f>
        <v>Prof. Rajesh Mukherjee</v>
      </c>
    </row>
    <row r="867" spans="1:35" ht="14.25" customHeight="1" x14ac:dyDescent="0.3">
      <c r="A867" s="31" t="s">
        <v>1772</v>
      </c>
      <c r="B867" s="31" t="s">
        <v>2706</v>
      </c>
      <c r="C867" s="31" t="s">
        <v>2881</v>
      </c>
      <c r="D867" s="12">
        <f t="shared" ca="1" si="78"/>
        <v>28</v>
      </c>
      <c r="E867" s="12" t="str">
        <f ca="1">IF(Table1[[#This Row],[Age]]&lt;=22,"20-22",IF(Table1[[#This Row],[Age]]&lt;=25,"23-25",IF(Table1[[#This Row],[Age]]&lt;=28,"26-28","29-30")))</f>
        <v>26-28</v>
      </c>
      <c r="F867" s="12">
        <v>3.72</v>
      </c>
      <c r="G867" s="12">
        <v>4.18</v>
      </c>
      <c r="H867" s="12">
        <v>4.41</v>
      </c>
      <c r="I867" s="12">
        <v>3.97</v>
      </c>
      <c r="J867" s="12">
        <v>4.18</v>
      </c>
      <c r="K867" s="12">
        <v>3.86</v>
      </c>
      <c r="L867" s="12">
        <v>4.76</v>
      </c>
      <c r="M867" s="12">
        <v>4.32</v>
      </c>
      <c r="N867" s="12">
        <v>3.98</v>
      </c>
      <c r="O867" s="12">
        <v>4.4800000000000004</v>
      </c>
      <c r="P867" s="12">
        <f t="shared" si="79"/>
        <v>4.0920000000000005</v>
      </c>
      <c r="Q867" s="12">
        <f t="shared" si="80"/>
        <v>4.09</v>
      </c>
      <c r="R867" s="12">
        <f t="shared" si="81"/>
        <v>4.2799999999999994</v>
      </c>
      <c r="S867" s="28">
        <f>IFERROR(INDEX('Clean Gamification Data'!$B:$B,MATCH($B867,'Clean Gamification Data'!$A:$A,0)),"Not Found")</f>
        <v>86.713593130000007</v>
      </c>
      <c r="T867" s="28">
        <f>IFERROR(INDEX('Clean Gamification Data'!$C:$C,MATCH($B867,'Clean Gamification Data'!$A:$A,0)),"Not Found")</f>
        <v>71.882931060000004</v>
      </c>
      <c r="U867" s="28">
        <f>IFERROR(INDEX('Clean Gamification Data'!$D:$D,MATCH($B867,'Clean Gamification Data'!$A:$A,0)),"Not Found")</f>
        <v>79.991391649999997</v>
      </c>
      <c r="V867" s="28">
        <f>IFERROR(INDEX('Clean Gamification Data'!$E:$E,MATCH($B867,'Clean Gamification Data'!$A:$A,0)),"Not Found")</f>
        <v>72.904729009999997</v>
      </c>
      <c r="W867" s="28">
        <f>IFERROR(INDEX('Clean Gamification Data'!$F:$F,MATCH($B867,'Clean Gamification Data'!$A:$A,0)),"Not Found")</f>
        <v>98.18748162</v>
      </c>
      <c r="X867" s="28">
        <f>IFERROR(INDEX('Clean Gamification Data'!$G:$G,MATCH($B867,'Clean Gamification Data'!$A:$A,0)),"Not Found")</f>
        <v>73.884588089999994</v>
      </c>
      <c r="Y867" s="28">
        <f>IFERROR(INDEX('Clean Gamification Data'!$H:$H,MATCH($B867,'Clean Gamification Data'!$A:$A,0)),"Not Found")</f>
        <v>73.50229204</v>
      </c>
      <c r="Z867" s="28">
        <f>IFERROR(INDEX('Clean Gamification Data'!$I:$I,MATCH($B867,'Clean Gamification Data'!$A:$A,0)),"Not Found")</f>
        <v>56.663448420000002</v>
      </c>
      <c r="AA867" s="28">
        <f>Table1[[#This Row],[Engagement (Gamification %)]]-Table1[[#This Row],[Engagement (Non-Gamification %)]]</f>
        <v>14.830662070000002</v>
      </c>
      <c r="AB867" s="28">
        <f>Table1[[#This Row],[Motivation (Gamification %)]]-Table1[[#This Row],[Motivation (Non-Gamification %)]]</f>
        <v>7.0866626400000001</v>
      </c>
      <c r="AC867" s="28">
        <f>Table1[[#This Row],[Participation (Gamification %)]]-Table1[[#This Row],[Participation (Non-Gamification %)]]</f>
        <v>24.302893530000006</v>
      </c>
      <c r="AD867" s="28">
        <f>Table1[[#This Row],[Learning Outcomes (Gamification %)]]-Table1[[#This Row],[Learning Outcomes (Non-Gamification %)]]</f>
        <v>16.838843619999999</v>
      </c>
      <c r="AE867" s="44" t="str">
        <f>IF(Table1[[#This Row],[Overall Effectiveness]]&lt;3.9,"Low",IF(Table1[[#This Row],[Overall Effectiveness]]&lt;4.2,"Medium","High"))</f>
        <v>Medium</v>
      </c>
      <c r="AF867" s="30" t="str">
        <f t="shared" si="82"/>
        <v>Group Projects</v>
      </c>
      <c r="AG867" s="30" t="str">
        <f t="shared" si="83"/>
        <v>Case Studies</v>
      </c>
      <c r="AH867" s="27">
        <f>COUNTIF(Teacher_Master!$D$2:$D$16,AF867)</f>
        <v>3</v>
      </c>
      <c r="AI867" s="30" t="str">
        <f>INDEX(Teacher_Master!$B$2:$B$16,MATCH(AF867,Teacher_Master!$D$2:$D$16,0))</f>
        <v>Dr. Rohan Dutta</v>
      </c>
    </row>
    <row r="868" spans="1:35" ht="14.25" customHeight="1" x14ac:dyDescent="0.3">
      <c r="A868" s="31" t="s">
        <v>1774</v>
      </c>
      <c r="B868" s="31" t="s">
        <v>1775</v>
      </c>
      <c r="C868" s="31" t="s">
        <v>2882</v>
      </c>
      <c r="D868" s="12">
        <f t="shared" ca="1" si="78"/>
        <v>28</v>
      </c>
      <c r="E868" s="12" t="str">
        <f ca="1">IF(Table1[[#This Row],[Age]]&lt;=22,"20-22",IF(Table1[[#This Row],[Age]]&lt;=25,"23-25",IF(Table1[[#This Row],[Age]]&lt;=28,"26-28","29-30")))</f>
        <v>26-28</v>
      </c>
      <c r="F868" s="12">
        <v>3.82</v>
      </c>
      <c r="G868" s="12">
        <v>4.1399999999999997</v>
      </c>
      <c r="H868" s="12">
        <v>4.1100000000000003</v>
      </c>
      <c r="I868" s="12">
        <v>3.81</v>
      </c>
      <c r="J868" s="12">
        <v>3.82</v>
      </c>
      <c r="K868" s="12">
        <v>4.0599999999999996</v>
      </c>
      <c r="L868" s="12">
        <v>4.3499999999999996</v>
      </c>
      <c r="M868" s="12">
        <v>4.63</v>
      </c>
      <c r="N868" s="12">
        <v>3.92</v>
      </c>
      <c r="O868" s="12">
        <v>3.86</v>
      </c>
      <c r="P868" s="12">
        <f t="shared" si="79"/>
        <v>3.94</v>
      </c>
      <c r="Q868" s="12">
        <f t="shared" si="80"/>
        <v>3.94</v>
      </c>
      <c r="R868" s="12">
        <f t="shared" si="81"/>
        <v>4.1639999999999997</v>
      </c>
      <c r="S868" s="28">
        <f>IFERROR(INDEX('Clean Gamification Data'!$B:$B,MATCH($B868,'Clean Gamification Data'!$A:$A,0)),"Not Found")</f>
        <v>81.780841330000001</v>
      </c>
      <c r="T868" s="28">
        <f>IFERROR(INDEX('Clean Gamification Data'!$C:$C,MATCH($B868,'Clean Gamification Data'!$A:$A,0)),"Not Found")</f>
        <v>67.021037219999997</v>
      </c>
      <c r="U868" s="28">
        <f>IFERROR(INDEX('Clean Gamification Data'!$D:$D,MATCH($B868,'Clean Gamification Data'!$A:$A,0)),"Not Found")</f>
        <v>83.881675509999994</v>
      </c>
      <c r="V868" s="28">
        <f>IFERROR(INDEX('Clean Gamification Data'!$E:$E,MATCH($B868,'Clean Gamification Data'!$A:$A,0)),"Not Found")</f>
        <v>61.39739694</v>
      </c>
      <c r="W868" s="28">
        <f>IFERROR(INDEX('Clean Gamification Data'!$F:$F,MATCH($B868,'Clean Gamification Data'!$A:$A,0)),"Not Found")</f>
        <v>96.457905429999997</v>
      </c>
      <c r="X868" s="28">
        <f>IFERROR(INDEX('Clean Gamification Data'!$G:$G,MATCH($B868,'Clean Gamification Data'!$A:$A,0)),"Not Found")</f>
        <v>81.576950429999997</v>
      </c>
      <c r="Y868" s="28">
        <f>IFERROR(INDEX('Clean Gamification Data'!$H:$H,MATCH($B868,'Clean Gamification Data'!$A:$A,0)),"Not Found")</f>
        <v>70.203180849999995</v>
      </c>
      <c r="Z868" s="28">
        <f>IFERROR(INDEX('Clean Gamification Data'!$I:$I,MATCH($B868,'Clean Gamification Data'!$A:$A,0)),"Not Found")</f>
        <v>64.577920919999997</v>
      </c>
      <c r="AA868" s="28">
        <f>Table1[[#This Row],[Engagement (Gamification %)]]-Table1[[#This Row],[Engagement (Non-Gamification %)]]</f>
        <v>14.759804110000005</v>
      </c>
      <c r="AB868" s="28">
        <f>Table1[[#This Row],[Motivation (Gamification %)]]-Table1[[#This Row],[Motivation (Non-Gamification %)]]</f>
        <v>22.484278569999994</v>
      </c>
      <c r="AC868" s="28">
        <f>Table1[[#This Row],[Participation (Gamification %)]]-Table1[[#This Row],[Participation (Non-Gamification %)]]</f>
        <v>14.880955</v>
      </c>
      <c r="AD868" s="28">
        <f>Table1[[#This Row],[Learning Outcomes (Gamification %)]]-Table1[[#This Row],[Learning Outcomes (Non-Gamification %)]]</f>
        <v>5.6252599299999986</v>
      </c>
      <c r="AE868" s="44" t="str">
        <f>IF(Table1[[#This Row],[Overall Effectiveness]]&lt;3.9,"Low",IF(Table1[[#This Row],[Overall Effectiveness]]&lt;4.2,"Medium","High"))</f>
        <v>Medium</v>
      </c>
      <c r="AF868" s="30" t="str">
        <f t="shared" si="82"/>
        <v>Case Studies</v>
      </c>
      <c r="AG868" s="30" t="str">
        <f t="shared" si="83"/>
        <v>Group Projects</v>
      </c>
      <c r="AH868" s="27">
        <f>COUNTIF(Teacher_Master!$D$2:$D$16,AF868)</f>
        <v>3</v>
      </c>
      <c r="AI868" s="30" t="str">
        <f>INDEX(Teacher_Master!$B$2:$B$16,MATCH(AF868,Teacher_Master!$D$2:$D$16,0))</f>
        <v>Prof. Rajesh Mukherjee</v>
      </c>
    </row>
    <row r="869" spans="1:35" ht="14.25" customHeight="1" x14ac:dyDescent="0.3">
      <c r="A869" s="31" t="s">
        <v>1776</v>
      </c>
      <c r="B869" s="31" t="s">
        <v>1777</v>
      </c>
      <c r="C869" s="31" t="s">
        <v>2881</v>
      </c>
      <c r="D869" s="12">
        <f t="shared" ca="1" si="78"/>
        <v>22</v>
      </c>
      <c r="E869" s="12" t="str">
        <f ca="1">IF(Table1[[#This Row],[Age]]&lt;=22,"20-22",IF(Table1[[#This Row],[Age]]&lt;=25,"23-25",IF(Table1[[#This Row],[Age]]&lt;=28,"26-28","29-30")))</f>
        <v>20-22</v>
      </c>
      <c r="F869" s="12">
        <v>3.8</v>
      </c>
      <c r="G869" s="12">
        <v>3.47</v>
      </c>
      <c r="H869" s="12">
        <v>3.97</v>
      </c>
      <c r="I869" s="12">
        <v>4</v>
      </c>
      <c r="J869" s="12">
        <v>4.03</v>
      </c>
      <c r="K869" s="12">
        <v>3.94</v>
      </c>
      <c r="L869" s="12">
        <v>4</v>
      </c>
      <c r="M869" s="12">
        <v>3.81</v>
      </c>
      <c r="N869" s="12">
        <v>4.03</v>
      </c>
      <c r="O869" s="12">
        <v>4.53</v>
      </c>
      <c r="P869" s="12">
        <f t="shared" si="79"/>
        <v>3.8540000000000001</v>
      </c>
      <c r="Q869" s="12">
        <f t="shared" si="80"/>
        <v>3.85</v>
      </c>
      <c r="R869" s="12">
        <f t="shared" si="81"/>
        <v>4.0620000000000003</v>
      </c>
      <c r="S869" s="28">
        <f>IFERROR(INDEX('Clean Gamification Data'!$B:$B,MATCH($B869,'Clean Gamification Data'!$A:$A,0)),"Not Found")</f>
        <v>79.899282420000006</v>
      </c>
      <c r="T869" s="28">
        <f>IFERROR(INDEX('Clean Gamification Data'!$C:$C,MATCH($B869,'Clean Gamification Data'!$A:$A,0)),"Not Found")</f>
        <v>68.321203139999994</v>
      </c>
      <c r="U869" s="28">
        <f>IFERROR(INDEX('Clean Gamification Data'!$D:$D,MATCH($B869,'Clean Gamification Data'!$A:$A,0)),"Not Found")</f>
        <v>80.865138939999994</v>
      </c>
      <c r="V869" s="28">
        <f>IFERROR(INDEX('Clean Gamification Data'!$E:$E,MATCH($B869,'Clean Gamification Data'!$A:$A,0)),"Not Found")</f>
        <v>61.565266200000003</v>
      </c>
      <c r="W869" s="28">
        <f>IFERROR(INDEX('Clean Gamification Data'!$F:$F,MATCH($B869,'Clean Gamification Data'!$A:$A,0)),"Not Found")</f>
        <v>99.9</v>
      </c>
      <c r="X869" s="28">
        <f>IFERROR(INDEX('Clean Gamification Data'!$G:$G,MATCH($B869,'Clean Gamification Data'!$A:$A,0)),"Not Found")</f>
        <v>72.306914329999998</v>
      </c>
      <c r="Y869" s="28">
        <f>IFERROR(INDEX('Clean Gamification Data'!$H:$H,MATCH($B869,'Clean Gamification Data'!$A:$A,0)),"Not Found")</f>
        <v>74.413553690000001</v>
      </c>
      <c r="Z869" s="28">
        <f>IFERROR(INDEX('Clean Gamification Data'!$I:$I,MATCH($B869,'Clean Gamification Data'!$A:$A,0)),"Not Found")</f>
        <v>66.861228260000004</v>
      </c>
      <c r="AA869" s="28">
        <f>Table1[[#This Row],[Engagement (Gamification %)]]-Table1[[#This Row],[Engagement (Non-Gamification %)]]</f>
        <v>11.578079280000011</v>
      </c>
      <c r="AB869" s="28">
        <f>Table1[[#This Row],[Motivation (Gamification %)]]-Table1[[#This Row],[Motivation (Non-Gamification %)]]</f>
        <v>19.299872739999991</v>
      </c>
      <c r="AC869" s="28">
        <f>Table1[[#This Row],[Participation (Gamification %)]]-Table1[[#This Row],[Participation (Non-Gamification %)]]</f>
        <v>27.593085670000008</v>
      </c>
      <c r="AD869" s="28">
        <f>Table1[[#This Row],[Learning Outcomes (Gamification %)]]-Table1[[#This Row],[Learning Outcomes (Non-Gamification %)]]</f>
        <v>7.5523254299999962</v>
      </c>
      <c r="AE869" s="44" t="str">
        <f>IF(Table1[[#This Row],[Overall Effectiveness]]&lt;3.9,"Low",IF(Table1[[#This Row],[Overall Effectiveness]]&lt;4.2,"Medium","High"))</f>
        <v>Low</v>
      </c>
      <c r="AF869" s="30" t="str">
        <f t="shared" si="82"/>
        <v>Online Tutorials</v>
      </c>
      <c r="AG869" s="30" t="str">
        <f t="shared" si="83"/>
        <v>Online Tutorials</v>
      </c>
      <c r="AH869" s="27">
        <f>COUNTIF(Teacher_Master!$D$2:$D$16,AF869)</f>
        <v>3</v>
      </c>
      <c r="AI869" s="30" t="str">
        <f>INDEX(Teacher_Master!$B$2:$B$16,MATCH(AF869,Teacher_Master!$D$2:$D$16,0))</f>
        <v>Prof. Kavita Rao</v>
      </c>
    </row>
    <row r="870" spans="1:35" ht="14.25" customHeight="1" x14ac:dyDescent="0.3">
      <c r="A870" s="31" t="s">
        <v>1778</v>
      </c>
      <c r="B870" s="31" t="s">
        <v>1779</v>
      </c>
      <c r="C870" s="31" t="s">
        <v>2881</v>
      </c>
      <c r="D870" s="12">
        <f t="shared" ca="1" si="78"/>
        <v>22</v>
      </c>
      <c r="E870" s="12" t="str">
        <f ca="1">IF(Table1[[#This Row],[Age]]&lt;=22,"20-22",IF(Table1[[#This Row],[Age]]&lt;=25,"23-25",IF(Table1[[#This Row],[Age]]&lt;=28,"26-28","29-30")))</f>
        <v>20-22</v>
      </c>
      <c r="F870" s="12">
        <v>3.96</v>
      </c>
      <c r="G870" s="12">
        <v>3.63</v>
      </c>
      <c r="H870" s="12">
        <v>3.97</v>
      </c>
      <c r="I870" s="12">
        <v>4.1500000000000004</v>
      </c>
      <c r="J870" s="12">
        <v>3.69</v>
      </c>
      <c r="K870" s="12">
        <v>4.18</v>
      </c>
      <c r="L870" s="12">
        <v>4.07</v>
      </c>
      <c r="M870" s="12">
        <v>4.33</v>
      </c>
      <c r="N870" s="12">
        <v>3.64</v>
      </c>
      <c r="O870" s="12">
        <v>4.4800000000000004</v>
      </c>
      <c r="P870" s="12">
        <f t="shared" si="79"/>
        <v>3.8800000000000003</v>
      </c>
      <c r="Q870" s="12">
        <f t="shared" si="80"/>
        <v>3.88</v>
      </c>
      <c r="R870" s="12">
        <f t="shared" si="81"/>
        <v>4.1399999999999997</v>
      </c>
      <c r="S870" s="28">
        <f>IFERROR(INDEX('Clean Gamification Data'!$B:$B,MATCH($B870,'Clean Gamification Data'!$A:$A,0)),"Not Found")</f>
        <v>76.557849340000004</v>
      </c>
      <c r="T870" s="28">
        <f>IFERROR(INDEX('Clean Gamification Data'!$C:$C,MATCH($B870,'Clean Gamification Data'!$A:$A,0)),"Not Found")</f>
        <v>77.959721560000006</v>
      </c>
      <c r="U870" s="28">
        <f>IFERROR(INDEX('Clean Gamification Data'!$D:$D,MATCH($B870,'Clean Gamification Data'!$A:$A,0)),"Not Found")</f>
        <v>75.667867990000005</v>
      </c>
      <c r="V870" s="28">
        <f>IFERROR(INDEX('Clean Gamification Data'!$E:$E,MATCH($B870,'Clean Gamification Data'!$A:$A,0)),"Not Found")</f>
        <v>60.690512269999999</v>
      </c>
      <c r="W870" s="28">
        <f>IFERROR(INDEX('Clean Gamification Data'!$F:$F,MATCH($B870,'Clean Gamification Data'!$A:$A,0)),"Not Found")</f>
        <v>80.152639960000002</v>
      </c>
      <c r="X870" s="28">
        <f>IFERROR(INDEX('Clean Gamification Data'!$G:$G,MATCH($B870,'Clean Gamification Data'!$A:$A,0)),"Not Found")</f>
        <v>75.019025310000004</v>
      </c>
      <c r="Y870" s="28">
        <f>IFERROR(INDEX('Clean Gamification Data'!$H:$H,MATCH($B870,'Clean Gamification Data'!$A:$A,0)),"Not Found")</f>
        <v>65.193093599999997</v>
      </c>
      <c r="Z870" s="28">
        <f>IFERROR(INDEX('Clean Gamification Data'!$I:$I,MATCH($B870,'Clean Gamification Data'!$A:$A,0)),"Not Found")</f>
        <v>66.077804389999997</v>
      </c>
      <c r="AA870" s="28">
        <f>Table1[[#This Row],[Engagement (Gamification %)]]-Table1[[#This Row],[Engagement (Non-Gamification %)]]</f>
        <v>-1.4018722200000013</v>
      </c>
      <c r="AB870" s="28">
        <f>Table1[[#This Row],[Motivation (Gamification %)]]-Table1[[#This Row],[Motivation (Non-Gamification %)]]</f>
        <v>14.977355720000006</v>
      </c>
      <c r="AC870" s="28">
        <f>Table1[[#This Row],[Participation (Gamification %)]]-Table1[[#This Row],[Participation (Non-Gamification %)]]</f>
        <v>5.1336146499999984</v>
      </c>
      <c r="AD870" s="28">
        <f>Table1[[#This Row],[Learning Outcomes (Gamification %)]]-Table1[[#This Row],[Learning Outcomes (Non-Gamification %)]]</f>
        <v>-0.88471078999999975</v>
      </c>
      <c r="AE870" s="44" t="str">
        <f>IF(Table1[[#This Row],[Overall Effectiveness]]&lt;3.9,"Low",IF(Table1[[#This Row],[Overall Effectiveness]]&lt;4.2,"Medium","High"))</f>
        <v>Low</v>
      </c>
      <c r="AF870" s="30" t="str">
        <f t="shared" si="82"/>
        <v>Experiments</v>
      </c>
      <c r="AG870" s="30" t="str">
        <f t="shared" si="83"/>
        <v>Online Tutorials</v>
      </c>
      <c r="AH870" s="27">
        <f>COUNTIF(Teacher_Master!$D$2:$D$16,AF870)</f>
        <v>3</v>
      </c>
      <c r="AI870" s="30" t="str">
        <f>INDEX(Teacher_Master!$B$2:$B$16,MATCH(AF870,Teacher_Master!$D$2:$D$16,0))</f>
        <v>Prof. Rahul Singh</v>
      </c>
    </row>
    <row r="871" spans="1:35" ht="14.25" customHeight="1" x14ac:dyDescent="0.3">
      <c r="A871" s="31" t="s">
        <v>1780</v>
      </c>
      <c r="B871" s="31" t="s">
        <v>2707</v>
      </c>
      <c r="C871" s="31" t="s">
        <v>2882</v>
      </c>
      <c r="D871" s="12">
        <f t="shared" ca="1" si="78"/>
        <v>22</v>
      </c>
      <c r="E871" s="12" t="str">
        <f ca="1">IF(Table1[[#This Row],[Age]]&lt;=22,"20-22",IF(Table1[[#This Row],[Age]]&lt;=25,"23-25",IF(Table1[[#This Row],[Age]]&lt;=28,"26-28","29-30")))</f>
        <v>20-22</v>
      </c>
      <c r="F871" s="12">
        <v>3.64</v>
      </c>
      <c r="G871" s="12">
        <v>3.54</v>
      </c>
      <c r="H871" s="12">
        <v>4.2300000000000004</v>
      </c>
      <c r="I871" s="12">
        <v>4.2699999999999996</v>
      </c>
      <c r="J871" s="12" t="s">
        <v>211</v>
      </c>
      <c r="K871" s="12">
        <v>3.77</v>
      </c>
      <c r="L871" s="12">
        <v>3.66</v>
      </c>
      <c r="M871" s="12">
        <v>4.3</v>
      </c>
      <c r="N871" s="12">
        <v>3.2</v>
      </c>
      <c r="O871" s="12">
        <v>4.21</v>
      </c>
      <c r="P871" s="12">
        <f t="shared" si="79"/>
        <v>3.92</v>
      </c>
      <c r="Q871" s="12">
        <f t="shared" si="80"/>
        <v>3.92</v>
      </c>
      <c r="R871" s="12">
        <f t="shared" si="81"/>
        <v>3.8280000000000003</v>
      </c>
      <c r="S871" s="28">
        <f>IFERROR(INDEX('Clean Gamification Data'!$B:$B,MATCH($B871,'Clean Gamification Data'!$A:$A,0)),"Not Found")</f>
        <v>96.679184710000001</v>
      </c>
      <c r="T871" s="28">
        <f>IFERROR(INDEX('Clean Gamification Data'!$C:$C,MATCH($B871,'Clean Gamification Data'!$A:$A,0)),"Not Found")</f>
        <v>67.404541949999995</v>
      </c>
      <c r="U871" s="28">
        <f>IFERROR(INDEX('Clean Gamification Data'!$D:$D,MATCH($B871,'Clean Gamification Data'!$A:$A,0)),"Not Found")</f>
        <v>70.660455920000004</v>
      </c>
      <c r="V871" s="28">
        <f>IFERROR(INDEX('Clean Gamification Data'!$E:$E,MATCH($B871,'Clean Gamification Data'!$A:$A,0)),"Not Found")</f>
        <v>61.979434580000003</v>
      </c>
      <c r="W871" s="28">
        <f>IFERROR(INDEX('Clean Gamification Data'!$F:$F,MATCH($B871,'Clean Gamification Data'!$A:$A,0)),"Not Found")</f>
        <v>97.045826270000006</v>
      </c>
      <c r="X871" s="28">
        <f>IFERROR(INDEX('Clean Gamification Data'!$G:$G,MATCH($B871,'Clean Gamification Data'!$A:$A,0)),"Not Found")</f>
        <v>76.7715824</v>
      </c>
      <c r="Y871" s="28">
        <f>IFERROR(INDEX('Clean Gamification Data'!$H:$H,MATCH($B871,'Clean Gamification Data'!$A:$A,0)),"Not Found")</f>
        <v>74.129696960000004</v>
      </c>
      <c r="Z871" s="28">
        <f>IFERROR(INDEX('Clean Gamification Data'!$I:$I,MATCH($B871,'Clean Gamification Data'!$A:$A,0)),"Not Found")</f>
        <v>50.150728059999999</v>
      </c>
      <c r="AA871" s="28">
        <f>Table1[[#This Row],[Engagement (Gamification %)]]-Table1[[#This Row],[Engagement (Non-Gamification %)]]</f>
        <v>29.274642760000006</v>
      </c>
      <c r="AB871" s="28">
        <f>Table1[[#This Row],[Motivation (Gamification %)]]-Table1[[#This Row],[Motivation (Non-Gamification %)]]</f>
        <v>8.6810213400000009</v>
      </c>
      <c r="AC871" s="28">
        <f>Table1[[#This Row],[Participation (Gamification %)]]-Table1[[#This Row],[Participation (Non-Gamification %)]]</f>
        <v>20.274243870000006</v>
      </c>
      <c r="AD871" s="28">
        <f>Table1[[#This Row],[Learning Outcomes (Gamification %)]]-Table1[[#This Row],[Learning Outcomes (Non-Gamification %)]]</f>
        <v>23.978968900000005</v>
      </c>
      <c r="AE871" s="44" t="str">
        <f>IF(Table1[[#This Row],[Overall Effectiveness]]&lt;3.9,"Low",IF(Table1[[#This Row],[Overall Effectiveness]]&lt;4.2,"Medium","High"))</f>
        <v>Medium</v>
      </c>
      <c r="AF871" s="30" t="str">
        <f t="shared" si="82"/>
        <v>Experiments</v>
      </c>
      <c r="AG871" s="30" t="str">
        <f t="shared" si="83"/>
        <v>Group Projects</v>
      </c>
      <c r="AH871" s="27">
        <f>COUNTIF(Teacher_Master!$D$2:$D$16,AF871)</f>
        <v>3</v>
      </c>
      <c r="AI871" s="30" t="str">
        <f>INDEX(Teacher_Master!$B$2:$B$16,MATCH(AF871,Teacher_Master!$D$2:$D$16,0))</f>
        <v>Prof. Rahul Singh</v>
      </c>
    </row>
    <row r="872" spans="1:35" ht="14.25" customHeight="1" x14ac:dyDescent="0.3">
      <c r="A872" s="31" t="s">
        <v>1782</v>
      </c>
      <c r="B872" s="31" t="s">
        <v>2708</v>
      </c>
      <c r="C872" s="31" t="s">
        <v>2882</v>
      </c>
      <c r="D872" s="12">
        <f t="shared" ca="1" si="78"/>
        <v>27</v>
      </c>
      <c r="E872" s="12" t="str">
        <f ca="1">IF(Table1[[#This Row],[Age]]&lt;=22,"20-22",IF(Table1[[#This Row],[Age]]&lt;=25,"23-25",IF(Table1[[#This Row],[Age]]&lt;=28,"26-28","29-30")))</f>
        <v>26-28</v>
      </c>
      <c r="F872" s="12">
        <v>4.0999999999999996</v>
      </c>
      <c r="G872" s="12">
        <v>4.13</v>
      </c>
      <c r="H872" s="12">
        <v>4.6900000000000004</v>
      </c>
      <c r="I872" s="12">
        <v>3.75</v>
      </c>
      <c r="J872" s="12">
        <v>4.4800000000000004</v>
      </c>
      <c r="K872" s="12">
        <v>4.12</v>
      </c>
      <c r="L872" s="12">
        <v>4.1900000000000004</v>
      </c>
      <c r="M872" s="12">
        <v>3.69</v>
      </c>
      <c r="N872" s="12">
        <v>4.12</v>
      </c>
      <c r="O872" s="12">
        <v>3.68</v>
      </c>
      <c r="P872" s="12">
        <f t="shared" si="79"/>
        <v>4.2300000000000004</v>
      </c>
      <c r="Q872" s="12">
        <f t="shared" si="80"/>
        <v>4.2300000000000004</v>
      </c>
      <c r="R872" s="12">
        <f t="shared" si="81"/>
        <v>3.96</v>
      </c>
      <c r="S872" s="28">
        <f>IFERROR(INDEX('Clean Gamification Data'!$B:$B,MATCH($B872,'Clean Gamification Data'!$A:$A,0)),"Not Found")</f>
        <v>95.496640040000003</v>
      </c>
      <c r="T872" s="28">
        <f>IFERROR(INDEX('Clean Gamification Data'!$C:$C,MATCH($B872,'Clean Gamification Data'!$A:$A,0)),"Not Found")</f>
        <v>71.440103059999998</v>
      </c>
      <c r="U872" s="28">
        <f>IFERROR(INDEX('Clean Gamification Data'!$D:$D,MATCH($B872,'Clean Gamification Data'!$A:$A,0)),"Not Found")</f>
        <v>73.414278120000006</v>
      </c>
      <c r="V872" s="28">
        <f>IFERROR(INDEX('Clean Gamification Data'!$E:$E,MATCH($B872,'Clean Gamification Data'!$A:$A,0)),"Not Found")</f>
        <v>61.306844470000001</v>
      </c>
      <c r="W872" s="28">
        <f>IFERROR(INDEX('Clean Gamification Data'!$F:$F,MATCH($B872,'Clean Gamification Data'!$A:$A,0)),"Not Found")</f>
        <v>99.9</v>
      </c>
      <c r="X872" s="28">
        <f>IFERROR(INDEX('Clean Gamification Data'!$G:$G,MATCH($B872,'Clean Gamification Data'!$A:$A,0)),"Not Found")</f>
        <v>73.589466920000007</v>
      </c>
      <c r="Y872" s="28">
        <f>IFERROR(INDEX('Clean Gamification Data'!$H:$H,MATCH($B872,'Clean Gamification Data'!$A:$A,0)),"Not Found")</f>
        <v>72.134789620000006</v>
      </c>
      <c r="Z872" s="28">
        <f>IFERROR(INDEX('Clean Gamification Data'!$I:$I,MATCH($B872,'Clean Gamification Data'!$A:$A,0)),"Not Found")</f>
        <v>55.660426149999999</v>
      </c>
      <c r="AA872" s="28">
        <f>Table1[[#This Row],[Engagement (Gamification %)]]-Table1[[#This Row],[Engagement (Non-Gamification %)]]</f>
        <v>24.056536980000004</v>
      </c>
      <c r="AB872" s="28">
        <f>Table1[[#This Row],[Motivation (Gamification %)]]-Table1[[#This Row],[Motivation (Non-Gamification %)]]</f>
        <v>12.107433650000004</v>
      </c>
      <c r="AC872" s="28">
        <f>Table1[[#This Row],[Participation (Gamification %)]]-Table1[[#This Row],[Participation (Non-Gamification %)]]</f>
        <v>26.310533079999999</v>
      </c>
      <c r="AD872" s="28">
        <f>Table1[[#This Row],[Learning Outcomes (Gamification %)]]-Table1[[#This Row],[Learning Outcomes (Non-Gamification %)]]</f>
        <v>16.474363470000007</v>
      </c>
      <c r="AE872" s="44" t="str">
        <f>IF(Table1[[#This Row],[Overall Effectiveness]]&lt;3.9,"Low",IF(Table1[[#This Row],[Overall Effectiveness]]&lt;4.2,"Medium","High"))</f>
        <v>High</v>
      </c>
      <c r="AF872" s="30" t="str">
        <f t="shared" si="82"/>
        <v>Group Projects</v>
      </c>
      <c r="AG872" s="30" t="str">
        <f t="shared" si="83"/>
        <v>Case Studies</v>
      </c>
      <c r="AH872" s="27">
        <f>COUNTIF(Teacher_Master!$D$2:$D$16,AF872)</f>
        <v>3</v>
      </c>
      <c r="AI872" s="30" t="str">
        <f>INDEX(Teacher_Master!$B$2:$B$16,MATCH(AF872,Teacher_Master!$D$2:$D$16,0))</f>
        <v>Dr. Rohan Dutta</v>
      </c>
    </row>
    <row r="873" spans="1:35" ht="14.25" customHeight="1" x14ac:dyDescent="0.3">
      <c r="A873" s="31" t="s">
        <v>1784</v>
      </c>
      <c r="B873" s="31" t="s">
        <v>2709</v>
      </c>
      <c r="C873" s="31" t="s">
        <v>2882</v>
      </c>
      <c r="D873" s="12">
        <f t="shared" ca="1" si="78"/>
        <v>20</v>
      </c>
      <c r="E873" s="12" t="str">
        <f ca="1">IF(Table1[[#This Row],[Age]]&lt;=22,"20-22",IF(Table1[[#This Row],[Age]]&lt;=25,"23-25",IF(Table1[[#This Row],[Age]]&lt;=28,"26-28","29-30")))</f>
        <v>20-22</v>
      </c>
      <c r="F873" s="12">
        <v>4.34</v>
      </c>
      <c r="G873" s="12">
        <v>3.93</v>
      </c>
      <c r="H873" s="12">
        <v>3.64</v>
      </c>
      <c r="I873" s="12">
        <v>3.82</v>
      </c>
      <c r="J873" s="12" t="s">
        <v>438</v>
      </c>
      <c r="K873" s="12">
        <v>4.49</v>
      </c>
      <c r="L873" s="12">
        <v>3.58</v>
      </c>
      <c r="M873" s="12">
        <v>3.41</v>
      </c>
      <c r="N873" s="12">
        <v>5.0199999999999996</v>
      </c>
      <c r="O873" s="12">
        <v>3.79</v>
      </c>
      <c r="P873" s="12">
        <f t="shared" si="79"/>
        <v>3.9325000000000001</v>
      </c>
      <c r="Q873" s="12">
        <f t="shared" si="80"/>
        <v>3.93</v>
      </c>
      <c r="R873" s="12">
        <f t="shared" si="81"/>
        <v>4.0579999999999998</v>
      </c>
      <c r="S873" s="28">
        <f>IFERROR(INDEX('Clean Gamification Data'!$B:$B,MATCH($B873,'Clean Gamification Data'!$A:$A,0)),"Not Found")</f>
        <v>84.227782980000001</v>
      </c>
      <c r="T873" s="28">
        <f>IFERROR(INDEX('Clean Gamification Data'!$C:$C,MATCH($B873,'Clean Gamification Data'!$A:$A,0)),"Not Found")</f>
        <v>70.241631089999998</v>
      </c>
      <c r="U873" s="28">
        <f>IFERROR(INDEX('Clean Gamification Data'!$D:$D,MATCH($B873,'Clean Gamification Data'!$A:$A,0)),"Not Found")</f>
        <v>70</v>
      </c>
      <c r="V873" s="28">
        <f>IFERROR(INDEX('Clean Gamification Data'!$E:$E,MATCH($B873,'Clean Gamification Data'!$A:$A,0)),"Not Found")</f>
        <v>62.109559590000003</v>
      </c>
      <c r="W873" s="28">
        <f>IFERROR(INDEX('Clean Gamification Data'!$F:$F,MATCH($B873,'Clean Gamification Data'!$A:$A,0)),"Not Found")</f>
        <v>99.9</v>
      </c>
      <c r="X873" s="28">
        <f>IFERROR(INDEX('Clean Gamification Data'!$G:$G,MATCH($B873,'Clean Gamification Data'!$A:$A,0)),"Not Found")</f>
        <v>81.336665999999994</v>
      </c>
      <c r="Y873" s="28">
        <f>IFERROR(INDEX('Clean Gamification Data'!$H:$H,MATCH($B873,'Clean Gamification Data'!$A:$A,0)),"Not Found")</f>
        <v>69.546405239999999</v>
      </c>
      <c r="Z873" s="28">
        <f>IFERROR(INDEX('Clean Gamification Data'!$I:$I,MATCH($B873,'Clean Gamification Data'!$A:$A,0)),"Not Found")</f>
        <v>60.397095759999999</v>
      </c>
      <c r="AA873" s="28">
        <f>Table1[[#This Row],[Engagement (Gamification %)]]-Table1[[#This Row],[Engagement (Non-Gamification %)]]</f>
        <v>13.986151890000002</v>
      </c>
      <c r="AB873" s="28">
        <f>Table1[[#This Row],[Motivation (Gamification %)]]-Table1[[#This Row],[Motivation (Non-Gamification %)]]</f>
        <v>7.8904404099999965</v>
      </c>
      <c r="AC873" s="28">
        <f>Table1[[#This Row],[Participation (Gamification %)]]-Table1[[#This Row],[Participation (Non-Gamification %)]]</f>
        <v>18.563334000000012</v>
      </c>
      <c r="AD873" s="28">
        <f>Table1[[#This Row],[Learning Outcomes (Gamification %)]]-Table1[[#This Row],[Learning Outcomes (Non-Gamification %)]]</f>
        <v>9.1493094799999994</v>
      </c>
      <c r="AE873" s="44" t="str">
        <f>IF(Table1[[#This Row],[Overall Effectiveness]]&lt;3.9,"Low",IF(Table1[[#This Row],[Overall Effectiveness]]&lt;4.2,"Medium","High"))</f>
        <v>Medium</v>
      </c>
      <c r="AF873" s="30" t="str">
        <f t="shared" si="82"/>
        <v>Lectures</v>
      </c>
      <c r="AG873" s="30" t="str">
        <f t="shared" si="83"/>
        <v>Experiments</v>
      </c>
      <c r="AH873" s="27">
        <f>COUNTIF(Teacher_Master!$D$2:$D$16,AF873)</f>
        <v>3</v>
      </c>
      <c r="AI873" s="30" t="str">
        <f>INDEX(Teacher_Master!$B$2:$B$16,MATCH(AF873,Teacher_Master!$D$2:$D$16,0))</f>
        <v>Prof. Vikram Gupta</v>
      </c>
    </row>
    <row r="874" spans="1:35" ht="14.25" customHeight="1" x14ac:dyDescent="0.3">
      <c r="A874" s="31" t="s">
        <v>1786</v>
      </c>
      <c r="B874" s="31" t="s">
        <v>2710</v>
      </c>
      <c r="C874" s="31" t="s">
        <v>2882</v>
      </c>
      <c r="D874" s="12">
        <f t="shared" ca="1" si="78"/>
        <v>21</v>
      </c>
      <c r="E874" s="12" t="str">
        <f ca="1">IF(Table1[[#This Row],[Age]]&lt;=22,"20-22",IF(Table1[[#This Row],[Age]]&lt;=25,"23-25",IF(Table1[[#This Row],[Age]]&lt;=28,"26-28","29-30")))</f>
        <v>20-22</v>
      </c>
      <c r="F874" s="12">
        <v>4.5</v>
      </c>
      <c r="G874" s="12">
        <v>4.04</v>
      </c>
      <c r="H874" s="12">
        <v>4.01</v>
      </c>
      <c r="I874" s="12">
        <v>3.65</v>
      </c>
      <c r="J874" s="12">
        <v>4.53</v>
      </c>
      <c r="K874" s="12">
        <v>4.5</v>
      </c>
      <c r="L874" s="12">
        <v>4.18</v>
      </c>
      <c r="M874" s="12">
        <v>3.63</v>
      </c>
      <c r="N874" s="12">
        <v>3.84</v>
      </c>
      <c r="O874" s="12">
        <v>3.72</v>
      </c>
      <c r="P874" s="12">
        <f t="shared" si="79"/>
        <v>4.1459999999999999</v>
      </c>
      <c r="Q874" s="12">
        <f t="shared" si="80"/>
        <v>4.1500000000000004</v>
      </c>
      <c r="R874" s="12">
        <f t="shared" si="81"/>
        <v>3.9739999999999993</v>
      </c>
      <c r="S874" s="28">
        <f>IFERROR(INDEX('Clean Gamification Data'!$B:$B,MATCH($B874,'Clean Gamification Data'!$A:$A,0)),"Not Found")</f>
        <v>82.845371799999995</v>
      </c>
      <c r="T874" s="28">
        <f>IFERROR(INDEX('Clean Gamification Data'!$C:$C,MATCH($B874,'Clean Gamification Data'!$A:$A,0)),"Not Found")</f>
        <v>67.088843530000005</v>
      </c>
      <c r="U874" s="28">
        <f>IFERROR(INDEX('Clean Gamification Data'!$D:$D,MATCH($B874,'Clean Gamification Data'!$A:$A,0)),"Not Found")</f>
        <v>76.43679951</v>
      </c>
      <c r="V874" s="28">
        <f>IFERROR(INDEX('Clean Gamification Data'!$E:$E,MATCH($B874,'Clean Gamification Data'!$A:$A,0)),"Not Found")</f>
        <v>68.262882540000007</v>
      </c>
      <c r="W874" s="28">
        <f>IFERROR(INDEX('Clean Gamification Data'!$F:$F,MATCH($B874,'Clean Gamification Data'!$A:$A,0)),"Not Found")</f>
        <v>87.124949439999995</v>
      </c>
      <c r="X874" s="28">
        <f>IFERROR(INDEX('Clean Gamification Data'!$G:$G,MATCH($B874,'Clean Gamification Data'!$A:$A,0)),"Not Found")</f>
        <v>77.894056800000001</v>
      </c>
      <c r="Y874" s="28">
        <f>IFERROR(INDEX('Clean Gamification Data'!$H:$H,MATCH($B874,'Clean Gamification Data'!$A:$A,0)),"Not Found")</f>
        <v>67.920349939999994</v>
      </c>
      <c r="Z874" s="28">
        <f>IFERROR(INDEX('Clean Gamification Data'!$I:$I,MATCH($B874,'Clean Gamification Data'!$A:$A,0)),"Not Found")</f>
        <v>59.83141638</v>
      </c>
      <c r="AA874" s="28">
        <f>Table1[[#This Row],[Engagement (Gamification %)]]-Table1[[#This Row],[Engagement (Non-Gamification %)]]</f>
        <v>15.75652826999999</v>
      </c>
      <c r="AB874" s="28">
        <f>Table1[[#This Row],[Motivation (Gamification %)]]-Table1[[#This Row],[Motivation (Non-Gamification %)]]</f>
        <v>8.1739169699999934</v>
      </c>
      <c r="AC874" s="28">
        <f>Table1[[#This Row],[Participation (Gamification %)]]-Table1[[#This Row],[Participation (Non-Gamification %)]]</f>
        <v>9.2308926399999933</v>
      </c>
      <c r="AD874" s="28">
        <f>Table1[[#This Row],[Learning Outcomes (Gamification %)]]-Table1[[#This Row],[Learning Outcomes (Non-Gamification %)]]</f>
        <v>8.0889335599999939</v>
      </c>
      <c r="AE874" s="44" t="str">
        <f>IF(Table1[[#This Row],[Overall Effectiveness]]&lt;3.9,"Low",IF(Table1[[#This Row],[Overall Effectiveness]]&lt;4.2,"Medium","High"))</f>
        <v>Medium</v>
      </c>
      <c r="AF874" s="30" t="str">
        <f t="shared" si="82"/>
        <v>Online Tutorials</v>
      </c>
      <c r="AG874" s="30" t="str">
        <f t="shared" si="83"/>
        <v>Lectures</v>
      </c>
      <c r="AH874" s="27">
        <f>COUNTIF(Teacher_Master!$D$2:$D$16,AF874)</f>
        <v>3</v>
      </c>
      <c r="AI874" s="30" t="str">
        <f>INDEX(Teacher_Master!$B$2:$B$16,MATCH(AF874,Teacher_Master!$D$2:$D$16,0))</f>
        <v>Prof. Kavita Rao</v>
      </c>
    </row>
    <row r="875" spans="1:35" ht="14.25" customHeight="1" x14ac:dyDescent="0.3">
      <c r="A875" s="31" t="s">
        <v>1788</v>
      </c>
      <c r="B875" s="31" t="s">
        <v>2711</v>
      </c>
      <c r="C875" s="31" t="s">
        <v>2882</v>
      </c>
      <c r="D875" s="12">
        <f t="shared" ca="1" si="78"/>
        <v>30</v>
      </c>
      <c r="E875" s="12" t="str">
        <f ca="1">IF(Table1[[#This Row],[Age]]&lt;=22,"20-22",IF(Table1[[#This Row],[Age]]&lt;=25,"23-25",IF(Table1[[#This Row],[Age]]&lt;=28,"26-28","29-30")))</f>
        <v>29-30</v>
      </c>
      <c r="F875" s="12">
        <v>4.1900000000000004</v>
      </c>
      <c r="G875" s="12">
        <v>4.4400000000000004</v>
      </c>
      <c r="H875" s="12">
        <v>4.29</v>
      </c>
      <c r="I875" s="12">
        <v>3.9</v>
      </c>
      <c r="J875" s="12">
        <v>4.32</v>
      </c>
      <c r="K875" s="12">
        <v>3.21</v>
      </c>
      <c r="L875" s="12">
        <v>4.08</v>
      </c>
      <c r="M875" s="12">
        <v>4.33</v>
      </c>
      <c r="N875" s="12">
        <v>4.53</v>
      </c>
      <c r="O875" s="12">
        <v>3.97</v>
      </c>
      <c r="P875" s="12">
        <f t="shared" si="79"/>
        <v>4.2279999999999998</v>
      </c>
      <c r="Q875" s="12">
        <f t="shared" si="80"/>
        <v>4.2300000000000004</v>
      </c>
      <c r="R875" s="12">
        <f t="shared" si="81"/>
        <v>4.024</v>
      </c>
      <c r="S875" s="28">
        <f>IFERROR(INDEX('Clean Gamification Data'!$B:$B,MATCH($B875,'Clean Gamification Data'!$A:$A,0)),"Not Found")</f>
        <v>88.261825220000006</v>
      </c>
      <c r="T875" s="28">
        <f>IFERROR(INDEX('Clean Gamification Data'!$C:$C,MATCH($B875,'Clean Gamification Data'!$A:$A,0)),"Not Found")</f>
        <v>66.762532669999999</v>
      </c>
      <c r="U875" s="28">
        <f>IFERROR(INDEX('Clean Gamification Data'!$D:$D,MATCH($B875,'Clean Gamification Data'!$A:$A,0)),"Not Found")</f>
        <v>72.097181500000005</v>
      </c>
      <c r="V875" s="28">
        <f>IFERROR(INDEX('Clean Gamification Data'!$E:$E,MATCH($B875,'Clean Gamification Data'!$A:$A,0)),"Not Found")</f>
        <v>67.081989100000001</v>
      </c>
      <c r="W875" s="28">
        <f>IFERROR(INDEX('Clean Gamification Data'!$F:$F,MATCH($B875,'Clean Gamification Data'!$A:$A,0)),"Not Found")</f>
        <v>80</v>
      </c>
      <c r="X875" s="28">
        <f>IFERROR(INDEX('Clean Gamification Data'!$G:$G,MATCH($B875,'Clean Gamification Data'!$A:$A,0)),"Not Found")</f>
        <v>76.363785859999993</v>
      </c>
      <c r="Y875" s="28">
        <f>IFERROR(INDEX('Clean Gamification Data'!$H:$H,MATCH($B875,'Clean Gamification Data'!$A:$A,0)),"Not Found")</f>
        <v>67.085672299999999</v>
      </c>
      <c r="Z875" s="28">
        <f>IFERROR(INDEX('Clean Gamification Data'!$I:$I,MATCH($B875,'Clean Gamification Data'!$A:$A,0)),"Not Found")</f>
        <v>50.040974570000003</v>
      </c>
      <c r="AA875" s="28">
        <f>Table1[[#This Row],[Engagement (Gamification %)]]-Table1[[#This Row],[Engagement (Non-Gamification %)]]</f>
        <v>21.499292550000007</v>
      </c>
      <c r="AB875" s="28">
        <f>Table1[[#This Row],[Motivation (Gamification %)]]-Table1[[#This Row],[Motivation (Non-Gamification %)]]</f>
        <v>5.0151924000000037</v>
      </c>
      <c r="AC875" s="28">
        <f>Table1[[#This Row],[Participation (Gamification %)]]-Table1[[#This Row],[Participation (Non-Gamification %)]]</f>
        <v>3.636214140000007</v>
      </c>
      <c r="AD875" s="28">
        <f>Table1[[#This Row],[Learning Outcomes (Gamification %)]]-Table1[[#This Row],[Learning Outcomes (Non-Gamification %)]]</f>
        <v>17.044697729999996</v>
      </c>
      <c r="AE875" s="44" t="str">
        <f>IF(Table1[[#This Row],[Overall Effectiveness]]&lt;3.9,"Low",IF(Table1[[#This Row],[Overall Effectiveness]]&lt;4.2,"Medium","High"))</f>
        <v>High</v>
      </c>
      <c r="AF875" s="30" t="str">
        <f t="shared" si="82"/>
        <v>Case Studies</v>
      </c>
      <c r="AG875" s="30" t="str">
        <f t="shared" si="83"/>
        <v>Experiments</v>
      </c>
      <c r="AH875" s="27">
        <f>COUNTIF(Teacher_Master!$D$2:$D$16,AF875)</f>
        <v>3</v>
      </c>
      <c r="AI875" s="30" t="str">
        <f>INDEX(Teacher_Master!$B$2:$B$16,MATCH(AF875,Teacher_Master!$D$2:$D$16,0))</f>
        <v>Prof. Rajesh Mukherjee</v>
      </c>
    </row>
    <row r="876" spans="1:35" ht="14.25" customHeight="1" x14ac:dyDescent="0.3">
      <c r="A876" s="31" t="s">
        <v>1790</v>
      </c>
      <c r="B876" s="31" t="s">
        <v>1791</v>
      </c>
      <c r="C876" s="31" t="s">
        <v>2881</v>
      </c>
      <c r="D876" s="12">
        <f t="shared" ca="1" si="78"/>
        <v>20</v>
      </c>
      <c r="E876" s="12" t="str">
        <f ca="1">IF(Table1[[#This Row],[Age]]&lt;=22,"20-22",IF(Table1[[#This Row],[Age]]&lt;=25,"23-25",IF(Table1[[#This Row],[Age]]&lt;=28,"26-28","29-30")))</f>
        <v>20-22</v>
      </c>
      <c r="F876" s="12">
        <v>3.86</v>
      </c>
      <c r="G876" s="12">
        <v>4.28</v>
      </c>
      <c r="H876" s="12">
        <v>3.34</v>
      </c>
      <c r="I876" s="12">
        <v>4.0199999999999996</v>
      </c>
      <c r="J876" s="12">
        <v>3.8</v>
      </c>
      <c r="K876" s="12">
        <v>3.69</v>
      </c>
      <c r="L876" s="12">
        <v>3.73</v>
      </c>
      <c r="M876" s="12">
        <v>4.16</v>
      </c>
      <c r="N876" s="12">
        <v>3.51</v>
      </c>
      <c r="O876" s="12">
        <v>3.8</v>
      </c>
      <c r="P876" s="12">
        <f t="shared" si="79"/>
        <v>3.8600000000000003</v>
      </c>
      <c r="Q876" s="12">
        <f t="shared" si="80"/>
        <v>3.86</v>
      </c>
      <c r="R876" s="12">
        <f t="shared" si="81"/>
        <v>3.778</v>
      </c>
      <c r="S876" s="28">
        <f>IFERROR(INDEX('Clean Gamification Data'!$B:$B,MATCH($B876,'Clean Gamification Data'!$A:$A,0)),"Not Found")</f>
        <v>75</v>
      </c>
      <c r="T876" s="28">
        <f>IFERROR(INDEX('Clean Gamification Data'!$C:$C,MATCH($B876,'Clean Gamification Data'!$A:$A,0)),"Not Found")</f>
        <v>70.468015980000004</v>
      </c>
      <c r="U876" s="28">
        <f>IFERROR(INDEX('Clean Gamification Data'!$D:$D,MATCH($B876,'Clean Gamification Data'!$A:$A,0)),"Not Found")</f>
        <v>70.888302809999999</v>
      </c>
      <c r="V876" s="28">
        <f>IFERROR(INDEX('Clean Gamification Data'!$E:$E,MATCH($B876,'Clean Gamification Data'!$A:$A,0)),"Not Found")</f>
        <v>58.69219708</v>
      </c>
      <c r="W876" s="28">
        <f>IFERROR(INDEX('Clean Gamification Data'!$F:$F,MATCH($B876,'Clean Gamification Data'!$A:$A,0)),"Not Found")</f>
        <v>99.9</v>
      </c>
      <c r="X876" s="28">
        <f>IFERROR(INDEX('Clean Gamification Data'!$G:$G,MATCH($B876,'Clean Gamification Data'!$A:$A,0)),"Not Found")</f>
        <v>85</v>
      </c>
      <c r="Y876" s="28">
        <f>IFERROR(INDEX('Clean Gamification Data'!$H:$H,MATCH($B876,'Clean Gamification Data'!$A:$A,0)),"Not Found")</f>
        <v>74.481357489999994</v>
      </c>
      <c r="Z876" s="28">
        <f>IFERROR(INDEX('Clean Gamification Data'!$I:$I,MATCH($B876,'Clean Gamification Data'!$A:$A,0)),"Not Found")</f>
        <v>50</v>
      </c>
      <c r="AA876" s="28">
        <f>Table1[[#This Row],[Engagement (Gamification %)]]-Table1[[#This Row],[Engagement (Non-Gamification %)]]</f>
        <v>4.5319840199999959</v>
      </c>
      <c r="AB876" s="28">
        <f>Table1[[#This Row],[Motivation (Gamification %)]]-Table1[[#This Row],[Motivation (Non-Gamification %)]]</f>
        <v>12.196105729999999</v>
      </c>
      <c r="AC876" s="28">
        <f>Table1[[#This Row],[Participation (Gamification %)]]-Table1[[#This Row],[Participation (Non-Gamification %)]]</f>
        <v>14.900000000000006</v>
      </c>
      <c r="AD876" s="28">
        <f>Table1[[#This Row],[Learning Outcomes (Gamification %)]]-Table1[[#This Row],[Learning Outcomes (Non-Gamification %)]]</f>
        <v>24.481357489999994</v>
      </c>
      <c r="AE876" s="44" t="str">
        <f>IF(Table1[[#This Row],[Overall Effectiveness]]&lt;3.9,"Low",IF(Table1[[#This Row],[Overall Effectiveness]]&lt;4.2,"Medium","High"))</f>
        <v>Low</v>
      </c>
      <c r="AF876" s="30" t="str">
        <f t="shared" si="82"/>
        <v>Case Studies</v>
      </c>
      <c r="AG876" s="30" t="str">
        <f t="shared" si="83"/>
        <v>Group Projects</v>
      </c>
      <c r="AH876" s="27">
        <f>COUNTIF(Teacher_Master!$D$2:$D$16,AF876)</f>
        <v>3</v>
      </c>
      <c r="AI876" s="30" t="str">
        <f>INDEX(Teacher_Master!$B$2:$B$16,MATCH(AF876,Teacher_Master!$D$2:$D$16,0))</f>
        <v>Prof. Rajesh Mukherjee</v>
      </c>
    </row>
    <row r="877" spans="1:35" ht="14.25" customHeight="1" x14ac:dyDescent="0.3">
      <c r="A877" s="31" t="s">
        <v>1792</v>
      </c>
      <c r="B877" s="31" t="s">
        <v>2712</v>
      </c>
      <c r="C877" s="31" t="s">
        <v>2882</v>
      </c>
      <c r="D877" s="12">
        <f t="shared" ca="1" si="78"/>
        <v>29</v>
      </c>
      <c r="E877" s="12" t="str">
        <f ca="1">IF(Table1[[#This Row],[Age]]&lt;=22,"20-22",IF(Table1[[#This Row],[Age]]&lt;=25,"23-25",IF(Table1[[#This Row],[Age]]&lt;=28,"26-28","29-30")))</f>
        <v>29-30</v>
      </c>
      <c r="F877" s="12">
        <v>4.07</v>
      </c>
      <c r="G877" s="12">
        <v>4.75</v>
      </c>
      <c r="H877" s="12">
        <v>3.83</v>
      </c>
      <c r="I877" s="12">
        <v>3.63</v>
      </c>
      <c r="J877" s="12">
        <v>3.6</v>
      </c>
      <c r="K877" s="12">
        <v>3.7</v>
      </c>
      <c r="L877" s="12">
        <v>3.96</v>
      </c>
      <c r="M877" s="12">
        <v>4.18</v>
      </c>
      <c r="N877" s="12">
        <v>3.73</v>
      </c>
      <c r="O877" s="12">
        <v>4.26</v>
      </c>
      <c r="P877" s="12">
        <f t="shared" si="79"/>
        <v>3.9760000000000004</v>
      </c>
      <c r="Q877" s="12">
        <f t="shared" si="80"/>
        <v>3.98</v>
      </c>
      <c r="R877" s="12">
        <f t="shared" si="81"/>
        <v>3.9659999999999997</v>
      </c>
      <c r="S877" s="28">
        <f>IFERROR(INDEX('Clean Gamification Data'!$B:$B,MATCH($B877,'Clean Gamification Data'!$A:$A,0)),"Not Found")</f>
        <v>75</v>
      </c>
      <c r="T877" s="28">
        <f>IFERROR(INDEX('Clean Gamification Data'!$C:$C,MATCH($B877,'Clean Gamification Data'!$A:$A,0)),"Not Found")</f>
        <v>80</v>
      </c>
      <c r="U877" s="28">
        <f>IFERROR(INDEX('Clean Gamification Data'!$D:$D,MATCH($B877,'Clean Gamification Data'!$A:$A,0)),"Not Found")</f>
        <v>82.017590979999994</v>
      </c>
      <c r="V877" s="28">
        <f>IFERROR(INDEX('Clean Gamification Data'!$E:$E,MATCH($B877,'Clean Gamification Data'!$A:$A,0)),"Not Found")</f>
        <v>63.695612490000002</v>
      </c>
      <c r="W877" s="28">
        <f>IFERROR(INDEX('Clean Gamification Data'!$F:$F,MATCH($B877,'Clean Gamification Data'!$A:$A,0)),"Not Found")</f>
        <v>83.273665190000003</v>
      </c>
      <c r="X877" s="28">
        <f>IFERROR(INDEX('Clean Gamification Data'!$G:$G,MATCH($B877,'Clean Gamification Data'!$A:$A,0)),"Not Found")</f>
        <v>69.599093339999996</v>
      </c>
      <c r="Y877" s="28">
        <f>IFERROR(INDEX('Clean Gamification Data'!$H:$H,MATCH($B877,'Clean Gamification Data'!$A:$A,0)),"Not Found")</f>
        <v>71.140944219999994</v>
      </c>
      <c r="Z877" s="28">
        <f>IFERROR(INDEX('Clean Gamification Data'!$I:$I,MATCH($B877,'Clean Gamification Data'!$A:$A,0)),"Not Found")</f>
        <v>61.498351790000001</v>
      </c>
      <c r="AA877" s="28">
        <f>Table1[[#This Row],[Engagement (Gamification %)]]-Table1[[#This Row],[Engagement (Non-Gamification %)]]</f>
        <v>-5</v>
      </c>
      <c r="AB877" s="28">
        <f>Table1[[#This Row],[Motivation (Gamification %)]]-Table1[[#This Row],[Motivation (Non-Gamification %)]]</f>
        <v>18.321978489999992</v>
      </c>
      <c r="AC877" s="28">
        <f>Table1[[#This Row],[Participation (Gamification %)]]-Table1[[#This Row],[Participation (Non-Gamification %)]]</f>
        <v>13.674571850000007</v>
      </c>
      <c r="AD877" s="28">
        <f>Table1[[#This Row],[Learning Outcomes (Gamification %)]]-Table1[[#This Row],[Learning Outcomes (Non-Gamification %)]]</f>
        <v>9.6425924299999934</v>
      </c>
      <c r="AE877" s="44" t="str">
        <f>IF(Table1[[#This Row],[Overall Effectiveness]]&lt;3.9,"Low",IF(Table1[[#This Row],[Overall Effectiveness]]&lt;4.2,"Medium","High"))</f>
        <v>Medium</v>
      </c>
      <c r="AF877" s="30" t="str">
        <f t="shared" si="82"/>
        <v>Case Studies</v>
      </c>
      <c r="AG877" s="30" t="str">
        <f t="shared" si="83"/>
        <v>Online Tutorials</v>
      </c>
      <c r="AH877" s="27">
        <f>COUNTIF(Teacher_Master!$D$2:$D$16,AF877)</f>
        <v>3</v>
      </c>
      <c r="AI877" s="30" t="str">
        <f>INDEX(Teacher_Master!$B$2:$B$16,MATCH(AF877,Teacher_Master!$D$2:$D$16,0))</f>
        <v>Prof. Rajesh Mukherjee</v>
      </c>
    </row>
    <row r="878" spans="1:35" ht="14.25" customHeight="1" x14ac:dyDescent="0.3">
      <c r="A878" s="31" t="s">
        <v>1794</v>
      </c>
      <c r="B878" s="31" t="s">
        <v>1795</v>
      </c>
      <c r="C878" s="31" t="s">
        <v>2882</v>
      </c>
      <c r="D878" s="12">
        <f t="shared" ca="1" si="78"/>
        <v>23</v>
      </c>
      <c r="E878" s="12" t="str">
        <f ca="1">IF(Table1[[#This Row],[Age]]&lt;=22,"20-22",IF(Table1[[#This Row],[Age]]&lt;=25,"23-25",IF(Table1[[#This Row],[Age]]&lt;=28,"26-28","29-30")))</f>
        <v>23-25</v>
      </c>
      <c r="F878" s="12">
        <v>3.68</v>
      </c>
      <c r="G878" s="12">
        <v>3.64</v>
      </c>
      <c r="H878" s="12">
        <v>4.58</v>
      </c>
      <c r="I878" s="12" t="s">
        <v>211</v>
      </c>
      <c r="J878" s="12">
        <v>4.21</v>
      </c>
      <c r="K878" s="12">
        <v>4.07</v>
      </c>
      <c r="L878" s="12">
        <v>4.0199999999999996</v>
      </c>
      <c r="M878" s="12">
        <v>4.46</v>
      </c>
      <c r="N878" s="12">
        <v>4.53</v>
      </c>
      <c r="O878" s="12">
        <v>3.83</v>
      </c>
      <c r="P878" s="12">
        <f t="shared" si="79"/>
        <v>4.0274999999999999</v>
      </c>
      <c r="Q878" s="12">
        <f t="shared" si="80"/>
        <v>4.03</v>
      </c>
      <c r="R878" s="12">
        <f t="shared" si="81"/>
        <v>4.1820000000000004</v>
      </c>
      <c r="S878" s="28">
        <f>IFERROR(INDEX('Clean Gamification Data'!$B:$B,MATCH($B878,'Clean Gamification Data'!$A:$A,0)),"Not Found")</f>
        <v>93.160163359999999</v>
      </c>
      <c r="T878" s="28">
        <f>IFERROR(INDEX('Clean Gamification Data'!$C:$C,MATCH($B878,'Clean Gamification Data'!$A:$A,0)),"Not Found")</f>
        <v>69.902074529999993</v>
      </c>
      <c r="U878" s="28">
        <f>IFERROR(INDEX('Clean Gamification Data'!$D:$D,MATCH($B878,'Clean Gamification Data'!$A:$A,0)),"Not Found")</f>
        <v>82.328015769999993</v>
      </c>
      <c r="V878" s="28">
        <f>IFERROR(INDEX('Clean Gamification Data'!$E:$E,MATCH($B878,'Clean Gamification Data'!$A:$A,0)),"Not Found")</f>
        <v>66.529527709999996</v>
      </c>
      <c r="W878" s="28">
        <f>IFERROR(INDEX('Clean Gamification Data'!$F:$F,MATCH($B878,'Clean Gamification Data'!$A:$A,0)),"Not Found")</f>
        <v>88.106535789999995</v>
      </c>
      <c r="X878" s="28">
        <f>IFERROR(INDEX('Clean Gamification Data'!$G:$G,MATCH($B878,'Clean Gamification Data'!$A:$A,0)),"Not Found")</f>
        <v>78.9822712</v>
      </c>
      <c r="Y878" s="28">
        <f>IFERROR(INDEX('Clean Gamification Data'!$H:$H,MATCH($B878,'Clean Gamification Data'!$A:$A,0)),"Not Found")</f>
        <v>68.009977809999995</v>
      </c>
      <c r="Z878" s="28">
        <f>IFERROR(INDEX('Clean Gamification Data'!$I:$I,MATCH($B878,'Clean Gamification Data'!$A:$A,0)),"Not Found")</f>
        <v>61.153475299999997</v>
      </c>
      <c r="AA878" s="28">
        <f>Table1[[#This Row],[Engagement (Gamification %)]]-Table1[[#This Row],[Engagement (Non-Gamification %)]]</f>
        <v>23.258088830000005</v>
      </c>
      <c r="AB878" s="28">
        <f>Table1[[#This Row],[Motivation (Gamification %)]]-Table1[[#This Row],[Motivation (Non-Gamification %)]]</f>
        <v>15.798488059999997</v>
      </c>
      <c r="AC878" s="28">
        <f>Table1[[#This Row],[Participation (Gamification %)]]-Table1[[#This Row],[Participation (Non-Gamification %)]]</f>
        <v>9.1242645899999957</v>
      </c>
      <c r="AD878" s="28">
        <f>Table1[[#This Row],[Learning Outcomes (Gamification %)]]-Table1[[#This Row],[Learning Outcomes (Non-Gamification %)]]</f>
        <v>6.8565025099999986</v>
      </c>
      <c r="AE878" s="44" t="str">
        <f>IF(Table1[[#This Row],[Overall Effectiveness]]&lt;3.9,"Low",IF(Table1[[#This Row],[Overall Effectiveness]]&lt;4.2,"Medium","High"))</f>
        <v>Medium</v>
      </c>
      <c r="AF878" s="30" t="str">
        <f t="shared" si="82"/>
        <v>Group Projects</v>
      </c>
      <c r="AG878" s="30" t="str">
        <f t="shared" si="83"/>
        <v>Experiments</v>
      </c>
      <c r="AH878" s="27">
        <f>COUNTIF(Teacher_Master!$D$2:$D$16,AF878)</f>
        <v>3</v>
      </c>
      <c r="AI878" s="30" t="str">
        <f>INDEX(Teacher_Master!$B$2:$B$16,MATCH(AF878,Teacher_Master!$D$2:$D$16,0))</f>
        <v>Dr. Rohan Dutta</v>
      </c>
    </row>
    <row r="879" spans="1:35" ht="14.25" customHeight="1" x14ac:dyDescent="0.3">
      <c r="A879" s="31" t="s">
        <v>1796</v>
      </c>
      <c r="B879" s="31" t="s">
        <v>2713</v>
      </c>
      <c r="C879" s="31" t="s">
        <v>2882</v>
      </c>
      <c r="D879" s="12">
        <f t="shared" ca="1" si="78"/>
        <v>25</v>
      </c>
      <c r="E879" s="12" t="str">
        <f ca="1">IF(Table1[[#This Row],[Age]]&lt;=22,"20-22",IF(Table1[[#This Row],[Age]]&lt;=25,"23-25",IF(Table1[[#This Row],[Age]]&lt;=28,"26-28","29-30")))</f>
        <v>23-25</v>
      </c>
      <c r="F879" s="12">
        <v>4.09</v>
      </c>
      <c r="G879" s="12">
        <v>3.99</v>
      </c>
      <c r="H879" s="12">
        <v>4.1100000000000003</v>
      </c>
      <c r="I879" s="12">
        <v>4.16</v>
      </c>
      <c r="J879" s="12">
        <v>3.66</v>
      </c>
      <c r="K879" s="12">
        <v>4.01</v>
      </c>
      <c r="L879" s="12">
        <v>3.79</v>
      </c>
      <c r="M879" s="12">
        <v>4.2699999999999996</v>
      </c>
      <c r="N879" s="12">
        <v>4.3899999999999997</v>
      </c>
      <c r="O879" s="12" t="s">
        <v>1798</v>
      </c>
      <c r="P879" s="12">
        <f t="shared" si="79"/>
        <v>4.0020000000000007</v>
      </c>
      <c r="Q879" s="12">
        <f t="shared" si="80"/>
        <v>4</v>
      </c>
      <c r="R879" s="12">
        <f t="shared" si="81"/>
        <v>4.1150000000000002</v>
      </c>
      <c r="S879" s="28">
        <f>IFERROR(INDEX('Clean Gamification Data'!$B:$B,MATCH($B879,'Clean Gamification Data'!$A:$A,0)),"Not Found")</f>
        <v>77.246569309999998</v>
      </c>
      <c r="T879" s="28">
        <f>IFERROR(INDEX('Clean Gamification Data'!$C:$C,MATCH($B879,'Clean Gamification Data'!$A:$A,0)),"Not Found")</f>
        <v>74.442981750000001</v>
      </c>
      <c r="U879" s="28">
        <f>IFERROR(INDEX('Clean Gamification Data'!$D:$D,MATCH($B879,'Clean Gamification Data'!$A:$A,0)),"Not Found")</f>
        <v>90</v>
      </c>
      <c r="V879" s="28">
        <f>IFERROR(INDEX('Clean Gamification Data'!$E:$E,MATCH($B879,'Clean Gamification Data'!$A:$A,0)),"Not Found")</f>
        <v>60.956545030000001</v>
      </c>
      <c r="W879" s="28">
        <f>IFERROR(INDEX('Clean Gamification Data'!$F:$F,MATCH($B879,'Clean Gamification Data'!$A:$A,0)),"Not Found")</f>
        <v>93.943409619999997</v>
      </c>
      <c r="X879" s="28">
        <f>IFERROR(INDEX('Clean Gamification Data'!$G:$G,MATCH($B879,'Clean Gamification Data'!$A:$A,0)),"Not Found")</f>
        <v>76.372166669999999</v>
      </c>
      <c r="Y879" s="28">
        <f>IFERROR(INDEX('Clean Gamification Data'!$H:$H,MATCH($B879,'Clean Gamification Data'!$A:$A,0)),"Not Found")</f>
        <v>78.432547249999999</v>
      </c>
      <c r="Z879" s="28">
        <f>IFERROR(INDEX('Clean Gamification Data'!$I:$I,MATCH($B879,'Clean Gamification Data'!$A:$A,0)),"Not Found")</f>
        <v>54.491782049999998</v>
      </c>
      <c r="AA879" s="28">
        <f>Table1[[#This Row],[Engagement (Gamification %)]]-Table1[[#This Row],[Engagement (Non-Gamification %)]]</f>
        <v>2.8035875599999969</v>
      </c>
      <c r="AB879" s="28">
        <f>Table1[[#This Row],[Motivation (Gamification %)]]-Table1[[#This Row],[Motivation (Non-Gamification %)]]</f>
        <v>29.043454969999999</v>
      </c>
      <c r="AC879" s="28">
        <f>Table1[[#This Row],[Participation (Gamification %)]]-Table1[[#This Row],[Participation (Non-Gamification %)]]</f>
        <v>17.571242949999998</v>
      </c>
      <c r="AD879" s="28">
        <f>Table1[[#This Row],[Learning Outcomes (Gamification %)]]-Table1[[#This Row],[Learning Outcomes (Non-Gamification %)]]</f>
        <v>23.940765200000001</v>
      </c>
      <c r="AE879" s="44" t="str">
        <f>IF(Table1[[#This Row],[Overall Effectiveness]]&lt;3.9,"Low",IF(Table1[[#This Row],[Overall Effectiveness]]&lt;4.2,"Medium","High"))</f>
        <v>Medium</v>
      </c>
      <c r="AF879" s="30" t="str">
        <f t="shared" si="82"/>
        <v>Experiments</v>
      </c>
      <c r="AG879" s="30" t="str">
        <f t="shared" si="83"/>
        <v>Experiments</v>
      </c>
      <c r="AH879" s="27">
        <f>COUNTIF(Teacher_Master!$D$2:$D$16,AF879)</f>
        <v>3</v>
      </c>
      <c r="AI879" s="30" t="str">
        <f>INDEX(Teacher_Master!$B$2:$B$16,MATCH(AF879,Teacher_Master!$D$2:$D$16,0))</f>
        <v>Prof. Rahul Singh</v>
      </c>
    </row>
    <row r="880" spans="1:35" ht="14.25" customHeight="1" x14ac:dyDescent="0.3">
      <c r="A880" s="31" t="s">
        <v>1799</v>
      </c>
      <c r="B880" s="31" t="s">
        <v>2714</v>
      </c>
      <c r="C880" s="31" t="s">
        <v>2881</v>
      </c>
      <c r="D880" s="12">
        <f t="shared" ca="1" si="78"/>
        <v>28</v>
      </c>
      <c r="E880" s="12" t="str">
        <f ca="1">IF(Table1[[#This Row],[Age]]&lt;=22,"20-22",IF(Table1[[#This Row],[Age]]&lt;=25,"23-25",IF(Table1[[#This Row],[Age]]&lt;=28,"26-28","29-30")))</f>
        <v>26-28</v>
      </c>
      <c r="F880" s="12">
        <v>4.55</v>
      </c>
      <c r="G880" s="12">
        <v>4.51</v>
      </c>
      <c r="H880" s="12">
        <v>4.3899999999999997</v>
      </c>
      <c r="I880" s="12">
        <v>3.79</v>
      </c>
      <c r="J880" s="12">
        <v>3.29</v>
      </c>
      <c r="K880" s="12">
        <v>3.36</v>
      </c>
      <c r="L880" s="12">
        <v>4.55</v>
      </c>
      <c r="M880" s="12">
        <v>4.2</v>
      </c>
      <c r="N880" s="12">
        <v>3.84</v>
      </c>
      <c r="O880" s="12">
        <v>4.33</v>
      </c>
      <c r="P880" s="12">
        <f t="shared" si="79"/>
        <v>4.1059999999999999</v>
      </c>
      <c r="Q880" s="12">
        <f t="shared" si="80"/>
        <v>4.1100000000000003</v>
      </c>
      <c r="R880" s="12">
        <f t="shared" si="81"/>
        <v>4.056</v>
      </c>
      <c r="S880" s="28">
        <f>IFERROR(INDEX('Clean Gamification Data'!$B:$B,MATCH($B880,'Clean Gamification Data'!$A:$A,0)),"Not Found")</f>
        <v>85.832990510000002</v>
      </c>
      <c r="T880" s="28">
        <f>IFERROR(INDEX('Clean Gamification Data'!$C:$C,MATCH($B880,'Clean Gamification Data'!$A:$A,0)),"Not Found")</f>
        <v>62.217948049999997</v>
      </c>
      <c r="U880" s="28">
        <f>IFERROR(INDEX('Clean Gamification Data'!$D:$D,MATCH($B880,'Clean Gamification Data'!$A:$A,0)),"Not Found")</f>
        <v>70</v>
      </c>
      <c r="V880" s="28">
        <f>IFERROR(INDEX('Clean Gamification Data'!$E:$E,MATCH($B880,'Clean Gamification Data'!$A:$A,0)),"Not Found")</f>
        <v>64.529462379999998</v>
      </c>
      <c r="W880" s="28">
        <f>IFERROR(INDEX('Clean Gamification Data'!$F:$F,MATCH($B880,'Clean Gamification Data'!$A:$A,0)),"Not Found")</f>
        <v>90.736480240000006</v>
      </c>
      <c r="X880" s="28">
        <f>IFERROR(INDEX('Clean Gamification Data'!$G:$G,MATCH($B880,'Clean Gamification Data'!$A:$A,0)),"Not Found")</f>
        <v>75.086651369999998</v>
      </c>
      <c r="Y880" s="28">
        <f>IFERROR(INDEX('Clean Gamification Data'!$H:$H,MATCH($B880,'Clean Gamification Data'!$A:$A,0)),"Not Found")</f>
        <v>71.989915150000002</v>
      </c>
      <c r="Z880" s="28">
        <f>IFERROR(INDEX('Clean Gamification Data'!$I:$I,MATCH($B880,'Clean Gamification Data'!$A:$A,0)),"Not Found")</f>
        <v>59.585286019999998</v>
      </c>
      <c r="AA880" s="28">
        <f>Table1[[#This Row],[Engagement (Gamification %)]]-Table1[[#This Row],[Engagement (Non-Gamification %)]]</f>
        <v>23.615042460000005</v>
      </c>
      <c r="AB880" s="28">
        <f>Table1[[#This Row],[Motivation (Gamification %)]]-Table1[[#This Row],[Motivation (Non-Gamification %)]]</f>
        <v>5.4705376200000018</v>
      </c>
      <c r="AC880" s="28">
        <f>Table1[[#This Row],[Participation (Gamification %)]]-Table1[[#This Row],[Participation (Non-Gamification %)]]</f>
        <v>15.649828870000007</v>
      </c>
      <c r="AD880" s="28">
        <f>Table1[[#This Row],[Learning Outcomes (Gamification %)]]-Table1[[#This Row],[Learning Outcomes (Non-Gamification %)]]</f>
        <v>12.404629130000004</v>
      </c>
      <c r="AE880" s="44" t="str">
        <f>IF(Table1[[#This Row],[Overall Effectiveness]]&lt;3.9,"Low",IF(Table1[[#This Row],[Overall Effectiveness]]&lt;4.2,"Medium","High"))</f>
        <v>Medium</v>
      </c>
      <c r="AF880" s="30" t="str">
        <f t="shared" si="82"/>
        <v>Lectures</v>
      </c>
      <c r="AG880" s="30" t="str">
        <f t="shared" si="83"/>
        <v>Case Studies</v>
      </c>
      <c r="AH880" s="27">
        <f>COUNTIF(Teacher_Master!$D$2:$D$16,AF880)</f>
        <v>3</v>
      </c>
      <c r="AI880" s="30" t="str">
        <f>INDEX(Teacher_Master!$B$2:$B$16,MATCH(AF880,Teacher_Master!$D$2:$D$16,0))</f>
        <v>Prof. Vikram Gupta</v>
      </c>
    </row>
    <row r="881" spans="1:35" ht="14.25" customHeight="1" x14ac:dyDescent="0.3">
      <c r="A881" s="31" t="s">
        <v>1801</v>
      </c>
      <c r="B881" s="31" t="s">
        <v>1802</v>
      </c>
      <c r="C881" s="31" t="s">
        <v>2882</v>
      </c>
      <c r="D881" s="12">
        <f t="shared" ca="1" si="78"/>
        <v>24</v>
      </c>
      <c r="E881" s="12" t="str">
        <f ca="1">IF(Table1[[#This Row],[Age]]&lt;=22,"20-22",IF(Table1[[#This Row],[Age]]&lt;=25,"23-25",IF(Table1[[#This Row],[Age]]&lt;=28,"26-28","29-30")))</f>
        <v>23-25</v>
      </c>
      <c r="F881" s="12">
        <v>4.03</v>
      </c>
      <c r="G881" s="12">
        <v>3.71</v>
      </c>
      <c r="H881" s="12" t="s">
        <v>211</v>
      </c>
      <c r="I881" s="12">
        <v>3.55</v>
      </c>
      <c r="J881" s="12">
        <v>4</v>
      </c>
      <c r="K881" s="12">
        <v>3.54</v>
      </c>
      <c r="L881" s="12">
        <v>3.55</v>
      </c>
      <c r="M881" s="12">
        <v>3.73</v>
      </c>
      <c r="N881" s="12">
        <v>3.87</v>
      </c>
      <c r="O881" s="12">
        <v>4.04</v>
      </c>
      <c r="P881" s="12">
        <f t="shared" si="79"/>
        <v>3.8224999999999998</v>
      </c>
      <c r="Q881" s="12">
        <f t="shared" si="80"/>
        <v>3.82</v>
      </c>
      <c r="R881" s="12">
        <f t="shared" si="81"/>
        <v>3.746</v>
      </c>
      <c r="S881" s="28">
        <f>IFERROR(INDEX('Clean Gamification Data'!$B:$B,MATCH($B881,'Clean Gamification Data'!$A:$A,0)),"Not Found")</f>
        <v>85.099013319999997</v>
      </c>
      <c r="T881" s="28">
        <f>IFERROR(INDEX('Clean Gamification Data'!$C:$C,MATCH($B881,'Clean Gamification Data'!$A:$A,0)),"Not Found")</f>
        <v>62.587421020000001</v>
      </c>
      <c r="U881" s="28">
        <f>IFERROR(INDEX('Clean Gamification Data'!$D:$D,MATCH($B881,'Clean Gamification Data'!$A:$A,0)),"Not Found")</f>
        <v>84.721808060000001</v>
      </c>
      <c r="V881" s="28">
        <f>IFERROR(INDEX('Clean Gamification Data'!$E:$E,MATCH($B881,'Clean Gamification Data'!$A:$A,0)),"Not Found")</f>
        <v>58.111916530000002</v>
      </c>
      <c r="W881" s="28">
        <f>IFERROR(INDEX('Clean Gamification Data'!$F:$F,MATCH($B881,'Clean Gamification Data'!$A:$A,0)),"Not Found")</f>
        <v>89.632251249999996</v>
      </c>
      <c r="X881" s="28">
        <f>IFERROR(INDEX('Clean Gamification Data'!$G:$G,MATCH($B881,'Clean Gamification Data'!$A:$A,0)),"Not Found")</f>
        <v>83.940695959999999</v>
      </c>
      <c r="Y881" s="28">
        <f>IFERROR(INDEX('Clean Gamification Data'!$H:$H,MATCH($B881,'Clean Gamification Data'!$A:$A,0)),"Not Found")</f>
        <v>70.628618970000005</v>
      </c>
      <c r="Z881" s="28">
        <f>IFERROR(INDEX('Clean Gamification Data'!$I:$I,MATCH($B881,'Clean Gamification Data'!$A:$A,0)),"Not Found")</f>
        <v>54.931136180000003</v>
      </c>
      <c r="AA881" s="28">
        <f>Table1[[#This Row],[Engagement (Gamification %)]]-Table1[[#This Row],[Engagement (Non-Gamification %)]]</f>
        <v>22.511592299999997</v>
      </c>
      <c r="AB881" s="28">
        <f>Table1[[#This Row],[Motivation (Gamification %)]]-Table1[[#This Row],[Motivation (Non-Gamification %)]]</f>
        <v>26.609891529999999</v>
      </c>
      <c r="AC881" s="28">
        <f>Table1[[#This Row],[Participation (Gamification %)]]-Table1[[#This Row],[Participation (Non-Gamification %)]]</f>
        <v>5.6915552899999966</v>
      </c>
      <c r="AD881" s="28">
        <f>Table1[[#This Row],[Learning Outcomes (Gamification %)]]-Table1[[#This Row],[Learning Outcomes (Non-Gamification %)]]</f>
        <v>15.697482790000002</v>
      </c>
      <c r="AE881" s="44" t="str">
        <f>IF(Table1[[#This Row],[Overall Effectiveness]]&lt;3.9,"Low",IF(Table1[[#This Row],[Overall Effectiveness]]&lt;4.2,"Medium","High"))</f>
        <v>Low</v>
      </c>
      <c r="AF881" s="30" t="str">
        <f t="shared" si="82"/>
        <v>Lectures</v>
      </c>
      <c r="AG881" s="30" t="str">
        <f t="shared" si="83"/>
        <v>Online Tutorials</v>
      </c>
      <c r="AH881" s="27">
        <f>COUNTIF(Teacher_Master!$D$2:$D$16,AF881)</f>
        <v>3</v>
      </c>
      <c r="AI881" s="30" t="str">
        <f>INDEX(Teacher_Master!$B$2:$B$16,MATCH(AF881,Teacher_Master!$D$2:$D$16,0))</f>
        <v>Prof. Vikram Gupta</v>
      </c>
    </row>
    <row r="882" spans="1:35" ht="14.25" customHeight="1" x14ac:dyDescent="0.3">
      <c r="A882" s="31" t="s">
        <v>1803</v>
      </c>
      <c r="B882" s="31" t="s">
        <v>2715</v>
      </c>
      <c r="C882" s="31" t="s">
        <v>2882</v>
      </c>
      <c r="D882" s="12">
        <f t="shared" ca="1" si="78"/>
        <v>21</v>
      </c>
      <c r="E882" s="12" t="str">
        <f ca="1">IF(Table1[[#This Row],[Age]]&lt;=22,"20-22",IF(Table1[[#This Row],[Age]]&lt;=25,"23-25",IF(Table1[[#This Row],[Age]]&lt;=28,"26-28","29-30")))</f>
        <v>20-22</v>
      </c>
      <c r="F882" s="12">
        <v>3.89</v>
      </c>
      <c r="G882" s="12">
        <v>3.74</v>
      </c>
      <c r="H882" s="12">
        <v>3.96</v>
      </c>
      <c r="I882" s="12">
        <v>4.2300000000000004</v>
      </c>
      <c r="J882" s="12">
        <v>4.01</v>
      </c>
      <c r="K882" s="12">
        <v>3.79</v>
      </c>
      <c r="L882" s="12">
        <v>4.08</v>
      </c>
      <c r="M882" s="12">
        <v>3.82</v>
      </c>
      <c r="N882" s="12">
        <v>3.95</v>
      </c>
      <c r="O882" s="12">
        <v>4.05</v>
      </c>
      <c r="P882" s="12">
        <f t="shared" si="79"/>
        <v>3.9659999999999997</v>
      </c>
      <c r="Q882" s="12">
        <f t="shared" si="80"/>
        <v>3.97</v>
      </c>
      <c r="R882" s="12">
        <f t="shared" si="81"/>
        <v>3.9380000000000002</v>
      </c>
      <c r="S882" s="28">
        <f>IFERROR(INDEX('Clean Gamification Data'!$B:$B,MATCH($B882,'Clean Gamification Data'!$A:$A,0)),"Not Found")</f>
        <v>89.465699450000002</v>
      </c>
      <c r="T882" s="28">
        <f>IFERROR(INDEX('Clean Gamification Data'!$C:$C,MATCH($B882,'Clean Gamification Data'!$A:$A,0)),"Not Found")</f>
        <v>61.140648810000002</v>
      </c>
      <c r="U882" s="28">
        <f>IFERROR(INDEX('Clean Gamification Data'!$D:$D,MATCH($B882,'Clean Gamification Data'!$A:$A,0)),"Not Found")</f>
        <v>70</v>
      </c>
      <c r="V882" s="28">
        <f>IFERROR(INDEX('Clean Gamification Data'!$E:$E,MATCH($B882,'Clean Gamification Data'!$A:$A,0)),"Not Found")</f>
        <v>69.592849099999995</v>
      </c>
      <c r="W882" s="28">
        <f>IFERROR(INDEX('Clean Gamification Data'!$F:$F,MATCH($B882,'Clean Gamification Data'!$A:$A,0)),"Not Found")</f>
        <v>91.146369849999999</v>
      </c>
      <c r="X882" s="28">
        <f>IFERROR(INDEX('Clean Gamification Data'!$G:$G,MATCH($B882,'Clean Gamification Data'!$A:$A,0)),"Not Found")</f>
        <v>84.350634339999999</v>
      </c>
      <c r="Y882" s="28">
        <f>IFERROR(INDEX('Clean Gamification Data'!$H:$H,MATCH($B882,'Clean Gamification Data'!$A:$A,0)),"Not Found")</f>
        <v>70.947762690000005</v>
      </c>
      <c r="Z882" s="28">
        <f>IFERROR(INDEX('Clean Gamification Data'!$I:$I,MATCH($B882,'Clean Gamification Data'!$A:$A,0)),"Not Found")</f>
        <v>59.945196780000003</v>
      </c>
      <c r="AA882" s="28">
        <f>Table1[[#This Row],[Engagement (Gamification %)]]-Table1[[#This Row],[Engagement (Non-Gamification %)]]</f>
        <v>28.325050640000001</v>
      </c>
      <c r="AB882" s="28">
        <f>Table1[[#This Row],[Motivation (Gamification %)]]-Table1[[#This Row],[Motivation (Non-Gamification %)]]</f>
        <v>0.40715090000000487</v>
      </c>
      <c r="AC882" s="28">
        <f>Table1[[#This Row],[Participation (Gamification %)]]-Table1[[#This Row],[Participation (Non-Gamification %)]]</f>
        <v>6.7957355100000001</v>
      </c>
      <c r="AD882" s="28">
        <f>Table1[[#This Row],[Learning Outcomes (Gamification %)]]-Table1[[#This Row],[Learning Outcomes (Non-Gamification %)]]</f>
        <v>11.002565910000001</v>
      </c>
      <c r="AE882" s="44" t="str">
        <f>IF(Table1[[#This Row],[Overall Effectiveness]]&lt;3.9,"Low",IF(Table1[[#This Row],[Overall Effectiveness]]&lt;4.2,"Medium","High"))</f>
        <v>Medium</v>
      </c>
      <c r="AF882" s="30" t="str">
        <f t="shared" si="82"/>
        <v>Experiments</v>
      </c>
      <c r="AG882" s="30" t="str">
        <f t="shared" si="83"/>
        <v>Case Studies</v>
      </c>
      <c r="AH882" s="27">
        <f>COUNTIF(Teacher_Master!$D$2:$D$16,AF882)</f>
        <v>3</v>
      </c>
      <c r="AI882" s="30" t="str">
        <f>INDEX(Teacher_Master!$B$2:$B$16,MATCH(AF882,Teacher_Master!$D$2:$D$16,0))</f>
        <v>Prof. Rahul Singh</v>
      </c>
    </row>
    <row r="883" spans="1:35" ht="14.25" customHeight="1" x14ac:dyDescent="0.3">
      <c r="A883" s="31" t="s">
        <v>1805</v>
      </c>
      <c r="B883" s="31" t="s">
        <v>2716</v>
      </c>
      <c r="C883" s="31" t="s">
        <v>2881</v>
      </c>
      <c r="D883" s="12">
        <f t="shared" ca="1" si="78"/>
        <v>20</v>
      </c>
      <c r="E883" s="12" t="str">
        <f ca="1">IF(Table1[[#This Row],[Age]]&lt;=22,"20-22",IF(Table1[[#This Row],[Age]]&lt;=25,"23-25",IF(Table1[[#This Row],[Age]]&lt;=28,"26-28","29-30")))</f>
        <v>20-22</v>
      </c>
      <c r="F883" s="12">
        <v>3.51</v>
      </c>
      <c r="G883" s="12">
        <v>3.75</v>
      </c>
      <c r="H883" s="12">
        <v>3.8</v>
      </c>
      <c r="I883" s="12">
        <v>4.18</v>
      </c>
      <c r="J883" s="12">
        <v>3.97</v>
      </c>
      <c r="K883" s="12">
        <v>4.2300000000000004</v>
      </c>
      <c r="L883" s="12">
        <v>4.41</v>
      </c>
      <c r="M883" s="12">
        <v>4.51</v>
      </c>
      <c r="N883" s="12">
        <v>3.96</v>
      </c>
      <c r="O883" s="12">
        <v>3.09</v>
      </c>
      <c r="P883" s="12">
        <f t="shared" si="79"/>
        <v>3.8419999999999996</v>
      </c>
      <c r="Q883" s="12">
        <f t="shared" si="80"/>
        <v>3.84</v>
      </c>
      <c r="R883" s="12">
        <f t="shared" si="81"/>
        <v>4.04</v>
      </c>
      <c r="S883" s="28">
        <f>IFERROR(INDEX('Clean Gamification Data'!$B:$B,MATCH($B883,'Clean Gamification Data'!$A:$A,0)),"Not Found")</f>
        <v>85.387372119999995</v>
      </c>
      <c r="T883" s="28">
        <f>IFERROR(INDEX('Clean Gamification Data'!$C:$C,MATCH($B883,'Clean Gamification Data'!$A:$A,0)),"Not Found")</f>
        <v>61.415046340000004</v>
      </c>
      <c r="U883" s="28">
        <f>IFERROR(INDEX('Clean Gamification Data'!$D:$D,MATCH($B883,'Clean Gamification Data'!$A:$A,0)),"Not Found")</f>
        <v>74.686193000000003</v>
      </c>
      <c r="V883" s="28">
        <f>IFERROR(INDEX('Clean Gamification Data'!$E:$E,MATCH($B883,'Clean Gamification Data'!$A:$A,0)),"Not Found")</f>
        <v>61.427349100000001</v>
      </c>
      <c r="W883" s="28">
        <f>IFERROR(INDEX('Clean Gamification Data'!$F:$F,MATCH($B883,'Clean Gamification Data'!$A:$A,0)),"Not Found")</f>
        <v>92.032091829999999</v>
      </c>
      <c r="X883" s="28">
        <f>IFERROR(INDEX('Clean Gamification Data'!$G:$G,MATCH($B883,'Clean Gamification Data'!$A:$A,0)),"Not Found")</f>
        <v>70.612082319999999</v>
      </c>
      <c r="Y883" s="28">
        <f>IFERROR(INDEX('Clean Gamification Data'!$H:$H,MATCH($B883,'Clean Gamification Data'!$A:$A,0)),"Not Found")</f>
        <v>67.150674179999996</v>
      </c>
      <c r="Z883" s="28">
        <f>IFERROR(INDEX('Clean Gamification Data'!$I:$I,MATCH($B883,'Clean Gamification Data'!$A:$A,0)),"Not Found")</f>
        <v>60.284952439999998</v>
      </c>
      <c r="AA883" s="28">
        <f>Table1[[#This Row],[Engagement (Gamification %)]]-Table1[[#This Row],[Engagement (Non-Gamification %)]]</f>
        <v>23.972325779999991</v>
      </c>
      <c r="AB883" s="28">
        <f>Table1[[#This Row],[Motivation (Gamification %)]]-Table1[[#This Row],[Motivation (Non-Gamification %)]]</f>
        <v>13.258843900000002</v>
      </c>
      <c r="AC883" s="28">
        <f>Table1[[#This Row],[Participation (Gamification %)]]-Table1[[#This Row],[Participation (Non-Gamification %)]]</f>
        <v>21.42000951</v>
      </c>
      <c r="AD883" s="28">
        <f>Table1[[#This Row],[Learning Outcomes (Gamification %)]]-Table1[[#This Row],[Learning Outcomes (Non-Gamification %)]]</f>
        <v>6.8657217399999979</v>
      </c>
      <c r="AE883" s="44" t="str">
        <f>IF(Table1[[#This Row],[Overall Effectiveness]]&lt;3.9,"Low",IF(Table1[[#This Row],[Overall Effectiveness]]&lt;4.2,"Medium","High"))</f>
        <v>Low</v>
      </c>
      <c r="AF883" s="30" t="str">
        <f t="shared" si="82"/>
        <v>Experiments</v>
      </c>
      <c r="AG883" s="30" t="str">
        <f t="shared" si="83"/>
        <v>Group Projects</v>
      </c>
      <c r="AH883" s="27">
        <f>COUNTIF(Teacher_Master!$D$2:$D$16,AF883)</f>
        <v>3</v>
      </c>
      <c r="AI883" s="30" t="str">
        <f>INDEX(Teacher_Master!$B$2:$B$16,MATCH(AF883,Teacher_Master!$D$2:$D$16,0))</f>
        <v>Prof. Rahul Singh</v>
      </c>
    </row>
    <row r="884" spans="1:35" ht="14.25" customHeight="1" x14ac:dyDescent="0.3">
      <c r="A884" s="31" t="s">
        <v>1807</v>
      </c>
      <c r="B884" s="31" t="s">
        <v>2717</v>
      </c>
      <c r="C884" s="31" t="s">
        <v>2882</v>
      </c>
      <c r="D884" s="12">
        <f t="shared" ca="1" si="78"/>
        <v>21</v>
      </c>
      <c r="E884" s="12" t="str">
        <f ca="1">IF(Table1[[#This Row],[Age]]&lt;=22,"20-22",IF(Table1[[#This Row],[Age]]&lt;=25,"23-25",IF(Table1[[#This Row],[Age]]&lt;=28,"26-28","29-30")))</f>
        <v>20-22</v>
      </c>
      <c r="F884" s="12">
        <v>3.63</v>
      </c>
      <c r="G884" s="12">
        <v>4</v>
      </c>
      <c r="H884" s="12">
        <v>3.94</v>
      </c>
      <c r="I884" s="12">
        <v>3.95</v>
      </c>
      <c r="J884" s="12">
        <v>4.0199999999999996</v>
      </c>
      <c r="K884" s="12">
        <v>4.21</v>
      </c>
      <c r="L884" s="12">
        <v>4</v>
      </c>
      <c r="M884" s="12">
        <v>4.3899999999999997</v>
      </c>
      <c r="N884" s="12">
        <v>4.25</v>
      </c>
      <c r="O884" s="12">
        <v>3.88</v>
      </c>
      <c r="P884" s="12">
        <f t="shared" si="79"/>
        <v>3.9079999999999999</v>
      </c>
      <c r="Q884" s="12">
        <f t="shared" si="80"/>
        <v>3.91</v>
      </c>
      <c r="R884" s="12">
        <f t="shared" si="81"/>
        <v>4.1459999999999999</v>
      </c>
      <c r="S884" s="28">
        <f>IFERROR(INDEX('Clean Gamification Data'!$B:$B,MATCH($B884,'Clean Gamification Data'!$A:$A,0)),"Not Found")</f>
        <v>80.898692150000002</v>
      </c>
      <c r="T884" s="28">
        <f>IFERROR(INDEX('Clean Gamification Data'!$C:$C,MATCH($B884,'Clean Gamification Data'!$A:$A,0)),"Not Found")</f>
        <v>60</v>
      </c>
      <c r="U884" s="28">
        <f>IFERROR(INDEX('Clean Gamification Data'!$D:$D,MATCH($B884,'Clean Gamification Data'!$A:$A,0)),"Not Found")</f>
        <v>75.471722240000005</v>
      </c>
      <c r="V884" s="28">
        <f>IFERROR(INDEX('Clean Gamification Data'!$E:$E,MATCH($B884,'Clean Gamification Data'!$A:$A,0)),"Not Found")</f>
        <v>59.586212150000001</v>
      </c>
      <c r="W884" s="28">
        <f>IFERROR(INDEX('Clean Gamification Data'!$F:$F,MATCH($B884,'Clean Gamification Data'!$A:$A,0)),"Not Found")</f>
        <v>98.754984379999996</v>
      </c>
      <c r="X884" s="28">
        <f>IFERROR(INDEX('Clean Gamification Data'!$G:$G,MATCH($B884,'Clean Gamification Data'!$A:$A,0)),"Not Found")</f>
        <v>80.518102889999994</v>
      </c>
      <c r="Y884" s="28">
        <f>IFERROR(INDEX('Clean Gamification Data'!$H:$H,MATCH($B884,'Clean Gamification Data'!$A:$A,0)),"Not Found")</f>
        <v>69.721933269999994</v>
      </c>
      <c r="Z884" s="28">
        <f>IFERROR(INDEX('Clean Gamification Data'!$I:$I,MATCH($B884,'Clean Gamification Data'!$A:$A,0)),"Not Found")</f>
        <v>52.213753599999997</v>
      </c>
      <c r="AA884" s="28">
        <f>Table1[[#This Row],[Engagement (Gamification %)]]-Table1[[#This Row],[Engagement (Non-Gamification %)]]</f>
        <v>20.898692150000002</v>
      </c>
      <c r="AB884" s="28">
        <f>Table1[[#This Row],[Motivation (Gamification %)]]-Table1[[#This Row],[Motivation (Non-Gamification %)]]</f>
        <v>15.885510090000004</v>
      </c>
      <c r="AC884" s="28">
        <f>Table1[[#This Row],[Participation (Gamification %)]]-Table1[[#This Row],[Participation (Non-Gamification %)]]</f>
        <v>18.236881490000002</v>
      </c>
      <c r="AD884" s="28">
        <f>Table1[[#This Row],[Learning Outcomes (Gamification %)]]-Table1[[#This Row],[Learning Outcomes (Non-Gamification %)]]</f>
        <v>17.508179669999997</v>
      </c>
      <c r="AE884" s="44" t="str">
        <f>IF(Table1[[#This Row],[Overall Effectiveness]]&lt;3.9,"Low",IF(Table1[[#This Row],[Overall Effectiveness]]&lt;4.2,"Medium","High"))</f>
        <v>Medium</v>
      </c>
      <c r="AF884" s="30" t="str">
        <f t="shared" si="82"/>
        <v>Online Tutorials</v>
      </c>
      <c r="AG884" s="30" t="str">
        <f t="shared" si="83"/>
        <v>Group Projects</v>
      </c>
      <c r="AH884" s="27">
        <f>COUNTIF(Teacher_Master!$D$2:$D$16,AF884)</f>
        <v>3</v>
      </c>
      <c r="AI884" s="30" t="str">
        <f>INDEX(Teacher_Master!$B$2:$B$16,MATCH(AF884,Teacher_Master!$D$2:$D$16,0))</f>
        <v>Prof. Kavita Rao</v>
      </c>
    </row>
    <row r="885" spans="1:35" ht="14.25" customHeight="1" x14ac:dyDescent="0.3">
      <c r="A885" s="31" t="s">
        <v>1809</v>
      </c>
      <c r="B885" s="31" t="s">
        <v>2718</v>
      </c>
      <c r="C885" s="31" t="s">
        <v>2882</v>
      </c>
      <c r="D885" s="12">
        <f t="shared" ca="1" si="78"/>
        <v>27</v>
      </c>
      <c r="E885" s="12" t="str">
        <f ca="1">IF(Table1[[#This Row],[Age]]&lt;=22,"20-22",IF(Table1[[#This Row],[Age]]&lt;=25,"23-25",IF(Table1[[#This Row],[Age]]&lt;=28,"26-28","29-30")))</f>
        <v>26-28</v>
      </c>
      <c r="F885" s="12">
        <v>4.47</v>
      </c>
      <c r="G885" s="12" t="s">
        <v>211</v>
      </c>
      <c r="H885" s="12">
        <v>4.1900000000000004</v>
      </c>
      <c r="I885" s="12">
        <v>4.22</v>
      </c>
      <c r="J885" s="12">
        <v>4.33</v>
      </c>
      <c r="K885" s="12">
        <v>3.59</v>
      </c>
      <c r="L885" s="12">
        <v>4.7300000000000004</v>
      </c>
      <c r="M885" s="12">
        <v>4.17</v>
      </c>
      <c r="N885" s="12">
        <v>4.4400000000000004</v>
      </c>
      <c r="O885" s="12">
        <v>3.95</v>
      </c>
      <c r="P885" s="12">
        <f t="shared" si="79"/>
        <v>4.3025000000000002</v>
      </c>
      <c r="Q885" s="12">
        <f t="shared" si="80"/>
        <v>4.3</v>
      </c>
      <c r="R885" s="12">
        <f t="shared" si="81"/>
        <v>4.1760000000000002</v>
      </c>
      <c r="S885" s="28">
        <f>IFERROR(INDEX('Clean Gamification Data'!$B:$B,MATCH($B885,'Clean Gamification Data'!$A:$A,0)),"Not Found")</f>
        <v>93.983027480000004</v>
      </c>
      <c r="T885" s="28">
        <f>IFERROR(INDEX('Clean Gamification Data'!$C:$C,MATCH($B885,'Clean Gamification Data'!$A:$A,0)),"Not Found")</f>
        <v>71.986834709999997</v>
      </c>
      <c r="U885" s="28">
        <f>IFERROR(INDEX('Clean Gamification Data'!$D:$D,MATCH($B885,'Clean Gamification Data'!$A:$A,0)),"Not Found")</f>
        <v>82.558084609999995</v>
      </c>
      <c r="V885" s="28">
        <f>IFERROR(INDEX('Clean Gamification Data'!$E:$E,MATCH($B885,'Clean Gamification Data'!$A:$A,0)),"Not Found")</f>
        <v>70.091685060000003</v>
      </c>
      <c r="W885" s="28">
        <f>IFERROR(INDEX('Clean Gamification Data'!$F:$F,MATCH($B885,'Clean Gamification Data'!$A:$A,0)),"Not Found")</f>
        <v>82.325113169999995</v>
      </c>
      <c r="X885" s="28">
        <f>IFERROR(INDEX('Clean Gamification Data'!$G:$G,MATCH($B885,'Clean Gamification Data'!$A:$A,0)),"Not Found")</f>
        <v>73.711213319999999</v>
      </c>
      <c r="Y885" s="28">
        <f>IFERROR(INDEX('Clean Gamification Data'!$H:$H,MATCH($B885,'Clean Gamification Data'!$A:$A,0)),"Not Found")</f>
        <v>70.066132609999997</v>
      </c>
      <c r="Z885" s="28">
        <f>IFERROR(INDEX('Clean Gamification Data'!$I:$I,MATCH($B885,'Clean Gamification Data'!$A:$A,0)),"Not Found")</f>
        <v>65.17671181</v>
      </c>
      <c r="AA885" s="28">
        <f>Table1[[#This Row],[Engagement (Gamification %)]]-Table1[[#This Row],[Engagement (Non-Gamification %)]]</f>
        <v>21.996192770000007</v>
      </c>
      <c r="AB885" s="28">
        <f>Table1[[#This Row],[Motivation (Gamification %)]]-Table1[[#This Row],[Motivation (Non-Gamification %)]]</f>
        <v>12.466399549999991</v>
      </c>
      <c r="AC885" s="28">
        <f>Table1[[#This Row],[Participation (Gamification %)]]-Table1[[#This Row],[Participation (Non-Gamification %)]]</f>
        <v>8.6138998499999957</v>
      </c>
      <c r="AD885" s="28">
        <f>Table1[[#This Row],[Learning Outcomes (Gamification %)]]-Table1[[#This Row],[Learning Outcomes (Non-Gamification %)]]</f>
        <v>4.8894207999999963</v>
      </c>
      <c r="AE885" s="44" t="str">
        <f>IF(Table1[[#This Row],[Overall Effectiveness]]&lt;3.9,"Low",IF(Table1[[#This Row],[Overall Effectiveness]]&lt;4.2,"Medium","High"))</f>
        <v>High</v>
      </c>
      <c r="AF885" s="30" t="str">
        <f t="shared" si="82"/>
        <v>Lectures</v>
      </c>
      <c r="AG885" s="30" t="str">
        <f t="shared" si="83"/>
        <v>Case Studies</v>
      </c>
      <c r="AH885" s="27">
        <f>COUNTIF(Teacher_Master!$D$2:$D$16,AF885)</f>
        <v>3</v>
      </c>
      <c r="AI885" s="30" t="str">
        <f>INDEX(Teacher_Master!$B$2:$B$16,MATCH(AF885,Teacher_Master!$D$2:$D$16,0))</f>
        <v>Prof. Vikram Gupta</v>
      </c>
    </row>
    <row r="886" spans="1:35" ht="14.25" customHeight="1" x14ac:dyDescent="0.3">
      <c r="A886" s="31" t="s">
        <v>1811</v>
      </c>
      <c r="B886" s="31" t="s">
        <v>2719</v>
      </c>
      <c r="C886" s="31" t="s">
        <v>2882</v>
      </c>
      <c r="D886" s="12">
        <f t="shared" ca="1" si="78"/>
        <v>22</v>
      </c>
      <c r="E886" s="12" t="str">
        <f ca="1">IF(Table1[[#This Row],[Age]]&lt;=22,"20-22",IF(Table1[[#This Row],[Age]]&lt;=25,"23-25",IF(Table1[[#This Row],[Age]]&lt;=28,"26-28","29-30")))</f>
        <v>20-22</v>
      </c>
      <c r="F886" s="12">
        <v>3.46</v>
      </c>
      <c r="G886" s="12">
        <v>4.09</v>
      </c>
      <c r="H886" s="12">
        <v>3.87</v>
      </c>
      <c r="I886" s="12">
        <v>4.24</v>
      </c>
      <c r="J886" s="12">
        <v>4.37</v>
      </c>
      <c r="K886" s="12">
        <v>3.94</v>
      </c>
      <c r="L886" s="12">
        <v>3.89</v>
      </c>
      <c r="M886" s="12">
        <v>4.1100000000000003</v>
      </c>
      <c r="N886" s="12" t="s">
        <v>211</v>
      </c>
      <c r="O886" s="12">
        <v>4.25</v>
      </c>
      <c r="P886" s="12">
        <f t="shared" si="79"/>
        <v>4.0060000000000002</v>
      </c>
      <c r="Q886" s="12">
        <f t="shared" si="80"/>
        <v>4.01</v>
      </c>
      <c r="R886" s="12">
        <f t="shared" si="81"/>
        <v>4.0475000000000003</v>
      </c>
      <c r="S886" s="28">
        <f>IFERROR(INDEX('Clean Gamification Data'!$B:$B,MATCH($B886,'Clean Gamification Data'!$A:$A,0)),"Not Found")</f>
        <v>89.517371929999996</v>
      </c>
      <c r="T886" s="28">
        <f>IFERROR(INDEX('Clean Gamification Data'!$C:$C,MATCH($B886,'Clean Gamification Data'!$A:$A,0)),"Not Found")</f>
        <v>70.323541890000001</v>
      </c>
      <c r="U886" s="28">
        <f>IFERROR(INDEX('Clean Gamification Data'!$D:$D,MATCH($B886,'Clean Gamification Data'!$A:$A,0)),"Not Found")</f>
        <v>70</v>
      </c>
      <c r="V886" s="28">
        <f>IFERROR(INDEX('Clean Gamification Data'!$E:$E,MATCH($B886,'Clean Gamification Data'!$A:$A,0)),"Not Found")</f>
        <v>56.862496120000003</v>
      </c>
      <c r="W886" s="28">
        <f>IFERROR(INDEX('Clean Gamification Data'!$F:$F,MATCH($B886,'Clean Gamification Data'!$A:$A,0)),"Not Found")</f>
        <v>97.963341639999996</v>
      </c>
      <c r="X886" s="28">
        <f>IFERROR(INDEX('Clean Gamification Data'!$G:$G,MATCH($B886,'Clean Gamification Data'!$A:$A,0)),"Not Found")</f>
        <v>75.406991199999993</v>
      </c>
      <c r="Y886" s="28">
        <f>IFERROR(INDEX('Clean Gamification Data'!$H:$H,MATCH($B886,'Clean Gamification Data'!$A:$A,0)),"Not Found")</f>
        <v>75.820216470000005</v>
      </c>
      <c r="Z886" s="28">
        <f>IFERROR(INDEX('Clean Gamification Data'!$I:$I,MATCH($B886,'Clean Gamification Data'!$A:$A,0)),"Not Found")</f>
        <v>65.896499419999998</v>
      </c>
      <c r="AA886" s="28">
        <f>Table1[[#This Row],[Engagement (Gamification %)]]-Table1[[#This Row],[Engagement (Non-Gamification %)]]</f>
        <v>19.193830039999995</v>
      </c>
      <c r="AB886" s="28">
        <f>Table1[[#This Row],[Motivation (Gamification %)]]-Table1[[#This Row],[Motivation (Non-Gamification %)]]</f>
        <v>13.137503879999997</v>
      </c>
      <c r="AC886" s="28">
        <f>Table1[[#This Row],[Participation (Gamification %)]]-Table1[[#This Row],[Participation (Non-Gamification %)]]</f>
        <v>22.556350440000003</v>
      </c>
      <c r="AD886" s="28">
        <f>Table1[[#This Row],[Learning Outcomes (Gamification %)]]-Table1[[#This Row],[Learning Outcomes (Non-Gamification %)]]</f>
        <v>9.9237170500000076</v>
      </c>
      <c r="AE886" s="44" t="str">
        <f>IF(Table1[[#This Row],[Overall Effectiveness]]&lt;3.9,"Low",IF(Table1[[#This Row],[Overall Effectiveness]]&lt;4.2,"Medium","High"))</f>
        <v>Medium</v>
      </c>
      <c r="AF886" s="30" t="str">
        <f t="shared" si="82"/>
        <v>Online Tutorials</v>
      </c>
      <c r="AG886" s="30" t="str">
        <f t="shared" si="83"/>
        <v>Online Tutorials</v>
      </c>
      <c r="AH886" s="27">
        <f>COUNTIF(Teacher_Master!$D$2:$D$16,AF886)</f>
        <v>3</v>
      </c>
      <c r="AI886" s="30" t="str">
        <f>INDEX(Teacher_Master!$B$2:$B$16,MATCH(AF886,Teacher_Master!$D$2:$D$16,0))</f>
        <v>Prof. Kavita Rao</v>
      </c>
    </row>
    <row r="887" spans="1:35" ht="14.25" customHeight="1" x14ac:dyDescent="0.3">
      <c r="A887" s="31" t="s">
        <v>1813</v>
      </c>
      <c r="B887" s="31" t="s">
        <v>2720</v>
      </c>
      <c r="C887" s="31" t="s">
        <v>2882</v>
      </c>
      <c r="D887" s="12">
        <f t="shared" ca="1" si="78"/>
        <v>24</v>
      </c>
      <c r="E887" s="12" t="str">
        <f ca="1">IF(Table1[[#This Row],[Age]]&lt;=22,"20-22",IF(Table1[[#This Row],[Age]]&lt;=25,"23-25",IF(Table1[[#This Row],[Age]]&lt;=28,"26-28","29-30")))</f>
        <v>23-25</v>
      </c>
      <c r="F887" s="12">
        <v>4.34</v>
      </c>
      <c r="G887" s="12">
        <v>3.81</v>
      </c>
      <c r="H887" s="12">
        <v>4.2</v>
      </c>
      <c r="I887" s="12">
        <v>4.1399999999999997</v>
      </c>
      <c r="J887" s="12">
        <v>3.97</v>
      </c>
      <c r="K887" s="12">
        <v>4.5199999999999996</v>
      </c>
      <c r="L887" s="12">
        <v>4.62</v>
      </c>
      <c r="M887" s="12">
        <v>3.94</v>
      </c>
      <c r="N887" s="12">
        <v>4.04</v>
      </c>
      <c r="O887" s="12">
        <v>3.82</v>
      </c>
      <c r="P887" s="12">
        <f t="shared" si="79"/>
        <v>4.0920000000000005</v>
      </c>
      <c r="Q887" s="12">
        <f t="shared" si="80"/>
        <v>4.09</v>
      </c>
      <c r="R887" s="12">
        <f t="shared" si="81"/>
        <v>4.1880000000000006</v>
      </c>
      <c r="S887" s="28">
        <f>IFERROR(INDEX('Clean Gamification Data'!$B:$B,MATCH($B887,'Clean Gamification Data'!$A:$A,0)),"Not Found")</f>
        <v>90.631473940000006</v>
      </c>
      <c r="T887" s="28">
        <f>IFERROR(INDEX('Clean Gamification Data'!$C:$C,MATCH($B887,'Clean Gamification Data'!$A:$A,0)),"Not Found")</f>
        <v>60</v>
      </c>
      <c r="U887" s="28">
        <f>IFERROR(INDEX('Clean Gamification Data'!$D:$D,MATCH($B887,'Clean Gamification Data'!$A:$A,0)),"Not Found")</f>
        <v>72.309296239999995</v>
      </c>
      <c r="V887" s="28">
        <f>IFERROR(INDEX('Clean Gamification Data'!$E:$E,MATCH($B887,'Clean Gamification Data'!$A:$A,0)),"Not Found")</f>
        <v>63.794303069999998</v>
      </c>
      <c r="W887" s="28">
        <f>IFERROR(INDEX('Clean Gamification Data'!$F:$F,MATCH($B887,'Clean Gamification Data'!$A:$A,0)),"Not Found")</f>
        <v>85.277145270000005</v>
      </c>
      <c r="X887" s="28">
        <f>IFERROR(INDEX('Clean Gamification Data'!$G:$G,MATCH($B887,'Clean Gamification Data'!$A:$A,0)),"Not Found")</f>
        <v>81.012926460000003</v>
      </c>
      <c r="Y887" s="28">
        <f>IFERROR(INDEX('Clean Gamification Data'!$H:$H,MATCH($B887,'Clean Gamification Data'!$A:$A,0)),"Not Found")</f>
        <v>75.455448439999998</v>
      </c>
      <c r="Z887" s="28">
        <f>IFERROR(INDEX('Clean Gamification Data'!$I:$I,MATCH($B887,'Clean Gamification Data'!$A:$A,0)),"Not Found")</f>
        <v>61.594259889999996</v>
      </c>
      <c r="AA887" s="28">
        <f>Table1[[#This Row],[Engagement (Gamification %)]]-Table1[[#This Row],[Engagement (Non-Gamification %)]]</f>
        <v>30.631473940000006</v>
      </c>
      <c r="AB887" s="28">
        <f>Table1[[#This Row],[Motivation (Gamification %)]]-Table1[[#This Row],[Motivation (Non-Gamification %)]]</f>
        <v>8.5149931699999968</v>
      </c>
      <c r="AC887" s="28">
        <f>Table1[[#This Row],[Participation (Gamification %)]]-Table1[[#This Row],[Participation (Non-Gamification %)]]</f>
        <v>4.2642188100000027</v>
      </c>
      <c r="AD887" s="28">
        <f>Table1[[#This Row],[Learning Outcomes (Gamification %)]]-Table1[[#This Row],[Learning Outcomes (Non-Gamification %)]]</f>
        <v>13.861188550000001</v>
      </c>
      <c r="AE887" s="44" t="str">
        <f>IF(Table1[[#This Row],[Overall Effectiveness]]&lt;3.9,"Low",IF(Table1[[#This Row],[Overall Effectiveness]]&lt;4.2,"Medium","High"))</f>
        <v>Medium</v>
      </c>
      <c r="AF887" s="30" t="str">
        <f t="shared" si="82"/>
        <v>Lectures</v>
      </c>
      <c r="AG887" s="30" t="str">
        <f t="shared" si="83"/>
        <v>Case Studies</v>
      </c>
      <c r="AH887" s="27">
        <f>COUNTIF(Teacher_Master!$D$2:$D$16,AF887)</f>
        <v>3</v>
      </c>
      <c r="AI887" s="30" t="str">
        <f>INDEX(Teacher_Master!$B$2:$B$16,MATCH(AF887,Teacher_Master!$D$2:$D$16,0))</f>
        <v>Prof. Vikram Gupta</v>
      </c>
    </row>
    <row r="888" spans="1:35" ht="14.25" customHeight="1" x14ac:dyDescent="0.3">
      <c r="A888" s="31" t="s">
        <v>1815</v>
      </c>
      <c r="B888" s="31" t="s">
        <v>2721</v>
      </c>
      <c r="C888" s="31" t="s">
        <v>2881</v>
      </c>
      <c r="D888" s="12">
        <f t="shared" ca="1" si="78"/>
        <v>27</v>
      </c>
      <c r="E888" s="12" t="str">
        <f ca="1">IF(Table1[[#This Row],[Age]]&lt;=22,"20-22",IF(Table1[[#This Row],[Age]]&lt;=25,"23-25",IF(Table1[[#This Row],[Age]]&lt;=28,"26-28","29-30")))</f>
        <v>26-28</v>
      </c>
      <c r="F888" s="12">
        <v>4.21</v>
      </c>
      <c r="G888" s="12">
        <v>4.29</v>
      </c>
      <c r="H888" s="12">
        <v>3.55</v>
      </c>
      <c r="I888" s="12">
        <v>4.2</v>
      </c>
      <c r="J888" s="12">
        <v>3.99</v>
      </c>
      <c r="K888" s="12">
        <v>3.94</v>
      </c>
      <c r="L888" s="12">
        <v>3.79</v>
      </c>
      <c r="M888" s="12">
        <v>3.43</v>
      </c>
      <c r="N888" s="12">
        <v>4.1900000000000004</v>
      </c>
      <c r="O888" s="12">
        <v>4.09</v>
      </c>
      <c r="P888" s="12">
        <f t="shared" si="79"/>
        <v>4.048</v>
      </c>
      <c r="Q888" s="12">
        <f t="shared" si="80"/>
        <v>4.05</v>
      </c>
      <c r="R888" s="12">
        <f t="shared" si="81"/>
        <v>3.8880000000000003</v>
      </c>
      <c r="S888" s="28">
        <f>IFERROR(INDEX('Clean Gamification Data'!$B:$B,MATCH($B888,'Clean Gamification Data'!$A:$A,0)),"Not Found")</f>
        <v>89.099397280000005</v>
      </c>
      <c r="T888" s="28">
        <f>IFERROR(INDEX('Clean Gamification Data'!$C:$C,MATCH($B888,'Clean Gamification Data'!$A:$A,0)),"Not Found")</f>
        <v>63.153234320000003</v>
      </c>
      <c r="U888" s="28">
        <f>IFERROR(INDEX('Clean Gamification Data'!$D:$D,MATCH($B888,'Clean Gamification Data'!$A:$A,0)),"Not Found")</f>
        <v>78.240367629999994</v>
      </c>
      <c r="V888" s="28">
        <f>IFERROR(INDEX('Clean Gamification Data'!$E:$E,MATCH($B888,'Clean Gamification Data'!$A:$A,0)),"Not Found")</f>
        <v>64.087352969999998</v>
      </c>
      <c r="W888" s="28">
        <f>IFERROR(INDEX('Clean Gamification Data'!$F:$F,MATCH($B888,'Clean Gamification Data'!$A:$A,0)),"Not Found")</f>
        <v>80.936422440000001</v>
      </c>
      <c r="X888" s="28">
        <f>IFERROR(INDEX('Clean Gamification Data'!$G:$G,MATCH($B888,'Clean Gamification Data'!$A:$A,0)),"Not Found")</f>
        <v>76.847716349999999</v>
      </c>
      <c r="Y888" s="28">
        <f>IFERROR(INDEX('Clean Gamification Data'!$H:$H,MATCH($B888,'Clean Gamification Data'!$A:$A,0)),"Not Found")</f>
        <v>68.103256900000005</v>
      </c>
      <c r="Z888" s="28">
        <f>IFERROR(INDEX('Clean Gamification Data'!$I:$I,MATCH($B888,'Clean Gamification Data'!$A:$A,0)),"Not Found")</f>
        <v>50</v>
      </c>
      <c r="AA888" s="28">
        <f>Table1[[#This Row],[Engagement (Gamification %)]]-Table1[[#This Row],[Engagement (Non-Gamification %)]]</f>
        <v>25.946162960000002</v>
      </c>
      <c r="AB888" s="28">
        <f>Table1[[#This Row],[Motivation (Gamification %)]]-Table1[[#This Row],[Motivation (Non-Gamification %)]]</f>
        <v>14.153014659999997</v>
      </c>
      <c r="AC888" s="28">
        <f>Table1[[#This Row],[Participation (Gamification %)]]-Table1[[#This Row],[Participation (Non-Gamification %)]]</f>
        <v>4.0887060900000023</v>
      </c>
      <c r="AD888" s="28">
        <f>Table1[[#This Row],[Learning Outcomes (Gamification %)]]-Table1[[#This Row],[Learning Outcomes (Non-Gamification %)]]</f>
        <v>18.103256900000005</v>
      </c>
      <c r="AE888" s="44" t="str">
        <f>IF(Table1[[#This Row],[Overall Effectiveness]]&lt;3.9,"Low",IF(Table1[[#This Row],[Overall Effectiveness]]&lt;4.2,"Medium","High"))</f>
        <v>Medium</v>
      </c>
      <c r="AF888" s="30" t="str">
        <f t="shared" si="82"/>
        <v>Case Studies</v>
      </c>
      <c r="AG888" s="30" t="str">
        <f t="shared" si="83"/>
        <v>Experiments</v>
      </c>
      <c r="AH888" s="27">
        <f>COUNTIF(Teacher_Master!$D$2:$D$16,AF888)</f>
        <v>3</v>
      </c>
      <c r="AI888" s="30" t="str">
        <f>INDEX(Teacher_Master!$B$2:$B$16,MATCH(AF888,Teacher_Master!$D$2:$D$16,0))</f>
        <v>Prof. Rajesh Mukherjee</v>
      </c>
    </row>
    <row r="889" spans="1:35" ht="14.25" customHeight="1" x14ac:dyDescent="0.3">
      <c r="A889" s="31" t="s">
        <v>1817</v>
      </c>
      <c r="B889" s="31" t="s">
        <v>2722</v>
      </c>
      <c r="C889" s="31" t="s">
        <v>2881</v>
      </c>
      <c r="D889" s="12">
        <f t="shared" ca="1" si="78"/>
        <v>20</v>
      </c>
      <c r="E889" s="12" t="str">
        <f ca="1">IF(Table1[[#This Row],[Age]]&lt;=22,"20-22",IF(Table1[[#This Row],[Age]]&lt;=25,"23-25",IF(Table1[[#This Row],[Age]]&lt;=28,"26-28","29-30")))</f>
        <v>20-22</v>
      </c>
      <c r="F889" s="12">
        <v>4.2</v>
      </c>
      <c r="G889" s="12">
        <v>4.43</v>
      </c>
      <c r="H889" s="12">
        <v>4.28</v>
      </c>
      <c r="I889" s="12">
        <v>3.67</v>
      </c>
      <c r="J889" s="12">
        <v>4.4800000000000004</v>
      </c>
      <c r="K889" s="12">
        <v>3.91</v>
      </c>
      <c r="L889" s="12">
        <v>4.0599999999999996</v>
      </c>
      <c r="M889" s="12">
        <v>4.4800000000000004</v>
      </c>
      <c r="N889" s="12">
        <v>4.21</v>
      </c>
      <c r="O889" s="12">
        <v>3.89</v>
      </c>
      <c r="P889" s="12">
        <f t="shared" si="79"/>
        <v>4.2119999999999997</v>
      </c>
      <c r="Q889" s="12">
        <f t="shared" si="80"/>
        <v>4.21</v>
      </c>
      <c r="R889" s="12">
        <f t="shared" si="81"/>
        <v>4.1100000000000003</v>
      </c>
      <c r="S889" s="28">
        <f>IFERROR(INDEX('Clean Gamification Data'!$B:$B,MATCH($B889,'Clean Gamification Data'!$A:$A,0)),"Not Found")</f>
        <v>88.930607469999998</v>
      </c>
      <c r="T889" s="28">
        <f>IFERROR(INDEX('Clean Gamification Data'!$C:$C,MATCH($B889,'Clean Gamification Data'!$A:$A,0)),"Not Found")</f>
        <v>64.495749169999996</v>
      </c>
      <c r="U889" s="28">
        <f>IFERROR(INDEX('Clean Gamification Data'!$D:$D,MATCH($B889,'Clean Gamification Data'!$A:$A,0)),"Not Found")</f>
        <v>80.835635179999997</v>
      </c>
      <c r="V889" s="28">
        <f>IFERROR(INDEX('Clean Gamification Data'!$E:$E,MATCH($B889,'Clean Gamification Data'!$A:$A,0)),"Not Found")</f>
        <v>59.778518650000002</v>
      </c>
      <c r="W889" s="28">
        <f>IFERROR(INDEX('Clean Gamification Data'!$F:$F,MATCH($B889,'Clean Gamification Data'!$A:$A,0)),"Not Found")</f>
        <v>87.183462160000005</v>
      </c>
      <c r="X889" s="28">
        <f>IFERROR(INDEX('Clean Gamification Data'!$G:$G,MATCH($B889,'Clean Gamification Data'!$A:$A,0)),"Not Found")</f>
        <v>75.313115640000007</v>
      </c>
      <c r="Y889" s="28">
        <f>IFERROR(INDEX('Clean Gamification Data'!$H:$H,MATCH($B889,'Clean Gamification Data'!$A:$A,0)),"Not Found")</f>
        <v>66.300267489999996</v>
      </c>
      <c r="Z889" s="28">
        <f>IFERROR(INDEX('Clean Gamification Data'!$I:$I,MATCH($B889,'Clean Gamification Data'!$A:$A,0)),"Not Found")</f>
        <v>55.071453730000002</v>
      </c>
      <c r="AA889" s="28">
        <f>Table1[[#This Row],[Engagement (Gamification %)]]-Table1[[#This Row],[Engagement (Non-Gamification %)]]</f>
        <v>24.434858300000002</v>
      </c>
      <c r="AB889" s="28">
        <f>Table1[[#This Row],[Motivation (Gamification %)]]-Table1[[#This Row],[Motivation (Non-Gamification %)]]</f>
        <v>21.057116529999995</v>
      </c>
      <c r="AC889" s="28">
        <f>Table1[[#This Row],[Participation (Gamification %)]]-Table1[[#This Row],[Participation (Non-Gamification %)]]</f>
        <v>11.870346519999998</v>
      </c>
      <c r="AD889" s="28">
        <f>Table1[[#This Row],[Learning Outcomes (Gamification %)]]-Table1[[#This Row],[Learning Outcomes (Non-Gamification %)]]</f>
        <v>11.228813759999994</v>
      </c>
      <c r="AE889" s="44" t="str">
        <f>IF(Table1[[#This Row],[Overall Effectiveness]]&lt;3.9,"Low",IF(Table1[[#This Row],[Overall Effectiveness]]&lt;4.2,"Medium","High"))</f>
        <v>High</v>
      </c>
      <c r="AF889" s="30" t="str">
        <f t="shared" si="82"/>
        <v>Online Tutorials</v>
      </c>
      <c r="AG889" s="30" t="str">
        <f t="shared" si="83"/>
        <v>Group Projects</v>
      </c>
      <c r="AH889" s="27">
        <f>COUNTIF(Teacher_Master!$D$2:$D$16,AF889)</f>
        <v>3</v>
      </c>
      <c r="AI889" s="30" t="str">
        <f>INDEX(Teacher_Master!$B$2:$B$16,MATCH(AF889,Teacher_Master!$D$2:$D$16,0))</f>
        <v>Prof. Kavita Rao</v>
      </c>
    </row>
    <row r="890" spans="1:35" ht="14.25" customHeight="1" x14ac:dyDescent="0.3">
      <c r="A890" s="31" t="s">
        <v>1819</v>
      </c>
      <c r="B890" s="31" t="s">
        <v>2723</v>
      </c>
      <c r="C890" s="31" t="s">
        <v>2882</v>
      </c>
      <c r="D890" s="12">
        <f t="shared" ca="1" si="78"/>
        <v>27</v>
      </c>
      <c r="E890" s="12" t="str">
        <f ca="1">IF(Table1[[#This Row],[Age]]&lt;=22,"20-22",IF(Table1[[#This Row],[Age]]&lt;=25,"23-25",IF(Table1[[#This Row],[Age]]&lt;=28,"26-28","29-30")))</f>
        <v>26-28</v>
      </c>
      <c r="F890" s="12">
        <v>3.69</v>
      </c>
      <c r="G890" s="12">
        <v>4.12</v>
      </c>
      <c r="H890" s="12">
        <v>4.1900000000000004</v>
      </c>
      <c r="I890" s="12">
        <v>4.4000000000000004</v>
      </c>
      <c r="J890" s="12">
        <v>4.3600000000000003</v>
      </c>
      <c r="K890" s="12">
        <v>4.38</v>
      </c>
      <c r="L890" s="12">
        <v>4.38</v>
      </c>
      <c r="M890" s="12">
        <v>4.25</v>
      </c>
      <c r="N890" s="12">
        <v>4.01</v>
      </c>
      <c r="O890" s="12">
        <v>3.83</v>
      </c>
      <c r="P890" s="12">
        <f t="shared" si="79"/>
        <v>4.1519999999999992</v>
      </c>
      <c r="Q890" s="12">
        <f t="shared" si="80"/>
        <v>4.1500000000000004</v>
      </c>
      <c r="R890" s="12">
        <f t="shared" si="81"/>
        <v>4.17</v>
      </c>
      <c r="S890" s="28">
        <f>IFERROR(INDEX('Clean Gamification Data'!$B:$B,MATCH($B890,'Clean Gamification Data'!$A:$A,0)),"Not Found")</f>
        <v>87.156869040000004</v>
      </c>
      <c r="T890" s="28">
        <f>IFERROR(INDEX('Clean Gamification Data'!$C:$C,MATCH($B890,'Clean Gamification Data'!$A:$A,0)),"Not Found")</f>
        <v>71.236001119999997</v>
      </c>
      <c r="U890" s="28">
        <f>IFERROR(INDEX('Clean Gamification Data'!$D:$D,MATCH($B890,'Clean Gamification Data'!$A:$A,0)),"Not Found")</f>
        <v>81.112216930000002</v>
      </c>
      <c r="V890" s="28">
        <f>IFERROR(INDEX('Clean Gamification Data'!$E:$E,MATCH($B890,'Clean Gamification Data'!$A:$A,0)),"Not Found")</f>
        <v>68.982076550000002</v>
      </c>
      <c r="W890" s="28">
        <f>IFERROR(INDEX('Clean Gamification Data'!$F:$F,MATCH($B890,'Clean Gamification Data'!$A:$A,0)),"Not Found")</f>
        <v>91.948412820000001</v>
      </c>
      <c r="X890" s="28">
        <f>IFERROR(INDEX('Clean Gamification Data'!$G:$G,MATCH($B890,'Clean Gamification Data'!$A:$A,0)),"Not Found")</f>
        <v>77.39006741</v>
      </c>
      <c r="Y890" s="28">
        <f>IFERROR(INDEX('Clean Gamification Data'!$H:$H,MATCH($B890,'Clean Gamification Data'!$A:$A,0)),"Not Found")</f>
        <v>74.237792170000006</v>
      </c>
      <c r="Z890" s="28">
        <f>IFERROR(INDEX('Clean Gamification Data'!$I:$I,MATCH($B890,'Clean Gamification Data'!$A:$A,0)),"Not Found")</f>
        <v>50</v>
      </c>
      <c r="AA890" s="28">
        <f>Table1[[#This Row],[Engagement (Gamification %)]]-Table1[[#This Row],[Engagement (Non-Gamification %)]]</f>
        <v>15.920867920000006</v>
      </c>
      <c r="AB890" s="28">
        <f>Table1[[#This Row],[Motivation (Gamification %)]]-Table1[[#This Row],[Motivation (Non-Gamification %)]]</f>
        <v>12.13014038</v>
      </c>
      <c r="AC890" s="28">
        <f>Table1[[#This Row],[Participation (Gamification %)]]-Table1[[#This Row],[Participation (Non-Gamification %)]]</f>
        <v>14.558345410000001</v>
      </c>
      <c r="AD890" s="28">
        <f>Table1[[#This Row],[Learning Outcomes (Gamification %)]]-Table1[[#This Row],[Learning Outcomes (Non-Gamification %)]]</f>
        <v>24.237792170000006</v>
      </c>
      <c r="AE890" s="44" t="str">
        <f>IF(Table1[[#This Row],[Overall Effectiveness]]&lt;3.9,"Low",IF(Table1[[#This Row],[Overall Effectiveness]]&lt;4.2,"Medium","High"))</f>
        <v>Medium</v>
      </c>
      <c r="AF890" s="30" t="str">
        <f t="shared" si="82"/>
        <v>Experiments</v>
      </c>
      <c r="AG890" s="30" t="str">
        <f t="shared" si="83"/>
        <v>Lectures</v>
      </c>
      <c r="AH890" s="27">
        <f>COUNTIF(Teacher_Master!$D$2:$D$16,AF890)</f>
        <v>3</v>
      </c>
      <c r="AI890" s="30" t="str">
        <f>INDEX(Teacher_Master!$B$2:$B$16,MATCH(AF890,Teacher_Master!$D$2:$D$16,0))</f>
        <v>Prof. Rahul Singh</v>
      </c>
    </row>
    <row r="891" spans="1:35" ht="14.25" customHeight="1" x14ac:dyDescent="0.3">
      <c r="A891" s="31" t="s">
        <v>1821</v>
      </c>
      <c r="B891" s="31" t="s">
        <v>2724</v>
      </c>
      <c r="C891" s="31" t="s">
        <v>2881</v>
      </c>
      <c r="D891" s="12">
        <f t="shared" ca="1" si="78"/>
        <v>24</v>
      </c>
      <c r="E891" s="12" t="str">
        <f ca="1">IF(Table1[[#This Row],[Age]]&lt;=22,"20-22",IF(Table1[[#This Row],[Age]]&lt;=25,"23-25",IF(Table1[[#This Row],[Age]]&lt;=28,"26-28","29-30")))</f>
        <v>23-25</v>
      </c>
      <c r="F891" s="12">
        <v>3.61</v>
      </c>
      <c r="G891" s="12">
        <v>4.08</v>
      </c>
      <c r="H891" s="12">
        <v>4.03</v>
      </c>
      <c r="I891" s="12">
        <v>3.96</v>
      </c>
      <c r="J891" s="12">
        <v>3.88</v>
      </c>
      <c r="K891" s="12">
        <v>3.64</v>
      </c>
      <c r="L891" s="12">
        <v>3.89</v>
      </c>
      <c r="M891" s="12">
        <v>3.88</v>
      </c>
      <c r="N891" s="12">
        <v>3.82</v>
      </c>
      <c r="O891" s="12">
        <v>4.37</v>
      </c>
      <c r="P891" s="12">
        <f t="shared" si="79"/>
        <v>3.9119999999999999</v>
      </c>
      <c r="Q891" s="12">
        <f t="shared" si="80"/>
        <v>3.91</v>
      </c>
      <c r="R891" s="12">
        <f t="shared" si="81"/>
        <v>3.9200000000000004</v>
      </c>
      <c r="S891" s="28">
        <f>IFERROR(INDEX('Clean Gamification Data'!$B:$B,MATCH($B891,'Clean Gamification Data'!$A:$A,0)),"Not Found")</f>
        <v>79.879285370000005</v>
      </c>
      <c r="T891" s="28">
        <f>IFERROR(INDEX('Clean Gamification Data'!$C:$C,MATCH($B891,'Clean Gamification Data'!$A:$A,0)),"Not Found")</f>
        <v>67.677019470000005</v>
      </c>
      <c r="U891" s="28">
        <f>IFERROR(INDEX('Clean Gamification Data'!$D:$D,MATCH($B891,'Clean Gamification Data'!$A:$A,0)),"Not Found")</f>
        <v>70</v>
      </c>
      <c r="V891" s="28">
        <f>IFERROR(INDEX('Clean Gamification Data'!$E:$E,MATCH($B891,'Clean Gamification Data'!$A:$A,0)),"Not Found")</f>
        <v>68.993715879999996</v>
      </c>
      <c r="W891" s="28">
        <f>IFERROR(INDEX('Clean Gamification Data'!$F:$F,MATCH($B891,'Clean Gamification Data'!$A:$A,0)),"Not Found")</f>
        <v>80</v>
      </c>
      <c r="X891" s="28">
        <f>IFERROR(INDEX('Clean Gamification Data'!$G:$G,MATCH($B891,'Clean Gamification Data'!$A:$A,0)),"Not Found")</f>
        <v>81.448976270000003</v>
      </c>
      <c r="Y891" s="28">
        <f>IFERROR(INDEX('Clean Gamification Data'!$H:$H,MATCH($B891,'Clean Gamification Data'!$A:$A,0)),"Not Found")</f>
        <v>71.066523079999996</v>
      </c>
      <c r="Z891" s="28">
        <f>IFERROR(INDEX('Clean Gamification Data'!$I:$I,MATCH($B891,'Clean Gamification Data'!$A:$A,0)),"Not Found")</f>
        <v>56.640593299999999</v>
      </c>
      <c r="AA891" s="28">
        <f>Table1[[#This Row],[Engagement (Gamification %)]]-Table1[[#This Row],[Engagement (Non-Gamification %)]]</f>
        <v>12.2022659</v>
      </c>
      <c r="AB891" s="28">
        <f>Table1[[#This Row],[Motivation (Gamification %)]]-Table1[[#This Row],[Motivation (Non-Gamification %)]]</f>
        <v>1.0062841200000037</v>
      </c>
      <c r="AC891" s="28">
        <f>Table1[[#This Row],[Participation (Gamification %)]]-Table1[[#This Row],[Participation (Non-Gamification %)]]</f>
        <v>-1.4489762700000028</v>
      </c>
      <c r="AD891" s="28">
        <f>Table1[[#This Row],[Learning Outcomes (Gamification %)]]-Table1[[#This Row],[Learning Outcomes (Non-Gamification %)]]</f>
        <v>14.425929779999997</v>
      </c>
      <c r="AE891" s="44" t="str">
        <f>IF(Table1[[#This Row],[Overall Effectiveness]]&lt;3.9,"Low",IF(Table1[[#This Row],[Overall Effectiveness]]&lt;4.2,"Medium","High"))</f>
        <v>Medium</v>
      </c>
      <c r="AF891" s="30" t="str">
        <f t="shared" si="82"/>
        <v>Case Studies</v>
      </c>
      <c r="AG891" s="30" t="str">
        <f t="shared" si="83"/>
        <v>Online Tutorials</v>
      </c>
      <c r="AH891" s="27">
        <f>COUNTIF(Teacher_Master!$D$2:$D$16,AF891)</f>
        <v>3</v>
      </c>
      <c r="AI891" s="30" t="str">
        <f>INDEX(Teacher_Master!$B$2:$B$16,MATCH(AF891,Teacher_Master!$D$2:$D$16,0))</f>
        <v>Prof. Rajesh Mukherjee</v>
      </c>
    </row>
    <row r="892" spans="1:35" ht="14.25" customHeight="1" x14ac:dyDescent="0.3">
      <c r="A892" s="31" t="s">
        <v>1823</v>
      </c>
      <c r="B892" s="31" t="s">
        <v>1824</v>
      </c>
      <c r="C892" s="31" t="s">
        <v>2882</v>
      </c>
      <c r="D892" s="12">
        <f t="shared" ca="1" si="78"/>
        <v>21</v>
      </c>
      <c r="E892" s="12" t="str">
        <f ca="1">IF(Table1[[#This Row],[Age]]&lt;=22,"20-22",IF(Table1[[#This Row],[Age]]&lt;=25,"23-25",IF(Table1[[#This Row],[Age]]&lt;=28,"26-28","29-30")))</f>
        <v>20-22</v>
      </c>
      <c r="F892" s="12">
        <v>4.4000000000000004</v>
      </c>
      <c r="G892" s="12">
        <v>3.5</v>
      </c>
      <c r="H892" s="12">
        <v>3.87</v>
      </c>
      <c r="I892" s="12">
        <v>3.73</v>
      </c>
      <c r="J892" s="12">
        <v>3.75</v>
      </c>
      <c r="K892" s="12">
        <v>3.74</v>
      </c>
      <c r="L892" s="12">
        <v>3.79</v>
      </c>
      <c r="M892" s="12">
        <v>3.98</v>
      </c>
      <c r="N892" s="12">
        <v>4.21</v>
      </c>
      <c r="O892" s="12">
        <v>4.8600000000000003</v>
      </c>
      <c r="P892" s="12">
        <f t="shared" si="79"/>
        <v>3.85</v>
      </c>
      <c r="Q892" s="12">
        <f t="shared" si="80"/>
        <v>3.85</v>
      </c>
      <c r="R892" s="12">
        <f t="shared" si="81"/>
        <v>4.1159999999999997</v>
      </c>
      <c r="S892" s="28">
        <f>IFERROR(INDEX('Clean Gamification Data'!$B:$B,MATCH($B892,'Clean Gamification Data'!$A:$A,0)),"Not Found")</f>
        <v>83.427053639999997</v>
      </c>
      <c r="T892" s="28">
        <f>IFERROR(INDEX('Clean Gamification Data'!$C:$C,MATCH($B892,'Clean Gamification Data'!$A:$A,0)),"Not Found")</f>
        <v>70.074176019999996</v>
      </c>
      <c r="U892" s="28">
        <f>IFERROR(INDEX('Clean Gamification Data'!$D:$D,MATCH($B892,'Clean Gamification Data'!$A:$A,0)),"Not Found")</f>
        <v>72.335003619999995</v>
      </c>
      <c r="V892" s="28">
        <f>IFERROR(INDEX('Clean Gamification Data'!$E:$E,MATCH($B892,'Clean Gamification Data'!$A:$A,0)),"Not Found")</f>
        <v>59.914326840000001</v>
      </c>
      <c r="W892" s="28">
        <f>IFERROR(INDEX('Clean Gamification Data'!$F:$F,MATCH($B892,'Clean Gamification Data'!$A:$A,0)),"Not Found")</f>
        <v>83.907299330000001</v>
      </c>
      <c r="X892" s="28">
        <f>IFERROR(INDEX('Clean Gamification Data'!$G:$G,MATCH($B892,'Clean Gamification Data'!$A:$A,0)),"Not Found")</f>
        <v>77.272071080000003</v>
      </c>
      <c r="Y892" s="28">
        <f>IFERROR(INDEX('Clean Gamification Data'!$H:$H,MATCH($B892,'Clean Gamification Data'!$A:$A,0)),"Not Found")</f>
        <v>73.416365529999993</v>
      </c>
      <c r="Z892" s="28">
        <f>IFERROR(INDEX('Clean Gamification Data'!$I:$I,MATCH($B892,'Clean Gamification Data'!$A:$A,0)),"Not Found")</f>
        <v>63.1582504</v>
      </c>
      <c r="AA892" s="28">
        <f>Table1[[#This Row],[Engagement (Gamification %)]]-Table1[[#This Row],[Engagement (Non-Gamification %)]]</f>
        <v>13.352877620000001</v>
      </c>
      <c r="AB892" s="28">
        <f>Table1[[#This Row],[Motivation (Gamification %)]]-Table1[[#This Row],[Motivation (Non-Gamification %)]]</f>
        <v>12.420676779999994</v>
      </c>
      <c r="AC892" s="28">
        <f>Table1[[#This Row],[Participation (Gamification %)]]-Table1[[#This Row],[Participation (Non-Gamification %)]]</f>
        <v>6.6352282499999973</v>
      </c>
      <c r="AD892" s="28">
        <f>Table1[[#This Row],[Learning Outcomes (Gamification %)]]-Table1[[#This Row],[Learning Outcomes (Non-Gamification %)]]</f>
        <v>10.258115129999993</v>
      </c>
      <c r="AE892" s="44" t="str">
        <f>IF(Table1[[#This Row],[Overall Effectiveness]]&lt;3.9,"Low",IF(Table1[[#This Row],[Overall Effectiveness]]&lt;4.2,"Medium","High"))</f>
        <v>Low</v>
      </c>
      <c r="AF892" s="30" t="str">
        <f t="shared" si="82"/>
        <v>Lectures</v>
      </c>
      <c r="AG892" s="30" t="str">
        <f t="shared" si="83"/>
        <v>Online Tutorials</v>
      </c>
      <c r="AH892" s="27">
        <f>COUNTIF(Teacher_Master!$D$2:$D$16,AF892)</f>
        <v>3</v>
      </c>
      <c r="AI892" s="30" t="str">
        <f>INDEX(Teacher_Master!$B$2:$B$16,MATCH(AF892,Teacher_Master!$D$2:$D$16,0))</f>
        <v>Prof. Vikram Gupta</v>
      </c>
    </row>
    <row r="893" spans="1:35" ht="14.25" customHeight="1" x14ac:dyDescent="0.3">
      <c r="A893" s="31" t="s">
        <v>1825</v>
      </c>
      <c r="B893" s="31" t="s">
        <v>1826</v>
      </c>
      <c r="C893" s="31" t="s">
        <v>2882</v>
      </c>
      <c r="D893" s="12">
        <f t="shared" ca="1" si="78"/>
        <v>24</v>
      </c>
      <c r="E893" s="12" t="str">
        <f ca="1">IF(Table1[[#This Row],[Age]]&lt;=22,"20-22",IF(Table1[[#This Row],[Age]]&lt;=25,"23-25",IF(Table1[[#This Row],[Age]]&lt;=28,"26-28","29-30")))</f>
        <v>23-25</v>
      </c>
      <c r="F893" s="12">
        <v>4.33</v>
      </c>
      <c r="G893" s="12">
        <v>4</v>
      </c>
      <c r="H893" s="12">
        <v>3.97</v>
      </c>
      <c r="I893" s="12">
        <v>3.91</v>
      </c>
      <c r="J893" s="12">
        <v>3.78</v>
      </c>
      <c r="K893" s="12">
        <v>4.1100000000000003</v>
      </c>
      <c r="L893" s="12">
        <v>4.42</v>
      </c>
      <c r="M893" s="12">
        <v>4.37</v>
      </c>
      <c r="N893" s="12">
        <v>3.9</v>
      </c>
      <c r="O893" s="12">
        <v>3.52</v>
      </c>
      <c r="P893" s="12">
        <f t="shared" si="79"/>
        <v>3.9980000000000002</v>
      </c>
      <c r="Q893" s="12">
        <f t="shared" si="80"/>
        <v>4</v>
      </c>
      <c r="R893" s="12">
        <f t="shared" si="81"/>
        <v>4.0640000000000001</v>
      </c>
      <c r="S893" s="28">
        <f>IFERROR(INDEX('Clean Gamification Data'!$B:$B,MATCH($B893,'Clean Gamification Data'!$A:$A,0)),"Not Found")</f>
        <v>80.605850469999993</v>
      </c>
      <c r="T893" s="28">
        <f>IFERROR(INDEX('Clean Gamification Data'!$C:$C,MATCH($B893,'Clean Gamification Data'!$A:$A,0)),"Not Found")</f>
        <v>72.053862370000004</v>
      </c>
      <c r="U893" s="28">
        <f>IFERROR(INDEX('Clean Gamification Data'!$D:$D,MATCH($B893,'Clean Gamification Data'!$A:$A,0)),"Not Found")</f>
        <v>77.029795329999999</v>
      </c>
      <c r="V893" s="28">
        <f>IFERROR(INDEX('Clean Gamification Data'!$E:$E,MATCH($B893,'Clean Gamification Data'!$A:$A,0)),"Not Found")</f>
        <v>60.642349930000002</v>
      </c>
      <c r="W893" s="28">
        <f>IFERROR(INDEX('Clean Gamification Data'!$F:$F,MATCH($B893,'Clean Gamification Data'!$A:$A,0)),"Not Found")</f>
        <v>85.032037169999995</v>
      </c>
      <c r="X893" s="28">
        <f>IFERROR(INDEX('Clean Gamification Data'!$G:$G,MATCH($B893,'Clean Gamification Data'!$A:$A,0)),"Not Found")</f>
        <v>74.957297780000005</v>
      </c>
      <c r="Y893" s="28">
        <f>IFERROR(INDEX('Clean Gamification Data'!$H:$H,MATCH($B893,'Clean Gamification Data'!$A:$A,0)),"Not Found")</f>
        <v>79.544982959999999</v>
      </c>
      <c r="Z893" s="28">
        <f>IFERROR(INDEX('Clean Gamification Data'!$I:$I,MATCH($B893,'Clean Gamification Data'!$A:$A,0)),"Not Found")</f>
        <v>64.188374080000003</v>
      </c>
      <c r="AA893" s="28">
        <f>Table1[[#This Row],[Engagement (Gamification %)]]-Table1[[#This Row],[Engagement (Non-Gamification %)]]</f>
        <v>8.5519880999999884</v>
      </c>
      <c r="AB893" s="28">
        <f>Table1[[#This Row],[Motivation (Gamification %)]]-Table1[[#This Row],[Motivation (Non-Gamification %)]]</f>
        <v>16.387445399999997</v>
      </c>
      <c r="AC893" s="28">
        <f>Table1[[#This Row],[Participation (Gamification %)]]-Table1[[#This Row],[Participation (Non-Gamification %)]]</f>
        <v>10.074739389999991</v>
      </c>
      <c r="AD893" s="28">
        <f>Table1[[#This Row],[Learning Outcomes (Gamification %)]]-Table1[[#This Row],[Learning Outcomes (Non-Gamification %)]]</f>
        <v>15.356608879999996</v>
      </c>
      <c r="AE893" s="44" t="str">
        <f>IF(Table1[[#This Row],[Overall Effectiveness]]&lt;3.9,"Low",IF(Table1[[#This Row],[Overall Effectiveness]]&lt;4.2,"Medium","High"))</f>
        <v>Medium</v>
      </c>
      <c r="AF893" s="30" t="str">
        <f t="shared" si="82"/>
        <v>Lectures</v>
      </c>
      <c r="AG893" s="30" t="str">
        <f t="shared" si="83"/>
        <v>Case Studies</v>
      </c>
      <c r="AH893" s="27">
        <f>COUNTIF(Teacher_Master!$D$2:$D$16,AF893)</f>
        <v>3</v>
      </c>
      <c r="AI893" s="30" t="str">
        <f>INDEX(Teacher_Master!$B$2:$B$16,MATCH(AF893,Teacher_Master!$D$2:$D$16,0))</f>
        <v>Prof. Vikram Gupta</v>
      </c>
    </row>
    <row r="894" spans="1:35" ht="14.25" customHeight="1" x14ac:dyDescent="0.3">
      <c r="A894" s="31" t="s">
        <v>1827</v>
      </c>
      <c r="B894" s="31" t="s">
        <v>2725</v>
      </c>
      <c r="C894" s="31" t="s">
        <v>2882</v>
      </c>
      <c r="D894" s="12">
        <f t="shared" ca="1" si="78"/>
        <v>30</v>
      </c>
      <c r="E894" s="12" t="str">
        <f ca="1">IF(Table1[[#This Row],[Age]]&lt;=22,"20-22",IF(Table1[[#This Row],[Age]]&lt;=25,"23-25",IF(Table1[[#This Row],[Age]]&lt;=28,"26-28","29-30")))</f>
        <v>29-30</v>
      </c>
      <c r="F894" s="12">
        <v>3.66</v>
      </c>
      <c r="G894" s="12">
        <v>3.76</v>
      </c>
      <c r="H894" s="12">
        <v>4.3</v>
      </c>
      <c r="I894" s="12">
        <v>4.0999999999999996</v>
      </c>
      <c r="J894" s="12">
        <v>4.1900000000000004</v>
      </c>
      <c r="K894" s="12">
        <v>4.66</v>
      </c>
      <c r="L894" s="12">
        <v>3.7</v>
      </c>
      <c r="M894" s="12">
        <v>4.2699999999999996</v>
      </c>
      <c r="N894" s="12">
        <v>3.84</v>
      </c>
      <c r="O894" s="12">
        <v>4.4800000000000004</v>
      </c>
      <c r="P894" s="12">
        <f t="shared" si="79"/>
        <v>4.0019999999999998</v>
      </c>
      <c r="Q894" s="12">
        <f t="shared" si="80"/>
        <v>4</v>
      </c>
      <c r="R894" s="12">
        <f t="shared" si="81"/>
        <v>4.1899999999999995</v>
      </c>
      <c r="S894" s="28">
        <f>IFERROR(INDEX('Clean Gamification Data'!$B:$B,MATCH($B894,'Clean Gamification Data'!$A:$A,0)),"Not Found")</f>
        <v>80.820179629999998</v>
      </c>
      <c r="T894" s="28">
        <f>IFERROR(INDEX('Clean Gamification Data'!$C:$C,MATCH($B894,'Clean Gamification Data'!$A:$A,0)),"Not Found")</f>
        <v>69.076930469999994</v>
      </c>
      <c r="U894" s="28">
        <f>IFERROR(INDEX('Clean Gamification Data'!$D:$D,MATCH($B894,'Clean Gamification Data'!$A:$A,0)),"Not Found")</f>
        <v>73.32745113</v>
      </c>
      <c r="V894" s="28">
        <f>IFERROR(INDEX('Clean Gamification Data'!$E:$E,MATCH($B894,'Clean Gamification Data'!$A:$A,0)),"Not Found")</f>
        <v>68.095089450000003</v>
      </c>
      <c r="W894" s="28">
        <f>IFERROR(INDEX('Clean Gamification Data'!$F:$F,MATCH($B894,'Clean Gamification Data'!$A:$A,0)),"Not Found")</f>
        <v>99.9</v>
      </c>
      <c r="X894" s="28">
        <f>IFERROR(INDEX('Clean Gamification Data'!$G:$G,MATCH($B894,'Clean Gamification Data'!$A:$A,0)),"Not Found")</f>
        <v>81.647293410000003</v>
      </c>
      <c r="Y894" s="28">
        <f>IFERROR(INDEX('Clean Gamification Data'!$H:$H,MATCH($B894,'Clean Gamification Data'!$A:$A,0)),"Not Found")</f>
        <v>69.777945630000005</v>
      </c>
      <c r="Z894" s="28">
        <f>IFERROR(INDEX('Clean Gamification Data'!$I:$I,MATCH($B894,'Clean Gamification Data'!$A:$A,0)),"Not Found")</f>
        <v>56.48892317</v>
      </c>
      <c r="AA894" s="28">
        <f>Table1[[#This Row],[Engagement (Gamification %)]]-Table1[[#This Row],[Engagement (Non-Gamification %)]]</f>
        <v>11.743249160000005</v>
      </c>
      <c r="AB894" s="28">
        <f>Table1[[#This Row],[Motivation (Gamification %)]]-Table1[[#This Row],[Motivation (Non-Gamification %)]]</f>
        <v>5.2323616799999968</v>
      </c>
      <c r="AC894" s="28">
        <f>Table1[[#This Row],[Participation (Gamification %)]]-Table1[[#This Row],[Participation (Non-Gamification %)]]</f>
        <v>18.252706590000003</v>
      </c>
      <c r="AD894" s="28">
        <f>Table1[[#This Row],[Learning Outcomes (Gamification %)]]-Table1[[#This Row],[Learning Outcomes (Non-Gamification %)]]</f>
        <v>13.289022460000005</v>
      </c>
      <c r="AE894" s="44" t="str">
        <f>IF(Table1[[#This Row],[Overall Effectiveness]]&lt;3.9,"Low",IF(Table1[[#This Row],[Overall Effectiveness]]&lt;4.2,"Medium","High"))</f>
        <v>Medium</v>
      </c>
      <c r="AF894" s="30" t="str">
        <f t="shared" si="82"/>
        <v>Group Projects</v>
      </c>
      <c r="AG894" s="30" t="str">
        <f t="shared" si="83"/>
        <v>Lectures</v>
      </c>
      <c r="AH894" s="27">
        <f>COUNTIF(Teacher_Master!$D$2:$D$16,AF894)</f>
        <v>3</v>
      </c>
      <c r="AI894" s="30" t="str">
        <f>INDEX(Teacher_Master!$B$2:$B$16,MATCH(AF894,Teacher_Master!$D$2:$D$16,0))</f>
        <v>Dr. Rohan Dutta</v>
      </c>
    </row>
    <row r="895" spans="1:35" ht="14.25" customHeight="1" x14ac:dyDescent="0.3">
      <c r="A895" s="31" t="s">
        <v>1829</v>
      </c>
      <c r="B895" s="31" t="s">
        <v>2726</v>
      </c>
      <c r="C895" s="31" t="s">
        <v>2882</v>
      </c>
      <c r="D895" s="12">
        <f t="shared" ca="1" si="78"/>
        <v>25</v>
      </c>
      <c r="E895" s="12" t="str">
        <f ca="1">IF(Table1[[#This Row],[Age]]&lt;=22,"20-22",IF(Table1[[#This Row],[Age]]&lt;=25,"23-25",IF(Table1[[#This Row],[Age]]&lt;=28,"26-28","29-30")))</f>
        <v>23-25</v>
      </c>
      <c r="F895" s="12">
        <v>4.17</v>
      </c>
      <c r="G895" s="12">
        <v>3.74</v>
      </c>
      <c r="H895" s="12">
        <v>4.04</v>
      </c>
      <c r="I895" s="12">
        <v>4.16</v>
      </c>
      <c r="J895" s="12">
        <v>3.83</v>
      </c>
      <c r="K895" s="12">
        <v>4.07</v>
      </c>
      <c r="L895" s="12">
        <v>3.99</v>
      </c>
      <c r="M895" s="12" t="s">
        <v>211</v>
      </c>
      <c r="N895" s="12">
        <v>3.84</v>
      </c>
      <c r="O895" s="12">
        <v>4.12</v>
      </c>
      <c r="P895" s="12">
        <f t="shared" si="79"/>
        <v>3.9879999999999995</v>
      </c>
      <c r="Q895" s="12">
        <f t="shared" si="80"/>
        <v>3.99</v>
      </c>
      <c r="R895" s="12">
        <f t="shared" si="81"/>
        <v>4.0049999999999999</v>
      </c>
      <c r="S895" s="28">
        <f>IFERROR(INDEX('Clean Gamification Data'!$B:$B,MATCH($B895,'Clean Gamification Data'!$A:$A,0)),"Not Found")</f>
        <v>90.336016700000002</v>
      </c>
      <c r="T895" s="28">
        <f>IFERROR(INDEX('Clean Gamification Data'!$C:$C,MATCH($B895,'Clean Gamification Data'!$A:$A,0)),"Not Found")</f>
        <v>62.613195490000003</v>
      </c>
      <c r="U895" s="28">
        <f>IFERROR(INDEX('Clean Gamification Data'!$D:$D,MATCH($B895,'Clean Gamification Data'!$A:$A,0)),"Not Found")</f>
        <v>73.363911509999994</v>
      </c>
      <c r="V895" s="28">
        <f>IFERROR(INDEX('Clean Gamification Data'!$E:$E,MATCH($B895,'Clean Gamification Data'!$A:$A,0)),"Not Found")</f>
        <v>68.475192149999998</v>
      </c>
      <c r="W895" s="28">
        <f>IFERROR(INDEX('Clean Gamification Data'!$F:$F,MATCH($B895,'Clean Gamification Data'!$A:$A,0)),"Not Found")</f>
        <v>87.645869390000001</v>
      </c>
      <c r="X895" s="28">
        <f>IFERROR(INDEX('Clean Gamification Data'!$G:$G,MATCH($B895,'Clean Gamification Data'!$A:$A,0)),"Not Found")</f>
        <v>71.716017100000002</v>
      </c>
      <c r="Y895" s="28">
        <f>IFERROR(INDEX('Clean Gamification Data'!$H:$H,MATCH($B895,'Clean Gamification Data'!$A:$A,0)),"Not Found")</f>
        <v>65</v>
      </c>
      <c r="Z895" s="28">
        <f>IFERROR(INDEX('Clean Gamification Data'!$I:$I,MATCH($B895,'Clean Gamification Data'!$A:$A,0)),"Not Found")</f>
        <v>50</v>
      </c>
      <c r="AA895" s="28">
        <f>Table1[[#This Row],[Engagement (Gamification %)]]-Table1[[#This Row],[Engagement (Non-Gamification %)]]</f>
        <v>27.722821209999999</v>
      </c>
      <c r="AB895" s="28">
        <f>Table1[[#This Row],[Motivation (Gamification %)]]-Table1[[#This Row],[Motivation (Non-Gamification %)]]</f>
        <v>4.8887193599999961</v>
      </c>
      <c r="AC895" s="28">
        <f>Table1[[#This Row],[Participation (Gamification %)]]-Table1[[#This Row],[Participation (Non-Gamification %)]]</f>
        <v>15.929852289999999</v>
      </c>
      <c r="AD895" s="28">
        <f>Table1[[#This Row],[Learning Outcomes (Gamification %)]]-Table1[[#This Row],[Learning Outcomes (Non-Gamification %)]]</f>
        <v>15</v>
      </c>
      <c r="AE895" s="44" t="str">
        <f>IF(Table1[[#This Row],[Overall Effectiveness]]&lt;3.9,"Low",IF(Table1[[#This Row],[Overall Effectiveness]]&lt;4.2,"Medium","High"))</f>
        <v>Medium</v>
      </c>
      <c r="AF895" s="30" t="str">
        <f t="shared" si="82"/>
        <v>Lectures</v>
      </c>
      <c r="AG895" s="30" t="str">
        <f t="shared" si="83"/>
        <v>Online Tutorials</v>
      </c>
      <c r="AH895" s="27">
        <f>COUNTIF(Teacher_Master!$D$2:$D$16,AF895)</f>
        <v>3</v>
      </c>
      <c r="AI895" s="30" t="str">
        <f>INDEX(Teacher_Master!$B$2:$B$16,MATCH(AF895,Teacher_Master!$D$2:$D$16,0))</f>
        <v>Prof. Vikram Gupta</v>
      </c>
    </row>
    <row r="896" spans="1:35" ht="14.25" customHeight="1" x14ac:dyDescent="0.3">
      <c r="A896" s="31" t="s">
        <v>1831</v>
      </c>
      <c r="B896" s="31" t="s">
        <v>1832</v>
      </c>
      <c r="C896" s="31" t="s">
        <v>2881</v>
      </c>
      <c r="D896" s="12">
        <f t="shared" ca="1" si="78"/>
        <v>22</v>
      </c>
      <c r="E896" s="12" t="str">
        <f ca="1">IF(Table1[[#This Row],[Age]]&lt;=22,"20-22",IF(Table1[[#This Row],[Age]]&lt;=25,"23-25",IF(Table1[[#This Row],[Age]]&lt;=28,"26-28","29-30")))</f>
        <v>20-22</v>
      </c>
      <c r="F896" s="12">
        <v>4.17</v>
      </c>
      <c r="G896" s="12">
        <v>4.4800000000000004</v>
      </c>
      <c r="H896" s="12">
        <v>4.47</v>
      </c>
      <c r="I896" s="12">
        <v>3.91</v>
      </c>
      <c r="J896" s="12">
        <v>3.84</v>
      </c>
      <c r="K896" s="12">
        <v>4.43</v>
      </c>
      <c r="L896" s="12">
        <v>4.5599999999999996</v>
      </c>
      <c r="M896" s="12">
        <v>4.1100000000000003</v>
      </c>
      <c r="N896" s="12">
        <v>4.0999999999999996</v>
      </c>
      <c r="O896" s="12">
        <v>3.92</v>
      </c>
      <c r="P896" s="12">
        <f t="shared" si="79"/>
        <v>4.1740000000000004</v>
      </c>
      <c r="Q896" s="12">
        <f t="shared" si="80"/>
        <v>4.17</v>
      </c>
      <c r="R896" s="12">
        <f t="shared" si="81"/>
        <v>4.2239999999999993</v>
      </c>
      <c r="S896" s="28">
        <f>IFERROR(INDEX('Clean Gamification Data'!$B:$B,MATCH($B896,'Clean Gamification Data'!$A:$A,0)),"Not Found")</f>
        <v>75</v>
      </c>
      <c r="T896" s="28">
        <f>IFERROR(INDEX('Clean Gamification Data'!$C:$C,MATCH($B896,'Clean Gamification Data'!$A:$A,0)),"Not Found")</f>
        <v>68.431160590000005</v>
      </c>
      <c r="U896" s="28">
        <f>IFERROR(INDEX('Clean Gamification Data'!$D:$D,MATCH($B896,'Clean Gamification Data'!$A:$A,0)),"Not Found")</f>
        <v>78.97503055</v>
      </c>
      <c r="V896" s="28">
        <f>IFERROR(INDEX('Clean Gamification Data'!$E:$E,MATCH($B896,'Clean Gamification Data'!$A:$A,0)),"Not Found")</f>
        <v>68.28209631</v>
      </c>
      <c r="W896" s="28">
        <f>IFERROR(INDEX('Clean Gamification Data'!$F:$F,MATCH($B896,'Clean Gamification Data'!$A:$A,0)),"Not Found")</f>
        <v>89.691475999999994</v>
      </c>
      <c r="X896" s="28">
        <f>IFERROR(INDEX('Clean Gamification Data'!$G:$G,MATCH($B896,'Clean Gamification Data'!$A:$A,0)),"Not Found")</f>
        <v>74.524271299999995</v>
      </c>
      <c r="Y896" s="28">
        <f>IFERROR(INDEX('Clean Gamification Data'!$H:$H,MATCH($B896,'Clean Gamification Data'!$A:$A,0)),"Not Found")</f>
        <v>75.246348710000007</v>
      </c>
      <c r="Z896" s="28">
        <f>IFERROR(INDEX('Clean Gamification Data'!$I:$I,MATCH($B896,'Clean Gamification Data'!$A:$A,0)),"Not Found")</f>
        <v>64.331858330000003</v>
      </c>
      <c r="AA896" s="28">
        <f>Table1[[#This Row],[Engagement (Gamification %)]]-Table1[[#This Row],[Engagement (Non-Gamification %)]]</f>
        <v>6.5688394099999954</v>
      </c>
      <c r="AB896" s="28">
        <f>Table1[[#This Row],[Motivation (Gamification %)]]-Table1[[#This Row],[Motivation (Non-Gamification %)]]</f>
        <v>10.69293424</v>
      </c>
      <c r="AC896" s="28">
        <f>Table1[[#This Row],[Participation (Gamification %)]]-Table1[[#This Row],[Participation (Non-Gamification %)]]</f>
        <v>15.167204699999999</v>
      </c>
      <c r="AD896" s="28">
        <f>Table1[[#This Row],[Learning Outcomes (Gamification %)]]-Table1[[#This Row],[Learning Outcomes (Non-Gamification %)]]</f>
        <v>10.914490380000004</v>
      </c>
      <c r="AE896" s="44" t="str">
        <f>IF(Table1[[#This Row],[Overall Effectiveness]]&lt;3.9,"Low",IF(Table1[[#This Row],[Overall Effectiveness]]&lt;4.2,"Medium","High"))</f>
        <v>Medium</v>
      </c>
      <c r="AF896" s="30" t="str">
        <f t="shared" si="82"/>
        <v>Case Studies</v>
      </c>
      <c r="AG896" s="30" t="str">
        <f t="shared" si="83"/>
        <v>Case Studies</v>
      </c>
      <c r="AH896" s="27">
        <f>COUNTIF(Teacher_Master!$D$2:$D$16,AF896)</f>
        <v>3</v>
      </c>
      <c r="AI896" s="30" t="str">
        <f>INDEX(Teacher_Master!$B$2:$B$16,MATCH(AF896,Teacher_Master!$D$2:$D$16,0))</f>
        <v>Prof. Rajesh Mukherjee</v>
      </c>
    </row>
    <row r="897" spans="1:35" ht="14.25" customHeight="1" x14ac:dyDescent="0.3">
      <c r="A897" s="31" t="s">
        <v>1833</v>
      </c>
      <c r="B897" s="31" t="s">
        <v>2727</v>
      </c>
      <c r="C897" s="31" t="s">
        <v>2881</v>
      </c>
      <c r="D897" s="12">
        <f t="shared" ca="1" si="78"/>
        <v>24</v>
      </c>
      <c r="E897" s="12" t="str">
        <f ca="1">IF(Table1[[#This Row],[Age]]&lt;=22,"20-22",IF(Table1[[#This Row],[Age]]&lt;=25,"23-25",IF(Table1[[#This Row],[Age]]&lt;=28,"26-28","29-30")))</f>
        <v>23-25</v>
      </c>
      <c r="F897" s="12">
        <v>4.09</v>
      </c>
      <c r="G897" s="12">
        <v>3.65</v>
      </c>
      <c r="H897" s="12">
        <v>3.83</v>
      </c>
      <c r="I897" s="12">
        <v>3.73</v>
      </c>
      <c r="J897" s="12">
        <v>3.91</v>
      </c>
      <c r="K897" s="12">
        <v>4.21</v>
      </c>
      <c r="L897" s="12">
        <v>4.2699999999999996</v>
      </c>
      <c r="M897" s="12">
        <v>4.38</v>
      </c>
      <c r="N897" s="12">
        <v>4.2</v>
      </c>
      <c r="O897" s="12">
        <v>3.87</v>
      </c>
      <c r="P897" s="12">
        <f t="shared" si="79"/>
        <v>3.8420000000000001</v>
      </c>
      <c r="Q897" s="12">
        <f t="shared" si="80"/>
        <v>3.84</v>
      </c>
      <c r="R897" s="12">
        <f t="shared" si="81"/>
        <v>4.1859999999999999</v>
      </c>
      <c r="S897" s="28">
        <f>IFERROR(INDEX('Clean Gamification Data'!$B:$B,MATCH($B897,'Clean Gamification Data'!$A:$A,0)),"Not Found")</f>
        <v>90.731896210000002</v>
      </c>
      <c r="T897" s="28">
        <f>IFERROR(INDEX('Clean Gamification Data'!$C:$C,MATCH($B897,'Clean Gamification Data'!$A:$A,0)),"Not Found")</f>
        <v>60.699942829999998</v>
      </c>
      <c r="U897" s="28">
        <f>IFERROR(INDEX('Clean Gamification Data'!$D:$D,MATCH($B897,'Clean Gamification Data'!$A:$A,0)),"Not Found")</f>
        <v>72.946957170000005</v>
      </c>
      <c r="V897" s="28">
        <f>IFERROR(INDEX('Clean Gamification Data'!$E:$E,MATCH($B897,'Clean Gamification Data'!$A:$A,0)),"Not Found")</f>
        <v>69.190619850000004</v>
      </c>
      <c r="W897" s="28">
        <f>IFERROR(INDEX('Clean Gamification Data'!$F:$F,MATCH($B897,'Clean Gamification Data'!$A:$A,0)),"Not Found")</f>
        <v>95.224237489999993</v>
      </c>
      <c r="X897" s="28">
        <f>IFERROR(INDEX('Clean Gamification Data'!$G:$G,MATCH($B897,'Clean Gamification Data'!$A:$A,0)),"Not Found")</f>
        <v>69.633183819999999</v>
      </c>
      <c r="Y897" s="28">
        <f>IFERROR(INDEX('Clean Gamification Data'!$H:$H,MATCH($B897,'Clean Gamification Data'!$A:$A,0)),"Not Found")</f>
        <v>72.575233699999998</v>
      </c>
      <c r="Z897" s="28">
        <f>IFERROR(INDEX('Clean Gamification Data'!$I:$I,MATCH($B897,'Clean Gamification Data'!$A:$A,0)),"Not Found")</f>
        <v>55.677627350000002</v>
      </c>
      <c r="AA897" s="28">
        <f>Table1[[#This Row],[Engagement (Gamification %)]]-Table1[[#This Row],[Engagement (Non-Gamification %)]]</f>
        <v>30.031953380000004</v>
      </c>
      <c r="AB897" s="28">
        <f>Table1[[#This Row],[Motivation (Gamification %)]]-Table1[[#This Row],[Motivation (Non-Gamification %)]]</f>
        <v>3.7563373200000001</v>
      </c>
      <c r="AC897" s="28">
        <f>Table1[[#This Row],[Participation (Gamification %)]]-Table1[[#This Row],[Participation (Non-Gamification %)]]</f>
        <v>25.591053669999994</v>
      </c>
      <c r="AD897" s="28">
        <f>Table1[[#This Row],[Learning Outcomes (Gamification %)]]-Table1[[#This Row],[Learning Outcomes (Non-Gamification %)]]</f>
        <v>16.897606349999997</v>
      </c>
      <c r="AE897" s="44" t="str">
        <f>IF(Table1[[#This Row],[Overall Effectiveness]]&lt;3.9,"Low",IF(Table1[[#This Row],[Overall Effectiveness]]&lt;4.2,"Medium","High"))</f>
        <v>Low</v>
      </c>
      <c r="AF897" s="30" t="str">
        <f t="shared" si="82"/>
        <v>Lectures</v>
      </c>
      <c r="AG897" s="30" t="str">
        <f t="shared" si="83"/>
        <v>Group Projects</v>
      </c>
      <c r="AH897" s="27">
        <f>COUNTIF(Teacher_Master!$D$2:$D$16,AF897)</f>
        <v>3</v>
      </c>
      <c r="AI897" s="30" t="str">
        <f>INDEX(Teacher_Master!$B$2:$B$16,MATCH(AF897,Teacher_Master!$D$2:$D$16,0))</f>
        <v>Prof. Vikram Gupta</v>
      </c>
    </row>
    <row r="898" spans="1:35" ht="14.25" customHeight="1" x14ac:dyDescent="0.3">
      <c r="A898" s="31" t="s">
        <v>1835</v>
      </c>
      <c r="B898" s="31" t="s">
        <v>2728</v>
      </c>
      <c r="C898" s="31" t="s">
        <v>2882</v>
      </c>
      <c r="D898" s="12">
        <f t="shared" ref="D898:D961" ca="1" si="84">RANDBETWEEN(20,30)</f>
        <v>28</v>
      </c>
      <c r="E898" s="12" t="str">
        <f ca="1">IF(Table1[[#This Row],[Age]]&lt;=22,"20-22",IF(Table1[[#This Row],[Age]]&lt;=25,"23-25",IF(Table1[[#This Row],[Age]]&lt;=28,"26-28","29-30")))</f>
        <v>26-28</v>
      </c>
      <c r="F898" s="12">
        <v>3.94</v>
      </c>
      <c r="G898" s="12">
        <v>4.24</v>
      </c>
      <c r="H898" s="12">
        <v>3.97</v>
      </c>
      <c r="I898" s="12">
        <v>3.3</v>
      </c>
      <c r="J898" s="12">
        <v>4.1100000000000003</v>
      </c>
      <c r="K898" s="12">
        <v>4.0599999999999996</v>
      </c>
      <c r="L898" s="12">
        <v>4.1900000000000004</v>
      </c>
      <c r="M898" s="12">
        <v>4</v>
      </c>
      <c r="N898" s="12">
        <v>3.75</v>
      </c>
      <c r="O898" s="12">
        <v>4.2699999999999996</v>
      </c>
      <c r="P898" s="12">
        <f t="shared" ref="P898:P961" si="85">AVERAGE(F898:J898)</f>
        <v>3.9119999999999999</v>
      </c>
      <c r="Q898" s="12">
        <f t="shared" ref="Q898:Q961" si="86">ROUND(P898,2)</f>
        <v>3.91</v>
      </c>
      <c r="R898" s="12">
        <f t="shared" ref="R898:R961" si="87">AVERAGE(K898:O898)</f>
        <v>4.0540000000000003</v>
      </c>
      <c r="S898" s="28">
        <f>IFERROR(INDEX('Clean Gamification Data'!$B:$B,MATCH($B898,'Clean Gamification Data'!$A:$A,0)),"Not Found")</f>
        <v>80.91565301</v>
      </c>
      <c r="T898" s="28">
        <f>IFERROR(INDEX('Clean Gamification Data'!$C:$C,MATCH($B898,'Clean Gamification Data'!$A:$A,0)),"Not Found")</f>
        <v>61.86723817</v>
      </c>
      <c r="U898" s="28">
        <f>IFERROR(INDEX('Clean Gamification Data'!$D:$D,MATCH($B898,'Clean Gamification Data'!$A:$A,0)),"Not Found")</f>
        <v>70</v>
      </c>
      <c r="V898" s="28">
        <f>IFERROR(INDEX('Clean Gamification Data'!$E:$E,MATCH($B898,'Clean Gamification Data'!$A:$A,0)),"Not Found")</f>
        <v>62.95624961</v>
      </c>
      <c r="W898" s="28">
        <f>IFERROR(INDEX('Clean Gamification Data'!$F:$F,MATCH($B898,'Clean Gamification Data'!$A:$A,0)),"Not Found")</f>
        <v>99.9</v>
      </c>
      <c r="X898" s="28">
        <f>IFERROR(INDEX('Clean Gamification Data'!$G:$G,MATCH($B898,'Clean Gamification Data'!$A:$A,0)),"Not Found")</f>
        <v>81.275284869999993</v>
      </c>
      <c r="Y898" s="28">
        <f>IFERROR(INDEX('Clean Gamification Data'!$H:$H,MATCH($B898,'Clean Gamification Data'!$A:$A,0)),"Not Found")</f>
        <v>70.797157889999994</v>
      </c>
      <c r="Z898" s="28">
        <f>IFERROR(INDEX('Clean Gamification Data'!$I:$I,MATCH($B898,'Clean Gamification Data'!$A:$A,0)),"Not Found")</f>
        <v>61.423356239999997</v>
      </c>
      <c r="AA898" s="28">
        <f>Table1[[#This Row],[Engagement (Gamification %)]]-Table1[[#This Row],[Engagement (Non-Gamification %)]]</f>
        <v>19.04841484</v>
      </c>
      <c r="AB898" s="28">
        <f>Table1[[#This Row],[Motivation (Gamification %)]]-Table1[[#This Row],[Motivation (Non-Gamification %)]]</f>
        <v>7.0437503899999996</v>
      </c>
      <c r="AC898" s="28">
        <f>Table1[[#This Row],[Participation (Gamification %)]]-Table1[[#This Row],[Participation (Non-Gamification %)]]</f>
        <v>18.624715130000013</v>
      </c>
      <c r="AD898" s="28">
        <f>Table1[[#This Row],[Learning Outcomes (Gamification %)]]-Table1[[#This Row],[Learning Outcomes (Non-Gamification %)]]</f>
        <v>9.3738016499999972</v>
      </c>
      <c r="AE898" s="44" t="str">
        <f>IF(Table1[[#This Row],[Overall Effectiveness]]&lt;3.9,"Low",IF(Table1[[#This Row],[Overall Effectiveness]]&lt;4.2,"Medium","High"))</f>
        <v>Medium</v>
      </c>
      <c r="AF898" s="30" t="str">
        <f t="shared" ref="AF898:AF961" si="88">CHOOSE(MATCH(MAX(F898:J898),F898:J898,0),"Lectures","Case Studies","Group Projects","Experiments","Online Tutorials")</f>
        <v>Case Studies</v>
      </c>
      <c r="AG898" s="30" t="str">
        <f t="shared" ref="AG898:AG961" si="89">CHOOSE(MATCH(MAX(K898:O898),K898:O898,0),"Lectures","Case Studies","Group Projects","Experiments","Online Tutorials")</f>
        <v>Online Tutorials</v>
      </c>
      <c r="AH898" s="27">
        <f>COUNTIF(Teacher_Master!$D$2:$D$16,AF898)</f>
        <v>3</v>
      </c>
      <c r="AI898" s="30" t="str">
        <f>INDEX(Teacher_Master!$B$2:$B$16,MATCH(AF898,Teacher_Master!$D$2:$D$16,0))</f>
        <v>Prof. Rajesh Mukherjee</v>
      </c>
    </row>
    <row r="899" spans="1:35" ht="14.25" customHeight="1" x14ac:dyDescent="0.3">
      <c r="A899" s="31" t="s">
        <v>1837</v>
      </c>
      <c r="B899" s="31" t="s">
        <v>2729</v>
      </c>
      <c r="C899" s="31" t="s">
        <v>2881</v>
      </c>
      <c r="D899" s="12">
        <f t="shared" ca="1" si="84"/>
        <v>23</v>
      </c>
      <c r="E899" s="12" t="str">
        <f ca="1">IF(Table1[[#This Row],[Age]]&lt;=22,"20-22",IF(Table1[[#This Row],[Age]]&lt;=25,"23-25",IF(Table1[[#This Row],[Age]]&lt;=28,"26-28","29-30")))</f>
        <v>23-25</v>
      </c>
      <c r="F899" s="12">
        <v>3.98</v>
      </c>
      <c r="G899" s="12">
        <v>4.2699999999999996</v>
      </c>
      <c r="H899" s="12">
        <v>4.08</v>
      </c>
      <c r="I899" s="12">
        <v>3.81</v>
      </c>
      <c r="J899" s="12" t="s">
        <v>211</v>
      </c>
      <c r="K899" s="12">
        <v>4.21</v>
      </c>
      <c r="L899" s="12">
        <v>4.1500000000000004</v>
      </c>
      <c r="M899" s="12">
        <v>3.59</v>
      </c>
      <c r="N899" s="12">
        <v>4.41</v>
      </c>
      <c r="O899" s="12">
        <v>4.4400000000000004</v>
      </c>
      <c r="P899" s="12">
        <f t="shared" si="85"/>
        <v>4.0350000000000001</v>
      </c>
      <c r="Q899" s="12">
        <f t="shared" si="86"/>
        <v>4.04</v>
      </c>
      <c r="R899" s="12">
        <f t="shared" si="87"/>
        <v>4.16</v>
      </c>
      <c r="S899" s="28">
        <f>IFERROR(INDEX('Clean Gamification Data'!$B:$B,MATCH($B899,'Clean Gamification Data'!$A:$A,0)),"Not Found")</f>
        <v>83.473622109999994</v>
      </c>
      <c r="T899" s="28">
        <f>IFERROR(INDEX('Clean Gamification Data'!$C:$C,MATCH($B899,'Clean Gamification Data'!$A:$A,0)),"Not Found")</f>
        <v>65.869734629999996</v>
      </c>
      <c r="U899" s="28">
        <f>IFERROR(INDEX('Clean Gamification Data'!$D:$D,MATCH($B899,'Clean Gamification Data'!$A:$A,0)),"Not Found")</f>
        <v>72.591393080000003</v>
      </c>
      <c r="V899" s="28">
        <f>IFERROR(INDEX('Clean Gamification Data'!$E:$E,MATCH($B899,'Clean Gamification Data'!$A:$A,0)),"Not Found")</f>
        <v>59.115593369999999</v>
      </c>
      <c r="W899" s="28">
        <f>IFERROR(INDEX('Clean Gamification Data'!$F:$F,MATCH($B899,'Clean Gamification Data'!$A:$A,0)),"Not Found")</f>
        <v>85.759203409999998</v>
      </c>
      <c r="X899" s="28">
        <f>IFERROR(INDEX('Clean Gamification Data'!$G:$G,MATCH($B899,'Clean Gamification Data'!$A:$A,0)),"Not Found")</f>
        <v>83.409587419999994</v>
      </c>
      <c r="Y899" s="28">
        <f>IFERROR(INDEX('Clean Gamification Data'!$H:$H,MATCH($B899,'Clean Gamification Data'!$A:$A,0)),"Not Found")</f>
        <v>69.820384110000006</v>
      </c>
      <c r="Z899" s="28">
        <f>IFERROR(INDEX('Clean Gamification Data'!$I:$I,MATCH($B899,'Clean Gamification Data'!$A:$A,0)),"Not Found")</f>
        <v>60.979316240000003</v>
      </c>
      <c r="AA899" s="28">
        <f>Table1[[#This Row],[Engagement (Gamification %)]]-Table1[[#This Row],[Engagement (Non-Gamification %)]]</f>
        <v>17.603887479999997</v>
      </c>
      <c r="AB899" s="28">
        <f>Table1[[#This Row],[Motivation (Gamification %)]]-Table1[[#This Row],[Motivation (Non-Gamification %)]]</f>
        <v>13.475799710000004</v>
      </c>
      <c r="AC899" s="28">
        <f>Table1[[#This Row],[Participation (Gamification %)]]-Table1[[#This Row],[Participation (Non-Gamification %)]]</f>
        <v>2.3496159900000038</v>
      </c>
      <c r="AD899" s="28">
        <f>Table1[[#This Row],[Learning Outcomes (Gamification %)]]-Table1[[#This Row],[Learning Outcomes (Non-Gamification %)]]</f>
        <v>8.8410678700000034</v>
      </c>
      <c r="AE899" s="44" t="str">
        <f>IF(Table1[[#This Row],[Overall Effectiveness]]&lt;3.9,"Low",IF(Table1[[#This Row],[Overall Effectiveness]]&lt;4.2,"Medium","High"))</f>
        <v>Medium</v>
      </c>
      <c r="AF899" s="30" t="str">
        <f t="shared" si="88"/>
        <v>Case Studies</v>
      </c>
      <c r="AG899" s="30" t="str">
        <f t="shared" si="89"/>
        <v>Online Tutorials</v>
      </c>
      <c r="AH899" s="27">
        <f>COUNTIF(Teacher_Master!$D$2:$D$16,AF899)</f>
        <v>3</v>
      </c>
      <c r="AI899" s="30" t="str">
        <f>INDEX(Teacher_Master!$B$2:$B$16,MATCH(AF899,Teacher_Master!$D$2:$D$16,0))</f>
        <v>Prof. Rajesh Mukherjee</v>
      </c>
    </row>
    <row r="900" spans="1:35" ht="14.25" customHeight="1" x14ac:dyDescent="0.3">
      <c r="A900" s="31" t="s">
        <v>1839</v>
      </c>
      <c r="B900" s="31" t="s">
        <v>2730</v>
      </c>
      <c r="C900" s="31" t="s">
        <v>2882</v>
      </c>
      <c r="D900" s="12">
        <f t="shared" ca="1" si="84"/>
        <v>24</v>
      </c>
      <c r="E900" s="12" t="str">
        <f ca="1">IF(Table1[[#This Row],[Age]]&lt;=22,"20-22",IF(Table1[[#This Row],[Age]]&lt;=25,"23-25",IF(Table1[[#This Row],[Age]]&lt;=28,"26-28","29-30")))</f>
        <v>23-25</v>
      </c>
      <c r="F900" s="12">
        <v>4.3899999999999997</v>
      </c>
      <c r="G900" s="12">
        <v>4.2300000000000004</v>
      </c>
      <c r="H900" s="12">
        <v>3.9</v>
      </c>
      <c r="I900" s="12">
        <v>3.55</v>
      </c>
      <c r="J900" s="12">
        <v>4.57</v>
      </c>
      <c r="K900" s="12">
        <v>4.12</v>
      </c>
      <c r="L900" s="12">
        <v>3.36</v>
      </c>
      <c r="M900" s="12">
        <v>3.86</v>
      </c>
      <c r="N900" s="12">
        <v>4.4000000000000004</v>
      </c>
      <c r="O900" s="12">
        <v>4.29</v>
      </c>
      <c r="P900" s="12">
        <f t="shared" si="85"/>
        <v>4.1280000000000001</v>
      </c>
      <c r="Q900" s="12">
        <f t="shared" si="86"/>
        <v>4.13</v>
      </c>
      <c r="R900" s="12">
        <f t="shared" si="87"/>
        <v>4.0060000000000002</v>
      </c>
      <c r="S900" s="28">
        <f>IFERROR(INDEX('Clean Gamification Data'!$B:$B,MATCH($B900,'Clean Gamification Data'!$A:$A,0)),"Not Found")</f>
        <v>84.737475970000006</v>
      </c>
      <c r="T900" s="28">
        <f>IFERROR(INDEX('Clean Gamification Data'!$C:$C,MATCH($B900,'Clean Gamification Data'!$A:$A,0)),"Not Found")</f>
        <v>68.201220989999996</v>
      </c>
      <c r="U900" s="28">
        <f>IFERROR(INDEX('Clean Gamification Data'!$D:$D,MATCH($B900,'Clean Gamification Data'!$A:$A,0)),"Not Found")</f>
        <v>79.675641060000004</v>
      </c>
      <c r="V900" s="28">
        <f>IFERROR(INDEX('Clean Gamification Data'!$E:$E,MATCH($B900,'Clean Gamification Data'!$A:$A,0)),"Not Found")</f>
        <v>64.73112716</v>
      </c>
      <c r="W900" s="28">
        <f>IFERROR(INDEX('Clean Gamification Data'!$F:$F,MATCH($B900,'Clean Gamification Data'!$A:$A,0)),"Not Found")</f>
        <v>93.400694360000003</v>
      </c>
      <c r="X900" s="28">
        <f>IFERROR(INDEX('Clean Gamification Data'!$G:$G,MATCH($B900,'Clean Gamification Data'!$A:$A,0)),"Not Found")</f>
        <v>84.928452140000005</v>
      </c>
      <c r="Y900" s="28">
        <f>IFERROR(INDEX('Clean Gamification Data'!$H:$H,MATCH($B900,'Clean Gamification Data'!$A:$A,0)),"Not Found")</f>
        <v>69.475129089999996</v>
      </c>
      <c r="Z900" s="28">
        <f>IFERROR(INDEX('Clean Gamification Data'!$I:$I,MATCH($B900,'Clean Gamification Data'!$A:$A,0)),"Not Found")</f>
        <v>50</v>
      </c>
      <c r="AA900" s="28">
        <f>Table1[[#This Row],[Engagement (Gamification %)]]-Table1[[#This Row],[Engagement (Non-Gamification %)]]</f>
        <v>16.53625498000001</v>
      </c>
      <c r="AB900" s="28">
        <f>Table1[[#This Row],[Motivation (Gamification %)]]-Table1[[#This Row],[Motivation (Non-Gamification %)]]</f>
        <v>14.944513900000004</v>
      </c>
      <c r="AC900" s="28">
        <f>Table1[[#This Row],[Participation (Gamification %)]]-Table1[[#This Row],[Participation (Non-Gamification %)]]</f>
        <v>8.4722422199999983</v>
      </c>
      <c r="AD900" s="28">
        <f>Table1[[#This Row],[Learning Outcomes (Gamification %)]]-Table1[[#This Row],[Learning Outcomes (Non-Gamification %)]]</f>
        <v>19.475129089999996</v>
      </c>
      <c r="AE900" s="44" t="str">
        <f>IF(Table1[[#This Row],[Overall Effectiveness]]&lt;3.9,"Low",IF(Table1[[#This Row],[Overall Effectiveness]]&lt;4.2,"Medium","High"))</f>
        <v>Medium</v>
      </c>
      <c r="AF900" s="30" t="str">
        <f t="shared" si="88"/>
        <v>Online Tutorials</v>
      </c>
      <c r="AG900" s="30" t="str">
        <f t="shared" si="89"/>
        <v>Experiments</v>
      </c>
      <c r="AH900" s="27">
        <f>COUNTIF(Teacher_Master!$D$2:$D$16,AF900)</f>
        <v>3</v>
      </c>
      <c r="AI900" s="30" t="str">
        <f>INDEX(Teacher_Master!$B$2:$B$16,MATCH(AF900,Teacher_Master!$D$2:$D$16,0))</f>
        <v>Prof. Kavita Rao</v>
      </c>
    </row>
    <row r="901" spans="1:35" ht="14.25" customHeight="1" x14ac:dyDescent="0.3">
      <c r="A901" s="31" t="s">
        <v>1841</v>
      </c>
      <c r="B901" s="31" t="s">
        <v>1842</v>
      </c>
      <c r="C901" s="31" t="s">
        <v>2882</v>
      </c>
      <c r="D901" s="12">
        <f t="shared" ca="1" si="84"/>
        <v>26</v>
      </c>
      <c r="E901" s="12" t="str">
        <f ca="1">IF(Table1[[#This Row],[Age]]&lt;=22,"20-22",IF(Table1[[#This Row],[Age]]&lt;=25,"23-25",IF(Table1[[#This Row],[Age]]&lt;=28,"26-28","29-30")))</f>
        <v>26-28</v>
      </c>
      <c r="F901" s="12">
        <v>4.3600000000000003</v>
      </c>
      <c r="G901" s="12">
        <v>3.5</v>
      </c>
      <c r="H901" s="12">
        <v>4.12</v>
      </c>
      <c r="I901" s="12">
        <v>3.72</v>
      </c>
      <c r="J901" s="12">
        <v>4.04</v>
      </c>
      <c r="K901" s="12">
        <v>3.78</v>
      </c>
      <c r="L901" s="12">
        <v>3.91</v>
      </c>
      <c r="M901" s="12">
        <v>4.09</v>
      </c>
      <c r="N901" s="12">
        <v>4.46</v>
      </c>
      <c r="O901" s="12">
        <v>3.97</v>
      </c>
      <c r="P901" s="12">
        <f t="shared" si="85"/>
        <v>3.9480000000000004</v>
      </c>
      <c r="Q901" s="12">
        <f t="shared" si="86"/>
        <v>3.95</v>
      </c>
      <c r="R901" s="12">
        <f t="shared" si="87"/>
        <v>4.0419999999999998</v>
      </c>
      <c r="S901" s="28">
        <f>IFERROR(INDEX('Clean Gamification Data'!$B:$B,MATCH($B901,'Clean Gamification Data'!$A:$A,0)),"Not Found")</f>
        <v>86.318200899999994</v>
      </c>
      <c r="T901" s="28">
        <f>IFERROR(INDEX('Clean Gamification Data'!$C:$C,MATCH($B901,'Clean Gamification Data'!$A:$A,0)),"Not Found")</f>
        <v>70.234120970000006</v>
      </c>
      <c r="U901" s="28">
        <f>IFERROR(INDEX('Clean Gamification Data'!$D:$D,MATCH($B901,'Clean Gamification Data'!$A:$A,0)),"Not Found")</f>
        <v>82.760014960000007</v>
      </c>
      <c r="V901" s="28">
        <f>IFERROR(INDEX('Clean Gamification Data'!$E:$E,MATCH($B901,'Clean Gamification Data'!$A:$A,0)),"Not Found")</f>
        <v>62.427102499999997</v>
      </c>
      <c r="W901" s="28">
        <f>IFERROR(INDEX('Clean Gamification Data'!$F:$F,MATCH($B901,'Clean Gamification Data'!$A:$A,0)),"Not Found")</f>
        <v>94.413411210000007</v>
      </c>
      <c r="X901" s="28">
        <f>IFERROR(INDEX('Clean Gamification Data'!$G:$G,MATCH($B901,'Clean Gamification Data'!$A:$A,0)),"Not Found")</f>
        <v>73.770471610000001</v>
      </c>
      <c r="Y901" s="28">
        <f>IFERROR(INDEX('Clean Gamification Data'!$H:$H,MATCH($B901,'Clean Gamification Data'!$A:$A,0)),"Not Found")</f>
        <v>71.314558469999994</v>
      </c>
      <c r="Z901" s="28">
        <f>IFERROR(INDEX('Clean Gamification Data'!$I:$I,MATCH($B901,'Clean Gamification Data'!$A:$A,0)),"Not Found")</f>
        <v>64.717643679999995</v>
      </c>
      <c r="AA901" s="28">
        <f>Table1[[#This Row],[Engagement (Gamification %)]]-Table1[[#This Row],[Engagement (Non-Gamification %)]]</f>
        <v>16.084079929999987</v>
      </c>
      <c r="AB901" s="28">
        <f>Table1[[#This Row],[Motivation (Gamification %)]]-Table1[[#This Row],[Motivation (Non-Gamification %)]]</f>
        <v>20.33291246000001</v>
      </c>
      <c r="AC901" s="28">
        <f>Table1[[#This Row],[Participation (Gamification %)]]-Table1[[#This Row],[Participation (Non-Gamification %)]]</f>
        <v>20.642939600000005</v>
      </c>
      <c r="AD901" s="28">
        <f>Table1[[#This Row],[Learning Outcomes (Gamification %)]]-Table1[[#This Row],[Learning Outcomes (Non-Gamification %)]]</f>
        <v>6.5969147899999996</v>
      </c>
      <c r="AE901" s="44" t="str">
        <f>IF(Table1[[#This Row],[Overall Effectiveness]]&lt;3.9,"Low",IF(Table1[[#This Row],[Overall Effectiveness]]&lt;4.2,"Medium","High"))</f>
        <v>Medium</v>
      </c>
      <c r="AF901" s="30" t="str">
        <f t="shared" si="88"/>
        <v>Lectures</v>
      </c>
      <c r="AG901" s="30" t="str">
        <f t="shared" si="89"/>
        <v>Experiments</v>
      </c>
      <c r="AH901" s="27">
        <f>COUNTIF(Teacher_Master!$D$2:$D$16,AF901)</f>
        <v>3</v>
      </c>
      <c r="AI901" s="30" t="str">
        <f>INDEX(Teacher_Master!$B$2:$B$16,MATCH(AF901,Teacher_Master!$D$2:$D$16,0))</f>
        <v>Prof. Vikram Gupta</v>
      </c>
    </row>
    <row r="902" spans="1:35" ht="14.25" customHeight="1" x14ac:dyDescent="0.3">
      <c r="A902" s="31" t="s">
        <v>1843</v>
      </c>
      <c r="B902" s="31" t="s">
        <v>2731</v>
      </c>
      <c r="C902" s="31" t="s">
        <v>2882</v>
      </c>
      <c r="D902" s="12">
        <f t="shared" ca="1" si="84"/>
        <v>28</v>
      </c>
      <c r="E902" s="12" t="str">
        <f ca="1">IF(Table1[[#This Row],[Age]]&lt;=22,"20-22",IF(Table1[[#This Row],[Age]]&lt;=25,"23-25",IF(Table1[[#This Row],[Age]]&lt;=28,"26-28","29-30")))</f>
        <v>26-28</v>
      </c>
      <c r="F902" s="12">
        <v>3.84</v>
      </c>
      <c r="G902" s="12">
        <v>4.1500000000000004</v>
      </c>
      <c r="H902" s="12">
        <v>3.83</v>
      </c>
      <c r="I902" s="12">
        <v>4.1900000000000004</v>
      </c>
      <c r="J902" s="12">
        <v>3.94</v>
      </c>
      <c r="K902" s="12">
        <v>4.54</v>
      </c>
      <c r="L902" s="12">
        <v>3.74</v>
      </c>
      <c r="M902" s="12">
        <v>4.04</v>
      </c>
      <c r="N902" s="12">
        <v>4.57</v>
      </c>
      <c r="O902" s="12">
        <v>4.03</v>
      </c>
      <c r="P902" s="12">
        <f t="shared" si="85"/>
        <v>3.9900000000000007</v>
      </c>
      <c r="Q902" s="12">
        <f t="shared" si="86"/>
        <v>3.99</v>
      </c>
      <c r="R902" s="12">
        <f t="shared" si="87"/>
        <v>4.1840000000000002</v>
      </c>
      <c r="S902" s="28">
        <f>IFERROR(INDEX('Clean Gamification Data'!$B:$B,MATCH($B902,'Clean Gamification Data'!$A:$A,0)),"Not Found")</f>
        <v>82.146803809999994</v>
      </c>
      <c r="T902" s="28">
        <f>IFERROR(INDEX('Clean Gamification Data'!$C:$C,MATCH($B902,'Clean Gamification Data'!$A:$A,0)),"Not Found")</f>
        <v>69.719089460000006</v>
      </c>
      <c r="U902" s="28">
        <f>IFERROR(INDEX('Clean Gamification Data'!$D:$D,MATCH($B902,'Clean Gamification Data'!$A:$A,0)),"Not Found")</f>
        <v>87.636956339999998</v>
      </c>
      <c r="V902" s="28">
        <f>IFERROR(INDEX('Clean Gamification Data'!$E:$E,MATCH($B902,'Clean Gamification Data'!$A:$A,0)),"Not Found")</f>
        <v>69.424847909999997</v>
      </c>
      <c r="W902" s="28">
        <f>IFERROR(INDEX('Clean Gamification Data'!$F:$F,MATCH($B902,'Clean Gamification Data'!$A:$A,0)),"Not Found")</f>
        <v>96.553655879999994</v>
      </c>
      <c r="X902" s="28">
        <f>IFERROR(INDEX('Clean Gamification Data'!$G:$G,MATCH($B902,'Clean Gamification Data'!$A:$A,0)),"Not Found")</f>
        <v>79.880499950000001</v>
      </c>
      <c r="Y902" s="28">
        <f>IFERROR(INDEX('Clean Gamification Data'!$H:$H,MATCH($B902,'Clean Gamification Data'!$A:$A,0)),"Not Found")</f>
        <v>65</v>
      </c>
      <c r="Z902" s="28">
        <f>IFERROR(INDEX('Clean Gamification Data'!$I:$I,MATCH($B902,'Clean Gamification Data'!$A:$A,0)),"Not Found")</f>
        <v>52.169552150000001</v>
      </c>
      <c r="AA902" s="28">
        <f>Table1[[#This Row],[Engagement (Gamification %)]]-Table1[[#This Row],[Engagement (Non-Gamification %)]]</f>
        <v>12.427714349999988</v>
      </c>
      <c r="AB902" s="28">
        <f>Table1[[#This Row],[Motivation (Gamification %)]]-Table1[[#This Row],[Motivation (Non-Gamification %)]]</f>
        <v>18.212108430000001</v>
      </c>
      <c r="AC902" s="28">
        <f>Table1[[#This Row],[Participation (Gamification %)]]-Table1[[#This Row],[Participation (Non-Gamification %)]]</f>
        <v>16.673155929999993</v>
      </c>
      <c r="AD902" s="28">
        <f>Table1[[#This Row],[Learning Outcomes (Gamification %)]]-Table1[[#This Row],[Learning Outcomes (Non-Gamification %)]]</f>
        <v>12.830447849999999</v>
      </c>
      <c r="AE902" s="44" t="str">
        <f>IF(Table1[[#This Row],[Overall Effectiveness]]&lt;3.9,"Low",IF(Table1[[#This Row],[Overall Effectiveness]]&lt;4.2,"Medium","High"))</f>
        <v>Medium</v>
      </c>
      <c r="AF902" s="30" t="str">
        <f t="shared" si="88"/>
        <v>Experiments</v>
      </c>
      <c r="AG902" s="30" t="str">
        <f t="shared" si="89"/>
        <v>Experiments</v>
      </c>
      <c r="AH902" s="27">
        <f>COUNTIF(Teacher_Master!$D$2:$D$16,AF902)</f>
        <v>3</v>
      </c>
      <c r="AI902" s="30" t="str">
        <f>INDEX(Teacher_Master!$B$2:$B$16,MATCH(AF902,Teacher_Master!$D$2:$D$16,0))</f>
        <v>Prof. Rahul Singh</v>
      </c>
    </row>
    <row r="903" spans="1:35" ht="14.25" customHeight="1" x14ac:dyDescent="0.3">
      <c r="A903" s="31" t="s">
        <v>1845</v>
      </c>
      <c r="B903" s="31" t="s">
        <v>2732</v>
      </c>
      <c r="C903" s="31" t="s">
        <v>2882</v>
      </c>
      <c r="D903" s="12">
        <f t="shared" ca="1" si="84"/>
        <v>25</v>
      </c>
      <c r="E903" s="12" t="str">
        <f ca="1">IF(Table1[[#This Row],[Age]]&lt;=22,"20-22",IF(Table1[[#This Row],[Age]]&lt;=25,"23-25",IF(Table1[[#This Row],[Age]]&lt;=28,"26-28","29-30")))</f>
        <v>23-25</v>
      </c>
      <c r="F903" s="12">
        <v>3.97</v>
      </c>
      <c r="G903" s="12">
        <v>3.71</v>
      </c>
      <c r="H903" s="12">
        <v>3.99</v>
      </c>
      <c r="I903" s="12">
        <v>4.0199999999999996</v>
      </c>
      <c r="J903" s="12">
        <v>4.0999999999999996</v>
      </c>
      <c r="K903" s="12">
        <v>3.7</v>
      </c>
      <c r="L903" s="12">
        <v>3.9</v>
      </c>
      <c r="M903" s="12">
        <v>4.07</v>
      </c>
      <c r="N903" s="12">
        <v>3.98</v>
      </c>
      <c r="O903" s="12">
        <v>4.22</v>
      </c>
      <c r="P903" s="12">
        <f t="shared" si="85"/>
        <v>3.9579999999999997</v>
      </c>
      <c r="Q903" s="12">
        <f t="shared" si="86"/>
        <v>3.96</v>
      </c>
      <c r="R903" s="12">
        <f t="shared" si="87"/>
        <v>3.9740000000000002</v>
      </c>
      <c r="S903" s="28">
        <f>IFERROR(INDEX('Clean Gamification Data'!$B:$B,MATCH($B903,'Clean Gamification Data'!$A:$A,0)),"Not Found")</f>
        <v>82.163657009999994</v>
      </c>
      <c r="T903" s="28">
        <f>IFERROR(INDEX('Clean Gamification Data'!$C:$C,MATCH($B903,'Clean Gamification Data'!$A:$A,0)),"Not Found")</f>
        <v>62.971437459999997</v>
      </c>
      <c r="U903" s="28">
        <f>IFERROR(INDEX('Clean Gamification Data'!$D:$D,MATCH($B903,'Clean Gamification Data'!$A:$A,0)),"Not Found")</f>
        <v>76.274369219999997</v>
      </c>
      <c r="V903" s="28">
        <f>IFERROR(INDEX('Clean Gamification Data'!$E:$E,MATCH($B903,'Clean Gamification Data'!$A:$A,0)),"Not Found")</f>
        <v>59.635075360000002</v>
      </c>
      <c r="W903" s="28">
        <f>IFERROR(INDEX('Clean Gamification Data'!$F:$F,MATCH($B903,'Clean Gamification Data'!$A:$A,0)),"Not Found")</f>
        <v>94.166130710000004</v>
      </c>
      <c r="X903" s="28">
        <f>IFERROR(INDEX('Clean Gamification Data'!$G:$G,MATCH($B903,'Clean Gamification Data'!$A:$A,0)),"Not Found")</f>
        <v>77.777530420000005</v>
      </c>
      <c r="Y903" s="28">
        <f>IFERROR(INDEX('Clean Gamification Data'!$H:$H,MATCH($B903,'Clean Gamification Data'!$A:$A,0)),"Not Found")</f>
        <v>73.913196139999997</v>
      </c>
      <c r="Z903" s="28">
        <f>IFERROR(INDEX('Clean Gamification Data'!$I:$I,MATCH($B903,'Clean Gamification Data'!$A:$A,0)),"Not Found")</f>
        <v>70</v>
      </c>
      <c r="AA903" s="28">
        <f>Table1[[#This Row],[Engagement (Gamification %)]]-Table1[[#This Row],[Engagement (Non-Gamification %)]]</f>
        <v>19.192219549999997</v>
      </c>
      <c r="AB903" s="28">
        <f>Table1[[#This Row],[Motivation (Gamification %)]]-Table1[[#This Row],[Motivation (Non-Gamification %)]]</f>
        <v>16.639293859999995</v>
      </c>
      <c r="AC903" s="28">
        <f>Table1[[#This Row],[Participation (Gamification %)]]-Table1[[#This Row],[Participation (Non-Gamification %)]]</f>
        <v>16.388600289999999</v>
      </c>
      <c r="AD903" s="28">
        <f>Table1[[#This Row],[Learning Outcomes (Gamification %)]]-Table1[[#This Row],[Learning Outcomes (Non-Gamification %)]]</f>
        <v>3.9131961399999966</v>
      </c>
      <c r="AE903" s="44" t="str">
        <f>IF(Table1[[#This Row],[Overall Effectiveness]]&lt;3.9,"Low",IF(Table1[[#This Row],[Overall Effectiveness]]&lt;4.2,"Medium","High"))</f>
        <v>Medium</v>
      </c>
      <c r="AF903" s="30" t="str">
        <f t="shared" si="88"/>
        <v>Online Tutorials</v>
      </c>
      <c r="AG903" s="30" t="str">
        <f t="shared" si="89"/>
        <v>Online Tutorials</v>
      </c>
      <c r="AH903" s="27">
        <f>COUNTIF(Teacher_Master!$D$2:$D$16,AF903)</f>
        <v>3</v>
      </c>
      <c r="AI903" s="30" t="str">
        <f>INDEX(Teacher_Master!$B$2:$B$16,MATCH(AF903,Teacher_Master!$D$2:$D$16,0))</f>
        <v>Prof. Kavita Rao</v>
      </c>
    </row>
    <row r="904" spans="1:35" ht="14.25" customHeight="1" x14ac:dyDescent="0.3">
      <c r="A904" s="31" t="s">
        <v>1847</v>
      </c>
      <c r="B904" s="31" t="s">
        <v>2733</v>
      </c>
      <c r="C904" s="31" t="s">
        <v>2882</v>
      </c>
      <c r="D904" s="12">
        <f t="shared" ca="1" si="84"/>
        <v>22</v>
      </c>
      <c r="E904" s="12" t="str">
        <f ca="1">IF(Table1[[#This Row],[Age]]&lt;=22,"20-22",IF(Table1[[#This Row],[Age]]&lt;=25,"23-25",IF(Table1[[#This Row],[Age]]&lt;=28,"26-28","29-30")))</f>
        <v>20-22</v>
      </c>
      <c r="F904" s="12">
        <v>4.25</v>
      </c>
      <c r="G904" s="12">
        <v>4.79</v>
      </c>
      <c r="H904" s="12">
        <v>3.94</v>
      </c>
      <c r="I904" s="12">
        <v>3.98</v>
      </c>
      <c r="J904" s="12">
        <v>3.55</v>
      </c>
      <c r="K904" s="12">
        <v>4.4000000000000004</v>
      </c>
      <c r="L904" s="12">
        <v>3.44</v>
      </c>
      <c r="M904" s="12">
        <v>3.96</v>
      </c>
      <c r="N904" s="12">
        <v>4.0599999999999996</v>
      </c>
      <c r="O904" s="12">
        <v>3.94</v>
      </c>
      <c r="P904" s="12">
        <f t="shared" si="85"/>
        <v>4.1019999999999994</v>
      </c>
      <c r="Q904" s="12">
        <f t="shared" si="86"/>
        <v>4.0999999999999996</v>
      </c>
      <c r="R904" s="12">
        <f t="shared" si="87"/>
        <v>3.96</v>
      </c>
      <c r="S904" s="28">
        <f>IFERROR(INDEX('Clean Gamification Data'!$B:$B,MATCH($B904,'Clean Gamification Data'!$A:$A,0)),"Not Found")</f>
        <v>87.976782700000001</v>
      </c>
      <c r="T904" s="28">
        <f>IFERROR(INDEX('Clean Gamification Data'!$C:$C,MATCH($B904,'Clean Gamification Data'!$A:$A,0)),"Not Found")</f>
        <v>66.58645396</v>
      </c>
      <c r="U904" s="28">
        <f>IFERROR(INDEX('Clean Gamification Data'!$D:$D,MATCH($B904,'Clean Gamification Data'!$A:$A,0)),"Not Found")</f>
        <v>72.247642709999994</v>
      </c>
      <c r="V904" s="28">
        <f>IFERROR(INDEX('Clean Gamification Data'!$E:$E,MATCH($B904,'Clean Gamification Data'!$A:$A,0)),"Not Found")</f>
        <v>59.285778690000001</v>
      </c>
      <c r="W904" s="28">
        <f>IFERROR(INDEX('Clean Gamification Data'!$F:$F,MATCH($B904,'Clean Gamification Data'!$A:$A,0)),"Not Found")</f>
        <v>97.249200389999999</v>
      </c>
      <c r="X904" s="28">
        <f>IFERROR(INDEX('Clean Gamification Data'!$G:$G,MATCH($B904,'Clean Gamification Data'!$A:$A,0)),"Not Found")</f>
        <v>79.979103989999999</v>
      </c>
      <c r="Y904" s="28">
        <f>IFERROR(INDEX('Clean Gamification Data'!$H:$H,MATCH($B904,'Clean Gamification Data'!$A:$A,0)),"Not Found")</f>
        <v>73.195653230000005</v>
      </c>
      <c r="Z904" s="28">
        <f>IFERROR(INDEX('Clean Gamification Data'!$I:$I,MATCH($B904,'Clean Gamification Data'!$A:$A,0)),"Not Found")</f>
        <v>69.541606770000001</v>
      </c>
      <c r="AA904" s="28">
        <f>Table1[[#This Row],[Engagement (Gamification %)]]-Table1[[#This Row],[Engagement (Non-Gamification %)]]</f>
        <v>21.390328740000001</v>
      </c>
      <c r="AB904" s="28">
        <f>Table1[[#This Row],[Motivation (Gamification %)]]-Table1[[#This Row],[Motivation (Non-Gamification %)]]</f>
        <v>12.961864019999993</v>
      </c>
      <c r="AC904" s="28">
        <f>Table1[[#This Row],[Participation (Gamification %)]]-Table1[[#This Row],[Participation (Non-Gamification %)]]</f>
        <v>17.2700964</v>
      </c>
      <c r="AD904" s="28">
        <f>Table1[[#This Row],[Learning Outcomes (Gamification %)]]-Table1[[#This Row],[Learning Outcomes (Non-Gamification %)]]</f>
        <v>3.6540464600000035</v>
      </c>
      <c r="AE904" s="44" t="str">
        <f>IF(Table1[[#This Row],[Overall Effectiveness]]&lt;3.9,"Low",IF(Table1[[#This Row],[Overall Effectiveness]]&lt;4.2,"Medium","High"))</f>
        <v>Medium</v>
      </c>
      <c r="AF904" s="30" t="str">
        <f t="shared" si="88"/>
        <v>Case Studies</v>
      </c>
      <c r="AG904" s="30" t="str">
        <f t="shared" si="89"/>
        <v>Lectures</v>
      </c>
      <c r="AH904" s="27">
        <f>COUNTIF(Teacher_Master!$D$2:$D$16,AF904)</f>
        <v>3</v>
      </c>
      <c r="AI904" s="30" t="str">
        <f>INDEX(Teacher_Master!$B$2:$B$16,MATCH(AF904,Teacher_Master!$D$2:$D$16,0))</f>
        <v>Prof. Rajesh Mukherjee</v>
      </c>
    </row>
    <row r="905" spans="1:35" ht="14.25" customHeight="1" x14ac:dyDescent="0.3">
      <c r="A905" s="31" t="s">
        <v>1849</v>
      </c>
      <c r="B905" s="31" t="s">
        <v>1850</v>
      </c>
      <c r="C905" s="31" t="s">
        <v>2882</v>
      </c>
      <c r="D905" s="12">
        <f t="shared" ca="1" si="84"/>
        <v>20</v>
      </c>
      <c r="E905" s="12" t="str">
        <f ca="1">IF(Table1[[#This Row],[Age]]&lt;=22,"20-22",IF(Table1[[#This Row],[Age]]&lt;=25,"23-25",IF(Table1[[#This Row],[Age]]&lt;=28,"26-28","29-30")))</f>
        <v>20-22</v>
      </c>
      <c r="F905" s="12">
        <v>3.6</v>
      </c>
      <c r="G905" s="12">
        <v>4.33</v>
      </c>
      <c r="H905" s="12">
        <v>4.09</v>
      </c>
      <c r="I905" s="12">
        <v>3.97</v>
      </c>
      <c r="J905" s="12">
        <v>3.89</v>
      </c>
      <c r="K905" s="12">
        <v>3.65</v>
      </c>
      <c r="L905" s="12">
        <v>4.22</v>
      </c>
      <c r="M905" s="12">
        <v>3.87</v>
      </c>
      <c r="N905" s="12">
        <v>4.1500000000000004</v>
      </c>
      <c r="O905" s="12">
        <v>4.45</v>
      </c>
      <c r="P905" s="12">
        <f t="shared" si="85"/>
        <v>3.976</v>
      </c>
      <c r="Q905" s="12">
        <f t="shared" si="86"/>
        <v>3.98</v>
      </c>
      <c r="R905" s="12">
        <f t="shared" si="87"/>
        <v>4.0679999999999996</v>
      </c>
      <c r="S905" s="28">
        <f>IFERROR(INDEX('Clean Gamification Data'!$B:$B,MATCH($B905,'Clean Gamification Data'!$A:$A,0)),"Not Found")</f>
        <v>75</v>
      </c>
      <c r="T905" s="28">
        <f>IFERROR(INDEX('Clean Gamification Data'!$C:$C,MATCH($B905,'Clean Gamification Data'!$A:$A,0)),"Not Found")</f>
        <v>73.611644560000002</v>
      </c>
      <c r="U905" s="28">
        <f>IFERROR(INDEX('Clean Gamification Data'!$D:$D,MATCH($B905,'Clean Gamification Data'!$A:$A,0)),"Not Found")</f>
        <v>72.562843020000003</v>
      </c>
      <c r="V905" s="28">
        <f>IFERROR(INDEX('Clean Gamification Data'!$E:$E,MATCH($B905,'Clean Gamification Data'!$A:$A,0)),"Not Found")</f>
        <v>73.91967683</v>
      </c>
      <c r="W905" s="28">
        <f>IFERROR(INDEX('Clean Gamification Data'!$F:$F,MATCH($B905,'Clean Gamification Data'!$A:$A,0)),"Not Found")</f>
        <v>87.331988390000006</v>
      </c>
      <c r="X905" s="28">
        <f>IFERROR(INDEX('Clean Gamification Data'!$G:$G,MATCH($B905,'Clean Gamification Data'!$A:$A,0)),"Not Found")</f>
        <v>76.739007630000003</v>
      </c>
      <c r="Y905" s="28">
        <f>IFERROR(INDEX('Clean Gamification Data'!$H:$H,MATCH($B905,'Clean Gamification Data'!$A:$A,0)),"Not Found")</f>
        <v>76.045216159999995</v>
      </c>
      <c r="Z905" s="28">
        <f>IFERROR(INDEX('Clean Gamification Data'!$I:$I,MATCH($B905,'Clean Gamification Data'!$A:$A,0)),"Not Found")</f>
        <v>52.646550320000003</v>
      </c>
      <c r="AA905" s="28">
        <f>Table1[[#This Row],[Engagement (Gamification %)]]-Table1[[#This Row],[Engagement (Non-Gamification %)]]</f>
        <v>1.388355439999998</v>
      </c>
      <c r="AB905" s="28">
        <f>Table1[[#This Row],[Motivation (Gamification %)]]-Table1[[#This Row],[Motivation (Non-Gamification %)]]</f>
        <v>-1.3568338099999977</v>
      </c>
      <c r="AC905" s="28">
        <f>Table1[[#This Row],[Participation (Gamification %)]]-Table1[[#This Row],[Participation (Non-Gamification %)]]</f>
        <v>10.592980760000003</v>
      </c>
      <c r="AD905" s="28">
        <f>Table1[[#This Row],[Learning Outcomes (Gamification %)]]-Table1[[#This Row],[Learning Outcomes (Non-Gamification %)]]</f>
        <v>23.398665839999992</v>
      </c>
      <c r="AE905" s="44" t="str">
        <f>IF(Table1[[#This Row],[Overall Effectiveness]]&lt;3.9,"Low",IF(Table1[[#This Row],[Overall Effectiveness]]&lt;4.2,"Medium","High"))</f>
        <v>Medium</v>
      </c>
      <c r="AF905" s="30" t="str">
        <f t="shared" si="88"/>
        <v>Case Studies</v>
      </c>
      <c r="AG905" s="30" t="str">
        <f t="shared" si="89"/>
        <v>Online Tutorials</v>
      </c>
      <c r="AH905" s="27">
        <f>COUNTIF(Teacher_Master!$D$2:$D$16,AF905)</f>
        <v>3</v>
      </c>
      <c r="AI905" s="30" t="str">
        <f>INDEX(Teacher_Master!$B$2:$B$16,MATCH(AF905,Teacher_Master!$D$2:$D$16,0))</f>
        <v>Prof. Rajesh Mukherjee</v>
      </c>
    </row>
    <row r="906" spans="1:35" ht="14.25" customHeight="1" x14ac:dyDescent="0.3">
      <c r="A906" s="31" t="s">
        <v>1851</v>
      </c>
      <c r="B906" s="31" t="s">
        <v>2734</v>
      </c>
      <c r="C906" s="31" t="s">
        <v>2882</v>
      </c>
      <c r="D906" s="12">
        <f t="shared" ca="1" si="84"/>
        <v>22</v>
      </c>
      <c r="E906" s="12" t="str">
        <f ca="1">IF(Table1[[#This Row],[Age]]&lt;=22,"20-22",IF(Table1[[#This Row],[Age]]&lt;=25,"23-25",IF(Table1[[#This Row],[Age]]&lt;=28,"26-28","29-30")))</f>
        <v>20-22</v>
      </c>
      <c r="F906" s="12">
        <v>3.24</v>
      </c>
      <c r="G906" s="12">
        <v>4.05</v>
      </c>
      <c r="H906" s="12" t="s">
        <v>211</v>
      </c>
      <c r="I906" s="12">
        <v>4.4000000000000004</v>
      </c>
      <c r="J906" s="12">
        <v>3.65</v>
      </c>
      <c r="K906" s="12">
        <v>4.09</v>
      </c>
      <c r="L906" s="12">
        <v>4.0199999999999996</v>
      </c>
      <c r="M906" s="12">
        <v>3.53</v>
      </c>
      <c r="N906" s="12" t="s">
        <v>211</v>
      </c>
      <c r="O906" s="12">
        <v>3.89</v>
      </c>
      <c r="P906" s="12">
        <f t="shared" si="85"/>
        <v>3.8350000000000004</v>
      </c>
      <c r="Q906" s="12">
        <f t="shared" si="86"/>
        <v>3.84</v>
      </c>
      <c r="R906" s="12">
        <f t="shared" si="87"/>
        <v>3.8824999999999998</v>
      </c>
      <c r="S906" s="28">
        <f>IFERROR(INDEX('Clean Gamification Data'!$B:$B,MATCH($B906,'Clean Gamification Data'!$A:$A,0)),"Not Found")</f>
        <v>77.396439229999999</v>
      </c>
      <c r="T906" s="28">
        <f>IFERROR(INDEX('Clean Gamification Data'!$C:$C,MATCH($B906,'Clean Gamification Data'!$A:$A,0)),"Not Found")</f>
        <v>72.621126849999996</v>
      </c>
      <c r="U906" s="28">
        <f>IFERROR(INDEX('Clean Gamification Data'!$D:$D,MATCH($B906,'Clean Gamification Data'!$A:$A,0)),"Not Found")</f>
        <v>75.987856219999998</v>
      </c>
      <c r="V906" s="28">
        <f>IFERROR(INDEX('Clean Gamification Data'!$E:$E,MATCH($B906,'Clean Gamification Data'!$A:$A,0)),"Not Found")</f>
        <v>63.216914119999998</v>
      </c>
      <c r="W906" s="28">
        <f>IFERROR(INDEX('Clean Gamification Data'!$F:$F,MATCH($B906,'Clean Gamification Data'!$A:$A,0)),"Not Found")</f>
        <v>80.480127300000007</v>
      </c>
      <c r="X906" s="28">
        <f>IFERROR(INDEX('Clean Gamification Data'!$G:$G,MATCH($B906,'Clean Gamification Data'!$A:$A,0)),"Not Found")</f>
        <v>82.089266170000002</v>
      </c>
      <c r="Y906" s="28">
        <f>IFERROR(INDEX('Clean Gamification Data'!$H:$H,MATCH($B906,'Clean Gamification Data'!$A:$A,0)),"Not Found")</f>
        <v>68.32328081</v>
      </c>
      <c r="Z906" s="28">
        <f>IFERROR(INDEX('Clean Gamification Data'!$I:$I,MATCH($B906,'Clean Gamification Data'!$A:$A,0)),"Not Found")</f>
        <v>59.208257750000001</v>
      </c>
      <c r="AA906" s="28">
        <f>Table1[[#This Row],[Engagement (Gamification %)]]-Table1[[#This Row],[Engagement (Non-Gamification %)]]</f>
        <v>4.7753123800000026</v>
      </c>
      <c r="AB906" s="28">
        <f>Table1[[#This Row],[Motivation (Gamification %)]]-Table1[[#This Row],[Motivation (Non-Gamification %)]]</f>
        <v>12.770942099999999</v>
      </c>
      <c r="AC906" s="28">
        <f>Table1[[#This Row],[Participation (Gamification %)]]-Table1[[#This Row],[Participation (Non-Gamification %)]]</f>
        <v>-1.6091388699999953</v>
      </c>
      <c r="AD906" s="28">
        <f>Table1[[#This Row],[Learning Outcomes (Gamification %)]]-Table1[[#This Row],[Learning Outcomes (Non-Gamification %)]]</f>
        <v>9.1150230599999986</v>
      </c>
      <c r="AE906" s="44" t="str">
        <f>IF(Table1[[#This Row],[Overall Effectiveness]]&lt;3.9,"Low",IF(Table1[[#This Row],[Overall Effectiveness]]&lt;4.2,"Medium","High"))</f>
        <v>Low</v>
      </c>
      <c r="AF906" s="30" t="str">
        <f t="shared" si="88"/>
        <v>Experiments</v>
      </c>
      <c r="AG906" s="30" t="str">
        <f t="shared" si="89"/>
        <v>Lectures</v>
      </c>
      <c r="AH906" s="27">
        <f>COUNTIF(Teacher_Master!$D$2:$D$16,AF906)</f>
        <v>3</v>
      </c>
      <c r="AI906" s="30" t="str">
        <f>INDEX(Teacher_Master!$B$2:$B$16,MATCH(AF906,Teacher_Master!$D$2:$D$16,0))</f>
        <v>Prof. Rahul Singh</v>
      </c>
    </row>
    <row r="907" spans="1:35" ht="14.25" customHeight="1" x14ac:dyDescent="0.3">
      <c r="A907" s="31" t="s">
        <v>1853</v>
      </c>
      <c r="B907" s="31" t="s">
        <v>2735</v>
      </c>
      <c r="C907" s="31" t="s">
        <v>2881</v>
      </c>
      <c r="D907" s="12">
        <f t="shared" ca="1" si="84"/>
        <v>24</v>
      </c>
      <c r="E907" s="12" t="str">
        <f ca="1">IF(Table1[[#This Row],[Age]]&lt;=22,"20-22",IF(Table1[[#This Row],[Age]]&lt;=25,"23-25",IF(Table1[[#This Row],[Age]]&lt;=28,"26-28","29-30")))</f>
        <v>23-25</v>
      </c>
      <c r="F907" s="12">
        <v>4.09</v>
      </c>
      <c r="G907" s="12">
        <v>4.09</v>
      </c>
      <c r="H907" s="12">
        <v>3.89</v>
      </c>
      <c r="I907" s="12">
        <v>4.03</v>
      </c>
      <c r="J907" s="12">
        <v>4.26</v>
      </c>
      <c r="K907" s="12">
        <v>4.66</v>
      </c>
      <c r="L907" s="12">
        <v>4.55</v>
      </c>
      <c r="M907" s="12">
        <v>4.49</v>
      </c>
      <c r="N907" s="12">
        <v>3.6</v>
      </c>
      <c r="O907" s="12">
        <v>4.0599999999999996</v>
      </c>
      <c r="P907" s="12">
        <f t="shared" si="85"/>
        <v>4.0720000000000001</v>
      </c>
      <c r="Q907" s="12">
        <f t="shared" si="86"/>
        <v>4.07</v>
      </c>
      <c r="R907" s="12">
        <f t="shared" si="87"/>
        <v>4.2720000000000002</v>
      </c>
      <c r="S907" s="28">
        <f>IFERROR(INDEX('Clean Gamification Data'!$B:$B,MATCH($B907,'Clean Gamification Data'!$A:$A,0)),"Not Found")</f>
        <v>81.534422849999999</v>
      </c>
      <c r="T907" s="28">
        <f>IFERROR(INDEX('Clean Gamification Data'!$C:$C,MATCH($B907,'Clean Gamification Data'!$A:$A,0)),"Not Found")</f>
        <v>73.20039362</v>
      </c>
      <c r="U907" s="28">
        <f>IFERROR(INDEX('Clean Gamification Data'!$D:$D,MATCH($B907,'Clean Gamification Data'!$A:$A,0)),"Not Found")</f>
        <v>81.802537549999997</v>
      </c>
      <c r="V907" s="28">
        <f>IFERROR(INDEX('Clean Gamification Data'!$E:$E,MATCH($B907,'Clean Gamification Data'!$A:$A,0)),"Not Found")</f>
        <v>74.026401879999995</v>
      </c>
      <c r="W907" s="28">
        <f>IFERROR(INDEX('Clean Gamification Data'!$F:$F,MATCH($B907,'Clean Gamification Data'!$A:$A,0)),"Not Found")</f>
        <v>92.170217730000005</v>
      </c>
      <c r="X907" s="28">
        <f>IFERROR(INDEX('Clean Gamification Data'!$G:$G,MATCH($B907,'Clean Gamification Data'!$A:$A,0)),"Not Found")</f>
        <v>74.999851919999998</v>
      </c>
      <c r="Y907" s="28">
        <f>IFERROR(INDEX('Clean Gamification Data'!$H:$H,MATCH($B907,'Clean Gamification Data'!$A:$A,0)),"Not Found")</f>
        <v>70.37641988</v>
      </c>
      <c r="Z907" s="28">
        <f>IFERROR(INDEX('Clean Gamification Data'!$I:$I,MATCH($B907,'Clean Gamification Data'!$A:$A,0)),"Not Found")</f>
        <v>54.35490411</v>
      </c>
      <c r="AA907" s="28">
        <f>Table1[[#This Row],[Engagement (Gamification %)]]-Table1[[#This Row],[Engagement (Non-Gamification %)]]</f>
        <v>8.3340292299999987</v>
      </c>
      <c r="AB907" s="28">
        <f>Table1[[#This Row],[Motivation (Gamification %)]]-Table1[[#This Row],[Motivation (Non-Gamification %)]]</f>
        <v>7.7761356700000022</v>
      </c>
      <c r="AC907" s="28">
        <f>Table1[[#This Row],[Participation (Gamification %)]]-Table1[[#This Row],[Participation (Non-Gamification %)]]</f>
        <v>17.170365810000007</v>
      </c>
      <c r="AD907" s="28">
        <f>Table1[[#This Row],[Learning Outcomes (Gamification %)]]-Table1[[#This Row],[Learning Outcomes (Non-Gamification %)]]</f>
        <v>16.021515770000001</v>
      </c>
      <c r="AE907" s="44" t="str">
        <f>IF(Table1[[#This Row],[Overall Effectiveness]]&lt;3.9,"Low",IF(Table1[[#This Row],[Overall Effectiveness]]&lt;4.2,"Medium","High"))</f>
        <v>Medium</v>
      </c>
      <c r="AF907" s="30" t="str">
        <f t="shared" si="88"/>
        <v>Online Tutorials</v>
      </c>
      <c r="AG907" s="30" t="str">
        <f t="shared" si="89"/>
        <v>Lectures</v>
      </c>
      <c r="AH907" s="27">
        <f>COUNTIF(Teacher_Master!$D$2:$D$16,AF907)</f>
        <v>3</v>
      </c>
      <c r="AI907" s="30" t="str">
        <f>INDEX(Teacher_Master!$B$2:$B$16,MATCH(AF907,Teacher_Master!$D$2:$D$16,0))</f>
        <v>Prof. Kavita Rao</v>
      </c>
    </row>
    <row r="908" spans="1:35" ht="14.25" customHeight="1" x14ac:dyDescent="0.3">
      <c r="A908" s="31" t="s">
        <v>1855</v>
      </c>
      <c r="B908" s="31" t="s">
        <v>2736</v>
      </c>
      <c r="C908" s="31" t="s">
        <v>2881</v>
      </c>
      <c r="D908" s="12">
        <f t="shared" ca="1" si="84"/>
        <v>20</v>
      </c>
      <c r="E908" s="12" t="str">
        <f ca="1">IF(Table1[[#This Row],[Age]]&lt;=22,"20-22",IF(Table1[[#This Row],[Age]]&lt;=25,"23-25",IF(Table1[[#This Row],[Age]]&lt;=28,"26-28","29-30")))</f>
        <v>20-22</v>
      </c>
      <c r="F908" s="12">
        <v>4.47</v>
      </c>
      <c r="G908" s="12">
        <v>4.55</v>
      </c>
      <c r="H908" s="12">
        <v>4.01</v>
      </c>
      <c r="I908" s="12">
        <v>4.07</v>
      </c>
      <c r="J908" s="12">
        <v>4.83</v>
      </c>
      <c r="K908" s="12">
        <v>4.76</v>
      </c>
      <c r="L908" s="12">
        <v>3.93</v>
      </c>
      <c r="M908" s="12">
        <v>3.4</v>
      </c>
      <c r="N908" s="12">
        <v>4.01</v>
      </c>
      <c r="O908" s="12">
        <v>4.33</v>
      </c>
      <c r="P908" s="12">
        <f t="shared" si="85"/>
        <v>4.3860000000000001</v>
      </c>
      <c r="Q908" s="12">
        <f t="shared" si="86"/>
        <v>4.3899999999999997</v>
      </c>
      <c r="R908" s="12">
        <f t="shared" si="87"/>
        <v>4.0860000000000003</v>
      </c>
      <c r="S908" s="28">
        <f>IFERROR(INDEX('Clean Gamification Data'!$B:$B,MATCH($B908,'Clean Gamification Data'!$A:$A,0)),"Not Found")</f>
        <v>78.4178158</v>
      </c>
      <c r="T908" s="28">
        <f>IFERROR(INDEX('Clean Gamification Data'!$C:$C,MATCH($B908,'Clean Gamification Data'!$A:$A,0)),"Not Found")</f>
        <v>72.207802869999995</v>
      </c>
      <c r="U908" s="28">
        <f>IFERROR(INDEX('Clean Gamification Data'!$D:$D,MATCH($B908,'Clean Gamification Data'!$A:$A,0)),"Not Found")</f>
        <v>70.345990130000004</v>
      </c>
      <c r="V908" s="28">
        <f>IFERROR(INDEX('Clean Gamification Data'!$E:$E,MATCH($B908,'Clean Gamification Data'!$A:$A,0)),"Not Found")</f>
        <v>59.354483979999998</v>
      </c>
      <c r="W908" s="28">
        <f>IFERROR(INDEX('Clean Gamification Data'!$F:$F,MATCH($B908,'Clean Gamification Data'!$A:$A,0)),"Not Found")</f>
        <v>85.789292130000007</v>
      </c>
      <c r="X908" s="28">
        <f>IFERROR(INDEX('Clean Gamification Data'!$G:$G,MATCH($B908,'Clean Gamification Data'!$A:$A,0)),"Not Found")</f>
        <v>76.914960660000006</v>
      </c>
      <c r="Y908" s="28">
        <f>IFERROR(INDEX('Clean Gamification Data'!$H:$H,MATCH($B908,'Clean Gamification Data'!$A:$A,0)),"Not Found")</f>
        <v>68.842677140000006</v>
      </c>
      <c r="Z908" s="28">
        <f>IFERROR(INDEX('Clean Gamification Data'!$I:$I,MATCH($B908,'Clean Gamification Data'!$A:$A,0)),"Not Found")</f>
        <v>52.385654840000001</v>
      </c>
      <c r="AA908" s="28">
        <f>Table1[[#This Row],[Engagement (Gamification %)]]-Table1[[#This Row],[Engagement (Non-Gamification %)]]</f>
        <v>6.2100129300000049</v>
      </c>
      <c r="AB908" s="28">
        <f>Table1[[#This Row],[Motivation (Gamification %)]]-Table1[[#This Row],[Motivation (Non-Gamification %)]]</f>
        <v>10.991506150000006</v>
      </c>
      <c r="AC908" s="28">
        <f>Table1[[#This Row],[Participation (Gamification %)]]-Table1[[#This Row],[Participation (Non-Gamification %)]]</f>
        <v>8.8743314700000013</v>
      </c>
      <c r="AD908" s="28">
        <f>Table1[[#This Row],[Learning Outcomes (Gamification %)]]-Table1[[#This Row],[Learning Outcomes (Non-Gamification %)]]</f>
        <v>16.457022300000006</v>
      </c>
      <c r="AE908" s="44" t="str">
        <f>IF(Table1[[#This Row],[Overall Effectiveness]]&lt;3.9,"Low",IF(Table1[[#This Row],[Overall Effectiveness]]&lt;4.2,"Medium","High"))</f>
        <v>High</v>
      </c>
      <c r="AF908" s="30" t="str">
        <f t="shared" si="88"/>
        <v>Online Tutorials</v>
      </c>
      <c r="AG908" s="30" t="str">
        <f t="shared" si="89"/>
        <v>Lectures</v>
      </c>
      <c r="AH908" s="27">
        <f>COUNTIF(Teacher_Master!$D$2:$D$16,AF908)</f>
        <v>3</v>
      </c>
      <c r="AI908" s="30" t="str">
        <f>INDEX(Teacher_Master!$B$2:$B$16,MATCH(AF908,Teacher_Master!$D$2:$D$16,0))</f>
        <v>Prof. Kavita Rao</v>
      </c>
    </row>
    <row r="909" spans="1:35" ht="14.25" customHeight="1" x14ac:dyDescent="0.3">
      <c r="A909" s="31" t="s">
        <v>1857</v>
      </c>
      <c r="B909" s="31" t="s">
        <v>2737</v>
      </c>
      <c r="C909" s="31" t="s">
        <v>2882</v>
      </c>
      <c r="D909" s="12">
        <f t="shared" ca="1" si="84"/>
        <v>20</v>
      </c>
      <c r="E909" s="12" t="str">
        <f ca="1">IF(Table1[[#This Row],[Age]]&lt;=22,"20-22",IF(Table1[[#This Row],[Age]]&lt;=25,"23-25",IF(Table1[[#This Row],[Age]]&lt;=28,"26-28","29-30")))</f>
        <v>20-22</v>
      </c>
      <c r="F909" s="12">
        <v>4.3</v>
      </c>
      <c r="G909" s="12">
        <v>4.3499999999999996</v>
      </c>
      <c r="H909" s="12">
        <v>4.17</v>
      </c>
      <c r="I909" s="12">
        <v>4.47</v>
      </c>
      <c r="J909" s="12">
        <v>3.96</v>
      </c>
      <c r="K909" s="12">
        <v>3.67</v>
      </c>
      <c r="L909" s="12">
        <v>4.05</v>
      </c>
      <c r="M909" s="12">
        <v>4.41</v>
      </c>
      <c r="N909" s="12">
        <v>4.72</v>
      </c>
      <c r="O909" s="12">
        <v>3.76</v>
      </c>
      <c r="P909" s="12">
        <f t="shared" si="85"/>
        <v>4.25</v>
      </c>
      <c r="Q909" s="12">
        <f t="shared" si="86"/>
        <v>4.25</v>
      </c>
      <c r="R909" s="12">
        <f t="shared" si="87"/>
        <v>4.1219999999999999</v>
      </c>
      <c r="S909" s="28">
        <f>IFERROR(INDEX('Clean Gamification Data'!$B:$B,MATCH($B909,'Clean Gamification Data'!$A:$A,0)),"Not Found")</f>
        <v>75.472269460000007</v>
      </c>
      <c r="T909" s="28">
        <f>IFERROR(INDEX('Clean Gamification Data'!$C:$C,MATCH($B909,'Clean Gamification Data'!$A:$A,0)),"Not Found")</f>
        <v>62.790155579999997</v>
      </c>
      <c r="U909" s="28">
        <f>IFERROR(INDEX('Clean Gamification Data'!$D:$D,MATCH($B909,'Clean Gamification Data'!$A:$A,0)),"Not Found")</f>
        <v>74.511054400000006</v>
      </c>
      <c r="V909" s="28">
        <f>IFERROR(INDEX('Clean Gamification Data'!$E:$E,MATCH($B909,'Clean Gamification Data'!$A:$A,0)),"Not Found")</f>
        <v>66.046731170000001</v>
      </c>
      <c r="W909" s="28">
        <f>IFERROR(INDEX('Clean Gamification Data'!$F:$F,MATCH($B909,'Clean Gamification Data'!$A:$A,0)),"Not Found")</f>
        <v>80</v>
      </c>
      <c r="X909" s="28">
        <f>IFERROR(INDEX('Clean Gamification Data'!$G:$G,MATCH($B909,'Clean Gamification Data'!$A:$A,0)),"Not Found")</f>
        <v>74.672341320000001</v>
      </c>
      <c r="Y909" s="28">
        <f>IFERROR(INDEX('Clean Gamification Data'!$H:$H,MATCH($B909,'Clean Gamification Data'!$A:$A,0)),"Not Found")</f>
        <v>76.413854349999994</v>
      </c>
      <c r="Z909" s="28">
        <f>IFERROR(INDEX('Clean Gamification Data'!$I:$I,MATCH($B909,'Clean Gamification Data'!$A:$A,0)),"Not Found")</f>
        <v>64.459408960000005</v>
      </c>
      <c r="AA909" s="28">
        <f>Table1[[#This Row],[Engagement (Gamification %)]]-Table1[[#This Row],[Engagement (Non-Gamification %)]]</f>
        <v>12.68211388000001</v>
      </c>
      <c r="AB909" s="28">
        <f>Table1[[#This Row],[Motivation (Gamification %)]]-Table1[[#This Row],[Motivation (Non-Gamification %)]]</f>
        <v>8.4643232300000051</v>
      </c>
      <c r="AC909" s="28">
        <f>Table1[[#This Row],[Participation (Gamification %)]]-Table1[[#This Row],[Participation (Non-Gamification %)]]</f>
        <v>5.327658679999999</v>
      </c>
      <c r="AD909" s="28">
        <f>Table1[[#This Row],[Learning Outcomes (Gamification %)]]-Table1[[#This Row],[Learning Outcomes (Non-Gamification %)]]</f>
        <v>11.954445389999989</v>
      </c>
      <c r="AE909" s="44" t="str">
        <f>IF(Table1[[#This Row],[Overall Effectiveness]]&lt;3.9,"Low",IF(Table1[[#This Row],[Overall Effectiveness]]&lt;4.2,"Medium","High"))</f>
        <v>High</v>
      </c>
      <c r="AF909" s="30" t="str">
        <f t="shared" si="88"/>
        <v>Experiments</v>
      </c>
      <c r="AG909" s="30" t="str">
        <f t="shared" si="89"/>
        <v>Experiments</v>
      </c>
      <c r="AH909" s="27">
        <f>COUNTIF(Teacher_Master!$D$2:$D$16,AF909)</f>
        <v>3</v>
      </c>
      <c r="AI909" s="30" t="str">
        <f>INDEX(Teacher_Master!$B$2:$B$16,MATCH(AF909,Teacher_Master!$D$2:$D$16,0))</f>
        <v>Prof. Rahul Singh</v>
      </c>
    </row>
    <row r="910" spans="1:35" ht="14.25" customHeight="1" x14ac:dyDescent="0.3">
      <c r="A910" s="31" t="s">
        <v>1859</v>
      </c>
      <c r="B910" s="31" t="s">
        <v>2738</v>
      </c>
      <c r="C910" s="31" t="s">
        <v>2882</v>
      </c>
      <c r="D910" s="12">
        <f t="shared" ca="1" si="84"/>
        <v>22</v>
      </c>
      <c r="E910" s="12" t="str">
        <f ca="1">IF(Table1[[#This Row],[Age]]&lt;=22,"20-22",IF(Table1[[#This Row],[Age]]&lt;=25,"23-25",IF(Table1[[#This Row],[Age]]&lt;=28,"26-28","29-30")))</f>
        <v>20-22</v>
      </c>
      <c r="F910" s="12">
        <v>3.46</v>
      </c>
      <c r="G910" s="12">
        <v>3.96</v>
      </c>
      <c r="H910" s="12">
        <v>4.38</v>
      </c>
      <c r="I910" s="12">
        <v>4.07</v>
      </c>
      <c r="J910" s="12">
        <v>4.12</v>
      </c>
      <c r="K910" s="12" t="s">
        <v>211</v>
      </c>
      <c r="L910" s="12">
        <v>4.32</v>
      </c>
      <c r="M910" s="12">
        <v>4.01</v>
      </c>
      <c r="N910" s="12">
        <v>4.24</v>
      </c>
      <c r="O910" s="12">
        <v>4.51</v>
      </c>
      <c r="P910" s="12">
        <f t="shared" si="85"/>
        <v>3.9980000000000002</v>
      </c>
      <c r="Q910" s="12">
        <f t="shared" si="86"/>
        <v>4</v>
      </c>
      <c r="R910" s="12">
        <f t="shared" si="87"/>
        <v>4.2699999999999996</v>
      </c>
      <c r="S910" s="28">
        <f>IFERROR(INDEX('Clean Gamification Data'!$B:$B,MATCH($B910,'Clean Gamification Data'!$A:$A,0)),"Not Found")</f>
        <v>86.787724819999994</v>
      </c>
      <c r="T910" s="28">
        <f>IFERROR(INDEX('Clean Gamification Data'!$C:$C,MATCH($B910,'Clean Gamification Data'!$A:$A,0)),"Not Found")</f>
        <v>70.162981529999996</v>
      </c>
      <c r="U910" s="28">
        <f>IFERROR(INDEX('Clean Gamification Data'!$D:$D,MATCH($B910,'Clean Gamification Data'!$A:$A,0)),"Not Found")</f>
        <v>70</v>
      </c>
      <c r="V910" s="28">
        <f>IFERROR(INDEX('Clean Gamification Data'!$E:$E,MATCH($B910,'Clean Gamification Data'!$A:$A,0)),"Not Found")</f>
        <v>65.370543789999999</v>
      </c>
      <c r="W910" s="28">
        <f>IFERROR(INDEX('Clean Gamification Data'!$F:$F,MATCH($B910,'Clean Gamification Data'!$A:$A,0)),"Not Found")</f>
        <v>90.704049999999995</v>
      </c>
      <c r="X910" s="28">
        <f>IFERROR(INDEX('Clean Gamification Data'!$G:$G,MATCH($B910,'Clean Gamification Data'!$A:$A,0)),"Not Found")</f>
        <v>80.208110540000007</v>
      </c>
      <c r="Y910" s="28">
        <f>IFERROR(INDEX('Clean Gamification Data'!$H:$H,MATCH($B910,'Clean Gamification Data'!$A:$A,0)),"Not Found")</f>
        <v>71.060562790000006</v>
      </c>
      <c r="Z910" s="28">
        <f>IFERROR(INDEX('Clean Gamification Data'!$I:$I,MATCH($B910,'Clean Gamification Data'!$A:$A,0)),"Not Found")</f>
        <v>60.948932710000001</v>
      </c>
      <c r="AA910" s="28">
        <f>Table1[[#This Row],[Engagement (Gamification %)]]-Table1[[#This Row],[Engagement (Non-Gamification %)]]</f>
        <v>16.624743289999998</v>
      </c>
      <c r="AB910" s="28">
        <f>Table1[[#This Row],[Motivation (Gamification %)]]-Table1[[#This Row],[Motivation (Non-Gamification %)]]</f>
        <v>4.6294562100000007</v>
      </c>
      <c r="AC910" s="28">
        <f>Table1[[#This Row],[Participation (Gamification %)]]-Table1[[#This Row],[Participation (Non-Gamification %)]]</f>
        <v>10.495939459999988</v>
      </c>
      <c r="AD910" s="28">
        <f>Table1[[#This Row],[Learning Outcomes (Gamification %)]]-Table1[[#This Row],[Learning Outcomes (Non-Gamification %)]]</f>
        <v>10.111630080000005</v>
      </c>
      <c r="AE910" s="44" t="str">
        <f>IF(Table1[[#This Row],[Overall Effectiveness]]&lt;3.9,"Low",IF(Table1[[#This Row],[Overall Effectiveness]]&lt;4.2,"Medium","High"))</f>
        <v>Medium</v>
      </c>
      <c r="AF910" s="30" t="str">
        <f t="shared" si="88"/>
        <v>Group Projects</v>
      </c>
      <c r="AG910" s="30" t="str">
        <f t="shared" si="89"/>
        <v>Online Tutorials</v>
      </c>
      <c r="AH910" s="27">
        <f>COUNTIF(Teacher_Master!$D$2:$D$16,AF910)</f>
        <v>3</v>
      </c>
      <c r="AI910" s="30" t="str">
        <f>INDEX(Teacher_Master!$B$2:$B$16,MATCH(AF910,Teacher_Master!$D$2:$D$16,0))</f>
        <v>Dr. Rohan Dutta</v>
      </c>
    </row>
    <row r="911" spans="1:35" ht="14.25" customHeight="1" x14ac:dyDescent="0.3">
      <c r="A911" s="31" t="s">
        <v>1861</v>
      </c>
      <c r="B911" s="31" t="s">
        <v>2739</v>
      </c>
      <c r="C911" s="31" t="s">
        <v>2881</v>
      </c>
      <c r="D911" s="12">
        <f t="shared" ca="1" si="84"/>
        <v>26</v>
      </c>
      <c r="E911" s="12" t="str">
        <f ca="1">IF(Table1[[#This Row],[Age]]&lt;=22,"20-22",IF(Table1[[#This Row],[Age]]&lt;=25,"23-25",IF(Table1[[#This Row],[Age]]&lt;=28,"26-28","29-30")))</f>
        <v>26-28</v>
      </c>
      <c r="F911" s="12" t="s">
        <v>1247</v>
      </c>
      <c r="G911" s="12">
        <v>4.1500000000000004</v>
      </c>
      <c r="H911" s="12">
        <v>3.87</v>
      </c>
      <c r="I911" s="12">
        <v>4.09</v>
      </c>
      <c r="J911" s="12">
        <v>3.81</v>
      </c>
      <c r="K911" s="12">
        <v>4.38</v>
      </c>
      <c r="L911" s="12">
        <v>4.12</v>
      </c>
      <c r="M911" s="12">
        <v>4.5</v>
      </c>
      <c r="N911" s="12">
        <v>4.28</v>
      </c>
      <c r="O911" s="12">
        <v>3.94</v>
      </c>
      <c r="P911" s="12">
        <f t="shared" si="85"/>
        <v>3.98</v>
      </c>
      <c r="Q911" s="12">
        <f t="shared" si="86"/>
        <v>3.98</v>
      </c>
      <c r="R911" s="12">
        <f t="shared" si="87"/>
        <v>4.2440000000000007</v>
      </c>
      <c r="S911" s="28">
        <f>IFERROR(INDEX('Clean Gamification Data'!$B:$B,MATCH($B911,'Clean Gamification Data'!$A:$A,0)),"Not Found")</f>
        <v>93.506017619999994</v>
      </c>
      <c r="T911" s="28">
        <f>IFERROR(INDEX('Clean Gamification Data'!$C:$C,MATCH($B911,'Clean Gamification Data'!$A:$A,0)),"Not Found")</f>
        <v>72.930405059999998</v>
      </c>
      <c r="U911" s="28">
        <f>IFERROR(INDEX('Clean Gamification Data'!$D:$D,MATCH($B911,'Clean Gamification Data'!$A:$A,0)),"Not Found")</f>
        <v>77.321334480000004</v>
      </c>
      <c r="V911" s="28">
        <f>IFERROR(INDEX('Clean Gamification Data'!$E:$E,MATCH($B911,'Clean Gamification Data'!$A:$A,0)),"Not Found")</f>
        <v>65.033720500000001</v>
      </c>
      <c r="W911" s="28">
        <f>IFERROR(INDEX('Clean Gamification Data'!$F:$F,MATCH($B911,'Clean Gamification Data'!$A:$A,0)),"Not Found")</f>
        <v>80</v>
      </c>
      <c r="X911" s="28">
        <f>IFERROR(INDEX('Clean Gamification Data'!$G:$G,MATCH($B911,'Clean Gamification Data'!$A:$A,0)),"Not Found")</f>
        <v>73.054754799999998</v>
      </c>
      <c r="Y911" s="28">
        <f>IFERROR(INDEX('Clean Gamification Data'!$H:$H,MATCH($B911,'Clean Gamification Data'!$A:$A,0)),"Not Found")</f>
        <v>71.692688590000003</v>
      </c>
      <c r="Z911" s="28">
        <f>IFERROR(INDEX('Clean Gamification Data'!$I:$I,MATCH($B911,'Clean Gamification Data'!$A:$A,0)),"Not Found")</f>
        <v>60.426654980000002</v>
      </c>
      <c r="AA911" s="28">
        <f>Table1[[#This Row],[Engagement (Gamification %)]]-Table1[[#This Row],[Engagement (Non-Gamification %)]]</f>
        <v>20.575612559999996</v>
      </c>
      <c r="AB911" s="28">
        <f>Table1[[#This Row],[Motivation (Gamification %)]]-Table1[[#This Row],[Motivation (Non-Gamification %)]]</f>
        <v>12.287613980000003</v>
      </c>
      <c r="AC911" s="28">
        <f>Table1[[#This Row],[Participation (Gamification %)]]-Table1[[#This Row],[Participation (Non-Gamification %)]]</f>
        <v>6.9452452000000022</v>
      </c>
      <c r="AD911" s="28">
        <f>Table1[[#This Row],[Learning Outcomes (Gamification %)]]-Table1[[#This Row],[Learning Outcomes (Non-Gamification %)]]</f>
        <v>11.266033610000001</v>
      </c>
      <c r="AE911" s="44" t="str">
        <f>IF(Table1[[#This Row],[Overall Effectiveness]]&lt;3.9,"Low",IF(Table1[[#This Row],[Overall Effectiveness]]&lt;4.2,"Medium","High"))</f>
        <v>Medium</v>
      </c>
      <c r="AF911" s="30" t="str">
        <f t="shared" si="88"/>
        <v>Case Studies</v>
      </c>
      <c r="AG911" s="30" t="str">
        <f t="shared" si="89"/>
        <v>Group Projects</v>
      </c>
      <c r="AH911" s="27">
        <f>COUNTIF(Teacher_Master!$D$2:$D$16,AF911)</f>
        <v>3</v>
      </c>
      <c r="AI911" s="30" t="str">
        <f>INDEX(Teacher_Master!$B$2:$B$16,MATCH(AF911,Teacher_Master!$D$2:$D$16,0))</f>
        <v>Prof. Rajesh Mukherjee</v>
      </c>
    </row>
    <row r="912" spans="1:35" ht="14.25" customHeight="1" x14ac:dyDescent="0.3">
      <c r="A912" s="31" t="s">
        <v>1863</v>
      </c>
      <c r="B912" s="31" t="s">
        <v>1864</v>
      </c>
      <c r="C912" s="31" t="s">
        <v>2882</v>
      </c>
      <c r="D912" s="12">
        <f t="shared" ca="1" si="84"/>
        <v>24</v>
      </c>
      <c r="E912" s="12" t="str">
        <f ca="1">IF(Table1[[#This Row],[Age]]&lt;=22,"20-22",IF(Table1[[#This Row],[Age]]&lt;=25,"23-25",IF(Table1[[#This Row],[Age]]&lt;=28,"26-28","29-30")))</f>
        <v>23-25</v>
      </c>
      <c r="F912" s="12">
        <v>3.68</v>
      </c>
      <c r="G912" s="12">
        <v>4.45</v>
      </c>
      <c r="H912" s="12">
        <v>4.43</v>
      </c>
      <c r="I912" s="12">
        <v>3.89</v>
      </c>
      <c r="J912" s="12">
        <v>3.91</v>
      </c>
      <c r="K912" s="12">
        <v>3.88</v>
      </c>
      <c r="L912" s="12">
        <v>3.93</v>
      </c>
      <c r="M912" s="12">
        <v>3.97</v>
      </c>
      <c r="N912" s="12">
        <v>4.09</v>
      </c>
      <c r="O912" s="12">
        <v>4.25</v>
      </c>
      <c r="P912" s="12">
        <f t="shared" si="85"/>
        <v>4.0720000000000001</v>
      </c>
      <c r="Q912" s="12">
        <f t="shared" si="86"/>
        <v>4.07</v>
      </c>
      <c r="R912" s="12">
        <f t="shared" si="87"/>
        <v>4.024</v>
      </c>
      <c r="S912" s="28">
        <f>IFERROR(INDEX('Clean Gamification Data'!$B:$B,MATCH($B912,'Clean Gamification Data'!$A:$A,0)),"Not Found")</f>
        <v>79.320295160000001</v>
      </c>
      <c r="T912" s="28">
        <f>IFERROR(INDEX('Clean Gamification Data'!$C:$C,MATCH($B912,'Clean Gamification Data'!$A:$A,0)),"Not Found")</f>
        <v>73.801799209999999</v>
      </c>
      <c r="U912" s="28">
        <f>IFERROR(INDEX('Clean Gamification Data'!$D:$D,MATCH($B912,'Clean Gamification Data'!$A:$A,0)),"Not Found")</f>
        <v>82.622570170000003</v>
      </c>
      <c r="V912" s="28">
        <f>IFERROR(INDEX('Clean Gamification Data'!$E:$E,MATCH($B912,'Clean Gamification Data'!$A:$A,0)),"Not Found")</f>
        <v>62.646467579999999</v>
      </c>
      <c r="W912" s="28">
        <f>IFERROR(INDEX('Clean Gamification Data'!$F:$F,MATCH($B912,'Clean Gamification Data'!$A:$A,0)),"Not Found")</f>
        <v>89.178933380000004</v>
      </c>
      <c r="X912" s="28">
        <f>IFERROR(INDEX('Clean Gamification Data'!$G:$G,MATCH($B912,'Clean Gamification Data'!$A:$A,0)),"Not Found")</f>
        <v>72.887658450000004</v>
      </c>
      <c r="Y912" s="28">
        <f>IFERROR(INDEX('Clean Gamification Data'!$H:$H,MATCH($B912,'Clean Gamification Data'!$A:$A,0)),"Not Found")</f>
        <v>68.798481659999993</v>
      </c>
      <c r="Z912" s="28">
        <f>IFERROR(INDEX('Clean Gamification Data'!$I:$I,MATCH($B912,'Clean Gamification Data'!$A:$A,0)),"Not Found")</f>
        <v>64.045309149999994</v>
      </c>
      <c r="AA912" s="28">
        <f>Table1[[#This Row],[Engagement (Gamification %)]]-Table1[[#This Row],[Engagement (Non-Gamification %)]]</f>
        <v>5.5184959500000019</v>
      </c>
      <c r="AB912" s="28">
        <f>Table1[[#This Row],[Motivation (Gamification %)]]-Table1[[#This Row],[Motivation (Non-Gamification %)]]</f>
        <v>19.976102590000004</v>
      </c>
      <c r="AC912" s="28">
        <f>Table1[[#This Row],[Participation (Gamification %)]]-Table1[[#This Row],[Participation (Non-Gamification %)]]</f>
        <v>16.29127493</v>
      </c>
      <c r="AD912" s="28">
        <f>Table1[[#This Row],[Learning Outcomes (Gamification %)]]-Table1[[#This Row],[Learning Outcomes (Non-Gamification %)]]</f>
        <v>4.7531725099999989</v>
      </c>
      <c r="AE912" s="44" t="str">
        <f>IF(Table1[[#This Row],[Overall Effectiveness]]&lt;3.9,"Low",IF(Table1[[#This Row],[Overall Effectiveness]]&lt;4.2,"Medium","High"))</f>
        <v>Medium</v>
      </c>
      <c r="AF912" s="30" t="str">
        <f t="shared" si="88"/>
        <v>Case Studies</v>
      </c>
      <c r="AG912" s="30" t="str">
        <f t="shared" si="89"/>
        <v>Online Tutorials</v>
      </c>
      <c r="AH912" s="27">
        <f>COUNTIF(Teacher_Master!$D$2:$D$16,AF912)</f>
        <v>3</v>
      </c>
      <c r="AI912" s="30" t="str">
        <f>INDEX(Teacher_Master!$B$2:$B$16,MATCH(AF912,Teacher_Master!$D$2:$D$16,0))</f>
        <v>Prof. Rajesh Mukherjee</v>
      </c>
    </row>
    <row r="913" spans="1:35" ht="14.25" customHeight="1" x14ac:dyDescent="0.3">
      <c r="A913" s="31" t="s">
        <v>1865</v>
      </c>
      <c r="B913" s="31" t="s">
        <v>2740</v>
      </c>
      <c r="C913" s="31" t="s">
        <v>2882</v>
      </c>
      <c r="D913" s="12">
        <f t="shared" ca="1" si="84"/>
        <v>26</v>
      </c>
      <c r="E913" s="12" t="str">
        <f ca="1">IF(Table1[[#This Row],[Age]]&lt;=22,"20-22",IF(Table1[[#This Row],[Age]]&lt;=25,"23-25",IF(Table1[[#This Row],[Age]]&lt;=28,"26-28","29-30")))</f>
        <v>26-28</v>
      </c>
      <c r="F913" s="12">
        <v>4.32</v>
      </c>
      <c r="G913" s="12">
        <v>4.33</v>
      </c>
      <c r="H913" s="12">
        <v>3.86</v>
      </c>
      <c r="I913" s="12">
        <v>3.8</v>
      </c>
      <c r="J913" s="12">
        <v>3.49</v>
      </c>
      <c r="K913" s="12">
        <v>3.76</v>
      </c>
      <c r="L913" s="12">
        <v>3.39</v>
      </c>
      <c r="M913" s="12">
        <v>3.54</v>
      </c>
      <c r="N913" s="12">
        <v>4.01</v>
      </c>
      <c r="O913" s="12">
        <v>3.61</v>
      </c>
      <c r="P913" s="12">
        <f t="shared" si="85"/>
        <v>3.9599999999999995</v>
      </c>
      <c r="Q913" s="12">
        <f t="shared" si="86"/>
        <v>3.96</v>
      </c>
      <c r="R913" s="12">
        <f t="shared" si="87"/>
        <v>3.6620000000000004</v>
      </c>
      <c r="S913" s="28">
        <f>IFERROR(INDEX('Clean Gamification Data'!$B:$B,MATCH($B913,'Clean Gamification Data'!$A:$A,0)),"Not Found")</f>
        <v>83.713864270000002</v>
      </c>
      <c r="T913" s="28">
        <f>IFERROR(INDEX('Clean Gamification Data'!$C:$C,MATCH($B913,'Clean Gamification Data'!$A:$A,0)),"Not Found")</f>
        <v>71.005561920000005</v>
      </c>
      <c r="U913" s="28">
        <f>IFERROR(INDEX('Clean Gamification Data'!$D:$D,MATCH($B913,'Clean Gamification Data'!$A:$A,0)),"Not Found")</f>
        <v>70</v>
      </c>
      <c r="V913" s="28">
        <f>IFERROR(INDEX('Clean Gamification Data'!$E:$E,MATCH($B913,'Clean Gamification Data'!$A:$A,0)),"Not Found")</f>
        <v>62.257661329999998</v>
      </c>
      <c r="W913" s="28">
        <f>IFERROR(INDEX('Clean Gamification Data'!$F:$F,MATCH($B913,'Clean Gamification Data'!$A:$A,0)),"Not Found")</f>
        <v>97.085866300000006</v>
      </c>
      <c r="X913" s="28">
        <f>IFERROR(INDEX('Clean Gamification Data'!$G:$G,MATCH($B913,'Clean Gamification Data'!$A:$A,0)),"Not Found")</f>
        <v>71.388142599999995</v>
      </c>
      <c r="Y913" s="28">
        <f>IFERROR(INDEX('Clean Gamification Data'!$H:$H,MATCH($B913,'Clean Gamification Data'!$A:$A,0)),"Not Found")</f>
        <v>72.911725270000005</v>
      </c>
      <c r="Z913" s="28">
        <f>IFERROR(INDEX('Clean Gamification Data'!$I:$I,MATCH($B913,'Clean Gamification Data'!$A:$A,0)),"Not Found")</f>
        <v>51.563039789999998</v>
      </c>
      <c r="AA913" s="28">
        <f>Table1[[#This Row],[Engagement (Gamification %)]]-Table1[[#This Row],[Engagement (Non-Gamification %)]]</f>
        <v>12.708302349999997</v>
      </c>
      <c r="AB913" s="28">
        <f>Table1[[#This Row],[Motivation (Gamification %)]]-Table1[[#This Row],[Motivation (Non-Gamification %)]]</f>
        <v>7.7423386700000023</v>
      </c>
      <c r="AC913" s="28">
        <f>Table1[[#This Row],[Participation (Gamification %)]]-Table1[[#This Row],[Participation (Non-Gamification %)]]</f>
        <v>25.697723700000012</v>
      </c>
      <c r="AD913" s="28">
        <f>Table1[[#This Row],[Learning Outcomes (Gamification %)]]-Table1[[#This Row],[Learning Outcomes (Non-Gamification %)]]</f>
        <v>21.348685480000007</v>
      </c>
      <c r="AE913" s="44" t="str">
        <f>IF(Table1[[#This Row],[Overall Effectiveness]]&lt;3.9,"Low",IF(Table1[[#This Row],[Overall Effectiveness]]&lt;4.2,"Medium","High"))</f>
        <v>Medium</v>
      </c>
      <c r="AF913" s="30" t="str">
        <f t="shared" si="88"/>
        <v>Case Studies</v>
      </c>
      <c r="AG913" s="30" t="str">
        <f t="shared" si="89"/>
        <v>Experiments</v>
      </c>
      <c r="AH913" s="27">
        <f>COUNTIF(Teacher_Master!$D$2:$D$16,AF913)</f>
        <v>3</v>
      </c>
      <c r="AI913" s="30" t="str">
        <f>INDEX(Teacher_Master!$B$2:$B$16,MATCH(AF913,Teacher_Master!$D$2:$D$16,0))</f>
        <v>Prof. Rajesh Mukherjee</v>
      </c>
    </row>
    <row r="914" spans="1:35" ht="14.25" customHeight="1" x14ac:dyDescent="0.3">
      <c r="A914" s="31" t="s">
        <v>1867</v>
      </c>
      <c r="B914" s="31" t="s">
        <v>2741</v>
      </c>
      <c r="C914" s="31" t="s">
        <v>2882</v>
      </c>
      <c r="D914" s="12">
        <f t="shared" ca="1" si="84"/>
        <v>29</v>
      </c>
      <c r="E914" s="12" t="str">
        <f ca="1">IF(Table1[[#This Row],[Age]]&lt;=22,"20-22",IF(Table1[[#This Row],[Age]]&lt;=25,"23-25",IF(Table1[[#This Row],[Age]]&lt;=28,"26-28","29-30")))</f>
        <v>29-30</v>
      </c>
      <c r="F914" s="12">
        <v>4.33</v>
      </c>
      <c r="G914" s="12" t="s">
        <v>211</v>
      </c>
      <c r="H914" s="12">
        <v>4.1900000000000004</v>
      </c>
      <c r="I914" s="12">
        <v>4.04</v>
      </c>
      <c r="J914" s="12">
        <v>4.1100000000000003</v>
      </c>
      <c r="K914" s="12">
        <v>3.88</v>
      </c>
      <c r="L914" s="12">
        <v>4.38</v>
      </c>
      <c r="M914" s="12">
        <v>4.6100000000000003</v>
      </c>
      <c r="N914" s="12">
        <v>3.75</v>
      </c>
      <c r="O914" s="12">
        <v>4.66</v>
      </c>
      <c r="P914" s="12">
        <f t="shared" si="85"/>
        <v>4.1674999999999995</v>
      </c>
      <c r="Q914" s="12">
        <f t="shared" si="86"/>
        <v>4.17</v>
      </c>
      <c r="R914" s="12">
        <f t="shared" si="87"/>
        <v>4.2560000000000002</v>
      </c>
      <c r="S914" s="28">
        <f>IFERROR(INDEX('Clean Gamification Data'!$B:$B,MATCH($B914,'Clean Gamification Data'!$A:$A,0)),"Not Found")</f>
        <v>87.167512200000004</v>
      </c>
      <c r="T914" s="28">
        <f>IFERROR(INDEX('Clean Gamification Data'!$C:$C,MATCH($B914,'Clean Gamification Data'!$A:$A,0)),"Not Found")</f>
        <v>68.001452490000005</v>
      </c>
      <c r="U914" s="28">
        <f>IFERROR(INDEX('Clean Gamification Data'!$D:$D,MATCH($B914,'Clean Gamification Data'!$A:$A,0)),"Not Found")</f>
        <v>80.285637109999996</v>
      </c>
      <c r="V914" s="28">
        <f>IFERROR(INDEX('Clean Gamification Data'!$E:$E,MATCH($B914,'Clean Gamification Data'!$A:$A,0)),"Not Found")</f>
        <v>67.108343640000001</v>
      </c>
      <c r="W914" s="28">
        <f>IFERROR(INDEX('Clean Gamification Data'!$F:$F,MATCH($B914,'Clean Gamification Data'!$A:$A,0)),"Not Found")</f>
        <v>84.663579159999998</v>
      </c>
      <c r="X914" s="28">
        <f>IFERROR(INDEX('Clean Gamification Data'!$G:$G,MATCH($B914,'Clean Gamification Data'!$A:$A,0)),"Not Found")</f>
        <v>77.977013690000007</v>
      </c>
      <c r="Y914" s="28">
        <f>IFERROR(INDEX('Clean Gamification Data'!$H:$H,MATCH($B914,'Clean Gamification Data'!$A:$A,0)),"Not Found")</f>
        <v>71.305088089999998</v>
      </c>
      <c r="Z914" s="28">
        <f>IFERROR(INDEX('Clean Gamification Data'!$I:$I,MATCH($B914,'Clean Gamification Data'!$A:$A,0)),"Not Found")</f>
        <v>54.20134891</v>
      </c>
      <c r="AA914" s="28">
        <f>Table1[[#This Row],[Engagement (Gamification %)]]-Table1[[#This Row],[Engagement (Non-Gamification %)]]</f>
        <v>19.166059709999999</v>
      </c>
      <c r="AB914" s="28">
        <f>Table1[[#This Row],[Motivation (Gamification %)]]-Table1[[#This Row],[Motivation (Non-Gamification %)]]</f>
        <v>13.177293469999995</v>
      </c>
      <c r="AC914" s="28">
        <f>Table1[[#This Row],[Participation (Gamification %)]]-Table1[[#This Row],[Participation (Non-Gamification %)]]</f>
        <v>6.6865654699999908</v>
      </c>
      <c r="AD914" s="28">
        <f>Table1[[#This Row],[Learning Outcomes (Gamification %)]]-Table1[[#This Row],[Learning Outcomes (Non-Gamification %)]]</f>
        <v>17.103739179999998</v>
      </c>
      <c r="AE914" s="44" t="str">
        <f>IF(Table1[[#This Row],[Overall Effectiveness]]&lt;3.9,"Low",IF(Table1[[#This Row],[Overall Effectiveness]]&lt;4.2,"Medium","High"))</f>
        <v>Medium</v>
      </c>
      <c r="AF914" s="30" t="str">
        <f t="shared" si="88"/>
        <v>Lectures</v>
      </c>
      <c r="AG914" s="30" t="str">
        <f t="shared" si="89"/>
        <v>Online Tutorials</v>
      </c>
      <c r="AH914" s="27">
        <f>COUNTIF(Teacher_Master!$D$2:$D$16,AF914)</f>
        <v>3</v>
      </c>
      <c r="AI914" s="30" t="str">
        <f>INDEX(Teacher_Master!$B$2:$B$16,MATCH(AF914,Teacher_Master!$D$2:$D$16,0))</f>
        <v>Prof. Vikram Gupta</v>
      </c>
    </row>
    <row r="915" spans="1:35" ht="14.25" customHeight="1" x14ac:dyDescent="0.3">
      <c r="A915" s="31" t="s">
        <v>1869</v>
      </c>
      <c r="B915" s="31" t="s">
        <v>2742</v>
      </c>
      <c r="C915" s="31" t="s">
        <v>2882</v>
      </c>
      <c r="D915" s="12">
        <f t="shared" ca="1" si="84"/>
        <v>30</v>
      </c>
      <c r="E915" s="12" t="str">
        <f ca="1">IF(Table1[[#This Row],[Age]]&lt;=22,"20-22",IF(Table1[[#This Row],[Age]]&lt;=25,"23-25",IF(Table1[[#This Row],[Age]]&lt;=28,"26-28","29-30")))</f>
        <v>29-30</v>
      </c>
      <c r="F915" s="12">
        <v>3.71</v>
      </c>
      <c r="G915" s="12" t="s">
        <v>211</v>
      </c>
      <c r="H915" s="12">
        <v>3.9</v>
      </c>
      <c r="I915" s="12">
        <v>3.8</v>
      </c>
      <c r="J915" s="12">
        <v>3.89</v>
      </c>
      <c r="K915" s="12">
        <v>4.05</v>
      </c>
      <c r="L915" s="12">
        <v>3.76</v>
      </c>
      <c r="M915" s="12">
        <v>3.94</v>
      </c>
      <c r="N915" s="12">
        <v>3.78</v>
      </c>
      <c r="O915" s="12">
        <v>4.29</v>
      </c>
      <c r="P915" s="12">
        <f t="shared" si="85"/>
        <v>3.8250000000000002</v>
      </c>
      <c r="Q915" s="12">
        <f t="shared" si="86"/>
        <v>3.83</v>
      </c>
      <c r="R915" s="12">
        <f t="shared" si="87"/>
        <v>3.964</v>
      </c>
      <c r="S915" s="28">
        <f>IFERROR(INDEX('Clean Gamification Data'!$B:$B,MATCH($B915,'Clean Gamification Data'!$A:$A,0)),"Not Found")</f>
        <v>95.120560620000006</v>
      </c>
      <c r="T915" s="28">
        <f>IFERROR(INDEX('Clean Gamification Data'!$C:$C,MATCH($B915,'Clean Gamification Data'!$A:$A,0)),"Not Found")</f>
        <v>70.265577070000006</v>
      </c>
      <c r="U915" s="28">
        <f>IFERROR(INDEX('Clean Gamification Data'!$D:$D,MATCH($B915,'Clean Gamification Data'!$A:$A,0)),"Not Found")</f>
        <v>79.517477459999995</v>
      </c>
      <c r="V915" s="28">
        <f>IFERROR(INDEX('Clean Gamification Data'!$E:$E,MATCH($B915,'Clean Gamification Data'!$A:$A,0)),"Not Found")</f>
        <v>55.165649430000002</v>
      </c>
      <c r="W915" s="28">
        <f>IFERROR(INDEX('Clean Gamification Data'!$F:$F,MATCH($B915,'Clean Gamification Data'!$A:$A,0)),"Not Found")</f>
        <v>90.919350190000003</v>
      </c>
      <c r="X915" s="28">
        <f>IFERROR(INDEX('Clean Gamification Data'!$G:$G,MATCH($B915,'Clean Gamification Data'!$A:$A,0)),"Not Found")</f>
        <v>73.755899200000002</v>
      </c>
      <c r="Y915" s="28">
        <f>IFERROR(INDEX('Clean Gamification Data'!$H:$H,MATCH($B915,'Clean Gamification Data'!$A:$A,0)),"Not Found")</f>
        <v>66.964067529999994</v>
      </c>
      <c r="Z915" s="28">
        <f>IFERROR(INDEX('Clean Gamification Data'!$I:$I,MATCH($B915,'Clean Gamification Data'!$A:$A,0)),"Not Found")</f>
        <v>57.909845349999998</v>
      </c>
      <c r="AA915" s="28">
        <f>Table1[[#This Row],[Engagement (Gamification %)]]-Table1[[#This Row],[Engagement (Non-Gamification %)]]</f>
        <v>24.85498355</v>
      </c>
      <c r="AB915" s="28">
        <f>Table1[[#This Row],[Motivation (Gamification %)]]-Table1[[#This Row],[Motivation (Non-Gamification %)]]</f>
        <v>24.351828029999993</v>
      </c>
      <c r="AC915" s="28">
        <f>Table1[[#This Row],[Participation (Gamification %)]]-Table1[[#This Row],[Participation (Non-Gamification %)]]</f>
        <v>17.163450990000001</v>
      </c>
      <c r="AD915" s="28">
        <f>Table1[[#This Row],[Learning Outcomes (Gamification %)]]-Table1[[#This Row],[Learning Outcomes (Non-Gamification %)]]</f>
        <v>9.0542221799999965</v>
      </c>
      <c r="AE915" s="44" t="str">
        <f>IF(Table1[[#This Row],[Overall Effectiveness]]&lt;3.9,"Low",IF(Table1[[#This Row],[Overall Effectiveness]]&lt;4.2,"Medium","High"))</f>
        <v>Low</v>
      </c>
      <c r="AF915" s="30" t="str">
        <f t="shared" si="88"/>
        <v>Group Projects</v>
      </c>
      <c r="AG915" s="30" t="str">
        <f t="shared" si="89"/>
        <v>Online Tutorials</v>
      </c>
      <c r="AH915" s="27">
        <f>COUNTIF(Teacher_Master!$D$2:$D$16,AF915)</f>
        <v>3</v>
      </c>
      <c r="AI915" s="30" t="str">
        <f>INDEX(Teacher_Master!$B$2:$B$16,MATCH(AF915,Teacher_Master!$D$2:$D$16,0))</f>
        <v>Dr. Rohan Dutta</v>
      </c>
    </row>
    <row r="916" spans="1:35" ht="14.25" customHeight="1" x14ac:dyDescent="0.3">
      <c r="A916" s="31" t="s">
        <v>1871</v>
      </c>
      <c r="B916" s="31" t="s">
        <v>1872</v>
      </c>
      <c r="C916" s="31" t="s">
        <v>2882</v>
      </c>
      <c r="D916" s="12">
        <f t="shared" ca="1" si="84"/>
        <v>26</v>
      </c>
      <c r="E916" s="12" t="str">
        <f ca="1">IF(Table1[[#This Row],[Age]]&lt;=22,"20-22",IF(Table1[[#This Row],[Age]]&lt;=25,"23-25",IF(Table1[[#This Row],[Age]]&lt;=28,"26-28","29-30")))</f>
        <v>26-28</v>
      </c>
      <c r="F916" s="12">
        <v>4</v>
      </c>
      <c r="G916" s="12">
        <v>4.17</v>
      </c>
      <c r="H916" s="12">
        <v>3.87</v>
      </c>
      <c r="I916" s="12" t="s">
        <v>211</v>
      </c>
      <c r="J916" s="12">
        <v>4.28</v>
      </c>
      <c r="K916" s="12">
        <v>4.4400000000000004</v>
      </c>
      <c r="L916" s="12">
        <v>4.0199999999999996</v>
      </c>
      <c r="M916" s="12">
        <v>4.2300000000000004</v>
      </c>
      <c r="N916" s="12">
        <v>3.73</v>
      </c>
      <c r="O916" s="12">
        <v>4.18</v>
      </c>
      <c r="P916" s="12">
        <f t="shared" si="85"/>
        <v>4.08</v>
      </c>
      <c r="Q916" s="12">
        <f t="shared" si="86"/>
        <v>4.08</v>
      </c>
      <c r="R916" s="12">
        <f t="shared" si="87"/>
        <v>4.12</v>
      </c>
      <c r="S916" s="28">
        <f>IFERROR(INDEX('Clean Gamification Data'!$B:$B,MATCH($B916,'Clean Gamification Data'!$A:$A,0)),"Not Found")</f>
        <v>76.718901000000002</v>
      </c>
      <c r="T916" s="28">
        <f>IFERROR(INDEX('Clean Gamification Data'!$C:$C,MATCH($B916,'Clean Gamification Data'!$A:$A,0)),"Not Found")</f>
        <v>76.916946499999995</v>
      </c>
      <c r="U916" s="28">
        <f>IFERROR(INDEX('Clean Gamification Data'!$D:$D,MATCH($B916,'Clean Gamification Data'!$A:$A,0)),"Not Found")</f>
        <v>80.861873950000003</v>
      </c>
      <c r="V916" s="28">
        <f>IFERROR(INDEX('Clean Gamification Data'!$E:$E,MATCH($B916,'Clean Gamification Data'!$A:$A,0)),"Not Found")</f>
        <v>63.345932650000002</v>
      </c>
      <c r="W916" s="28">
        <f>IFERROR(INDEX('Clean Gamification Data'!$F:$F,MATCH($B916,'Clean Gamification Data'!$A:$A,0)),"Not Found")</f>
        <v>95.153899710000005</v>
      </c>
      <c r="X916" s="28">
        <f>IFERROR(INDEX('Clean Gamification Data'!$G:$G,MATCH($B916,'Clean Gamification Data'!$A:$A,0)),"Not Found")</f>
        <v>77.495432179999995</v>
      </c>
      <c r="Y916" s="28">
        <f>IFERROR(INDEX('Clean Gamification Data'!$H:$H,MATCH($B916,'Clean Gamification Data'!$A:$A,0)),"Not Found")</f>
        <v>72.632575309999993</v>
      </c>
      <c r="Z916" s="28">
        <f>IFERROR(INDEX('Clean Gamification Data'!$I:$I,MATCH($B916,'Clean Gamification Data'!$A:$A,0)),"Not Found")</f>
        <v>62.698797929999998</v>
      </c>
      <c r="AA916" s="28">
        <f>Table1[[#This Row],[Engagement (Gamification %)]]-Table1[[#This Row],[Engagement (Non-Gamification %)]]</f>
        <v>-0.1980454999999921</v>
      </c>
      <c r="AB916" s="28">
        <f>Table1[[#This Row],[Motivation (Gamification %)]]-Table1[[#This Row],[Motivation (Non-Gamification %)]]</f>
        <v>17.515941300000001</v>
      </c>
      <c r="AC916" s="28">
        <f>Table1[[#This Row],[Participation (Gamification %)]]-Table1[[#This Row],[Participation (Non-Gamification %)]]</f>
        <v>17.65846753000001</v>
      </c>
      <c r="AD916" s="28">
        <f>Table1[[#This Row],[Learning Outcomes (Gamification %)]]-Table1[[#This Row],[Learning Outcomes (Non-Gamification %)]]</f>
        <v>9.9337773799999951</v>
      </c>
      <c r="AE916" s="44" t="str">
        <f>IF(Table1[[#This Row],[Overall Effectiveness]]&lt;3.9,"Low",IF(Table1[[#This Row],[Overall Effectiveness]]&lt;4.2,"Medium","High"))</f>
        <v>Medium</v>
      </c>
      <c r="AF916" s="30" t="str">
        <f t="shared" si="88"/>
        <v>Online Tutorials</v>
      </c>
      <c r="AG916" s="30" t="str">
        <f t="shared" si="89"/>
        <v>Lectures</v>
      </c>
      <c r="AH916" s="27">
        <f>COUNTIF(Teacher_Master!$D$2:$D$16,AF916)</f>
        <v>3</v>
      </c>
      <c r="AI916" s="30" t="str">
        <f>INDEX(Teacher_Master!$B$2:$B$16,MATCH(AF916,Teacher_Master!$D$2:$D$16,0))</f>
        <v>Prof. Kavita Rao</v>
      </c>
    </row>
    <row r="917" spans="1:35" ht="14.25" customHeight="1" x14ac:dyDescent="0.3">
      <c r="A917" s="31" t="s">
        <v>1873</v>
      </c>
      <c r="B917" s="31" t="s">
        <v>1874</v>
      </c>
      <c r="C917" s="31" t="s">
        <v>2882</v>
      </c>
      <c r="D917" s="12">
        <f t="shared" ca="1" si="84"/>
        <v>22</v>
      </c>
      <c r="E917" s="12" t="str">
        <f ca="1">IF(Table1[[#This Row],[Age]]&lt;=22,"20-22",IF(Table1[[#This Row],[Age]]&lt;=25,"23-25",IF(Table1[[#This Row],[Age]]&lt;=28,"26-28","29-30")))</f>
        <v>20-22</v>
      </c>
      <c r="F917" s="12">
        <v>3.73</v>
      </c>
      <c r="G917" s="12">
        <v>3.93</v>
      </c>
      <c r="H917" s="12">
        <v>4.01</v>
      </c>
      <c r="I917" s="12">
        <v>4.1100000000000003</v>
      </c>
      <c r="J917" s="12">
        <v>3.81</v>
      </c>
      <c r="K917" s="12">
        <v>4.32</v>
      </c>
      <c r="L917" s="12">
        <v>3.8</v>
      </c>
      <c r="M917" s="12">
        <v>3.6</v>
      </c>
      <c r="N917" s="12">
        <v>4.1399999999999997</v>
      </c>
      <c r="O917" s="12">
        <v>4.45</v>
      </c>
      <c r="P917" s="12">
        <f t="shared" si="85"/>
        <v>3.9180000000000001</v>
      </c>
      <c r="Q917" s="12">
        <f t="shared" si="86"/>
        <v>3.92</v>
      </c>
      <c r="R917" s="12">
        <f t="shared" si="87"/>
        <v>4.0619999999999994</v>
      </c>
      <c r="S917" s="28">
        <f>IFERROR(INDEX('Clean Gamification Data'!$B:$B,MATCH($B917,'Clean Gamification Data'!$A:$A,0)),"Not Found")</f>
        <v>87.090823610000001</v>
      </c>
      <c r="T917" s="28">
        <f>IFERROR(INDEX('Clean Gamification Data'!$C:$C,MATCH($B917,'Clean Gamification Data'!$A:$A,0)),"Not Found")</f>
        <v>69.287381159999995</v>
      </c>
      <c r="U917" s="28">
        <f>IFERROR(INDEX('Clean Gamification Data'!$D:$D,MATCH($B917,'Clean Gamification Data'!$A:$A,0)),"Not Found")</f>
        <v>84.770576009999999</v>
      </c>
      <c r="V917" s="28">
        <f>IFERROR(INDEX('Clean Gamification Data'!$E:$E,MATCH($B917,'Clean Gamification Data'!$A:$A,0)),"Not Found")</f>
        <v>62.078378690000001</v>
      </c>
      <c r="W917" s="28">
        <f>IFERROR(INDEX('Clean Gamification Data'!$F:$F,MATCH($B917,'Clean Gamification Data'!$A:$A,0)),"Not Found")</f>
        <v>85.396369469999996</v>
      </c>
      <c r="X917" s="28">
        <f>IFERROR(INDEX('Clean Gamification Data'!$G:$G,MATCH($B917,'Clean Gamification Data'!$A:$A,0)),"Not Found")</f>
        <v>78.054960859999994</v>
      </c>
      <c r="Y917" s="28">
        <f>IFERROR(INDEX('Clean Gamification Data'!$H:$H,MATCH($B917,'Clean Gamification Data'!$A:$A,0)),"Not Found")</f>
        <v>69.939466510000003</v>
      </c>
      <c r="Z917" s="28">
        <f>IFERROR(INDEX('Clean Gamification Data'!$I:$I,MATCH($B917,'Clean Gamification Data'!$A:$A,0)),"Not Found")</f>
        <v>62.907468110000003</v>
      </c>
      <c r="AA917" s="28">
        <f>Table1[[#This Row],[Engagement (Gamification %)]]-Table1[[#This Row],[Engagement (Non-Gamification %)]]</f>
        <v>17.803442450000006</v>
      </c>
      <c r="AB917" s="28">
        <f>Table1[[#This Row],[Motivation (Gamification %)]]-Table1[[#This Row],[Motivation (Non-Gamification %)]]</f>
        <v>22.692197319999998</v>
      </c>
      <c r="AC917" s="28">
        <f>Table1[[#This Row],[Participation (Gamification %)]]-Table1[[#This Row],[Participation (Non-Gamification %)]]</f>
        <v>7.341408610000002</v>
      </c>
      <c r="AD917" s="28">
        <f>Table1[[#This Row],[Learning Outcomes (Gamification %)]]-Table1[[#This Row],[Learning Outcomes (Non-Gamification %)]]</f>
        <v>7.0319983999999991</v>
      </c>
      <c r="AE917" s="44" t="str">
        <f>IF(Table1[[#This Row],[Overall Effectiveness]]&lt;3.9,"Low",IF(Table1[[#This Row],[Overall Effectiveness]]&lt;4.2,"Medium","High"))</f>
        <v>Medium</v>
      </c>
      <c r="AF917" s="30" t="str">
        <f t="shared" si="88"/>
        <v>Experiments</v>
      </c>
      <c r="AG917" s="30" t="str">
        <f t="shared" si="89"/>
        <v>Online Tutorials</v>
      </c>
      <c r="AH917" s="27">
        <f>COUNTIF(Teacher_Master!$D$2:$D$16,AF917)</f>
        <v>3</v>
      </c>
      <c r="AI917" s="30" t="str">
        <f>INDEX(Teacher_Master!$B$2:$B$16,MATCH(AF917,Teacher_Master!$D$2:$D$16,0))</f>
        <v>Prof. Rahul Singh</v>
      </c>
    </row>
    <row r="918" spans="1:35" ht="14.25" customHeight="1" x14ac:dyDescent="0.3">
      <c r="A918" s="31" t="s">
        <v>1875</v>
      </c>
      <c r="B918" s="31" t="s">
        <v>2743</v>
      </c>
      <c r="C918" s="31" t="s">
        <v>2881</v>
      </c>
      <c r="D918" s="12">
        <f t="shared" ca="1" si="84"/>
        <v>22</v>
      </c>
      <c r="E918" s="12" t="str">
        <f ca="1">IF(Table1[[#This Row],[Age]]&lt;=22,"20-22",IF(Table1[[#This Row],[Age]]&lt;=25,"23-25",IF(Table1[[#This Row],[Age]]&lt;=28,"26-28","29-30")))</f>
        <v>20-22</v>
      </c>
      <c r="F918" s="12">
        <v>3.53</v>
      </c>
      <c r="G918" s="12">
        <v>4.58</v>
      </c>
      <c r="H918" s="12">
        <v>4.26</v>
      </c>
      <c r="I918" s="12">
        <v>4.04</v>
      </c>
      <c r="J918" s="12">
        <v>3.91</v>
      </c>
      <c r="K918" s="12">
        <v>4.21</v>
      </c>
      <c r="L918" s="12">
        <v>3.81</v>
      </c>
      <c r="M918" s="12">
        <v>3.9</v>
      </c>
      <c r="N918" s="12">
        <v>4.6500000000000004</v>
      </c>
      <c r="O918" s="12">
        <v>3.67</v>
      </c>
      <c r="P918" s="12">
        <f t="shared" si="85"/>
        <v>4.0640000000000001</v>
      </c>
      <c r="Q918" s="12">
        <f t="shared" si="86"/>
        <v>4.0599999999999996</v>
      </c>
      <c r="R918" s="12">
        <f t="shared" si="87"/>
        <v>4.048</v>
      </c>
      <c r="S918" s="28">
        <f>IFERROR(INDEX('Clean Gamification Data'!$B:$B,MATCH($B918,'Clean Gamification Data'!$A:$A,0)),"Not Found")</f>
        <v>89.273216540000007</v>
      </c>
      <c r="T918" s="28">
        <f>IFERROR(INDEX('Clean Gamification Data'!$C:$C,MATCH($B918,'Clean Gamification Data'!$A:$A,0)),"Not Found")</f>
        <v>65.763481200000001</v>
      </c>
      <c r="U918" s="28">
        <f>IFERROR(INDEX('Clean Gamification Data'!$D:$D,MATCH($B918,'Clean Gamification Data'!$A:$A,0)),"Not Found")</f>
        <v>75.207659230000004</v>
      </c>
      <c r="V918" s="28">
        <f>IFERROR(INDEX('Clean Gamification Data'!$E:$E,MATCH($B918,'Clean Gamification Data'!$A:$A,0)),"Not Found")</f>
        <v>62.705729980000001</v>
      </c>
      <c r="W918" s="28">
        <f>IFERROR(INDEX('Clean Gamification Data'!$F:$F,MATCH($B918,'Clean Gamification Data'!$A:$A,0)),"Not Found")</f>
        <v>80</v>
      </c>
      <c r="X918" s="28">
        <f>IFERROR(INDEX('Clean Gamification Data'!$G:$G,MATCH($B918,'Clean Gamification Data'!$A:$A,0)),"Not Found")</f>
        <v>75.418605490000004</v>
      </c>
      <c r="Y918" s="28">
        <f>IFERROR(INDEX('Clean Gamification Data'!$H:$H,MATCH($B918,'Clean Gamification Data'!$A:$A,0)),"Not Found")</f>
        <v>68.068089189999995</v>
      </c>
      <c r="Z918" s="28">
        <f>IFERROR(INDEX('Clean Gamification Data'!$I:$I,MATCH($B918,'Clean Gamification Data'!$A:$A,0)),"Not Found")</f>
        <v>58.574841489999997</v>
      </c>
      <c r="AA918" s="28">
        <f>Table1[[#This Row],[Engagement (Gamification %)]]-Table1[[#This Row],[Engagement (Non-Gamification %)]]</f>
        <v>23.509735340000006</v>
      </c>
      <c r="AB918" s="28">
        <f>Table1[[#This Row],[Motivation (Gamification %)]]-Table1[[#This Row],[Motivation (Non-Gamification %)]]</f>
        <v>12.501929250000003</v>
      </c>
      <c r="AC918" s="28">
        <f>Table1[[#This Row],[Participation (Gamification %)]]-Table1[[#This Row],[Participation (Non-Gamification %)]]</f>
        <v>4.5813945099999955</v>
      </c>
      <c r="AD918" s="28">
        <f>Table1[[#This Row],[Learning Outcomes (Gamification %)]]-Table1[[#This Row],[Learning Outcomes (Non-Gamification %)]]</f>
        <v>9.4932476999999977</v>
      </c>
      <c r="AE918" s="44" t="str">
        <f>IF(Table1[[#This Row],[Overall Effectiveness]]&lt;3.9,"Low",IF(Table1[[#This Row],[Overall Effectiveness]]&lt;4.2,"Medium","High"))</f>
        <v>Medium</v>
      </c>
      <c r="AF918" s="30" t="str">
        <f t="shared" si="88"/>
        <v>Case Studies</v>
      </c>
      <c r="AG918" s="30" t="str">
        <f t="shared" si="89"/>
        <v>Experiments</v>
      </c>
      <c r="AH918" s="27">
        <f>COUNTIF(Teacher_Master!$D$2:$D$16,AF918)</f>
        <v>3</v>
      </c>
      <c r="AI918" s="30" t="str">
        <f>INDEX(Teacher_Master!$B$2:$B$16,MATCH(AF918,Teacher_Master!$D$2:$D$16,0))</f>
        <v>Prof. Rajesh Mukherjee</v>
      </c>
    </row>
    <row r="919" spans="1:35" ht="14.25" customHeight="1" x14ac:dyDescent="0.3">
      <c r="A919" s="31" t="s">
        <v>1877</v>
      </c>
      <c r="B919" s="31" t="s">
        <v>1878</v>
      </c>
      <c r="C919" s="31" t="s">
        <v>2882</v>
      </c>
      <c r="D919" s="12">
        <f t="shared" ca="1" si="84"/>
        <v>29</v>
      </c>
      <c r="E919" s="12" t="str">
        <f ca="1">IF(Table1[[#This Row],[Age]]&lt;=22,"20-22",IF(Table1[[#This Row],[Age]]&lt;=25,"23-25",IF(Table1[[#This Row],[Age]]&lt;=28,"26-28","29-30")))</f>
        <v>29-30</v>
      </c>
      <c r="F919" s="12">
        <v>3.98</v>
      </c>
      <c r="G919" s="12">
        <v>4</v>
      </c>
      <c r="H919" s="12">
        <v>3.99</v>
      </c>
      <c r="I919" s="12">
        <v>4.41</v>
      </c>
      <c r="J919" s="12">
        <v>4.5199999999999996</v>
      </c>
      <c r="K919" s="12">
        <v>4.18</v>
      </c>
      <c r="L919" s="12">
        <v>4.04</v>
      </c>
      <c r="M919" s="12">
        <v>4.5</v>
      </c>
      <c r="N919" s="12">
        <v>4.6399999999999997</v>
      </c>
      <c r="O919" s="12">
        <v>3.94</v>
      </c>
      <c r="P919" s="12">
        <f t="shared" si="85"/>
        <v>4.1800000000000006</v>
      </c>
      <c r="Q919" s="12">
        <f t="shared" si="86"/>
        <v>4.18</v>
      </c>
      <c r="R919" s="12">
        <f t="shared" si="87"/>
        <v>4.26</v>
      </c>
      <c r="S919" s="28">
        <f>IFERROR(INDEX('Clean Gamification Data'!$B:$B,MATCH($B919,'Clean Gamification Data'!$A:$A,0)),"Not Found")</f>
        <v>86.880723099999997</v>
      </c>
      <c r="T919" s="28">
        <f>IFERROR(INDEX('Clean Gamification Data'!$C:$C,MATCH($B919,'Clean Gamification Data'!$A:$A,0)),"Not Found")</f>
        <v>60</v>
      </c>
      <c r="U919" s="28">
        <f>IFERROR(INDEX('Clean Gamification Data'!$D:$D,MATCH($B919,'Clean Gamification Data'!$A:$A,0)),"Not Found")</f>
        <v>75.470225940000006</v>
      </c>
      <c r="V919" s="28">
        <f>IFERROR(INDEX('Clean Gamification Data'!$E:$E,MATCH($B919,'Clean Gamification Data'!$A:$A,0)),"Not Found")</f>
        <v>64.520562589999997</v>
      </c>
      <c r="W919" s="28">
        <f>IFERROR(INDEX('Clean Gamification Data'!$F:$F,MATCH($B919,'Clean Gamification Data'!$A:$A,0)),"Not Found")</f>
        <v>92.841978830000002</v>
      </c>
      <c r="X919" s="28">
        <f>IFERROR(INDEX('Clean Gamification Data'!$G:$G,MATCH($B919,'Clean Gamification Data'!$A:$A,0)),"Not Found")</f>
        <v>80.777894549999999</v>
      </c>
      <c r="Y919" s="28">
        <f>IFERROR(INDEX('Clean Gamification Data'!$H:$H,MATCH($B919,'Clean Gamification Data'!$A:$A,0)),"Not Found")</f>
        <v>65.807904019999995</v>
      </c>
      <c r="Z919" s="28">
        <f>IFERROR(INDEX('Clean Gamification Data'!$I:$I,MATCH($B919,'Clean Gamification Data'!$A:$A,0)),"Not Found")</f>
        <v>56.757794840000003</v>
      </c>
      <c r="AA919" s="28">
        <f>Table1[[#This Row],[Engagement (Gamification %)]]-Table1[[#This Row],[Engagement (Non-Gamification %)]]</f>
        <v>26.880723099999997</v>
      </c>
      <c r="AB919" s="28">
        <f>Table1[[#This Row],[Motivation (Gamification %)]]-Table1[[#This Row],[Motivation (Non-Gamification %)]]</f>
        <v>10.949663350000009</v>
      </c>
      <c r="AC919" s="28">
        <f>Table1[[#This Row],[Participation (Gamification %)]]-Table1[[#This Row],[Participation (Non-Gamification %)]]</f>
        <v>12.064084280000003</v>
      </c>
      <c r="AD919" s="28">
        <f>Table1[[#This Row],[Learning Outcomes (Gamification %)]]-Table1[[#This Row],[Learning Outcomes (Non-Gamification %)]]</f>
        <v>9.0501091799999926</v>
      </c>
      <c r="AE919" s="44" t="str">
        <f>IF(Table1[[#This Row],[Overall Effectiveness]]&lt;3.9,"Low",IF(Table1[[#This Row],[Overall Effectiveness]]&lt;4.2,"Medium","High"))</f>
        <v>Medium</v>
      </c>
      <c r="AF919" s="30" t="str">
        <f t="shared" si="88"/>
        <v>Online Tutorials</v>
      </c>
      <c r="AG919" s="30" t="str">
        <f t="shared" si="89"/>
        <v>Experiments</v>
      </c>
      <c r="AH919" s="27">
        <f>COUNTIF(Teacher_Master!$D$2:$D$16,AF919)</f>
        <v>3</v>
      </c>
      <c r="AI919" s="30" t="str">
        <f>INDEX(Teacher_Master!$B$2:$B$16,MATCH(AF919,Teacher_Master!$D$2:$D$16,0))</f>
        <v>Prof. Kavita Rao</v>
      </c>
    </row>
    <row r="920" spans="1:35" ht="14.25" customHeight="1" x14ac:dyDescent="0.3">
      <c r="A920" s="31" t="s">
        <v>1879</v>
      </c>
      <c r="B920" s="31" t="s">
        <v>2744</v>
      </c>
      <c r="C920" s="31" t="s">
        <v>2882</v>
      </c>
      <c r="D920" s="12">
        <f t="shared" ca="1" si="84"/>
        <v>23</v>
      </c>
      <c r="E920" s="12" t="str">
        <f ca="1">IF(Table1[[#This Row],[Age]]&lt;=22,"20-22",IF(Table1[[#This Row],[Age]]&lt;=25,"23-25",IF(Table1[[#This Row],[Age]]&lt;=28,"26-28","29-30")))</f>
        <v>23-25</v>
      </c>
      <c r="F920" s="12">
        <v>3.69</v>
      </c>
      <c r="G920" s="12">
        <v>4.07</v>
      </c>
      <c r="H920" s="12" t="s">
        <v>211</v>
      </c>
      <c r="I920" s="12">
        <v>3.67</v>
      </c>
      <c r="J920" s="12">
        <v>4.08</v>
      </c>
      <c r="K920" s="12">
        <v>3.97</v>
      </c>
      <c r="L920" s="12">
        <v>4.72</v>
      </c>
      <c r="M920" s="12">
        <v>4.17</v>
      </c>
      <c r="N920" s="12">
        <v>4.3499999999999996</v>
      </c>
      <c r="O920" s="12">
        <v>4.4800000000000004</v>
      </c>
      <c r="P920" s="12">
        <f t="shared" si="85"/>
        <v>3.8774999999999999</v>
      </c>
      <c r="Q920" s="12">
        <f t="shared" si="86"/>
        <v>3.88</v>
      </c>
      <c r="R920" s="12">
        <f t="shared" si="87"/>
        <v>4.3380000000000001</v>
      </c>
      <c r="S920" s="28">
        <f>IFERROR(INDEX('Clean Gamification Data'!$B:$B,MATCH($B920,'Clean Gamification Data'!$A:$A,0)),"Not Found")</f>
        <v>88.609521979999997</v>
      </c>
      <c r="T920" s="28">
        <f>IFERROR(INDEX('Clean Gamification Data'!$C:$C,MATCH($B920,'Clean Gamification Data'!$A:$A,0)),"Not Found")</f>
        <v>67.425681350000005</v>
      </c>
      <c r="U920" s="28">
        <f>IFERROR(INDEX('Clean Gamification Data'!$D:$D,MATCH($B920,'Clean Gamification Data'!$A:$A,0)),"Not Found")</f>
        <v>74.250541400000003</v>
      </c>
      <c r="V920" s="28">
        <f>IFERROR(INDEX('Clean Gamification Data'!$E:$E,MATCH($B920,'Clean Gamification Data'!$A:$A,0)),"Not Found")</f>
        <v>64.378586889999994</v>
      </c>
      <c r="W920" s="28">
        <f>IFERROR(INDEX('Clean Gamification Data'!$F:$F,MATCH($B920,'Clean Gamification Data'!$A:$A,0)),"Not Found")</f>
        <v>97.189053779999995</v>
      </c>
      <c r="X920" s="28">
        <f>IFERROR(INDEX('Clean Gamification Data'!$G:$G,MATCH($B920,'Clean Gamification Data'!$A:$A,0)),"Not Found")</f>
        <v>81.462311479999997</v>
      </c>
      <c r="Y920" s="28">
        <f>IFERROR(INDEX('Clean Gamification Data'!$H:$H,MATCH($B920,'Clean Gamification Data'!$A:$A,0)),"Not Found")</f>
        <v>74.024970300000007</v>
      </c>
      <c r="Z920" s="28">
        <f>IFERROR(INDEX('Clean Gamification Data'!$I:$I,MATCH($B920,'Clean Gamification Data'!$A:$A,0)),"Not Found")</f>
        <v>59.301950269999999</v>
      </c>
      <c r="AA920" s="28">
        <f>Table1[[#This Row],[Engagement (Gamification %)]]-Table1[[#This Row],[Engagement (Non-Gamification %)]]</f>
        <v>21.183840629999992</v>
      </c>
      <c r="AB920" s="28">
        <f>Table1[[#This Row],[Motivation (Gamification %)]]-Table1[[#This Row],[Motivation (Non-Gamification %)]]</f>
        <v>9.871954510000009</v>
      </c>
      <c r="AC920" s="28">
        <f>Table1[[#This Row],[Participation (Gamification %)]]-Table1[[#This Row],[Participation (Non-Gamification %)]]</f>
        <v>15.726742299999998</v>
      </c>
      <c r="AD920" s="28">
        <f>Table1[[#This Row],[Learning Outcomes (Gamification %)]]-Table1[[#This Row],[Learning Outcomes (Non-Gamification %)]]</f>
        <v>14.723020030000008</v>
      </c>
      <c r="AE920" s="44" t="str">
        <f>IF(Table1[[#This Row],[Overall Effectiveness]]&lt;3.9,"Low",IF(Table1[[#This Row],[Overall Effectiveness]]&lt;4.2,"Medium","High"))</f>
        <v>Low</v>
      </c>
      <c r="AF920" s="30" t="str">
        <f t="shared" si="88"/>
        <v>Online Tutorials</v>
      </c>
      <c r="AG920" s="30" t="str">
        <f t="shared" si="89"/>
        <v>Case Studies</v>
      </c>
      <c r="AH920" s="27">
        <f>COUNTIF(Teacher_Master!$D$2:$D$16,AF920)</f>
        <v>3</v>
      </c>
      <c r="AI920" s="30" t="str">
        <f>INDEX(Teacher_Master!$B$2:$B$16,MATCH(AF920,Teacher_Master!$D$2:$D$16,0))</f>
        <v>Prof. Kavita Rao</v>
      </c>
    </row>
    <row r="921" spans="1:35" ht="14.25" customHeight="1" x14ac:dyDescent="0.3">
      <c r="A921" s="31" t="s">
        <v>1881</v>
      </c>
      <c r="B921" s="31" t="s">
        <v>2745</v>
      </c>
      <c r="C921" s="31" t="s">
        <v>2881</v>
      </c>
      <c r="D921" s="12">
        <f t="shared" ca="1" si="84"/>
        <v>25</v>
      </c>
      <c r="E921" s="12" t="str">
        <f ca="1">IF(Table1[[#This Row],[Age]]&lt;=22,"20-22",IF(Table1[[#This Row],[Age]]&lt;=25,"23-25",IF(Table1[[#This Row],[Age]]&lt;=28,"26-28","29-30")))</f>
        <v>23-25</v>
      </c>
      <c r="F921" s="12">
        <v>3.51</v>
      </c>
      <c r="G921" s="12">
        <v>4.3499999999999996</v>
      </c>
      <c r="H921" s="12">
        <v>4.4800000000000004</v>
      </c>
      <c r="I921" s="12">
        <v>4.21</v>
      </c>
      <c r="J921" s="12">
        <v>4.18</v>
      </c>
      <c r="K921" s="12">
        <v>4.1100000000000003</v>
      </c>
      <c r="L921" s="12">
        <v>3.17</v>
      </c>
      <c r="M921" s="12" t="s">
        <v>211</v>
      </c>
      <c r="N921" s="12">
        <v>4.2</v>
      </c>
      <c r="O921" s="12">
        <v>4.46</v>
      </c>
      <c r="P921" s="12">
        <f t="shared" si="85"/>
        <v>4.1459999999999999</v>
      </c>
      <c r="Q921" s="12">
        <f t="shared" si="86"/>
        <v>4.1500000000000004</v>
      </c>
      <c r="R921" s="12">
        <f t="shared" si="87"/>
        <v>3.9850000000000003</v>
      </c>
      <c r="S921" s="28">
        <f>IFERROR(INDEX('Clean Gamification Data'!$B:$B,MATCH($B921,'Clean Gamification Data'!$A:$A,0)),"Not Found")</f>
        <v>75</v>
      </c>
      <c r="T921" s="28">
        <f>IFERROR(INDEX('Clean Gamification Data'!$C:$C,MATCH($B921,'Clean Gamification Data'!$A:$A,0)),"Not Found")</f>
        <v>80</v>
      </c>
      <c r="U921" s="28">
        <f>IFERROR(INDEX('Clean Gamification Data'!$D:$D,MATCH($B921,'Clean Gamification Data'!$A:$A,0)),"Not Found")</f>
        <v>87.799509360000002</v>
      </c>
      <c r="V921" s="28">
        <f>IFERROR(INDEX('Clean Gamification Data'!$E:$E,MATCH($B921,'Clean Gamification Data'!$A:$A,0)),"Not Found")</f>
        <v>61.355908110000001</v>
      </c>
      <c r="W921" s="28">
        <f>IFERROR(INDEX('Clean Gamification Data'!$F:$F,MATCH($B921,'Clean Gamification Data'!$A:$A,0)),"Not Found")</f>
        <v>84.542539849999997</v>
      </c>
      <c r="X921" s="28">
        <f>IFERROR(INDEX('Clean Gamification Data'!$G:$G,MATCH($B921,'Clean Gamification Data'!$A:$A,0)),"Not Found")</f>
        <v>80.231938709999994</v>
      </c>
      <c r="Y921" s="28">
        <f>IFERROR(INDEX('Clean Gamification Data'!$H:$H,MATCH($B921,'Clean Gamification Data'!$A:$A,0)),"Not Found")</f>
        <v>72.255130980000004</v>
      </c>
      <c r="Z921" s="28">
        <f>IFERROR(INDEX('Clean Gamification Data'!$I:$I,MATCH($B921,'Clean Gamification Data'!$A:$A,0)),"Not Found")</f>
        <v>59.864592010000003</v>
      </c>
      <c r="AA921" s="28">
        <f>Table1[[#This Row],[Engagement (Gamification %)]]-Table1[[#This Row],[Engagement (Non-Gamification %)]]</f>
        <v>-5</v>
      </c>
      <c r="AB921" s="28">
        <f>Table1[[#This Row],[Motivation (Gamification %)]]-Table1[[#This Row],[Motivation (Non-Gamification %)]]</f>
        <v>26.44360125</v>
      </c>
      <c r="AC921" s="28">
        <f>Table1[[#This Row],[Participation (Gamification %)]]-Table1[[#This Row],[Participation (Non-Gamification %)]]</f>
        <v>4.3106011400000028</v>
      </c>
      <c r="AD921" s="28">
        <f>Table1[[#This Row],[Learning Outcomes (Gamification %)]]-Table1[[#This Row],[Learning Outcomes (Non-Gamification %)]]</f>
        <v>12.390538970000001</v>
      </c>
      <c r="AE921" s="44" t="str">
        <f>IF(Table1[[#This Row],[Overall Effectiveness]]&lt;3.9,"Low",IF(Table1[[#This Row],[Overall Effectiveness]]&lt;4.2,"Medium","High"))</f>
        <v>Medium</v>
      </c>
      <c r="AF921" s="30" t="str">
        <f t="shared" si="88"/>
        <v>Group Projects</v>
      </c>
      <c r="AG921" s="30" t="str">
        <f t="shared" si="89"/>
        <v>Online Tutorials</v>
      </c>
      <c r="AH921" s="27">
        <f>COUNTIF(Teacher_Master!$D$2:$D$16,AF921)</f>
        <v>3</v>
      </c>
      <c r="AI921" s="30" t="str">
        <f>INDEX(Teacher_Master!$B$2:$B$16,MATCH(AF921,Teacher_Master!$D$2:$D$16,0))</f>
        <v>Dr. Rohan Dutta</v>
      </c>
    </row>
    <row r="922" spans="1:35" ht="14.25" customHeight="1" x14ac:dyDescent="0.3">
      <c r="A922" s="31" t="s">
        <v>1883</v>
      </c>
      <c r="B922" s="31" t="s">
        <v>1884</v>
      </c>
      <c r="C922" s="31" t="s">
        <v>2882</v>
      </c>
      <c r="D922" s="12">
        <f t="shared" ca="1" si="84"/>
        <v>27</v>
      </c>
      <c r="E922" s="12" t="str">
        <f ca="1">IF(Table1[[#This Row],[Age]]&lt;=22,"20-22",IF(Table1[[#This Row],[Age]]&lt;=25,"23-25",IF(Table1[[#This Row],[Age]]&lt;=28,"26-28","29-30")))</f>
        <v>26-28</v>
      </c>
      <c r="F922" s="12">
        <v>4.37</v>
      </c>
      <c r="G922" s="12">
        <v>3.52</v>
      </c>
      <c r="H922" s="12">
        <v>3.85</v>
      </c>
      <c r="I922" s="12">
        <v>4.51</v>
      </c>
      <c r="J922" s="12">
        <v>4.4000000000000004</v>
      </c>
      <c r="K922" s="12">
        <v>3.81</v>
      </c>
      <c r="L922" s="12">
        <v>4.41</v>
      </c>
      <c r="M922" s="12">
        <v>3.92</v>
      </c>
      <c r="N922" s="12">
        <v>4.3499999999999996</v>
      </c>
      <c r="O922" s="12">
        <v>3.93</v>
      </c>
      <c r="P922" s="12">
        <f t="shared" si="85"/>
        <v>4.13</v>
      </c>
      <c r="Q922" s="12">
        <f t="shared" si="86"/>
        <v>4.13</v>
      </c>
      <c r="R922" s="12">
        <f t="shared" si="87"/>
        <v>4.0840000000000005</v>
      </c>
      <c r="S922" s="28">
        <f>IFERROR(INDEX('Clean Gamification Data'!$B:$B,MATCH($B922,'Clean Gamification Data'!$A:$A,0)),"Not Found")</f>
        <v>93.045351120000007</v>
      </c>
      <c r="T922" s="28">
        <f>IFERROR(INDEX('Clean Gamification Data'!$C:$C,MATCH($B922,'Clean Gamification Data'!$A:$A,0)),"Not Found")</f>
        <v>61.594701669999999</v>
      </c>
      <c r="U922" s="28">
        <f>IFERROR(INDEX('Clean Gamification Data'!$D:$D,MATCH($B922,'Clean Gamification Data'!$A:$A,0)),"Not Found")</f>
        <v>79.949114550000004</v>
      </c>
      <c r="V922" s="28">
        <f>IFERROR(INDEX('Clean Gamification Data'!$E:$E,MATCH($B922,'Clean Gamification Data'!$A:$A,0)),"Not Found")</f>
        <v>61.074976730000003</v>
      </c>
      <c r="W922" s="28">
        <f>IFERROR(INDEX('Clean Gamification Data'!$F:$F,MATCH($B922,'Clean Gamification Data'!$A:$A,0)),"Not Found")</f>
        <v>92.629999810000001</v>
      </c>
      <c r="X922" s="28">
        <f>IFERROR(INDEX('Clean Gamification Data'!$G:$G,MATCH($B922,'Clean Gamification Data'!$A:$A,0)),"Not Found")</f>
        <v>83.573205000000002</v>
      </c>
      <c r="Y922" s="28">
        <f>IFERROR(INDEX('Clean Gamification Data'!$H:$H,MATCH($B922,'Clean Gamification Data'!$A:$A,0)),"Not Found")</f>
        <v>65</v>
      </c>
      <c r="Z922" s="28">
        <f>IFERROR(INDEX('Clean Gamification Data'!$I:$I,MATCH($B922,'Clean Gamification Data'!$A:$A,0)),"Not Found")</f>
        <v>63.405169399999998</v>
      </c>
      <c r="AA922" s="28">
        <f>Table1[[#This Row],[Engagement (Gamification %)]]-Table1[[#This Row],[Engagement (Non-Gamification %)]]</f>
        <v>31.450649450000007</v>
      </c>
      <c r="AB922" s="28">
        <f>Table1[[#This Row],[Motivation (Gamification %)]]-Table1[[#This Row],[Motivation (Non-Gamification %)]]</f>
        <v>18.874137820000001</v>
      </c>
      <c r="AC922" s="28">
        <f>Table1[[#This Row],[Participation (Gamification %)]]-Table1[[#This Row],[Participation (Non-Gamification %)]]</f>
        <v>9.0567948099999995</v>
      </c>
      <c r="AD922" s="28">
        <f>Table1[[#This Row],[Learning Outcomes (Gamification %)]]-Table1[[#This Row],[Learning Outcomes (Non-Gamification %)]]</f>
        <v>1.5948306000000017</v>
      </c>
      <c r="AE922" s="44" t="str">
        <f>IF(Table1[[#This Row],[Overall Effectiveness]]&lt;3.9,"Low",IF(Table1[[#This Row],[Overall Effectiveness]]&lt;4.2,"Medium","High"))</f>
        <v>Medium</v>
      </c>
      <c r="AF922" s="30" t="str">
        <f t="shared" si="88"/>
        <v>Experiments</v>
      </c>
      <c r="AG922" s="30" t="str">
        <f t="shared" si="89"/>
        <v>Case Studies</v>
      </c>
      <c r="AH922" s="27">
        <f>COUNTIF(Teacher_Master!$D$2:$D$16,AF922)</f>
        <v>3</v>
      </c>
      <c r="AI922" s="30" t="str">
        <f>INDEX(Teacher_Master!$B$2:$B$16,MATCH(AF922,Teacher_Master!$D$2:$D$16,0))</f>
        <v>Prof. Rahul Singh</v>
      </c>
    </row>
    <row r="923" spans="1:35" ht="14.25" customHeight="1" x14ac:dyDescent="0.3">
      <c r="A923" s="31" t="s">
        <v>1885</v>
      </c>
      <c r="B923" s="31" t="s">
        <v>2746</v>
      </c>
      <c r="C923" s="31" t="s">
        <v>2881</v>
      </c>
      <c r="D923" s="12">
        <f t="shared" ca="1" si="84"/>
        <v>23</v>
      </c>
      <c r="E923" s="12" t="str">
        <f ca="1">IF(Table1[[#This Row],[Age]]&lt;=22,"20-22",IF(Table1[[#This Row],[Age]]&lt;=25,"23-25",IF(Table1[[#This Row],[Age]]&lt;=28,"26-28","29-30")))</f>
        <v>23-25</v>
      </c>
      <c r="F923" s="12">
        <v>4.24</v>
      </c>
      <c r="G923" s="12">
        <v>4.5599999999999996</v>
      </c>
      <c r="H923" s="12">
        <v>4.2</v>
      </c>
      <c r="I923" s="12">
        <v>4.25</v>
      </c>
      <c r="J923" s="12">
        <v>4.0999999999999996</v>
      </c>
      <c r="K923" s="12">
        <v>4.1399999999999997</v>
      </c>
      <c r="L923" s="12">
        <v>3.67</v>
      </c>
      <c r="M923" s="12">
        <v>3.74</v>
      </c>
      <c r="N923" s="12">
        <v>3.67</v>
      </c>
      <c r="O923" s="12" t="s">
        <v>211</v>
      </c>
      <c r="P923" s="12">
        <f t="shared" si="85"/>
        <v>4.2700000000000005</v>
      </c>
      <c r="Q923" s="12">
        <f t="shared" si="86"/>
        <v>4.2699999999999996</v>
      </c>
      <c r="R923" s="12">
        <f t="shared" si="87"/>
        <v>3.8050000000000002</v>
      </c>
      <c r="S923" s="28">
        <f>IFERROR(INDEX('Clean Gamification Data'!$B:$B,MATCH($B923,'Clean Gamification Data'!$A:$A,0)),"Not Found")</f>
        <v>87.225667040000005</v>
      </c>
      <c r="T923" s="28">
        <f>IFERROR(INDEX('Clean Gamification Data'!$C:$C,MATCH($B923,'Clean Gamification Data'!$A:$A,0)),"Not Found")</f>
        <v>71.570412520000005</v>
      </c>
      <c r="U923" s="28">
        <f>IFERROR(INDEX('Clean Gamification Data'!$D:$D,MATCH($B923,'Clean Gamification Data'!$A:$A,0)),"Not Found")</f>
        <v>82.209200640000006</v>
      </c>
      <c r="V923" s="28">
        <f>IFERROR(INDEX('Clean Gamification Data'!$E:$E,MATCH($B923,'Clean Gamification Data'!$A:$A,0)),"Not Found")</f>
        <v>64.771746390000004</v>
      </c>
      <c r="W923" s="28">
        <f>IFERROR(INDEX('Clean Gamification Data'!$F:$F,MATCH($B923,'Clean Gamification Data'!$A:$A,0)),"Not Found")</f>
        <v>99.9</v>
      </c>
      <c r="X923" s="28">
        <f>IFERROR(INDEX('Clean Gamification Data'!$G:$G,MATCH($B923,'Clean Gamification Data'!$A:$A,0)),"Not Found")</f>
        <v>79.788538540000005</v>
      </c>
      <c r="Y923" s="28">
        <f>IFERROR(INDEX('Clean Gamification Data'!$H:$H,MATCH($B923,'Clean Gamification Data'!$A:$A,0)),"Not Found")</f>
        <v>74.175788319999995</v>
      </c>
      <c r="Z923" s="28">
        <f>IFERROR(INDEX('Clean Gamification Data'!$I:$I,MATCH($B923,'Clean Gamification Data'!$A:$A,0)),"Not Found")</f>
        <v>56.642110330000001</v>
      </c>
      <c r="AA923" s="28">
        <f>Table1[[#This Row],[Engagement (Gamification %)]]-Table1[[#This Row],[Engagement (Non-Gamification %)]]</f>
        <v>15.65525452</v>
      </c>
      <c r="AB923" s="28">
        <f>Table1[[#This Row],[Motivation (Gamification %)]]-Table1[[#This Row],[Motivation (Non-Gamification %)]]</f>
        <v>17.437454250000002</v>
      </c>
      <c r="AC923" s="28">
        <f>Table1[[#This Row],[Participation (Gamification %)]]-Table1[[#This Row],[Participation (Non-Gamification %)]]</f>
        <v>20.111461460000001</v>
      </c>
      <c r="AD923" s="28">
        <f>Table1[[#This Row],[Learning Outcomes (Gamification %)]]-Table1[[#This Row],[Learning Outcomes (Non-Gamification %)]]</f>
        <v>17.533677989999994</v>
      </c>
      <c r="AE923" s="44" t="str">
        <f>IF(Table1[[#This Row],[Overall Effectiveness]]&lt;3.9,"Low",IF(Table1[[#This Row],[Overall Effectiveness]]&lt;4.2,"Medium","High"))</f>
        <v>High</v>
      </c>
      <c r="AF923" s="30" t="str">
        <f t="shared" si="88"/>
        <v>Case Studies</v>
      </c>
      <c r="AG923" s="30" t="str">
        <f t="shared" si="89"/>
        <v>Lectures</v>
      </c>
      <c r="AH923" s="27">
        <f>COUNTIF(Teacher_Master!$D$2:$D$16,AF923)</f>
        <v>3</v>
      </c>
      <c r="AI923" s="30" t="str">
        <f>INDEX(Teacher_Master!$B$2:$B$16,MATCH(AF923,Teacher_Master!$D$2:$D$16,0))</f>
        <v>Prof. Rajesh Mukherjee</v>
      </c>
    </row>
    <row r="924" spans="1:35" ht="14.25" customHeight="1" x14ac:dyDescent="0.3">
      <c r="A924" s="31" t="s">
        <v>1887</v>
      </c>
      <c r="B924" s="31" t="s">
        <v>1888</v>
      </c>
      <c r="C924" s="31" t="s">
        <v>2882</v>
      </c>
      <c r="D924" s="12">
        <f t="shared" ca="1" si="84"/>
        <v>30</v>
      </c>
      <c r="E924" s="12" t="str">
        <f ca="1">IF(Table1[[#This Row],[Age]]&lt;=22,"20-22",IF(Table1[[#This Row],[Age]]&lt;=25,"23-25",IF(Table1[[#This Row],[Age]]&lt;=28,"26-28","29-30")))</f>
        <v>29-30</v>
      </c>
      <c r="F924" s="12">
        <v>4.01</v>
      </c>
      <c r="G924" s="12">
        <v>4.34</v>
      </c>
      <c r="H924" s="12">
        <v>3.82</v>
      </c>
      <c r="I924" s="12">
        <v>4.4000000000000004</v>
      </c>
      <c r="J924" s="12">
        <v>3.91</v>
      </c>
      <c r="K924" s="12">
        <v>3.66</v>
      </c>
      <c r="L924" s="12">
        <v>3.9</v>
      </c>
      <c r="M924" s="12">
        <v>4.09</v>
      </c>
      <c r="N924" s="12">
        <v>4.49</v>
      </c>
      <c r="O924" s="12">
        <v>4.33</v>
      </c>
      <c r="P924" s="12">
        <f t="shared" si="85"/>
        <v>4.0960000000000001</v>
      </c>
      <c r="Q924" s="12">
        <f t="shared" si="86"/>
        <v>4.0999999999999996</v>
      </c>
      <c r="R924" s="12">
        <f t="shared" si="87"/>
        <v>4.0939999999999994</v>
      </c>
      <c r="S924" s="28">
        <f>IFERROR(INDEX('Clean Gamification Data'!$B:$B,MATCH($B924,'Clean Gamification Data'!$A:$A,0)),"Not Found")</f>
        <v>88.666077049999998</v>
      </c>
      <c r="T924" s="28">
        <f>IFERROR(INDEX('Clean Gamification Data'!$C:$C,MATCH($B924,'Clean Gamification Data'!$A:$A,0)),"Not Found")</f>
        <v>78.033491659999996</v>
      </c>
      <c r="U924" s="28">
        <f>IFERROR(INDEX('Clean Gamification Data'!$D:$D,MATCH($B924,'Clean Gamification Data'!$A:$A,0)),"Not Found")</f>
        <v>82.866129020000002</v>
      </c>
      <c r="V924" s="28">
        <f>IFERROR(INDEX('Clean Gamification Data'!$E:$E,MATCH($B924,'Clean Gamification Data'!$A:$A,0)),"Not Found")</f>
        <v>55</v>
      </c>
      <c r="W924" s="28">
        <f>IFERROR(INDEX('Clean Gamification Data'!$F:$F,MATCH($B924,'Clean Gamification Data'!$A:$A,0)),"Not Found")</f>
        <v>92.752474890000002</v>
      </c>
      <c r="X924" s="28">
        <f>IFERROR(INDEX('Clean Gamification Data'!$G:$G,MATCH($B924,'Clean Gamification Data'!$A:$A,0)),"Not Found")</f>
        <v>74.326137410000001</v>
      </c>
      <c r="Y924" s="28">
        <f>IFERROR(INDEX('Clean Gamification Data'!$H:$H,MATCH($B924,'Clean Gamification Data'!$A:$A,0)),"Not Found")</f>
        <v>73.221558290000004</v>
      </c>
      <c r="Z924" s="28">
        <f>IFERROR(INDEX('Clean Gamification Data'!$I:$I,MATCH($B924,'Clean Gamification Data'!$A:$A,0)),"Not Found")</f>
        <v>54.018941730000002</v>
      </c>
      <c r="AA924" s="28">
        <f>Table1[[#This Row],[Engagement (Gamification %)]]-Table1[[#This Row],[Engagement (Non-Gamification %)]]</f>
        <v>10.632585390000003</v>
      </c>
      <c r="AB924" s="28">
        <f>Table1[[#This Row],[Motivation (Gamification %)]]-Table1[[#This Row],[Motivation (Non-Gamification %)]]</f>
        <v>27.866129020000002</v>
      </c>
      <c r="AC924" s="28">
        <f>Table1[[#This Row],[Participation (Gamification %)]]-Table1[[#This Row],[Participation (Non-Gamification %)]]</f>
        <v>18.426337480000001</v>
      </c>
      <c r="AD924" s="28">
        <f>Table1[[#This Row],[Learning Outcomes (Gamification %)]]-Table1[[#This Row],[Learning Outcomes (Non-Gamification %)]]</f>
        <v>19.202616560000003</v>
      </c>
      <c r="AE924" s="44" t="str">
        <f>IF(Table1[[#This Row],[Overall Effectiveness]]&lt;3.9,"Low",IF(Table1[[#This Row],[Overall Effectiveness]]&lt;4.2,"Medium","High"))</f>
        <v>Medium</v>
      </c>
      <c r="AF924" s="30" t="str">
        <f t="shared" si="88"/>
        <v>Experiments</v>
      </c>
      <c r="AG924" s="30" t="str">
        <f t="shared" si="89"/>
        <v>Experiments</v>
      </c>
      <c r="AH924" s="27">
        <f>COUNTIF(Teacher_Master!$D$2:$D$16,AF924)</f>
        <v>3</v>
      </c>
      <c r="AI924" s="30" t="str">
        <f>INDEX(Teacher_Master!$B$2:$B$16,MATCH(AF924,Teacher_Master!$D$2:$D$16,0))</f>
        <v>Prof. Rahul Singh</v>
      </c>
    </row>
    <row r="925" spans="1:35" ht="14.25" customHeight="1" x14ac:dyDescent="0.3">
      <c r="A925" s="31" t="s">
        <v>1889</v>
      </c>
      <c r="B925" s="31" t="s">
        <v>2747</v>
      </c>
      <c r="C925" s="31" t="s">
        <v>2882</v>
      </c>
      <c r="D925" s="12">
        <f t="shared" ca="1" si="84"/>
        <v>21</v>
      </c>
      <c r="E925" s="12" t="str">
        <f ca="1">IF(Table1[[#This Row],[Age]]&lt;=22,"20-22",IF(Table1[[#This Row],[Age]]&lt;=25,"23-25",IF(Table1[[#This Row],[Age]]&lt;=28,"26-28","29-30")))</f>
        <v>20-22</v>
      </c>
      <c r="F925" s="12">
        <v>3.35</v>
      </c>
      <c r="G925" s="12">
        <v>3.6</v>
      </c>
      <c r="H925" s="12">
        <v>4.1100000000000003</v>
      </c>
      <c r="I925" s="12">
        <v>3.49</v>
      </c>
      <c r="J925" s="12">
        <v>4.1100000000000003</v>
      </c>
      <c r="K925" s="12">
        <v>4.3499999999999996</v>
      </c>
      <c r="L925" s="12">
        <v>4.5</v>
      </c>
      <c r="M925" s="12">
        <v>4.3</v>
      </c>
      <c r="N925" s="12">
        <v>4.0599999999999996</v>
      </c>
      <c r="O925" s="12">
        <v>4.66</v>
      </c>
      <c r="P925" s="12">
        <f t="shared" si="85"/>
        <v>3.7320000000000002</v>
      </c>
      <c r="Q925" s="12">
        <f t="shared" si="86"/>
        <v>3.73</v>
      </c>
      <c r="R925" s="12">
        <f t="shared" si="87"/>
        <v>4.3739999999999997</v>
      </c>
      <c r="S925" s="28">
        <f>IFERROR(INDEX('Clean Gamification Data'!$B:$B,MATCH($B925,'Clean Gamification Data'!$A:$A,0)),"Not Found")</f>
        <v>81.703778479999997</v>
      </c>
      <c r="T925" s="28">
        <f>IFERROR(INDEX('Clean Gamification Data'!$C:$C,MATCH($B925,'Clean Gamification Data'!$A:$A,0)),"Not Found")</f>
        <v>68.499906490000001</v>
      </c>
      <c r="U925" s="28">
        <f>IFERROR(INDEX('Clean Gamification Data'!$D:$D,MATCH($B925,'Clean Gamification Data'!$A:$A,0)),"Not Found")</f>
        <v>70</v>
      </c>
      <c r="V925" s="28">
        <f>IFERROR(INDEX('Clean Gamification Data'!$E:$E,MATCH($B925,'Clean Gamification Data'!$A:$A,0)),"Not Found")</f>
        <v>68.164225990000006</v>
      </c>
      <c r="W925" s="28">
        <f>IFERROR(INDEX('Clean Gamification Data'!$F:$F,MATCH($B925,'Clean Gamification Data'!$A:$A,0)),"Not Found")</f>
        <v>85.518948030000004</v>
      </c>
      <c r="X925" s="28">
        <f>IFERROR(INDEX('Clean Gamification Data'!$G:$G,MATCH($B925,'Clean Gamification Data'!$A:$A,0)),"Not Found")</f>
        <v>75.693692290000001</v>
      </c>
      <c r="Y925" s="28">
        <f>IFERROR(INDEX('Clean Gamification Data'!$H:$H,MATCH($B925,'Clean Gamification Data'!$A:$A,0)),"Not Found")</f>
        <v>73.093419400000002</v>
      </c>
      <c r="Z925" s="28">
        <f>IFERROR(INDEX('Clean Gamification Data'!$I:$I,MATCH($B925,'Clean Gamification Data'!$A:$A,0)),"Not Found")</f>
        <v>70</v>
      </c>
      <c r="AA925" s="28">
        <f>Table1[[#This Row],[Engagement (Gamification %)]]-Table1[[#This Row],[Engagement (Non-Gamification %)]]</f>
        <v>13.203871989999996</v>
      </c>
      <c r="AB925" s="28">
        <f>Table1[[#This Row],[Motivation (Gamification %)]]-Table1[[#This Row],[Motivation (Non-Gamification %)]]</f>
        <v>1.8357740099999944</v>
      </c>
      <c r="AC925" s="28">
        <f>Table1[[#This Row],[Participation (Gamification %)]]-Table1[[#This Row],[Participation (Non-Gamification %)]]</f>
        <v>9.8252557400000029</v>
      </c>
      <c r="AD925" s="28">
        <f>Table1[[#This Row],[Learning Outcomes (Gamification %)]]-Table1[[#This Row],[Learning Outcomes (Non-Gamification %)]]</f>
        <v>3.0934194000000019</v>
      </c>
      <c r="AE925" s="44" t="str">
        <f>IF(Table1[[#This Row],[Overall Effectiveness]]&lt;3.9,"Low",IF(Table1[[#This Row],[Overall Effectiveness]]&lt;4.2,"Medium","High"))</f>
        <v>Low</v>
      </c>
      <c r="AF925" s="30" t="str">
        <f t="shared" si="88"/>
        <v>Group Projects</v>
      </c>
      <c r="AG925" s="30" t="str">
        <f t="shared" si="89"/>
        <v>Online Tutorials</v>
      </c>
      <c r="AH925" s="27">
        <f>COUNTIF(Teacher_Master!$D$2:$D$16,AF925)</f>
        <v>3</v>
      </c>
      <c r="AI925" s="30" t="str">
        <f>INDEX(Teacher_Master!$B$2:$B$16,MATCH(AF925,Teacher_Master!$D$2:$D$16,0))</f>
        <v>Dr. Rohan Dutta</v>
      </c>
    </row>
    <row r="926" spans="1:35" ht="14.25" customHeight="1" x14ac:dyDescent="0.3">
      <c r="A926" s="31" t="s">
        <v>1891</v>
      </c>
      <c r="B926" s="31" t="s">
        <v>1892</v>
      </c>
      <c r="C926" s="31" t="s">
        <v>2881</v>
      </c>
      <c r="D926" s="12">
        <f t="shared" ca="1" si="84"/>
        <v>24</v>
      </c>
      <c r="E926" s="12" t="str">
        <f ca="1">IF(Table1[[#This Row],[Age]]&lt;=22,"20-22",IF(Table1[[#This Row],[Age]]&lt;=25,"23-25",IF(Table1[[#This Row],[Age]]&lt;=28,"26-28","29-30")))</f>
        <v>23-25</v>
      </c>
      <c r="F926" s="12">
        <v>3.93</v>
      </c>
      <c r="G926" s="12">
        <v>4.34</v>
      </c>
      <c r="H926" s="12">
        <v>3.99</v>
      </c>
      <c r="I926" s="12">
        <v>4.3</v>
      </c>
      <c r="J926" s="12">
        <v>3.75</v>
      </c>
      <c r="K926" s="12">
        <v>3.92</v>
      </c>
      <c r="L926" s="12">
        <v>4.18</v>
      </c>
      <c r="M926" s="12">
        <v>3.83</v>
      </c>
      <c r="N926" s="12">
        <v>4.33</v>
      </c>
      <c r="O926" s="12">
        <v>4.9000000000000004</v>
      </c>
      <c r="P926" s="12">
        <f t="shared" si="85"/>
        <v>4.0619999999999994</v>
      </c>
      <c r="Q926" s="12">
        <f t="shared" si="86"/>
        <v>4.0599999999999996</v>
      </c>
      <c r="R926" s="12">
        <f t="shared" si="87"/>
        <v>4.2319999999999993</v>
      </c>
      <c r="S926" s="28">
        <f>IFERROR(INDEX('Clean Gamification Data'!$B:$B,MATCH($B926,'Clean Gamification Data'!$A:$A,0)),"Not Found")</f>
        <v>94.811974280000001</v>
      </c>
      <c r="T926" s="28">
        <f>IFERROR(INDEX('Clean Gamification Data'!$C:$C,MATCH($B926,'Clean Gamification Data'!$A:$A,0)),"Not Found")</f>
        <v>75.318439150000003</v>
      </c>
      <c r="U926" s="28">
        <f>IFERROR(INDEX('Clean Gamification Data'!$D:$D,MATCH($B926,'Clean Gamification Data'!$A:$A,0)),"Not Found")</f>
        <v>76.722137559999993</v>
      </c>
      <c r="V926" s="28">
        <f>IFERROR(INDEX('Clean Gamification Data'!$E:$E,MATCH($B926,'Clean Gamification Data'!$A:$A,0)),"Not Found")</f>
        <v>72.456046850000007</v>
      </c>
      <c r="W926" s="28">
        <f>IFERROR(INDEX('Clean Gamification Data'!$F:$F,MATCH($B926,'Clean Gamification Data'!$A:$A,0)),"Not Found")</f>
        <v>94.92394942</v>
      </c>
      <c r="X926" s="28">
        <f>IFERROR(INDEX('Clean Gamification Data'!$G:$G,MATCH($B926,'Clean Gamification Data'!$A:$A,0)),"Not Found")</f>
        <v>77.191695659999993</v>
      </c>
      <c r="Y926" s="28">
        <f>IFERROR(INDEX('Clean Gamification Data'!$H:$H,MATCH($B926,'Clean Gamification Data'!$A:$A,0)),"Not Found")</f>
        <v>71.009473569999997</v>
      </c>
      <c r="Z926" s="28">
        <f>IFERROR(INDEX('Clean Gamification Data'!$I:$I,MATCH($B926,'Clean Gamification Data'!$A:$A,0)),"Not Found")</f>
        <v>51.93846095</v>
      </c>
      <c r="AA926" s="28">
        <f>Table1[[#This Row],[Engagement (Gamification %)]]-Table1[[#This Row],[Engagement (Non-Gamification %)]]</f>
        <v>19.493535129999998</v>
      </c>
      <c r="AB926" s="28">
        <f>Table1[[#This Row],[Motivation (Gamification %)]]-Table1[[#This Row],[Motivation (Non-Gamification %)]]</f>
        <v>4.2660907099999861</v>
      </c>
      <c r="AC926" s="28">
        <f>Table1[[#This Row],[Participation (Gamification %)]]-Table1[[#This Row],[Participation (Non-Gamification %)]]</f>
        <v>17.732253760000006</v>
      </c>
      <c r="AD926" s="28">
        <f>Table1[[#This Row],[Learning Outcomes (Gamification %)]]-Table1[[#This Row],[Learning Outcomes (Non-Gamification %)]]</f>
        <v>19.071012619999998</v>
      </c>
      <c r="AE926" s="44" t="str">
        <f>IF(Table1[[#This Row],[Overall Effectiveness]]&lt;3.9,"Low",IF(Table1[[#This Row],[Overall Effectiveness]]&lt;4.2,"Medium","High"))</f>
        <v>Medium</v>
      </c>
      <c r="AF926" s="30" t="str">
        <f t="shared" si="88"/>
        <v>Case Studies</v>
      </c>
      <c r="AG926" s="30" t="str">
        <f t="shared" si="89"/>
        <v>Online Tutorials</v>
      </c>
      <c r="AH926" s="27">
        <f>COUNTIF(Teacher_Master!$D$2:$D$16,AF926)</f>
        <v>3</v>
      </c>
      <c r="AI926" s="30" t="str">
        <f>INDEX(Teacher_Master!$B$2:$B$16,MATCH(AF926,Teacher_Master!$D$2:$D$16,0))</f>
        <v>Prof. Rajesh Mukherjee</v>
      </c>
    </row>
    <row r="927" spans="1:35" ht="14.25" customHeight="1" x14ac:dyDescent="0.3">
      <c r="A927" s="31" t="s">
        <v>1893</v>
      </c>
      <c r="B927" s="31" t="s">
        <v>2748</v>
      </c>
      <c r="C927" s="31" t="s">
        <v>2882</v>
      </c>
      <c r="D927" s="12">
        <f t="shared" ca="1" si="84"/>
        <v>22</v>
      </c>
      <c r="E927" s="12" t="str">
        <f ca="1">IF(Table1[[#This Row],[Age]]&lt;=22,"20-22",IF(Table1[[#This Row],[Age]]&lt;=25,"23-25",IF(Table1[[#This Row],[Age]]&lt;=28,"26-28","29-30")))</f>
        <v>20-22</v>
      </c>
      <c r="F927" s="12">
        <v>4.0199999999999996</v>
      </c>
      <c r="G927" s="12">
        <v>4.42</v>
      </c>
      <c r="H927" s="12">
        <v>3.79</v>
      </c>
      <c r="I927" s="12">
        <v>3.91</v>
      </c>
      <c r="J927" s="12">
        <v>3.83</v>
      </c>
      <c r="K927" s="12">
        <v>3.78</v>
      </c>
      <c r="L927" s="12">
        <v>3.64</v>
      </c>
      <c r="M927" s="12">
        <v>3.61</v>
      </c>
      <c r="N927" s="12">
        <v>4.6399999999999997</v>
      </c>
      <c r="O927" s="12">
        <v>4.1900000000000004</v>
      </c>
      <c r="P927" s="12">
        <f t="shared" si="85"/>
        <v>3.9939999999999998</v>
      </c>
      <c r="Q927" s="12">
        <f t="shared" si="86"/>
        <v>3.99</v>
      </c>
      <c r="R927" s="12">
        <f t="shared" si="87"/>
        <v>3.972</v>
      </c>
      <c r="S927" s="28">
        <f>IFERROR(INDEX('Clean Gamification Data'!$B:$B,MATCH($B927,'Clean Gamification Data'!$A:$A,0)),"Not Found")</f>
        <v>87.724115960000006</v>
      </c>
      <c r="T927" s="28">
        <f>IFERROR(INDEX('Clean Gamification Data'!$C:$C,MATCH($B927,'Clean Gamification Data'!$A:$A,0)),"Not Found")</f>
        <v>73.174533670000002</v>
      </c>
      <c r="U927" s="28">
        <f>IFERROR(INDEX('Clean Gamification Data'!$D:$D,MATCH($B927,'Clean Gamification Data'!$A:$A,0)),"Not Found")</f>
        <v>70</v>
      </c>
      <c r="V927" s="28">
        <f>IFERROR(INDEX('Clean Gamification Data'!$E:$E,MATCH($B927,'Clean Gamification Data'!$A:$A,0)),"Not Found")</f>
        <v>60.161132139999999</v>
      </c>
      <c r="W927" s="28">
        <f>IFERROR(INDEX('Clean Gamification Data'!$F:$F,MATCH($B927,'Clean Gamification Data'!$A:$A,0)),"Not Found")</f>
        <v>91.380652690000005</v>
      </c>
      <c r="X927" s="28">
        <f>IFERROR(INDEX('Clean Gamification Data'!$G:$G,MATCH($B927,'Clean Gamification Data'!$A:$A,0)),"Not Found")</f>
        <v>71.877900960000005</v>
      </c>
      <c r="Y927" s="28">
        <f>IFERROR(INDEX('Clean Gamification Data'!$H:$H,MATCH($B927,'Clean Gamification Data'!$A:$A,0)),"Not Found")</f>
        <v>66.577975949999995</v>
      </c>
      <c r="Z927" s="28">
        <f>IFERROR(INDEX('Clean Gamification Data'!$I:$I,MATCH($B927,'Clean Gamification Data'!$A:$A,0)),"Not Found")</f>
        <v>50</v>
      </c>
      <c r="AA927" s="28">
        <f>Table1[[#This Row],[Engagement (Gamification %)]]-Table1[[#This Row],[Engagement (Non-Gamification %)]]</f>
        <v>14.549582290000004</v>
      </c>
      <c r="AB927" s="28">
        <f>Table1[[#This Row],[Motivation (Gamification %)]]-Table1[[#This Row],[Motivation (Non-Gamification %)]]</f>
        <v>9.8388678600000006</v>
      </c>
      <c r="AC927" s="28">
        <f>Table1[[#This Row],[Participation (Gamification %)]]-Table1[[#This Row],[Participation (Non-Gamification %)]]</f>
        <v>19.50275173</v>
      </c>
      <c r="AD927" s="28">
        <f>Table1[[#This Row],[Learning Outcomes (Gamification %)]]-Table1[[#This Row],[Learning Outcomes (Non-Gamification %)]]</f>
        <v>16.577975949999995</v>
      </c>
      <c r="AE927" s="44" t="str">
        <f>IF(Table1[[#This Row],[Overall Effectiveness]]&lt;3.9,"Low",IF(Table1[[#This Row],[Overall Effectiveness]]&lt;4.2,"Medium","High"))</f>
        <v>Medium</v>
      </c>
      <c r="AF927" s="30" t="str">
        <f t="shared" si="88"/>
        <v>Case Studies</v>
      </c>
      <c r="AG927" s="30" t="str">
        <f t="shared" si="89"/>
        <v>Experiments</v>
      </c>
      <c r="AH927" s="27">
        <f>COUNTIF(Teacher_Master!$D$2:$D$16,AF927)</f>
        <v>3</v>
      </c>
      <c r="AI927" s="30" t="str">
        <f>INDEX(Teacher_Master!$B$2:$B$16,MATCH(AF927,Teacher_Master!$D$2:$D$16,0))</f>
        <v>Prof. Rajesh Mukherjee</v>
      </c>
    </row>
    <row r="928" spans="1:35" ht="14.25" customHeight="1" x14ac:dyDescent="0.3">
      <c r="A928" s="31" t="s">
        <v>1895</v>
      </c>
      <c r="B928" s="31" t="s">
        <v>2749</v>
      </c>
      <c r="C928" s="31" t="s">
        <v>2882</v>
      </c>
      <c r="D928" s="12">
        <f t="shared" ca="1" si="84"/>
        <v>21</v>
      </c>
      <c r="E928" s="12" t="str">
        <f ca="1">IF(Table1[[#This Row],[Age]]&lt;=22,"20-22",IF(Table1[[#This Row],[Age]]&lt;=25,"23-25",IF(Table1[[#This Row],[Age]]&lt;=28,"26-28","29-30")))</f>
        <v>20-22</v>
      </c>
      <c r="F928" s="12">
        <v>3.84</v>
      </c>
      <c r="G928" s="12">
        <v>4</v>
      </c>
      <c r="H928" s="12">
        <v>3.96</v>
      </c>
      <c r="I928" s="12">
        <v>3.77</v>
      </c>
      <c r="J928" s="12">
        <v>4.26</v>
      </c>
      <c r="K928" s="12">
        <v>3.52</v>
      </c>
      <c r="L928" s="12">
        <v>4.18</v>
      </c>
      <c r="M928" s="12">
        <v>4.53</v>
      </c>
      <c r="N928" s="12">
        <v>3.45</v>
      </c>
      <c r="O928" s="12">
        <v>4.04</v>
      </c>
      <c r="P928" s="12">
        <f t="shared" si="85"/>
        <v>3.9659999999999997</v>
      </c>
      <c r="Q928" s="12">
        <f t="shared" si="86"/>
        <v>3.97</v>
      </c>
      <c r="R928" s="12">
        <f t="shared" si="87"/>
        <v>3.944</v>
      </c>
      <c r="S928" s="28">
        <f>IFERROR(INDEX('Clean Gamification Data'!$B:$B,MATCH($B928,'Clean Gamification Data'!$A:$A,0)),"Not Found")</f>
        <v>89.640202909999999</v>
      </c>
      <c r="T928" s="28">
        <f>IFERROR(INDEX('Clean Gamification Data'!$C:$C,MATCH($B928,'Clean Gamification Data'!$A:$A,0)),"Not Found")</f>
        <v>66.149256510000001</v>
      </c>
      <c r="U928" s="28">
        <f>IFERROR(INDEX('Clean Gamification Data'!$D:$D,MATCH($B928,'Clean Gamification Data'!$A:$A,0)),"Not Found")</f>
        <v>84.371968890000005</v>
      </c>
      <c r="V928" s="28">
        <f>IFERROR(INDEX('Clean Gamification Data'!$E:$E,MATCH($B928,'Clean Gamification Data'!$A:$A,0)),"Not Found")</f>
        <v>58.271736879999999</v>
      </c>
      <c r="W928" s="28">
        <f>IFERROR(INDEX('Clean Gamification Data'!$F:$F,MATCH($B928,'Clean Gamification Data'!$A:$A,0)),"Not Found")</f>
        <v>92.58948427</v>
      </c>
      <c r="X928" s="28">
        <f>IFERROR(INDEX('Clean Gamification Data'!$G:$G,MATCH($B928,'Clean Gamification Data'!$A:$A,0)),"Not Found")</f>
        <v>76.258702729999996</v>
      </c>
      <c r="Y928" s="28">
        <f>IFERROR(INDEX('Clean Gamification Data'!$H:$H,MATCH($B928,'Clean Gamification Data'!$A:$A,0)),"Not Found")</f>
        <v>66.682032669999998</v>
      </c>
      <c r="Z928" s="28">
        <f>IFERROR(INDEX('Clean Gamification Data'!$I:$I,MATCH($B928,'Clean Gamification Data'!$A:$A,0)),"Not Found")</f>
        <v>60.84119218</v>
      </c>
      <c r="AA928" s="28">
        <f>Table1[[#This Row],[Engagement (Gamification %)]]-Table1[[#This Row],[Engagement (Non-Gamification %)]]</f>
        <v>23.490946399999999</v>
      </c>
      <c r="AB928" s="28">
        <f>Table1[[#This Row],[Motivation (Gamification %)]]-Table1[[#This Row],[Motivation (Non-Gamification %)]]</f>
        <v>26.100232010000006</v>
      </c>
      <c r="AC928" s="28">
        <f>Table1[[#This Row],[Participation (Gamification %)]]-Table1[[#This Row],[Participation (Non-Gamification %)]]</f>
        <v>16.330781540000004</v>
      </c>
      <c r="AD928" s="28">
        <f>Table1[[#This Row],[Learning Outcomes (Gamification %)]]-Table1[[#This Row],[Learning Outcomes (Non-Gamification %)]]</f>
        <v>5.8408404899999979</v>
      </c>
      <c r="AE928" s="44" t="str">
        <f>IF(Table1[[#This Row],[Overall Effectiveness]]&lt;3.9,"Low",IF(Table1[[#This Row],[Overall Effectiveness]]&lt;4.2,"Medium","High"))</f>
        <v>Medium</v>
      </c>
      <c r="AF928" s="30" t="str">
        <f t="shared" si="88"/>
        <v>Online Tutorials</v>
      </c>
      <c r="AG928" s="30" t="str">
        <f t="shared" si="89"/>
        <v>Group Projects</v>
      </c>
      <c r="AH928" s="27">
        <f>COUNTIF(Teacher_Master!$D$2:$D$16,AF928)</f>
        <v>3</v>
      </c>
      <c r="AI928" s="30" t="str">
        <f>INDEX(Teacher_Master!$B$2:$B$16,MATCH(AF928,Teacher_Master!$D$2:$D$16,0))</f>
        <v>Prof. Kavita Rao</v>
      </c>
    </row>
    <row r="929" spans="1:35" ht="14.25" customHeight="1" x14ac:dyDescent="0.3">
      <c r="A929" s="31" t="s">
        <v>1897</v>
      </c>
      <c r="B929" s="31" t="s">
        <v>2750</v>
      </c>
      <c r="C929" s="31" t="s">
        <v>2882</v>
      </c>
      <c r="D929" s="12">
        <f t="shared" ca="1" si="84"/>
        <v>29</v>
      </c>
      <c r="E929" s="12" t="str">
        <f ca="1">IF(Table1[[#This Row],[Age]]&lt;=22,"20-22",IF(Table1[[#This Row],[Age]]&lt;=25,"23-25",IF(Table1[[#This Row],[Age]]&lt;=28,"26-28","29-30")))</f>
        <v>29-30</v>
      </c>
      <c r="F929" s="12">
        <v>3.83</v>
      </c>
      <c r="G929" s="12">
        <v>4.03</v>
      </c>
      <c r="H929" s="12" t="s">
        <v>211</v>
      </c>
      <c r="I929" s="12">
        <v>4.29</v>
      </c>
      <c r="J929" s="12">
        <v>4.3899999999999997</v>
      </c>
      <c r="K929" s="12">
        <v>3.87</v>
      </c>
      <c r="L929" s="12">
        <v>3.8</v>
      </c>
      <c r="M929" s="12">
        <v>3.78</v>
      </c>
      <c r="N929" s="12">
        <v>3.77</v>
      </c>
      <c r="O929" s="12">
        <v>4.1100000000000003</v>
      </c>
      <c r="P929" s="12">
        <f t="shared" si="85"/>
        <v>4.1349999999999998</v>
      </c>
      <c r="Q929" s="12">
        <f t="shared" si="86"/>
        <v>4.1399999999999997</v>
      </c>
      <c r="R929" s="12">
        <f t="shared" si="87"/>
        <v>3.8659999999999997</v>
      </c>
      <c r="S929" s="28">
        <f>IFERROR(INDEX('Clean Gamification Data'!$B:$B,MATCH($B929,'Clean Gamification Data'!$A:$A,0)),"Not Found")</f>
        <v>80.912515130000003</v>
      </c>
      <c r="T929" s="28">
        <f>IFERROR(INDEX('Clean Gamification Data'!$C:$C,MATCH($B929,'Clean Gamification Data'!$A:$A,0)),"Not Found")</f>
        <v>66.620713589999994</v>
      </c>
      <c r="U929" s="28">
        <f>IFERROR(INDEX('Clean Gamification Data'!$D:$D,MATCH($B929,'Clean Gamification Data'!$A:$A,0)),"Not Found")</f>
        <v>82.692721660000004</v>
      </c>
      <c r="V929" s="28">
        <f>IFERROR(INDEX('Clean Gamification Data'!$E:$E,MATCH($B929,'Clean Gamification Data'!$A:$A,0)),"Not Found")</f>
        <v>71.285069750000005</v>
      </c>
      <c r="W929" s="28">
        <f>IFERROR(INDEX('Clean Gamification Data'!$F:$F,MATCH($B929,'Clean Gamification Data'!$A:$A,0)),"Not Found")</f>
        <v>89.721420249999994</v>
      </c>
      <c r="X929" s="28">
        <f>IFERROR(INDEX('Clean Gamification Data'!$G:$G,MATCH($B929,'Clean Gamification Data'!$A:$A,0)),"Not Found")</f>
        <v>79.074695849999998</v>
      </c>
      <c r="Y929" s="28">
        <f>IFERROR(INDEX('Clean Gamification Data'!$H:$H,MATCH($B929,'Clean Gamification Data'!$A:$A,0)),"Not Found")</f>
        <v>76.429380480000006</v>
      </c>
      <c r="Z929" s="28">
        <f>IFERROR(INDEX('Clean Gamification Data'!$I:$I,MATCH($B929,'Clean Gamification Data'!$A:$A,0)),"Not Found")</f>
        <v>64.633750669999998</v>
      </c>
      <c r="AA929" s="28">
        <f>Table1[[#This Row],[Engagement (Gamification %)]]-Table1[[#This Row],[Engagement (Non-Gamification %)]]</f>
        <v>14.291801540000009</v>
      </c>
      <c r="AB929" s="28">
        <f>Table1[[#This Row],[Motivation (Gamification %)]]-Table1[[#This Row],[Motivation (Non-Gamification %)]]</f>
        <v>11.407651909999998</v>
      </c>
      <c r="AC929" s="28">
        <f>Table1[[#This Row],[Participation (Gamification %)]]-Table1[[#This Row],[Participation (Non-Gamification %)]]</f>
        <v>10.646724399999997</v>
      </c>
      <c r="AD929" s="28">
        <f>Table1[[#This Row],[Learning Outcomes (Gamification %)]]-Table1[[#This Row],[Learning Outcomes (Non-Gamification %)]]</f>
        <v>11.795629810000008</v>
      </c>
      <c r="AE929" s="44" t="str">
        <f>IF(Table1[[#This Row],[Overall Effectiveness]]&lt;3.9,"Low",IF(Table1[[#This Row],[Overall Effectiveness]]&lt;4.2,"Medium","High"))</f>
        <v>Medium</v>
      </c>
      <c r="AF929" s="30" t="str">
        <f t="shared" si="88"/>
        <v>Online Tutorials</v>
      </c>
      <c r="AG929" s="30" t="str">
        <f t="shared" si="89"/>
        <v>Online Tutorials</v>
      </c>
      <c r="AH929" s="27">
        <f>COUNTIF(Teacher_Master!$D$2:$D$16,AF929)</f>
        <v>3</v>
      </c>
      <c r="AI929" s="30" t="str">
        <f>INDEX(Teacher_Master!$B$2:$B$16,MATCH(AF929,Teacher_Master!$D$2:$D$16,0))</f>
        <v>Prof. Kavita Rao</v>
      </c>
    </row>
    <row r="930" spans="1:35" ht="14.25" customHeight="1" x14ac:dyDescent="0.3">
      <c r="A930" s="31" t="s">
        <v>1899</v>
      </c>
      <c r="B930" s="31" t="s">
        <v>2751</v>
      </c>
      <c r="C930" s="31" t="s">
        <v>2882</v>
      </c>
      <c r="D930" s="12">
        <f t="shared" ca="1" si="84"/>
        <v>28</v>
      </c>
      <c r="E930" s="12" t="str">
        <f ca="1">IF(Table1[[#This Row],[Age]]&lt;=22,"20-22",IF(Table1[[#This Row],[Age]]&lt;=25,"23-25",IF(Table1[[#This Row],[Age]]&lt;=28,"26-28","29-30")))</f>
        <v>26-28</v>
      </c>
      <c r="F930" s="12">
        <v>3.67</v>
      </c>
      <c r="G930" s="12">
        <v>3.47</v>
      </c>
      <c r="H930" s="12">
        <v>3.98</v>
      </c>
      <c r="I930" s="12">
        <v>4.1900000000000004</v>
      </c>
      <c r="J930" s="12">
        <v>3.62</v>
      </c>
      <c r="K930" s="12">
        <v>4.58</v>
      </c>
      <c r="L930" s="12">
        <v>4.25</v>
      </c>
      <c r="M930" s="12">
        <v>4.3600000000000003</v>
      </c>
      <c r="N930" s="12">
        <v>3.69</v>
      </c>
      <c r="O930" s="12">
        <v>4.6399999999999997</v>
      </c>
      <c r="P930" s="12">
        <f t="shared" si="85"/>
        <v>3.7860000000000005</v>
      </c>
      <c r="Q930" s="12">
        <f t="shared" si="86"/>
        <v>3.79</v>
      </c>
      <c r="R930" s="12">
        <f t="shared" si="87"/>
        <v>4.3040000000000003</v>
      </c>
      <c r="S930" s="28">
        <f>IFERROR(INDEX('Clean Gamification Data'!$B:$B,MATCH($B930,'Clean Gamification Data'!$A:$A,0)),"Not Found")</f>
        <v>81.259779519999995</v>
      </c>
      <c r="T930" s="28">
        <f>IFERROR(INDEX('Clean Gamification Data'!$C:$C,MATCH($B930,'Clean Gamification Data'!$A:$A,0)),"Not Found")</f>
        <v>72.942130300000002</v>
      </c>
      <c r="U930" s="28">
        <f>IFERROR(INDEX('Clean Gamification Data'!$D:$D,MATCH($B930,'Clean Gamification Data'!$A:$A,0)),"Not Found")</f>
        <v>71.777391440000002</v>
      </c>
      <c r="V930" s="28">
        <f>IFERROR(INDEX('Clean Gamification Data'!$E:$E,MATCH($B930,'Clean Gamification Data'!$A:$A,0)),"Not Found")</f>
        <v>70.917641669999995</v>
      </c>
      <c r="W930" s="28">
        <f>IFERROR(INDEX('Clean Gamification Data'!$F:$F,MATCH($B930,'Clean Gamification Data'!$A:$A,0)),"Not Found")</f>
        <v>92.574799029999994</v>
      </c>
      <c r="X930" s="28">
        <f>IFERROR(INDEX('Clean Gamification Data'!$G:$G,MATCH($B930,'Clean Gamification Data'!$A:$A,0)),"Not Found")</f>
        <v>76.877761289999995</v>
      </c>
      <c r="Y930" s="28">
        <f>IFERROR(INDEX('Clean Gamification Data'!$H:$H,MATCH($B930,'Clean Gamification Data'!$A:$A,0)),"Not Found")</f>
        <v>69.348124290000001</v>
      </c>
      <c r="Z930" s="28">
        <f>IFERROR(INDEX('Clean Gamification Data'!$I:$I,MATCH($B930,'Clean Gamification Data'!$A:$A,0)),"Not Found")</f>
        <v>67.861289170000006</v>
      </c>
      <c r="AA930" s="28">
        <f>Table1[[#This Row],[Engagement (Gamification %)]]-Table1[[#This Row],[Engagement (Non-Gamification %)]]</f>
        <v>8.3176492199999927</v>
      </c>
      <c r="AB930" s="28">
        <f>Table1[[#This Row],[Motivation (Gamification %)]]-Table1[[#This Row],[Motivation (Non-Gamification %)]]</f>
        <v>0.85974977000000763</v>
      </c>
      <c r="AC930" s="28">
        <f>Table1[[#This Row],[Participation (Gamification %)]]-Table1[[#This Row],[Participation (Non-Gamification %)]]</f>
        <v>15.697037739999999</v>
      </c>
      <c r="AD930" s="28">
        <f>Table1[[#This Row],[Learning Outcomes (Gamification %)]]-Table1[[#This Row],[Learning Outcomes (Non-Gamification %)]]</f>
        <v>1.486835119999995</v>
      </c>
      <c r="AE930" s="44" t="str">
        <f>IF(Table1[[#This Row],[Overall Effectiveness]]&lt;3.9,"Low",IF(Table1[[#This Row],[Overall Effectiveness]]&lt;4.2,"Medium","High"))</f>
        <v>Low</v>
      </c>
      <c r="AF930" s="30" t="str">
        <f t="shared" si="88"/>
        <v>Experiments</v>
      </c>
      <c r="AG930" s="30" t="str">
        <f t="shared" si="89"/>
        <v>Online Tutorials</v>
      </c>
      <c r="AH930" s="27">
        <f>COUNTIF(Teacher_Master!$D$2:$D$16,AF930)</f>
        <v>3</v>
      </c>
      <c r="AI930" s="30" t="str">
        <f>INDEX(Teacher_Master!$B$2:$B$16,MATCH(AF930,Teacher_Master!$D$2:$D$16,0))</f>
        <v>Prof. Rahul Singh</v>
      </c>
    </row>
    <row r="931" spans="1:35" ht="14.25" customHeight="1" x14ac:dyDescent="0.3">
      <c r="A931" s="31" t="s">
        <v>1901</v>
      </c>
      <c r="B931" s="31" t="s">
        <v>2752</v>
      </c>
      <c r="C931" s="31" t="s">
        <v>2882</v>
      </c>
      <c r="D931" s="12">
        <f t="shared" ca="1" si="84"/>
        <v>27</v>
      </c>
      <c r="E931" s="12" t="str">
        <f ca="1">IF(Table1[[#This Row],[Age]]&lt;=22,"20-22",IF(Table1[[#This Row],[Age]]&lt;=25,"23-25",IF(Table1[[#This Row],[Age]]&lt;=28,"26-28","29-30")))</f>
        <v>26-28</v>
      </c>
      <c r="F931" s="12">
        <v>3.93</v>
      </c>
      <c r="G931" s="12">
        <v>4.3899999999999997</v>
      </c>
      <c r="H931" s="12">
        <v>4.08</v>
      </c>
      <c r="I931" s="12">
        <v>4.1100000000000003</v>
      </c>
      <c r="J931" s="12">
        <v>4.18</v>
      </c>
      <c r="K931" s="12">
        <v>3.72</v>
      </c>
      <c r="L931" s="12">
        <v>3.75</v>
      </c>
      <c r="M931" s="12">
        <v>3.89</v>
      </c>
      <c r="N931" s="12">
        <v>3.56</v>
      </c>
      <c r="O931" s="12">
        <v>4.41</v>
      </c>
      <c r="P931" s="12">
        <f t="shared" si="85"/>
        <v>4.1379999999999999</v>
      </c>
      <c r="Q931" s="12">
        <f t="shared" si="86"/>
        <v>4.1399999999999997</v>
      </c>
      <c r="R931" s="12">
        <f t="shared" si="87"/>
        <v>3.8660000000000005</v>
      </c>
      <c r="S931" s="28">
        <f>IFERROR(INDEX('Clean Gamification Data'!$B:$B,MATCH($B931,'Clean Gamification Data'!$A:$A,0)),"Not Found")</f>
        <v>75.433651620000006</v>
      </c>
      <c r="T931" s="28">
        <f>IFERROR(INDEX('Clean Gamification Data'!$C:$C,MATCH($B931,'Clean Gamification Data'!$A:$A,0)),"Not Found")</f>
        <v>78.791788990000001</v>
      </c>
      <c r="U931" s="28">
        <f>IFERROR(INDEX('Clean Gamification Data'!$D:$D,MATCH($B931,'Clean Gamification Data'!$A:$A,0)),"Not Found")</f>
        <v>80.112984819999994</v>
      </c>
      <c r="V931" s="28">
        <f>IFERROR(INDEX('Clean Gamification Data'!$E:$E,MATCH($B931,'Clean Gamification Data'!$A:$A,0)),"Not Found")</f>
        <v>66.575039529999998</v>
      </c>
      <c r="W931" s="28">
        <f>IFERROR(INDEX('Clean Gamification Data'!$F:$F,MATCH($B931,'Clean Gamification Data'!$A:$A,0)),"Not Found")</f>
        <v>84.729024870000003</v>
      </c>
      <c r="X931" s="28">
        <f>IFERROR(INDEX('Clean Gamification Data'!$G:$G,MATCH($B931,'Clean Gamification Data'!$A:$A,0)),"Not Found")</f>
        <v>78.908021910000002</v>
      </c>
      <c r="Y931" s="28">
        <f>IFERROR(INDEX('Clean Gamification Data'!$H:$H,MATCH($B931,'Clean Gamification Data'!$A:$A,0)),"Not Found")</f>
        <v>71.807331439999999</v>
      </c>
      <c r="Z931" s="28">
        <f>IFERROR(INDEX('Clean Gamification Data'!$I:$I,MATCH($B931,'Clean Gamification Data'!$A:$A,0)),"Not Found")</f>
        <v>66.596020420000002</v>
      </c>
      <c r="AA931" s="28">
        <f>Table1[[#This Row],[Engagement (Gamification %)]]-Table1[[#This Row],[Engagement (Non-Gamification %)]]</f>
        <v>-3.3581373699999943</v>
      </c>
      <c r="AB931" s="28">
        <f>Table1[[#This Row],[Motivation (Gamification %)]]-Table1[[#This Row],[Motivation (Non-Gamification %)]]</f>
        <v>13.537945289999996</v>
      </c>
      <c r="AC931" s="28">
        <f>Table1[[#This Row],[Participation (Gamification %)]]-Table1[[#This Row],[Participation (Non-Gamification %)]]</f>
        <v>5.8210029600000013</v>
      </c>
      <c r="AD931" s="28">
        <f>Table1[[#This Row],[Learning Outcomes (Gamification %)]]-Table1[[#This Row],[Learning Outcomes (Non-Gamification %)]]</f>
        <v>5.2113110199999966</v>
      </c>
      <c r="AE931" s="44" t="str">
        <f>IF(Table1[[#This Row],[Overall Effectiveness]]&lt;3.9,"Low",IF(Table1[[#This Row],[Overall Effectiveness]]&lt;4.2,"Medium","High"))</f>
        <v>Medium</v>
      </c>
      <c r="AF931" s="30" t="str">
        <f t="shared" si="88"/>
        <v>Case Studies</v>
      </c>
      <c r="AG931" s="30" t="str">
        <f t="shared" si="89"/>
        <v>Online Tutorials</v>
      </c>
      <c r="AH931" s="27">
        <f>COUNTIF(Teacher_Master!$D$2:$D$16,AF931)</f>
        <v>3</v>
      </c>
      <c r="AI931" s="30" t="str">
        <f>INDEX(Teacher_Master!$B$2:$B$16,MATCH(AF931,Teacher_Master!$D$2:$D$16,0))</f>
        <v>Prof. Rajesh Mukherjee</v>
      </c>
    </row>
    <row r="932" spans="1:35" ht="14.25" customHeight="1" x14ac:dyDescent="0.3">
      <c r="A932" s="31" t="s">
        <v>1903</v>
      </c>
      <c r="B932" s="31" t="s">
        <v>2753</v>
      </c>
      <c r="C932" s="31" t="s">
        <v>2882</v>
      </c>
      <c r="D932" s="12">
        <f t="shared" ca="1" si="84"/>
        <v>23</v>
      </c>
      <c r="E932" s="12" t="str">
        <f ca="1">IF(Table1[[#This Row],[Age]]&lt;=22,"20-22",IF(Table1[[#This Row],[Age]]&lt;=25,"23-25",IF(Table1[[#This Row],[Age]]&lt;=28,"26-28","29-30")))</f>
        <v>23-25</v>
      </c>
      <c r="F932" s="12">
        <v>3.75</v>
      </c>
      <c r="G932" s="12">
        <v>3.83</v>
      </c>
      <c r="H932" s="12" t="s">
        <v>211</v>
      </c>
      <c r="I932" s="12">
        <v>4.0999999999999996</v>
      </c>
      <c r="J932" s="12">
        <v>4.26</v>
      </c>
      <c r="K932" s="12">
        <v>3.95</v>
      </c>
      <c r="L932" s="12">
        <v>4.72</v>
      </c>
      <c r="M932" s="12">
        <v>3.76</v>
      </c>
      <c r="N932" s="12">
        <v>4.3099999999999996</v>
      </c>
      <c r="O932" s="12">
        <v>4.26</v>
      </c>
      <c r="P932" s="12">
        <f t="shared" si="85"/>
        <v>3.9849999999999999</v>
      </c>
      <c r="Q932" s="12">
        <f t="shared" si="86"/>
        <v>3.99</v>
      </c>
      <c r="R932" s="12">
        <f t="shared" si="87"/>
        <v>4.2</v>
      </c>
      <c r="S932" s="28">
        <f>IFERROR(INDEX('Clean Gamification Data'!$B:$B,MATCH($B932,'Clean Gamification Data'!$A:$A,0)),"Not Found")</f>
        <v>86.824635169999993</v>
      </c>
      <c r="T932" s="28">
        <f>IFERROR(INDEX('Clean Gamification Data'!$C:$C,MATCH($B932,'Clean Gamification Data'!$A:$A,0)),"Not Found")</f>
        <v>61.855928740000003</v>
      </c>
      <c r="U932" s="28">
        <f>IFERROR(INDEX('Clean Gamification Data'!$D:$D,MATCH($B932,'Clean Gamification Data'!$A:$A,0)),"Not Found")</f>
        <v>79.38305948</v>
      </c>
      <c r="V932" s="28">
        <f>IFERROR(INDEX('Clean Gamification Data'!$E:$E,MATCH($B932,'Clean Gamification Data'!$A:$A,0)),"Not Found")</f>
        <v>58.504678749999997</v>
      </c>
      <c r="W932" s="28">
        <f>IFERROR(INDEX('Clean Gamification Data'!$F:$F,MATCH($B932,'Clean Gamification Data'!$A:$A,0)),"Not Found")</f>
        <v>97.181766400000001</v>
      </c>
      <c r="X932" s="28">
        <f>IFERROR(INDEX('Clean Gamification Data'!$G:$G,MATCH($B932,'Clean Gamification Data'!$A:$A,0)),"Not Found")</f>
        <v>83.278020299999994</v>
      </c>
      <c r="Y932" s="28">
        <f>IFERROR(INDEX('Clean Gamification Data'!$H:$H,MATCH($B932,'Clean Gamification Data'!$A:$A,0)),"Not Found")</f>
        <v>73.093917509999997</v>
      </c>
      <c r="Z932" s="28">
        <f>IFERROR(INDEX('Clean Gamification Data'!$I:$I,MATCH($B932,'Clean Gamification Data'!$A:$A,0)),"Not Found")</f>
        <v>61.301542060000003</v>
      </c>
      <c r="AA932" s="28">
        <f>Table1[[#This Row],[Engagement (Gamification %)]]-Table1[[#This Row],[Engagement (Non-Gamification %)]]</f>
        <v>24.96870642999999</v>
      </c>
      <c r="AB932" s="28">
        <f>Table1[[#This Row],[Motivation (Gamification %)]]-Table1[[#This Row],[Motivation (Non-Gamification %)]]</f>
        <v>20.878380730000003</v>
      </c>
      <c r="AC932" s="28">
        <f>Table1[[#This Row],[Participation (Gamification %)]]-Table1[[#This Row],[Participation (Non-Gamification %)]]</f>
        <v>13.903746100000006</v>
      </c>
      <c r="AD932" s="28">
        <f>Table1[[#This Row],[Learning Outcomes (Gamification %)]]-Table1[[#This Row],[Learning Outcomes (Non-Gamification %)]]</f>
        <v>11.792375449999994</v>
      </c>
      <c r="AE932" s="44" t="str">
        <f>IF(Table1[[#This Row],[Overall Effectiveness]]&lt;3.9,"Low",IF(Table1[[#This Row],[Overall Effectiveness]]&lt;4.2,"Medium","High"))</f>
        <v>Medium</v>
      </c>
      <c r="AF932" s="30" t="str">
        <f t="shared" si="88"/>
        <v>Online Tutorials</v>
      </c>
      <c r="AG932" s="30" t="str">
        <f t="shared" si="89"/>
        <v>Case Studies</v>
      </c>
      <c r="AH932" s="27">
        <f>COUNTIF(Teacher_Master!$D$2:$D$16,AF932)</f>
        <v>3</v>
      </c>
      <c r="AI932" s="30" t="str">
        <f>INDEX(Teacher_Master!$B$2:$B$16,MATCH(AF932,Teacher_Master!$D$2:$D$16,0))</f>
        <v>Prof. Kavita Rao</v>
      </c>
    </row>
    <row r="933" spans="1:35" ht="14.25" customHeight="1" x14ac:dyDescent="0.3">
      <c r="A933" s="31" t="s">
        <v>1905</v>
      </c>
      <c r="B933" s="31" t="s">
        <v>2754</v>
      </c>
      <c r="C933" s="31" t="s">
        <v>2882</v>
      </c>
      <c r="D933" s="12">
        <f t="shared" ca="1" si="84"/>
        <v>23</v>
      </c>
      <c r="E933" s="12" t="str">
        <f ca="1">IF(Table1[[#This Row],[Age]]&lt;=22,"20-22",IF(Table1[[#This Row],[Age]]&lt;=25,"23-25",IF(Table1[[#This Row],[Age]]&lt;=28,"26-28","29-30")))</f>
        <v>23-25</v>
      </c>
      <c r="F933" s="12">
        <v>3.89</v>
      </c>
      <c r="G933" s="12">
        <v>3.94</v>
      </c>
      <c r="H933" s="12">
        <v>4.1900000000000004</v>
      </c>
      <c r="I933" s="12">
        <v>4.28</v>
      </c>
      <c r="J933" s="12">
        <v>3.64</v>
      </c>
      <c r="K933" s="12">
        <v>3.77</v>
      </c>
      <c r="L933" s="12" t="s">
        <v>211</v>
      </c>
      <c r="M933" s="12">
        <v>3.93</v>
      </c>
      <c r="N933" s="12" t="s">
        <v>211</v>
      </c>
      <c r="O933" s="12">
        <v>3.98</v>
      </c>
      <c r="P933" s="12">
        <f t="shared" si="85"/>
        <v>3.9880000000000004</v>
      </c>
      <c r="Q933" s="12">
        <f t="shared" si="86"/>
        <v>3.99</v>
      </c>
      <c r="R933" s="12">
        <f t="shared" si="87"/>
        <v>3.8933333333333331</v>
      </c>
      <c r="S933" s="28">
        <f>IFERROR(INDEX('Clean Gamification Data'!$B:$B,MATCH($B933,'Clean Gamification Data'!$A:$A,0)),"Not Found")</f>
        <v>84.020166380000006</v>
      </c>
      <c r="T933" s="28">
        <f>IFERROR(INDEX('Clean Gamification Data'!$C:$C,MATCH($B933,'Clean Gamification Data'!$A:$A,0)),"Not Found")</f>
        <v>68.880545310000002</v>
      </c>
      <c r="U933" s="28">
        <f>IFERROR(INDEX('Clean Gamification Data'!$D:$D,MATCH($B933,'Clean Gamification Data'!$A:$A,0)),"Not Found")</f>
        <v>84.995201300000005</v>
      </c>
      <c r="V933" s="28">
        <f>IFERROR(INDEX('Clean Gamification Data'!$E:$E,MATCH($B933,'Clean Gamification Data'!$A:$A,0)),"Not Found")</f>
        <v>60.088755300000003</v>
      </c>
      <c r="W933" s="28">
        <f>IFERROR(INDEX('Clean Gamification Data'!$F:$F,MATCH($B933,'Clean Gamification Data'!$A:$A,0)),"Not Found")</f>
        <v>98.553136109999997</v>
      </c>
      <c r="X933" s="28">
        <f>IFERROR(INDEX('Clean Gamification Data'!$G:$G,MATCH($B933,'Clean Gamification Data'!$A:$A,0)),"Not Found")</f>
        <v>76.913739059999997</v>
      </c>
      <c r="Y933" s="28">
        <f>IFERROR(INDEX('Clean Gamification Data'!$H:$H,MATCH($B933,'Clean Gamification Data'!$A:$A,0)),"Not Found")</f>
        <v>71.752949060000006</v>
      </c>
      <c r="Z933" s="28">
        <f>IFERROR(INDEX('Clean Gamification Data'!$I:$I,MATCH($B933,'Clean Gamification Data'!$A:$A,0)),"Not Found")</f>
        <v>64.475191719999998</v>
      </c>
      <c r="AA933" s="28">
        <f>Table1[[#This Row],[Engagement (Gamification %)]]-Table1[[#This Row],[Engagement (Non-Gamification %)]]</f>
        <v>15.139621070000004</v>
      </c>
      <c r="AB933" s="28">
        <f>Table1[[#This Row],[Motivation (Gamification %)]]-Table1[[#This Row],[Motivation (Non-Gamification %)]]</f>
        <v>24.906446000000003</v>
      </c>
      <c r="AC933" s="28">
        <f>Table1[[#This Row],[Participation (Gamification %)]]-Table1[[#This Row],[Participation (Non-Gamification %)]]</f>
        <v>21.639397049999999</v>
      </c>
      <c r="AD933" s="28">
        <f>Table1[[#This Row],[Learning Outcomes (Gamification %)]]-Table1[[#This Row],[Learning Outcomes (Non-Gamification %)]]</f>
        <v>7.277757340000008</v>
      </c>
      <c r="AE933" s="44" t="str">
        <f>IF(Table1[[#This Row],[Overall Effectiveness]]&lt;3.9,"Low",IF(Table1[[#This Row],[Overall Effectiveness]]&lt;4.2,"Medium","High"))</f>
        <v>Medium</v>
      </c>
      <c r="AF933" s="30" t="str">
        <f t="shared" si="88"/>
        <v>Experiments</v>
      </c>
      <c r="AG933" s="30" t="str">
        <f t="shared" si="89"/>
        <v>Online Tutorials</v>
      </c>
      <c r="AH933" s="27">
        <f>COUNTIF(Teacher_Master!$D$2:$D$16,AF933)</f>
        <v>3</v>
      </c>
      <c r="AI933" s="30" t="str">
        <f>INDEX(Teacher_Master!$B$2:$B$16,MATCH(AF933,Teacher_Master!$D$2:$D$16,0))</f>
        <v>Prof. Rahul Singh</v>
      </c>
    </row>
    <row r="934" spans="1:35" ht="14.25" customHeight="1" x14ac:dyDescent="0.3">
      <c r="A934" s="31" t="s">
        <v>1907</v>
      </c>
      <c r="B934" s="31" t="s">
        <v>2755</v>
      </c>
      <c r="C934" s="31" t="s">
        <v>2881</v>
      </c>
      <c r="D934" s="12">
        <f t="shared" ca="1" si="84"/>
        <v>28</v>
      </c>
      <c r="E934" s="12" t="str">
        <f ca="1">IF(Table1[[#This Row],[Age]]&lt;=22,"20-22",IF(Table1[[#This Row],[Age]]&lt;=25,"23-25",IF(Table1[[#This Row],[Age]]&lt;=28,"26-28","29-30")))</f>
        <v>26-28</v>
      </c>
      <c r="F934" s="12">
        <v>4.32</v>
      </c>
      <c r="G934" s="12">
        <v>4</v>
      </c>
      <c r="H934" s="12">
        <v>4.1100000000000003</v>
      </c>
      <c r="I934" s="12">
        <v>3.48</v>
      </c>
      <c r="J934" s="12">
        <v>3.86</v>
      </c>
      <c r="K934" s="12">
        <v>4.0999999999999996</v>
      </c>
      <c r="L934" s="12">
        <v>4.2300000000000004</v>
      </c>
      <c r="M934" s="12">
        <v>4.05</v>
      </c>
      <c r="N934" s="12">
        <v>4.25</v>
      </c>
      <c r="O934" s="12">
        <v>3.87</v>
      </c>
      <c r="P934" s="12">
        <f t="shared" si="85"/>
        <v>3.9539999999999997</v>
      </c>
      <c r="Q934" s="12">
        <f t="shared" si="86"/>
        <v>3.95</v>
      </c>
      <c r="R934" s="12">
        <f t="shared" si="87"/>
        <v>4.0999999999999996</v>
      </c>
      <c r="S934" s="28">
        <f>IFERROR(INDEX('Clean Gamification Data'!$B:$B,MATCH($B934,'Clean Gamification Data'!$A:$A,0)),"Not Found")</f>
        <v>78.504691620000003</v>
      </c>
      <c r="T934" s="28">
        <f>IFERROR(INDEX('Clean Gamification Data'!$C:$C,MATCH($B934,'Clean Gamification Data'!$A:$A,0)),"Not Found")</f>
        <v>68.614653340000004</v>
      </c>
      <c r="U934" s="28">
        <f>IFERROR(INDEX('Clean Gamification Data'!$D:$D,MATCH($B934,'Clean Gamification Data'!$A:$A,0)),"Not Found")</f>
        <v>86.333678520000007</v>
      </c>
      <c r="V934" s="28">
        <f>IFERROR(INDEX('Clean Gamification Data'!$E:$E,MATCH($B934,'Clean Gamification Data'!$A:$A,0)),"Not Found")</f>
        <v>63.409309579999999</v>
      </c>
      <c r="W934" s="28">
        <f>IFERROR(INDEX('Clean Gamification Data'!$F:$F,MATCH($B934,'Clean Gamification Data'!$A:$A,0)),"Not Found")</f>
        <v>99.156060530000005</v>
      </c>
      <c r="X934" s="28">
        <f>IFERROR(INDEX('Clean Gamification Data'!$G:$G,MATCH($B934,'Clean Gamification Data'!$A:$A,0)),"Not Found")</f>
        <v>76.018394580000006</v>
      </c>
      <c r="Y934" s="28">
        <f>IFERROR(INDEX('Clean Gamification Data'!$H:$H,MATCH($B934,'Clean Gamification Data'!$A:$A,0)),"Not Found")</f>
        <v>76.782534709999993</v>
      </c>
      <c r="Z934" s="28">
        <f>IFERROR(INDEX('Clean Gamification Data'!$I:$I,MATCH($B934,'Clean Gamification Data'!$A:$A,0)),"Not Found")</f>
        <v>60.589131559999998</v>
      </c>
      <c r="AA934" s="28">
        <f>Table1[[#This Row],[Engagement (Gamification %)]]-Table1[[#This Row],[Engagement (Non-Gamification %)]]</f>
        <v>9.8900382799999988</v>
      </c>
      <c r="AB934" s="28">
        <f>Table1[[#This Row],[Motivation (Gamification %)]]-Table1[[#This Row],[Motivation (Non-Gamification %)]]</f>
        <v>22.924368940000008</v>
      </c>
      <c r="AC934" s="28">
        <f>Table1[[#This Row],[Participation (Gamification %)]]-Table1[[#This Row],[Participation (Non-Gamification %)]]</f>
        <v>23.137665949999999</v>
      </c>
      <c r="AD934" s="28">
        <f>Table1[[#This Row],[Learning Outcomes (Gamification %)]]-Table1[[#This Row],[Learning Outcomes (Non-Gamification %)]]</f>
        <v>16.193403149999995</v>
      </c>
      <c r="AE934" s="44" t="str">
        <f>IF(Table1[[#This Row],[Overall Effectiveness]]&lt;3.9,"Low",IF(Table1[[#This Row],[Overall Effectiveness]]&lt;4.2,"Medium","High"))</f>
        <v>Medium</v>
      </c>
      <c r="AF934" s="30" t="str">
        <f t="shared" si="88"/>
        <v>Lectures</v>
      </c>
      <c r="AG934" s="30" t="str">
        <f t="shared" si="89"/>
        <v>Experiments</v>
      </c>
      <c r="AH934" s="27">
        <f>COUNTIF(Teacher_Master!$D$2:$D$16,AF934)</f>
        <v>3</v>
      </c>
      <c r="AI934" s="30" t="str">
        <f>INDEX(Teacher_Master!$B$2:$B$16,MATCH(AF934,Teacher_Master!$D$2:$D$16,0))</f>
        <v>Prof. Vikram Gupta</v>
      </c>
    </row>
    <row r="935" spans="1:35" ht="14.25" customHeight="1" x14ac:dyDescent="0.3">
      <c r="A935" s="31" t="s">
        <v>1909</v>
      </c>
      <c r="B935" s="31" t="s">
        <v>2756</v>
      </c>
      <c r="C935" s="31" t="s">
        <v>2882</v>
      </c>
      <c r="D935" s="12">
        <f t="shared" ca="1" si="84"/>
        <v>22</v>
      </c>
      <c r="E935" s="12" t="str">
        <f ca="1">IF(Table1[[#This Row],[Age]]&lt;=22,"20-22",IF(Table1[[#This Row],[Age]]&lt;=25,"23-25",IF(Table1[[#This Row],[Age]]&lt;=28,"26-28","29-30")))</f>
        <v>20-22</v>
      </c>
      <c r="F935" s="12">
        <v>4.07</v>
      </c>
      <c r="G935" s="12">
        <v>4.26</v>
      </c>
      <c r="H935" s="12">
        <v>4.25</v>
      </c>
      <c r="I935" s="12">
        <v>4.18</v>
      </c>
      <c r="J935" s="12">
        <v>3.8</v>
      </c>
      <c r="K935" s="12">
        <v>3.48</v>
      </c>
      <c r="L935" s="12">
        <v>3.79</v>
      </c>
      <c r="M935" s="12">
        <v>4.3099999999999996</v>
      </c>
      <c r="N935" s="12">
        <v>3.85</v>
      </c>
      <c r="O935" s="12">
        <v>4.3499999999999996</v>
      </c>
      <c r="P935" s="12">
        <f t="shared" si="85"/>
        <v>4.1120000000000001</v>
      </c>
      <c r="Q935" s="12">
        <f t="shared" si="86"/>
        <v>4.1100000000000003</v>
      </c>
      <c r="R935" s="12">
        <f t="shared" si="87"/>
        <v>3.9559999999999995</v>
      </c>
      <c r="S935" s="28">
        <f>IFERROR(INDEX('Clean Gamification Data'!$B:$B,MATCH($B935,'Clean Gamification Data'!$A:$A,0)),"Not Found")</f>
        <v>95.961231479999995</v>
      </c>
      <c r="T935" s="28">
        <f>IFERROR(INDEX('Clean Gamification Data'!$C:$C,MATCH($B935,'Clean Gamification Data'!$A:$A,0)),"Not Found")</f>
        <v>64.525338640000001</v>
      </c>
      <c r="U935" s="28">
        <f>IFERROR(INDEX('Clean Gamification Data'!$D:$D,MATCH($B935,'Clean Gamification Data'!$A:$A,0)),"Not Found")</f>
        <v>83.159269730000005</v>
      </c>
      <c r="V935" s="28">
        <f>IFERROR(INDEX('Clean Gamification Data'!$E:$E,MATCH($B935,'Clean Gamification Data'!$A:$A,0)),"Not Found")</f>
        <v>75</v>
      </c>
      <c r="W935" s="28">
        <f>IFERROR(INDEX('Clean Gamification Data'!$F:$F,MATCH($B935,'Clean Gamification Data'!$A:$A,0)),"Not Found")</f>
        <v>80</v>
      </c>
      <c r="X935" s="28">
        <f>IFERROR(INDEX('Clean Gamification Data'!$G:$G,MATCH($B935,'Clean Gamification Data'!$A:$A,0)),"Not Found")</f>
        <v>71.767323410000003</v>
      </c>
      <c r="Y935" s="28">
        <f>IFERROR(INDEX('Clean Gamification Data'!$H:$H,MATCH($B935,'Clean Gamification Data'!$A:$A,0)),"Not Found")</f>
        <v>65</v>
      </c>
      <c r="Z935" s="28">
        <f>IFERROR(INDEX('Clean Gamification Data'!$I:$I,MATCH($B935,'Clean Gamification Data'!$A:$A,0)),"Not Found")</f>
        <v>50.107862920000002</v>
      </c>
      <c r="AA935" s="28">
        <f>Table1[[#This Row],[Engagement (Gamification %)]]-Table1[[#This Row],[Engagement (Non-Gamification %)]]</f>
        <v>31.435892839999994</v>
      </c>
      <c r="AB935" s="28">
        <f>Table1[[#This Row],[Motivation (Gamification %)]]-Table1[[#This Row],[Motivation (Non-Gamification %)]]</f>
        <v>8.1592697300000054</v>
      </c>
      <c r="AC935" s="28">
        <f>Table1[[#This Row],[Participation (Gamification %)]]-Table1[[#This Row],[Participation (Non-Gamification %)]]</f>
        <v>8.232676589999997</v>
      </c>
      <c r="AD935" s="28">
        <f>Table1[[#This Row],[Learning Outcomes (Gamification %)]]-Table1[[#This Row],[Learning Outcomes (Non-Gamification %)]]</f>
        <v>14.892137079999998</v>
      </c>
      <c r="AE935" s="44" t="str">
        <f>IF(Table1[[#This Row],[Overall Effectiveness]]&lt;3.9,"Low",IF(Table1[[#This Row],[Overall Effectiveness]]&lt;4.2,"Medium","High"))</f>
        <v>Medium</v>
      </c>
      <c r="AF935" s="30" t="str">
        <f t="shared" si="88"/>
        <v>Case Studies</v>
      </c>
      <c r="AG935" s="30" t="str">
        <f t="shared" si="89"/>
        <v>Online Tutorials</v>
      </c>
      <c r="AH935" s="27">
        <f>COUNTIF(Teacher_Master!$D$2:$D$16,AF935)</f>
        <v>3</v>
      </c>
      <c r="AI935" s="30" t="str">
        <f>INDEX(Teacher_Master!$B$2:$B$16,MATCH(AF935,Teacher_Master!$D$2:$D$16,0))</f>
        <v>Prof. Rajesh Mukherjee</v>
      </c>
    </row>
    <row r="936" spans="1:35" ht="14.25" customHeight="1" x14ac:dyDescent="0.3">
      <c r="A936" s="31" t="s">
        <v>1911</v>
      </c>
      <c r="B936" s="31" t="s">
        <v>2757</v>
      </c>
      <c r="C936" s="31" t="s">
        <v>2882</v>
      </c>
      <c r="D936" s="12">
        <f t="shared" ca="1" si="84"/>
        <v>26</v>
      </c>
      <c r="E936" s="12" t="str">
        <f ca="1">IF(Table1[[#This Row],[Age]]&lt;=22,"20-22",IF(Table1[[#This Row],[Age]]&lt;=25,"23-25",IF(Table1[[#This Row],[Age]]&lt;=28,"26-28","29-30")))</f>
        <v>26-28</v>
      </c>
      <c r="F936" s="12">
        <v>4.46</v>
      </c>
      <c r="G936" s="12">
        <v>3.8</v>
      </c>
      <c r="H936" s="12">
        <v>4.3</v>
      </c>
      <c r="I936" s="12">
        <v>3.61</v>
      </c>
      <c r="J936" s="12">
        <v>4.0599999999999996</v>
      </c>
      <c r="K936" s="12">
        <v>3.91</v>
      </c>
      <c r="L936" s="12">
        <v>4.43</v>
      </c>
      <c r="M936" s="12">
        <v>4.4400000000000004</v>
      </c>
      <c r="N936" s="12">
        <v>4.42</v>
      </c>
      <c r="O936" s="12">
        <v>4.46</v>
      </c>
      <c r="P936" s="12">
        <f t="shared" si="85"/>
        <v>4.0459999999999994</v>
      </c>
      <c r="Q936" s="12">
        <f t="shared" si="86"/>
        <v>4.05</v>
      </c>
      <c r="R936" s="12">
        <f t="shared" si="87"/>
        <v>4.3320000000000007</v>
      </c>
      <c r="S936" s="28">
        <f>IFERROR(INDEX('Clean Gamification Data'!$B:$B,MATCH($B936,'Clean Gamification Data'!$A:$A,0)),"Not Found")</f>
        <v>79.933152669999998</v>
      </c>
      <c r="T936" s="28">
        <f>IFERROR(INDEX('Clean Gamification Data'!$C:$C,MATCH($B936,'Clean Gamification Data'!$A:$A,0)),"Not Found")</f>
        <v>80</v>
      </c>
      <c r="U936" s="28">
        <f>IFERROR(INDEX('Clean Gamification Data'!$D:$D,MATCH($B936,'Clean Gamification Data'!$A:$A,0)),"Not Found")</f>
        <v>77.421050149999999</v>
      </c>
      <c r="V936" s="28">
        <f>IFERROR(INDEX('Clean Gamification Data'!$E:$E,MATCH($B936,'Clean Gamification Data'!$A:$A,0)),"Not Found")</f>
        <v>66.697005039999993</v>
      </c>
      <c r="W936" s="28">
        <f>IFERROR(INDEX('Clean Gamification Data'!$F:$F,MATCH($B936,'Clean Gamification Data'!$A:$A,0)),"Not Found")</f>
        <v>82.192365769999995</v>
      </c>
      <c r="X936" s="28">
        <f>IFERROR(INDEX('Clean Gamification Data'!$G:$G,MATCH($B936,'Clean Gamification Data'!$A:$A,0)),"Not Found")</f>
        <v>81.456624829999996</v>
      </c>
      <c r="Y936" s="28">
        <f>IFERROR(INDEX('Clean Gamification Data'!$H:$H,MATCH($B936,'Clean Gamification Data'!$A:$A,0)),"Not Found")</f>
        <v>73.589958260000003</v>
      </c>
      <c r="Z936" s="28">
        <f>IFERROR(INDEX('Clean Gamification Data'!$I:$I,MATCH($B936,'Clean Gamification Data'!$A:$A,0)),"Not Found")</f>
        <v>52.986741639999998</v>
      </c>
      <c r="AA936" s="28">
        <f>Table1[[#This Row],[Engagement (Gamification %)]]-Table1[[#This Row],[Engagement (Non-Gamification %)]]</f>
        <v>-6.6847330000001648E-2</v>
      </c>
      <c r="AB936" s="28">
        <f>Table1[[#This Row],[Motivation (Gamification %)]]-Table1[[#This Row],[Motivation (Non-Gamification %)]]</f>
        <v>10.724045110000006</v>
      </c>
      <c r="AC936" s="28">
        <f>Table1[[#This Row],[Participation (Gamification %)]]-Table1[[#This Row],[Participation (Non-Gamification %)]]</f>
        <v>0.73574093999999945</v>
      </c>
      <c r="AD936" s="28">
        <f>Table1[[#This Row],[Learning Outcomes (Gamification %)]]-Table1[[#This Row],[Learning Outcomes (Non-Gamification %)]]</f>
        <v>20.603216620000005</v>
      </c>
      <c r="AE936" s="44" t="str">
        <f>IF(Table1[[#This Row],[Overall Effectiveness]]&lt;3.9,"Low",IF(Table1[[#This Row],[Overall Effectiveness]]&lt;4.2,"Medium","High"))</f>
        <v>Medium</v>
      </c>
      <c r="AF936" s="30" t="str">
        <f t="shared" si="88"/>
        <v>Lectures</v>
      </c>
      <c r="AG936" s="30" t="str">
        <f t="shared" si="89"/>
        <v>Online Tutorials</v>
      </c>
      <c r="AH936" s="27">
        <f>COUNTIF(Teacher_Master!$D$2:$D$16,AF936)</f>
        <v>3</v>
      </c>
      <c r="AI936" s="30" t="str">
        <f>INDEX(Teacher_Master!$B$2:$B$16,MATCH(AF936,Teacher_Master!$D$2:$D$16,0))</f>
        <v>Prof. Vikram Gupta</v>
      </c>
    </row>
    <row r="937" spans="1:35" ht="14.25" customHeight="1" x14ac:dyDescent="0.3">
      <c r="A937" s="31" t="s">
        <v>1913</v>
      </c>
      <c r="B937" s="31" t="s">
        <v>2758</v>
      </c>
      <c r="C937" s="31" t="s">
        <v>2881</v>
      </c>
      <c r="D937" s="12">
        <f t="shared" ca="1" si="84"/>
        <v>24</v>
      </c>
      <c r="E937" s="12" t="str">
        <f ca="1">IF(Table1[[#This Row],[Age]]&lt;=22,"20-22",IF(Table1[[#This Row],[Age]]&lt;=25,"23-25",IF(Table1[[#This Row],[Age]]&lt;=28,"26-28","29-30")))</f>
        <v>23-25</v>
      </c>
      <c r="F937" s="12">
        <v>3.73</v>
      </c>
      <c r="G937" s="12">
        <v>3.82</v>
      </c>
      <c r="H937" s="12">
        <v>3.78</v>
      </c>
      <c r="I937" s="12">
        <v>4.4400000000000004</v>
      </c>
      <c r="J937" s="12">
        <v>4.12</v>
      </c>
      <c r="K937" s="12">
        <v>4.04</v>
      </c>
      <c r="L937" s="12">
        <v>4.2</v>
      </c>
      <c r="M937" s="12">
        <v>3.92</v>
      </c>
      <c r="N937" s="12">
        <v>4.08</v>
      </c>
      <c r="O937" s="12">
        <v>4.3499999999999996</v>
      </c>
      <c r="P937" s="12">
        <f t="shared" si="85"/>
        <v>3.9780000000000002</v>
      </c>
      <c r="Q937" s="12">
        <f t="shared" si="86"/>
        <v>3.98</v>
      </c>
      <c r="R937" s="12">
        <f t="shared" si="87"/>
        <v>4.1180000000000003</v>
      </c>
      <c r="S937" s="28">
        <f>IFERROR(INDEX('Clean Gamification Data'!$B:$B,MATCH($B937,'Clean Gamification Data'!$A:$A,0)),"Not Found")</f>
        <v>81.311357909999998</v>
      </c>
      <c r="T937" s="28">
        <f>IFERROR(INDEX('Clean Gamification Data'!$C:$C,MATCH($B937,'Clean Gamification Data'!$A:$A,0)),"Not Found")</f>
        <v>73.380326969999999</v>
      </c>
      <c r="U937" s="28">
        <f>IFERROR(INDEX('Clean Gamification Data'!$D:$D,MATCH($B937,'Clean Gamification Data'!$A:$A,0)),"Not Found")</f>
        <v>75.188150629999996</v>
      </c>
      <c r="V937" s="28">
        <f>IFERROR(INDEX('Clean Gamification Data'!$E:$E,MATCH($B937,'Clean Gamification Data'!$A:$A,0)),"Not Found")</f>
        <v>66.225183009999995</v>
      </c>
      <c r="W937" s="28">
        <f>IFERROR(INDEX('Clean Gamification Data'!$F:$F,MATCH($B937,'Clean Gamification Data'!$A:$A,0)),"Not Found")</f>
        <v>87.646572739999996</v>
      </c>
      <c r="X937" s="28">
        <f>IFERROR(INDEX('Clean Gamification Data'!$G:$G,MATCH($B937,'Clean Gamification Data'!$A:$A,0)),"Not Found")</f>
        <v>65</v>
      </c>
      <c r="Y937" s="28">
        <f>IFERROR(INDEX('Clean Gamification Data'!$H:$H,MATCH($B937,'Clean Gamification Data'!$A:$A,0)),"Not Found")</f>
        <v>71.657130300000006</v>
      </c>
      <c r="Z937" s="28">
        <f>IFERROR(INDEX('Clean Gamification Data'!$I:$I,MATCH($B937,'Clean Gamification Data'!$A:$A,0)),"Not Found")</f>
        <v>55.694247089999998</v>
      </c>
      <c r="AA937" s="28">
        <f>Table1[[#This Row],[Engagement (Gamification %)]]-Table1[[#This Row],[Engagement (Non-Gamification %)]]</f>
        <v>7.9310309399999994</v>
      </c>
      <c r="AB937" s="28">
        <f>Table1[[#This Row],[Motivation (Gamification %)]]-Table1[[#This Row],[Motivation (Non-Gamification %)]]</f>
        <v>8.9629676200000006</v>
      </c>
      <c r="AC937" s="28">
        <f>Table1[[#This Row],[Participation (Gamification %)]]-Table1[[#This Row],[Participation (Non-Gamification %)]]</f>
        <v>22.646572739999996</v>
      </c>
      <c r="AD937" s="28">
        <f>Table1[[#This Row],[Learning Outcomes (Gamification %)]]-Table1[[#This Row],[Learning Outcomes (Non-Gamification %)]]</f>
        <v>15.962883210000008</v>
      </c>
      <c r="AE937" s="44" t="str">
        <f>IF(Table1[[#This Row],[Overall Effectiveness]]&lt;3.9,"Low",IF(Table1[[#This Row],[Overall Effectiveness]]&lt;4.2,"Medium","High"))</f>
        <v>Medium</v>
      </c>
      <c r="AF937" s="30" t="str">
        <f t="shared" si="88"/>
        <v>Experiments</v>
      </c>
      <c r="AG937" s="30" t="str">
        <f t="shared" si="89"/>
        <v>Online Tutorials</v>
      </c>
      <c r="AH937" s="27">
        <f>COUNTIF(Teacher_Master!$D$2:$D$16,AF937)</f>
        <v>3</v>
      </c>
      <c r="AI937" s="30" t="str">
        <f>INDEX(Teacher_Master!$B$2:$B$16,MATCH(AF937,Teacher_Master!$D$2:$D$16,0))</f>
        <v>Prof. Rahul Singh</v>
      </c>
    </row>
    <row r="938" spans="1:35" ht="14.25" customHeight="1" x14ac:dyDescent="0.3">
      <c r="A938" s="31" t="s">
        <v>1915</v>
      </c>
      <c r="B938" s="31" t="s">
        <v>2759</v>
      </c>
      <c r="C938" s="31" t="s">
        <v>2882</v>
      </c>
      <c r="D938" s="12">
        <f t="shared" ca="1" si="84"/>
        <v>29</v>
      </c>
      <c r="E938" s="12" t="str">
        <f ca="1">IF(Table1[[#This Row],[Age]]&lt;=22,"20-22",IF(Table1[[#This Row],[Age]]&lt;=25,"23-25",IF(Table1[[#This Row],[Age]]&lt;=28,"26-28","29-30")))</f>
        <v>29-30</v>
      </c>
      <c r="F938" s="12" t="s">
        <v>211</v>
      </c>
      <c r="G938" s="12">
        <v>3.71</v>
      </c>
      <c r="H938" s="12">
        <v>4.45</v>
      </c>
      <c r="I938" s="12">
        <v>3.81</v>
      </c>
      <c r="J938" s="12">
        <v>4.18</v>
      </c>
      <c r="K938" s="12">
        <v>4.21</v>
      </c>
      <c r="L938" s="12">
        <v>4.13</v>
      </c>
      <c r="M938" s="12">
        <v>4.38</v>
      </c>
      <c r="N938" s="12">
        <v>3.8</v>
      </c>
      <c r="O938" s="12">
        <v>4.4400000000000004</v>
      </c>
      <c r="P938" s="12">
        <f t="shared" si="85"/>
        <v>4.0374999999999996</v>
      </c>
      <c r="Q938" s="12">
        <f t="shared" si="86"/>
        <v>4.04</v>
      </c>
      <c r="R938" s="12">
        <f t="shared" si="87"/>
        <v>4.1920000000000002</v>
      </c>
      <c r="S938" s="28">
        <f>IFERROR(INDEX('Clean Gamification Data'!$B:$B,MATCH($B938,'Clean Gamification Data'!$A:$A,0)),"Not Found")</f>
        <v>84.796492709999995</v>
      </c>
      <c r="T938" s="28">
        <f>IFERROR(INDEX('Clean Gamification Data'!$C:$C,MATCH($B938,'Clean Gamification Data'!$A:$A,0)),"Not Found")</f>
        <v>66.202228259999998</v>
      </c>
      <c r="U938" s="28">
        <f>IFERROR(INDEX('Clean Gamification Data'!$D:$D,MATCH($B938,'Clean Gamification Data'!$A:$A,0)),"Not Found")</f>
        <v>75.657777760000002</v>
      </c>
      <c r="V938" s="28">
        <f>IFERROR(INDEX('Clean Gamification Data'!$E:$E,MATCH($B938,'Clean Gamification Data'!$A:$A,0)),"Not Found")</f>
        <v>66.198455980000006</v>
      </c>
      <c r="W938" s="28">
        <f>IFERROR(INDEX('Clean Gamification Data'!$F:$F,MATCH($B938,'Clean Gamification Data'!$A:$A,0)),"Not Found")</f>
        <v>91.276416889999993</v>
      </c>
      <c r="X938" s="28">
        <f>IFERROR(INDEX('Clean Gamification Data'!$G:$G,MATCH($B938,'Clean Gamification Data'!$A:$A,0)),"Not Found")</f>
        <v>72.976814480000002</v>
      </c>
      <c r="Y938" s="28">
        <f>IFERROR(INDEX('Clean Gamification Data'!$H:$H,MATCH($B938,'Clean Gamification Data'!$A:$A,0)),"Not Found")</f>
        <v>73.963962499999994</v>
      </c>
      <c r="Z938" s="28">
        <f>IFERROR(INDEX('Clean Gamification Data'!$I:$I,MATCH($B938,'Clean Gamification Data'!$A:$A,0)),"Not Found")</f>
        <v>54.47724959</v>
      </c>
      <c r="AA938" s="28">
        <f>Table1[[#This Row],[Engagement (Gamification %)]]-Table1[[#This Row],[Engagement (Non-Gamification %)]]</f>
        <v>18.594264449999997</v>
      </c>
      <c r="AB938" s="28">
        <f>Table1[[#This Row],[Motivation (Gamification %)]]-Table1[[#This Row],[Motivation (Non-Gamification %)]]</f>
        <v>9.4593217799999962</v>
      </c>
      <c r="AC938" s="28">
        <f>Table1[[#This Row],[Participation (Gamification %)]]-Table1[[#This Row],[Participation (Non-Gamification %)]]</f>
        <v>18.299602409999991</v>
      </c>
      <c r="AD938" s="28">
        <f>Table1[[#This Row],[Learning Outcomes (Gamification %)]]-Table1[[#This Row],[Learning Outcomes (Non-Gamification %)]]</f>
        <v>19.486712909999994</v>
      </c>
      <c r="AE938" s="44" t="str">
        <f>IF(Table1[[#This Row],[Overall Effectiveness]]&lt;3.9,"Low",IF(Table1[[#This Row],[Overall Effectiveness]]&lt;4.2,"Medium","High"))</f>
        <v>Medium</v>
      </c>
      <c r="AF938" s="30" t="str">
        <f t="shared" si="88"/>
        <v>Group Projects</v>
      </c>
      <c r="AG938" s="30" t="str">
        <f t="shared" si="89"/>
        <v>Online Tutorials</v>
      </c>
      <c r="AH938" s="27">
        <f>COUNTIF(Teacher_Master!$D$2:$D$16,AF938)</f>
        <v>3</v>
      </c>
      <c r="AI938" s="30" t="str">
        <f>INDEX(Teacher_Master!$B$2:$B$16,MATCH(AF938,Teacher_Master!$D$2:$D$16,0))</f>
        <v>Dr. Rohan Dutta</v>
      </c>
    </row>
    <row r="939" spans="1:35" ht="14.25" customHeight="1" x14ac:dyDescent="0.3">
      <c r="A939" s="31" t="s">
        <v>1917</v>
      </c>
      <c r="B939" s="31" t="s">
        <v>2760</v>
      </c>
      <c r="C939" s="31" t="s">
        <v>2882</v>
      </c>
      <c r="D939" s="12">
        <f t="shared" ca="1" si="84"/>
        <v>28</v>
      </c>
      <c r="E939" s="12" t="str">
        <f ca="1">IF(Table1[[#This Row],[Age]]&lt;=22,"20-22",IF(Table1[[#This Row],[Age]]&lt;=25,"23-25",IF(Table1[[#This Row],[Age]]&lt;=28,"26-28","29-30")))</f>
        <v>26-28</v>
      </c>
      <c r="F939" s="12">
        <v>3.98</v>
      </c>
      <c r="G939" s="12">
        <v>4.3600000000000003</v>
      </c>
      <c r="H939" s="12">
        <v>4.09</v>
      </c>
      <c r="I939" s="12">
        <v>3.97</v>
      </c>
      <c r="J939" s="12">
        <v>4.37</v>
      </c>
      <c r="K939" s="12">
        <v>3.96</v>
      </c>
      <c r="L939" s="12">
        <v>4.3</v>
      </c>
      <c r="M939" s="12">
        <v>4.46</v>
      </c>
      <c r="N939" s="12">
        <v>4.2300000000000004</v>
      </c>
      <c r="O939" s="12">
        <v>3.74</v>
      </c>
      <c r="P939" s="12">
        <f t="shared" si="85"/>
        <v>4.1539999999999999</v>
      </c>
      <c r="Q939" s="12">
        <f t="shared" si="86"/>
        <v>4.1500000000000004</v>
      </c>
      <c r="R939" s="12">
        <f t="shared" si="87"/>
        <v>4.1379999999999999</v>
      </c>
      <c r="S939" s="28">
        <f>IFERROR(INDEX('Clean Gamification Data'!$B:$B,MATCH($B939,'Clean Gamification Data'!$A:$A,0)),"Not Found")</f>
        <v>87.810309290000006</v>
      </c>
      <c r="T939" s="28">
        <f>IFERROR(INDEX('Clean Gamification Data'!$C:$C,MATCH($B939,'Clean Gamification Data'!$A:$A,0)),"Not Found")</f>
        <v>74.639403160000001</v>
      </c>
      <c r="U939" s="28">
        <f>IFERROR(INDEX('Clean Gamification Data'!$D:$D,MATCH($B939,'Clean Gamification Data'!$A:$A,0)),"Not Found")</f>
        <v>75.276368309999995</v>
      </c>
      <c r="V939" s="28">
        <f>IFERROR(INDEX('Clean Gamification Data'!$E:$E,MATCH($B939,'Clean Gamification Data'!$A:$A,0)),"Not Found")</f>
        <v>66.430875810000003</v>
      </c>
      <c r="W939" s="28">
        <f>IFERROR(INDEX('Clean Gamification Data'!$F:$F,MATCH($B939,'Clean Gamification Data'!$A:$A,0)),"Not Found")</f>
        <v>90.956364010000001</v>
      </c>
      <c r="X939" s="28">
        <f>IFERROR(INDEX('Clean Gamification Data'!$G:$G,MATCH($B939,'Clean Gamification Data'!$A:$A,0)),"Not Found")</f>
        <v>85</v>
      </c>
      <c r="Y939" s="28">
        <f>IFERROR(INDEX('Clean Gamification Data'!$H:$H,MATCH($B939,'Clean Gamification Data'!$A:$A,0)),"Not Found")</f>
        <v>72.902272789999998</v>
      </c>
      <c r="Z939" s="28">
        <f>IFERROR(INDEX('Clean Gamification Data'!$I:$I,MATCH($B939,'Clean Gamification Data'!$A:$A,0)),"Not Found")</f>
        <v>53.713200710000002</v>
      </c>
      <c r="AA939" s="28">
        <f>Table1[[#This Row],[Engagement (Gamification %)]]-Table1[[#This Row],[Engagement (Non-Gamification %)]]</f>
        <v>13.170906130000006</v>
      </c>
      <c r="AB939" s="28">
        <f>Table1[[#This Row],[Motivation (Gamification %)]]-Table1[[#This Row],[Motivation (Non-Gamification %)]]</f>
        <v>8.8454924999999918</v>
      </c>
      <c r="AC939" s="28">
        <f>Table1[[#This Row],[Participation (Gamification %)]]-Table1[[#This Row],[Participation (Non-Gamification %)]]</f>
        <v>5.9563640100000015</v>
      </c>
      <c r="AD939" s="28">
        <f>Table1[[#This Row],[Learning Outcomes (Gamification %)]]-Table1[[#This Row],[Learning Outcomes (Non-Gamification %)]]</f>
        <v>19.189072079999995</v>
      </c>
      <c r="AE939" s="44" t="str">
        <f>IF(Table1[[#This Row],[Overall Effectiveness]]&lt;3.9,"Low",IF(Table1[[#This Row],[Overall Effectiveness]]&lt;4.2,"Medium","High"))</f>
        <v>Medium</v>
      </c>
      <c r="AF939" s="30" t="str">
        <f t="shared" si="88"/>
        <v>Online Tutorials</v>
      </c>
      <c r="AG939" s="30" t="str">
        <f t="shared" si="89"/>
        <v>Group Projects</v>
      </c>
      <c r="AH939" s="27">
        <f>COUNTIF(Teacher_Master!$D$2:$D$16,AF939)</f>
        <v>3</v>
      </c>
      <c r="AI939" s="30" t="str">
        <f>INDEX(Teacher_Master!$B$2:$B$16,MATCH(AF939,Teacher_Master!$D$2:$D$16,0))</f>
        <v>Prof. Kavita Rao</v>
      </c>
    </row>
    <row r="940" spans="1:35" ht="14.25" customHeight="1" x14ac:dyDescent="0.3">
      <c r="A940" s="31" t="s">
        <v>1919</v>
      </c>
      <c r="B940" s="31" t="s">
        <v>2761</v>
      </c>
      <c r="C940" s="31" t="s">
        <v>2882</v>
      </c>
      <c r="D940" s="12">
        <f t="shared" ca="1" si="84"/>
        <v>20</v>
      </c>
      <c r="E940" s="12" t="str">
        <f ca="1">IF(Table1[[#This Row],[Age]]&lt;=22,"20-22",IF(Table1[[#This Row],[Age]]&lt;=25,"23-25",IF(Table1[[#This Row],[Age]]&lt;=28,"26-28","29-30")))</f>
        <v>20-22</v>
      </c>
      <c r="F940" s="12">
        <v>3.99</v>
      </c>
      <c r="G940" s="12">
        <v>3.91</v>
      </c>
      <c r="H940" s="12">
        <v>4.42</v>
      </c>
      <c r="I940" s="12">
        <v>3.61</v>
      </c>
      <c r="J940" s="12">
        <v>4.33</v>
      </c>
      <c r="K940" s="12">
        <v>4.07</v>
      </c>
      <c r="L940" s="12">
        <v>3.77</v>
      </c>
      <c r="M940" s="12" t="s">
        <v>211</v>
      </c>
      <c r="N940" s="12">
        <v>3.7</v>
      </c>
      <c r="O940" s="12">
        <v>4.1500000000000004</v>
      </c>
      <c r="P940" s="12">
        <f t="shared" si="85"/>
        <v>4.0519999999999996</v>
      </c>
      <c r="Q940" s="12">
        <f t="shared" si="86"/>
        <v>4.05</v>
      </c>
      <c r="R940" s="12">
        <f t="shared" si="87"/>
        <v>3.9224999999999999</v>
      </c>
      <c r="S940" s="28">
        <f>IFERROR(INDEX('Clean Gamification Data'!$B:$B,MATCH($B940,'Clean Gamification Data'!$A:$A,0)),"Not Found")</f>
        <v>85.985907670000003</v>
      </c>
      <c r="T940" s="28">
        <f>IFERROR(INDEX('Clean Gamification Data'!$C:$C,MATCH($B940,'Clean Gamification Data'!$A:$A,0)),"Not Found")</f>
        <v>60</v>
      </c>
      <c r="U940" s="28">
        <f>IFERROR(INDEX('Clean Gamification Data'!$D:$D,MATCH($B940,'Clean Gamification Data'!$A:$A,0)),"Not Found")</f>
        <v>77.03861157</v>
      </c>
      <c r="V940" s="28">
        <f>IFERROR(INDEX('Clean Gamification Data'!$E:$E,MATCH($B940,'Clean Gamification Data'!$A:$A,0)),"Not Found")</f>
        <v>64.477532490000002</v>
      </c>
      <c r="W940" s="28">
        <f>IFERROR(INDEX('Clean Gamification Data'!$F:$F,MATCH($B940,'Clean Gamification Data'!$A:$A,0)),"Not Found")</f>
        <v>96.898560709999998</v>
      </c>
      <c r="X940" s="28">
        <f>IFERROR(INDEX('Clean Gamification Data'!$G:$G,MATCH($B940,'Clean Gamification Data'!$A:$A,0)),"Not Found")</f>
        <v>80.692069900000007</v>
      </c>
      <c r="Y940" s="28">
        <f>IFERROR(INDEX('Clean Gamification Data'!$H:$H,MATCH($B940,'Clean Gamification Data'!$A:$A,0)),"Not Found")</f>
        <v>76.246697310000002</v>
      </c>
      <c r="Z940" s="28">
        <f>IFERROR(INDEX('Clean Gamification Data'!$I:$I,MATCH($B940,'Clean Gamification Data'!$A:$A,0)),"Not Found")</f>
        <v>58.03919466</v>
      </c>
      <c r="AA940" s="28">
        <f>Table1[[#This Row],[Engagement (Gamification %)]]-Table1[[#This Row],[Engagement (Non-Gamification %)]]</f>
        <v>25.985907670000003</v>
      </c>
      <c r="AB940" s="28">
        <f>Table1[[#This Row],[Motivation (Gamification %)]]-Table1[[#This Row],[Motivation (Non-Gamification %)]]</f>
        <v>12.561079079999999</v>
      </c>
      <c r="AC940" s="28">
        <f>Table1[[#This Row],[Participation (Gamification %)]]-Table1[[#This Row],[Participation (Non-Gamification %)]]</f>
        <v>16.206490809999991</v>
      </c>
      <c r="AD940" s="28">
        <f>Table1[[#This Row],[Learning Outcomes (Gamification %)]]-Table1[[#This Row],[Learning Outcomes (Non-Gamification %)]]</f>
        <v>18.207502650000002</v>
      </c>
      <c r="AE940" s="44" t="str">
        <f>IF(Table1[[#This Row],[Overall Effectiveness]]&lt;3.9,"Low",IF(Table1[[#This Row],[Overall Effectiveness]]&lt;4.2,"Medium","High"))</f>
        <v>Medium</v>
      </c>
      <c r="AF940" s="30" t="str">
        <f t="shared" si="88"/>
        <v>Group Projects</v>
      </c>
      <c r="AG940" s="30" t="str">
        <f t="shared" si="89"/>
        <v>Online Tutorials</v>
      </c>
      <c r="AH940" s="27">
        <f>COUNTIF(Teacher_Master!$D$2:$D$16,AF940)</f>
        <v>3</v>
      </c>
      <c r="AI940" s="30" t="str">
        <f>INDEX(Teacher_Master!$B$2:$B$16,MATCH(AF940,Teacher_Master!$D$2:$D$16,0))</f>
        <v>Dr. Rohan Dutta</v>
      </c>
    </row>
    <row r="941" spans="1:35" ht="14.25" customHeight="1" x14ac:dyDescent="0.3">
      <c r="A941" s="31" t="s">
        <v>1921</v>
      </c>
      <c r="B941" s="31" t="s">
        <v>2762</v>
      </c>
      <c r="C941" s="31" t="s">
        <v>2882</v>
      </c>
      <c r="D941" s="12">
        <f t="shared" ca="1" si="84"/>
        <v>30</v>
      </c>
      <c r="E941" s="12" t="str">
        <f ca="1">IF(Table1[[#This Row],[Age]]&lt;=22,"20-22",IF(Table1[[#This Row],[Age]]&lt;=25,"23-25",IF(Table1[[#This Row],[Age]]&lt;=28,"26-28","29-30")))</f>
        <v>29-30</v>
      </c>
      <c r="F941" s="12">
        <v>4.09</v>
      </c>
      <c r="G941" s="12">
        <v>3.78</v>
      </c>
      <c r="H941" s="12">
        <v>4.03</v>
      </c>
      <c r="I941" s="12">
        <v>4.5</v>
      </c>
      <c r="J941" s="12">
        <v>3.59</v>
      </c>
      <c r="K941" s="12">
        <v>3.7</v>
      </c>
      <c r="L941" s="12">
        <v>3.76</v>
      </c>
      <c r="M941" s="12">
        <v>4.1500000000000004</v>
      </c>
      <c r="N941" s="12">
        <v>3.76</v>
      </c>
      <c r="O941" s="12">
        <v>4.0999999999999996</v>
      </c>
      <c r="P941" s="12">
        <f t="shared" si="85"/>
        <v>3.9979999999999998</v>
      </c>
      <c r="Q941" s="12">
        <f t="shared" si="86"/>
        <v>4</v>
      </c>
      <c r="R941" s="12">
        <f t="shared" si="87"/>
        <v>3.8939999999999997</v>
      </c>
      <c r="S941" s="28">
        <f>IFERROR(INDEX('Clean Gamification Data'!$B:$B,MATCH($B941,'Clean Gamification Data'!$A:$A,0)),"Not Found")</f>
        <v>81.811649520000003</v>
      </c>
      <c r="T941" s="28">
        <f>IFERROR(INDEX('Clean Gamification Data'!$C:$C,MATCH($B941,'Clean Gamification Data'!$A:$A,0)),"Not Found")</f>
        <v>75.204339430000005</v>
      </c>
      <c r="U941" s="28">
        <f>IFERROR(INDEX('Clean Gamification Data'!$D:$D,MATCH($B941,'Clean Gamification Data'!$A:$A,0)),"Not Found")</f>
        <v>70.808912050000004</v>
      </c>
      <c r="V941" s="28">
        <f>IFERROR(INDEX('Clean Gamification Data'!$E:$E,MATCH($B941,'Clean Gamification Data'!$A:$A,0)),"Not Found")</f>
        <v>67.078808890000005</v>
      </c>
      <c r="W941" s="28">
        <f>IFERROR(INDEX('Clean Gamification Data'!$F:$F,MATCH($B941,'Clean Gamification Data'!$A:$A,0)),"Not Found")</f>
        <v>80.470800019999999</v>
      </c>
      <c r="X941" s="28">
        <f>IFERROR(INDEX('Clean Gamification Data'!$G:$G,MATCH($B941,'Clean Gamification Data'!$A:$A,0)),"Not Found")</f>
        <v>81.356723689999995</v>
      </c>
      <c r="Y941" s="28">
        <f>IFERROR(INDEX('Clean Gamification Data'!$H:$H,MATCH($B941,'Clean Gamification Data'!$A:$A,0)),"Not Found")</f>
        <v>67.892964860000006</v>
      </c>
      <c r="Z941" s="28">
        <f>IFERROR(INDEX('Clean Gamification Data'!$I:$I,MATCH($B941,'Clean Gamification Data'!$A:$A,0)),"Not Found")</f>
        <v>63.556532320000002</v>
      </c>
      <c r="AA941" s="28">
        <f>Table1[[#This Row],[Engagement (Gamification %)]]-Table1[[#This Row],[Engagement (Non-Gamification %)]]</f>
        <v>6.6073100899999986</v>
      </c>
      <c r="AB941" s="28">
        <f>Table1[[#This Row],[Motivation (Gamification %)]]-Table1[[#This Row],[Motivation (Non-Gamification %)]]</f>
        <v>3.7301031599999988</v>
      </c>
      <c r="AC941" s="28">
        <f>Table1[[#This Row],[Participation (Gamification %)]]-Table1[[#This Row],[Participation (Non-Gamification %)]]</f>
        <v>-0.88592366999999683</v>
      </c>
      <c r="AD941" s="28">
        <f>Table1[[#This Row],[Learning Outcomes (Gamification %)]]-Table1[[#This Row],[Learning Outcomes (Non-Gamification %)]]</f>
        <v>4.3364325400000041</v>
      </c>
      <c r="AE941" s="44" t="str">
        <f>IF(Table1[[#This Row],[Overall Effectiveness]]&lt;3.9,"Low",IF(Table1[[#This Row],[Overall Effectiveness]]&lt;4.2,"Medium","High"))</f>
        <v>Medium</v>
      </c>
      <c r="AF941" s="30" t="str">
        <f t="shared" si="88"/>
        <v>Experiments</v>
      </c>
      <c r="AG941" s="30" t="str">
        <f t="shared" si="89"/>
        <v>Group Projects</v>
      </c>
      <c r="AH941" s="27">
        <f>COUNTIF(Teacher_Master!$D$2:$D$16,AF941)</f>
        <v>3</v>
      </c>
      <c r="AI941" s="30" t="str">
        <f>INDEX(Teacher_Master!$B$2:$B$16,MATCH(AF941,Teacher_Master!$D$2:$D$16,0))</f>
        <v>Prof. Rahul Singh</v>
      </c>
    </row>
    <row r="942" spans="1:35" ht="14.25" customHeight="1" x14ac:dyDescent="0.3">
      <c r="A942" s="31" t="s">
        <v>1923</v>
      </c>
      <c r="B942" s="31" t="s">
        <v>2763</v>
      </c>
      <c r="C942" s="31" t="s">
        <v>2881</v>
      </c>
      <c r="D942" s="12">
        <f t="shared" ca="1" si="84"/>
        <v>30</v>
      </c>
      <c r="E942" s="12" t="str">
        <f ca="1">IF(Table1[[#This Row],[Age]]&lt;=22,"20-22",IF(Table1[[#This Row],[Age]]&lt;=25,"23-25",IF(Table1[[#This Row],[Age]]&lt;=28,"26-28","29-30")))</f>
        <v>29-30</v>
      </c>
      <c r="F942" s="12">
        <v>4.2</v>
      </c>
      <c r="G942" s="12">
        <v>4.18</v>
      </c>
      <c r="H942" s="12">
        <v>3.57</v>
      </c>
      <c r="I942" s="12">
        <v>4.3</v>
      </c>
      <c r="J942" s="12">
        <v>4.1399999999999997</v>
      </c>
      <c r="K942" s="12">
        <v>3.95</v>
      </c>
      <c r="L942" s="12">
        <v>4.83</v>
      </c>
      <c r="M942" s="12">
        <v>4.08</v>
      </c>
      <c r="N942" s="12">
        <v>3.98</v>
      </c>
      <c r="O942" s="12">
        <v>3.81</v>
      </c>
      <c r="P942" s="12">
        <f t="shared" si="85"/>
        <v>4.0780000000000003</v>
      </c>
      <c r="Q942" s="12">
        <f t="shared" si="86"/>
        <v>4.08</v>
      </c>
      <c r="R942" s="12">
        <f t="shared" si="87"/>
        <v>4.13</v>
      </c>
      <c r="S942" s="28">
        <f>IFERROR(INDEX('Clean Gamification Data'!$B:$B,MATCH($B942,'Clean Gamification Data'!$A:$A,0)),"Not Found")</f>
        <v>75</v>
      </c>
      <c r="T942" s="28">
        <f>IFERROR(INDEX('Clean Gamification Data'!$C:$C,MATCH($B942,'Clean Gamification Data'!$A:$A,0)),"Not Found")</f>
        <v>62.467154309999998</v>
      </c>
      <c r="U942" s="28">
        <f>IFERROR(INDEX('Clean Gamification Data'!$D:$D,MATCH($B942,'Clean Gamification Data'!$A:$A,0)),"Not Found")</f>
        <v>72.950602079999996</v>
      </c>
      <c r="V942" s="28">
        <f>IFERROR(INDEX('Clean Gamification Data'!$E:$E,MATCH($B942,'Clean Gamification Data'!$A:$A,0)),"Not Found")</f>
        <v>58.088120279999998</v>
      </c>
      <c r="W942" s="28">
        <f>IFERROR(INDEX('Clean Gamification Data'!$F:$F,MATCH($B942,'Clean Gamification Data'!$A:$A,0)),"Not Found")</f>
        <v>80</v>
      </c>
      <c r="X942" s="28">
        <f>IFERROR(INDEX('Clean Gamification Data'!$G:$G,MATCH($B942,'Clean Gamification Data'!$A:$A,0)),"Not Found")</f>
        <v>78.759160480000006</v>
      </c>
      <c r="Y942" s="28">
        <f>IFERROR(INDEX('Clean Gamification Data'!$H:$H,MATCH($B942,'Clean Gamification Data'!$A:$A,0)),"Not Found")</f>
        <v>75.396529150000006</v>
      </c>
      <c r="Z942" s="28">
        <f>IFERROR(INDEX('Clean Gamification Data'!$I:$I,MATCH($B942,'Clean Gamification Data'!$A:$A,0)),"Not Found")</f>
        <v>50</v>
      </c>
      <c r="AA942" s="28">
        <f>Table1[[#This Row],[Engagement (Gamification %)]]-Table1[[#This Row],[Engagement (Non-Gamification %)]]</f>
        <v>12.532845690000002</v>
      </c>
      <c r="AB942" s="28">
        <f>Table1[[#This Row],[Motivation (Gamification %)]]-Table1[[#This Row],[Motivation (Non-Gamification %)]]</f>
        <v>14.862481799999998</v>
      </c>
      <c r="AC942" s="28">
        <f>Table1[[#This Row],[Participation (Gamification %)]]-Table1[[#This Row],[Participation (Non-Gamification %)]]</f>
        <v>1.2408395199999944</v>
      </c>
      <c r="AD942" s="28">
        <f>Table1[[#This Row],[Learning Outcomes (Gamification %)]]-Table1[[#This Row],[Learning Outcomes (Non-Gamification %)]]</f>
        <v>25.396529150000006</v>
      </c>
      <c r="AE942" s="44" t="str">
        <f>IF(Table1[[#This Row],[Overall Effectiveness]]&lt;3.9,"Low",IF(Table1[[#This Row],[Overall Effectiveness]]&lt;4.2,"Medium","High"))</f>
        <v>Medium</v>
      </c>
      <c r="AF942" s="30" t="str">
        <f t="shared" si="88"/>
        <v>Experiments</v>
      </c>
      <c r="AG942" s="30" t="str">
        <f t="shared" si="89"/>
        <v>Case Studies</v>
      </c>
      <c r="AH942" s="27">
        <f>COUNTIF(Teacher_Master!$D$2:$D$16,AF942)</f>
        <v>3</v>
      </c>
      <c r="AI942" s="30" t="str">
        <f>INDEX(Teacher_Master!$B$2:$B$16,MATCH(AF942,Teacher_Master!$D$2:$D$16,0))</f>
        <v>Prof. Rahul Singh</v>
      </c>
    </row>
    <row r="943" spans="1:35" ht="14.25" customHeight="1" x14ac:dyDescent="0.3">
      <c r="A943" s="31" t="s">
        <v>1925</v>
      </c>
      <c r="B943" s="31" t="s">
        <v>2764</v>
      </c>
      <c r="C943" s="31" t="s">
        <v>2881</v>
      </c>
      <c r="D943" s="12">
        <f t="shared" ca="1" si="84"/>
        <v>26</v>
      </c>
      <c r="E943" s="12" t="str">
        <f ca="1">IF(Table1[[#This Row],[Age]]&lt;=22,"20-22",IF(Table1[[#This Row],[Age]]&lt;=25,"23-25",IF(Table1[[#This Row],[Age]]&lt;=28,"26-28","29-30")))</f>
        <v>26-28</v>
      </c>
      <c r="F943" s="12">
        <v>3.72</v>
      </c>
      <c r="G943" s="12">
        <v>4.1900000000000004</v>
      </c>
      <c r="H943" s="12">
        <v>4.67</v>
      </c>
      <c r="I943" s="12">
        <v>4.21</v>
      </c>
      <c r="J943" s="12">
        <v>3.95</v>
      </c>
      <c r="K943" s="12">
        <v>4.08</v>
      </c>
      <c r="L943" s="12">
        <v>3.8</v>
      </c>
      <c r="M943" s="12">
        <v>3.87</v>
      </c>
      <c r="N943" s="12">
        <v>3.62</v>
      </c>
      <c r="O943" s="12">
        <v>4.2699999999999996</v>
      </c>
      <c r="P943" s="12">
        <f t="shared" si="85"/>
        <v>4.1479999999999997</v>
      </c>
      <c r="Q943" s="12">
        <f t="shared" si="86"/>
        <v>4.1500000000000004</v>
      </c>
      <c r="R943" s="12">
        <f t="shared" si="87"/>
        <v>3.9279999999999999</v>
      </c>
      <c r="S943" s="28">
        <f>IFERROR(INDEX('Clean Gamification Data'!$B:$B,MATCH($B943,'Clean Gamification Data'!$A:$A,0)),"Not Found")</f>
        <v>81.238525859999996</v>
      </c>
      <c r="T943" s="28">
        <f>IFERROR(INDEX('Clean Gamification Data'!$C:$C,MATCH($B943,'Clean Gamification Data'!$A:$A,0)),"Not Found")</f>
        <v>71.472042669999993</v>
      </c>
      <c r="U943" s="28">
        <f>IFERROR(INDEX('Clean Gamification Data'!$D:$D,MATCH($B943,'Clean Gamification Data'!$A:$A,0)),"Not Found")</f>
        <v>80.78534793</v>
      </c>
      <c r="V943" s="28">
        <f>IFERROR(INDEX('Clean Gamification Data'!$E:$E,MATCH($B943,'Clean Gamification Data'!$A:$A,0)),"Not Found")</f>
        <v>63.520866480000002</v>
      </c>
      <c r="W943" s="28">
        <f>IFERROR(INDEX('Clean Gamification Data'!$F:$F,MATCH($B943,'Clean Gamification Data'!$A:$A,0)),"Not Found")</f>
        <v>90.558512019999995</v>
      </c>
      <c r="X943" s="28">
        <f>IFERROR(INDEX('Clean Gamification Data'!$G:$G,MATCH($B943,'Clean Gamification Data'!$A:$A,0)),"Not Found")</f>
        <v>81.348567739999993</v>
      </c>
      <c r="Y943" s="28">
        <f>IFERROR(INDEX('Clean Gamification Data'!$H:$H,MATCH($B943,'Clean Gamification Data'!$A:$A,0)),"Not Found")</f>
        <v>65.508960579999993</v>
      </c>
      <c r="Z943" s="28">
        <f>IFERROR(INDEX('Clean Gamification Data'!$I:$I,MATCH($B943,'Clean Gamification Data'!$A:$A,0)),"Not Found")</f>
        <v>53.259466889999999</v>
      </c>
      <c r="AA943" s="28">
        <f>Table1[[#This Row],[Engagement (Gamification %)]]-Table1[[#This Row],[Engagement (Non-Gamification %)]]</f>
        <v>9.7664831900000024</v>
      </c>
      <c r="AB943" s="28">
        <f>Table1[[#This Row],[Motivation (Gamification %)]]-Table1[[#This Row],[Motivation (Non-Gamification %)]]</f>
        <v>17.264481449999998</v>
      </c>
      <c r="AC943" s="28">
        <f>Table1[[#This Row],[Participation (Gamification %)]]-Table1[[#This Row],[Participation (Non-Gamification %)]]</f>
        <v>9.209944280000002</v>
      </c>
      <c r="AD943" s="28">
        <f>Table1[[#This Row],[Learning Outcomes (Gamification %)]]-Table1[[#This Row],[Learning Outcomes (Non-Gamification %)]]</f>
        <v>12.249493689999994</v>
      </c>
      <c r="AE943" s="44" t="str">
        <f>IF(Table1[[#This Row],[Overall Effectiveness]]&lt;3.9,"Low",IF(Table1[[#This Row],[Overall Effectiveness]]&lt;4.2,"Medium","High"))</f>
        <v>Medium</v>
      </c>
      <c r="AF943" s="30" t="str">
        <f t="shared" si="88"/>
        <v>Group Projects</v>
      </c>
      <c r="AG943" s="30" t="str">
        <f t="shared" si="89"/>
        <v>Online Tutorials</v>
      </c>
      <c r="AH943" s="27">
        <f>COUNTIF(Teacher_Master!$D$2:$D$16,AF943)</f>
        <v>3</v>
      </c>
      <c r="AI943" s="30" t="str">
        <f>INDEX(Teacher_Master!$B$2:$B$16,MATCH(AF943,Teacher_Master!$D$2:$D$16,0))</f>
        <v>Dr. Rohan Dutta</v>
      </c>
    </row>
    <row r="944" spans="1:35" ht="14.25" customHeight="1" x14ac:dyDescent="0.3">
      <c r="A944" s="31" t="s">
        <v>1927</v>
      </c>
      <c r="B944" s="31" t="s">
        <v>2765</v>
      </c>
      <c r="C944" s="31" t="s">
        <v>2882</v>
      </c>
      <c r="D944" s="12">
        <f t="shared" ca="1" si="84"/>
        <v>26</v>
      </c>
      <c r="E944" s="12" t="str">
        <f ca="1">IF(Table1[[#This Row],[Age]]&lt;=22,"20-22",IF(Table1[[#This Row],[Age]]&lt;=25,"23-25",IF(Table1[[#This Row],[Age]]&lt;=28,"26-28","29-30")))</f>
        <v>26-28</v>
      </c>
      <c r="F944" s="12">
        <v>4.0199999999999996</v>
      </c>
      <c r="G944" s="12">
        <v>4.32</v>
      </c>
      <c r="H944" s="12">
        <v>3.75</v>
      </c>
      <c r="I944" s="12">
        <v>4.22</v>
      </c>
      <c r="J944" s="12">
        <v>4.0199999999999996</v>
      </c>
      <c r="K944" s="12">
        <v>4.13</v>
      </c>
      <c r="L944" s="12">
        <v>4.45</v>
      </c>
      <c r="M944" s="12">
        <v>4.3899999999999997</v>
      </c>
      <c r="N944" s="12">
        <v>3.73</v>
      </c>
      <c r="O944" s="12">
        <v>3.99</v>
      </c>
      <c r="P944" s="12">
        <f t="shared" si="85"/>
        <v>4.0659999999999998</v>
      </c>
      <c r="Q944" s="12">
        <f t="shared" si="86"/>
        <v>4.07</v>
      </c>
      <c r="R944" s="12">
        <f t="shared" si="87"/>
        <v>4.1379999999999999</v>
      </c>
      <c r="S944" s="28">
        <f>IFERROR(INDEX('Clean Gamification Data'!$B:$B,MATCH($B944,'Clean Gamification Data'!$A:$A,0)),"Not Found")</f>
        <v>90.931438400000005</v>
      </c>
      <c r="T944" s="28">
        <f>IFERROR(INDEX('Clean Gamification Data'!$C:$C,MATCH($B944,'Clean Gamification Data'!$A:$A,0)),"Not Found")</f>
        <v>69.383181680000007</v>
      </c>
      <c r="U944" s="28">
        <f>IFERROR(INDEX('Clean Gamification Data'!$D:$D,MATCH($B944,'Clean Gamification Data'!$A:$A,0)),"Not Found")</f>
        <v>70.467232199999998</v>
      </c>
      <c r="V944" s="28">
        <f>IFERROR(INDEX('Clean Gamification Data'!$E:$E,MATCH($B944,'Clean Gamification Data'!$A:$A,0)),"Not Found")</f>
        <v>64.102907810000005</v>
      </c>
      <c r="W944" s="28">
        <f>IFERROR(INDEX('Clean Gamification Data'!$F:$F,MATCH($B944,'Clean Gamification Data'!$A:$A,0)),"Not Found")</f>
        <v>90.897253469999995</v>
      </c>
      <c r="X944" s="28">
        <f>IFERROR(INDEX('Clean Gamification Data'!$G:$G,MATCH($B944,'Clean Gamification Data'!$A:$A,0)),"Not Found")</f>
        <v>85</v>
      </c>
      <c r="Y944" s="28">
        <f>IFERROR(INDEX('Clean Gamification Data'!$H:$H,MATCH($B944,'Clean Gamification Data'!$A:$A,0)),"Not Found")</f>
        <v>74.929616820000007</v>
      </c>
      <c r="Z944" s="28">
        <f>IFERROR(INDEX('Clean Gamification Data'!$I:$I,MATCH($B944,'Clean Gamification Data'!$A:$A,0)),"Not Found")</f>
        <v>70</v>
      </c>
      <c r="AA944" s="28">
        <f>Table1[[#This Row],[Engagement (Gamification %)]]-Table1[[#This Row],[Engagement (Non-Gamification %)]]</f>
        <v>21.548256719999998</v>
      </c>
      <c r="AB944" s="28">
        <f>Table1[[#This Row],[Motivation (Gamification %)]]-Table1[[#This Row],[Motivation (Non-Gamification %)]]</f>
        <v>6.3643243899999931</v>
      </c>
      <c r="AC944" s="28">
        <f>Table1[[#This Row],[Participation (Gamification %)]]-Table1[[#This Row],[Participation (Non-Gamification %)]]</f>
        <v>5.8972534699999954</v>
      </c>
      <c r="AD944" s="28">
        <f>Table1[[#This Row],[Learning Outcomes (Gamification %)]]-Table1[[#This Row],[Learning Outcomes (Non-Gamification %)]]</f>
        <v>4.9296168200000068</v>
      </c>
      <c r="AE944" s="44" t="str">
        <f>IF(Table1[[#This Row],[Overall Effectiveness]]&lt;3.9,"Low",IF(Table1[[#This Row],[Overall Effectiveness]]&lt;4.2,"Medium","High"))</f>
        <v>Medium</v>
      </c>
      <c r="AF944" s="30" t="str">
        <f t="shared" si="88"/>
        <v>Case Studies</v>
      </c>
      <c r="AG944" s="30" t="str">
        <f t="shared" si="89"/>
        <v>Case Studies</v>
      </c>
      <c r="AH944" s="27">
        <f>COUNTIF(Teacher_Master!$D$2:$D$16,AF944)</f>
        <v>3</v>
      </c>
      <c r="AI944" s="30" t="str">
        <f>INDEX(Teacher_Master!$B$2:$B$16,MATCH(AF944,Teacher_Master!$D$2:$D$16,0))</f>
        <v>Prof. Rajesh Mukherjee</v>
      </c>
    </row>
    <row r="945" spans="1:35" ht="14.25" customHeight="1" x14ac:dyDescent="0.3">
      <c r="A945" s="31" t="s">
        <v>1929</v>
      </c>
      <c r="B945" s="31" t="s">
        <v>2766</v>
      </c>
      <c r="C945" s="31" t="s">
        <v>2881</v>
      </c>
      <c r="D945" s="12">
        <f t="shared" ca="1" si="84"/>
        <v>25</v>
      </c>
      <c r="E945" s="12" t="str">
        <f ca="1">IF(Table1[[#This Row],[Age]]&lt;=22,"20-22",IF(Table1[[#This Row],[Age]]&lt;=25,"23-25",IF(Table1[[#This Row],[Age]]&lt;=28,"26-28","29-30")))</f>
        <v>23-25</v>
      </c>
      <c r="F945" s="12">
        <v>3.89</v>
      </c>
      <c r="G945" s="12">
        <v>4.01</v>
      </c>
      <c r="H945" s="12">
        <v>4.28</v>
      </c>
      <c r="I945" s="12">
        <v>4.34</v>
      </c>
      <c r="J945" s="12">
        <v>4.28</v>
      </c>
      <c r="K945" s="12">
        <v>3.87</v>
      </c>
      <c r="L945" s="12">
        <v>3.62</v>
      </c>
      <c r="M945" s="12">
        <v>4.17</v>
      </c>
      <c r="N945" s="12">
        <v>4.6500000000000004</v>
      </c>
      <c r="O945" s="12">
        <v>3.71</v>
      </c>
      <c r="P945" s="12">
        <f t="shared" si="85"/>
        <v>4.16</v>
      </c>
      <c r="Q945" s="12">
        <f t="shared" si="86"/>
        <v>4.16</v>
      </c>
      <c r="R945" s="12">
        <f t="shared" si="87"/>
        <v>4.0040000000000004</v>
      </c>
      <c r="S945" s="28">
        <f>IFERROR(INDEX('Clean Gamification Data'!$B:$B,MATCH($B945,'Clean Gamification Data'!$A:$A,0)),"Not Found")</f>
        <v>86.435273879999997</v>
      </c>
      <c r="T945" s="28">
        <f>IFERROR(INDEX('Clean Gamification Data'!$C:$C,MATCH($B945,'Clean Gamification Data'!$A:$A,0)),"Not Found")</f>
        <v>67.690412460000005</v>
      </c>
      <c r="U945" s="28">
        <f>IFERROR(INDEX('Clean Gamification Data'!$D:$D,MATCH($B945,'Clean Gamification Data'!$A:$A,0)),"Not Found")</f>
        <v>76.485659139999996</v>
      </c>
      <c r="V945" s="28">
        <f>IFERROR(INDEX('Clean Gamification Data'!$E:$E,MATCH($B945,'Clean Gamification Data'!$A:$A,0)),"Not Found")</f>
        <v>63.07907514</v>
      </c>
      <c r="W945" s="28">
        <f>IFERROR(INDEX('Clean Gamification Data'!$F:$F,MATCH($B945,'Clean Gamification Data'!$A:$A,0)),"Not Found")</f>
        <v>90.093739389999996</v>
      </c>
      <c r="X945" s="28">
        <f>IFERROR(INDEX('Clean Gamification Data'!$G:$G,MATCH($B945,'Clean Gamification Data'!$A:$A,0)),"Not Found")</f>
        <v>82.811529759999999</v>
      </c>
      <c r="Y945" s="28">
        <f>IFERROR(INDEX('Clean Gamification Data'!$H:$H,MATCH($B945,'Clean Gamification Data'!$A:$A,0)),"Not Found")</f>
        <v>68.011773090000005</v>
      </c>
      <c r="Z945" s="28">
        <f>IFERROR(INDEX('Clean Gamification Data'!$I:$I,MATCH($B945,'Clean Gamification Data'!$A:$A,0)),"Not Found")</f>
        <v>56.745382640000003</v>
      </c>
      <c r="AA945" s="28">
        <f>Table1[[#This Row],[Engagement (Gamification %)]]-Table1[[#This Row],[Engagement (Non-Gamification %)]]</f>
        <v>18.744861419999992</v>
      </c>
      <c r="AB945" s="28">
        <f>Table1[[#This Row],[Motivation (Gamification %)]]-Table1[[#This Row],[Motivation (Non-Gamification %)]]</f>
        <v>13.406583999999995</v>
      </c>
      <c r="AC945" s="28">
        <f>Table1[[#This Row],[Participation (Gamification %)]]-Table1[[#This Row],[Participation (Non-Gamification %)]]</f>
        <v>7.282209629999997</v>
      </c>
      <c r="AD945" s="28">
        <f>Table1[[#This Row],[Learning Outcomes (Gamification %)]]-Table1[[#This Row],[Learning Outcomes (Non-Gamification %)]]</f>
        <v>11.266390450000003</v>
      </c>
      <c r="AE945" s="44" t="str">
        <f>IF(Table1[[#This Row],[Overall Effectiveness]]&lt;3.9,"Low",IF(Table1[[#This Row],[Overall Effectiveness]]&lt;4.2,"Medium","High"))</f>
        <v>Medium</v>
      </c>
      <c r="AF945" s="30" t="str">
        <f t="shared" si="88"/>
        <v>Experiments</v>
      </c>
      <c r="AG945" s="30" t="str">
        <f t="shared" si="89"/>
        <v>Experiments</v>
      </c>
      <c r="AH945" s="27">
        <f>COUNTIF(Teacher_Master!$D$2:$D$16,AF945)</f>
        <v>3</v>
      </c>
      <c r="AI945" s="30" t="str">
        <f>INDEX(Teacher_Master!$B$2:$B$16,MATCH(AF945,Teacher_Master!$D$2:$D$16,0))</f>
        <v>Prof. Rahul Singh</v>
      </c>
    </row>
    <row r="946" spans="1:35" ht="14.25" customHeight="1" x14ac:dyDescent="0.3">
      <c r="A946" s="31" t="s">
        <v>1931</v>
      </c>
      <c r="B946" s="31" t="s">
        <v>2767</v>
      </c>
      <c r="C946" s="31" t="s">
        <v>2881</v>
      </c>
      <c r="D946" s="12">
        <f t="shared" ca="1" si="84"/>
        <v>27</v>
      </c>
      <c r="E946" s="12" t="str">
        <f ca="1">IF(Table1[[#This Row],[Age]]&lt;=22,"20-22",IF(Table1[[#This Row],[Age]]&lt;=25,"23-25",IF(Table1[[#This Row],[Age]]&lt;=28,"26-28","29-30")))</f>
        <v>26-28</v>
      </c>
      <c r="F946" s="12">
        <v>4.33</v>
      </c>
      <c r="G946" s="12">
        <v>4.12</v>
      </c>
      <c r="H946" s="12">
        <v>4.4800000000000004</v>
      </c>
      <c r="I946" s="12">
        <v>4.1500000000000004</v>
      </c>
      <c r="J946" s="12">
        <v>3.95</v>
      </c>
      <c r="K946" s="12">
        <v>3.47</v>
      </c>
      <c r="L946" s="12">
        <v>4.3600000000000003</v>
      </c>
      <c r="M946" s="12">
        <v>4.28</v>
      </c>
      <c r="N946" s="12" t="s">
        <v>211</v>
      </c>
      <c r="O946" s="12">
        <v>3.76</v>
      </c>
      <c r="P946" s="12">
        <f t="shared" si="85"/>
        <v>4.2059999999999995</v>
      </c>
      <c r="Q946" s="12">
        <f t="shared" si="86"/>
        <v>4.21</v>
      </c>
      <c r="R946" s="12">
        <f t="shared" si="87"/>
        <v>3.9674999999999998</v>
      </c>
      <c r="S946" s="28">
        <f>IFERROR(INDEX('Clean Gamification Data'!$B:$B,MATCH($B946,'Clean Gamification Data'!$A:$A,0)),"Not Found")</f>
        <v>78.865346459999998</v>
      </c>
      <c r="T946" s="28">
        <f>IFERROR(INDEX('Clean Gamification Data'!$C:$C,MATCH($B946,'Clean Gamification Data'!$A:$A,0)),"Not Found")</f>
        <v>77.622070390000005</v>
      </c>
      <c r="U946" s="28">
        <f>IFERROR(INDEX('Clean Gamification Data'!$D:$D,MATCH($B946,'Clean Gamification Data'!$A:$A,0)),"Not Found")</f>
        <v>73.002373509999998</v>
      </c>
      <c r="V946" s="28">
        <f>IFERROR(INDEX('Clean Gamification Data'!$E:$E,MATCH($B946,'Clean Gamification Data'!$A:$A,0)),"Not Found")</f>
        <v>66.458000470000002</v>
      </c>
      <c r="W946" s="28">
        <f>IFERROR(INDEX('Clean Gamification Data'!$F:$F,MATCH($B946,'Clean Gamification Data'!$A:$A,0)),"Not Found")</f>
        <v>95.079061710000005</v>
      </c>
      <c r="X946" s="28">
        <f>IFERROR(INDEX('Clean Gamification Data'!$G:$G,MATCH($B946,'Clean Gamification Data'!$A:$A,0)),"Not Found")</f>
        <v>72.768507200000002</v>
      </c>
      <c r="Y946" s="28">
        <f>IFERROR(INDEX('Clean Gamification Data'!$H:$H,MATCH($B946,'Clean Gamification Data'!$A:$A,0)),"Not Found")</f>
        <v>70.864608419999996</v>
      </c>
      <c r="Z946" s="28">
        <f>IFERROR(INDEX('Clean Gamification Data'!$I:$I,MATCH($B946,'Clean Gamification Data'!$A:$A,0)),"Not Found")</f>
        <v>63.448417050000003</v>
      </c>
      <c r="AA946" s="28">
        <f>Table1[[#This Row],[Engagement (Gamification %)]]-Table1[[#This Row],[Engagement (Non-Gamification %)]]</f>
        <v>1.2432760699999932</v>
      </c>
      <c r="AB946" s="28">
        <f>Table1[[#This Row],[Motivation (Gamification %)]]-Table1[[#This Row],[Motivation (Non-Gamification %)]]</f>
        <v>6.5443730399999964</v>
      </c>
      <c r="AC946" s="28">
        <f>Table1[[#This Row],[Participation (Gamification %)]]-Table1[[#This Row],[Participation (Non-Gamification %)]]</f>
        <v>22.310554510000003</v>
      </c>
      <c r="AD946" s="28">
        <f>Table1[[#This Row],[Learning Outcomes (Gamification %)]]-Table1[[#This Row],[Learning Outcomes (Non-Gamification %)]]</f>
        <v>7.4161913699999928</v>
      </c>
      <c r="AE946" s="44" t="str">
        <f>IF(Table1[[#This Row],[Overall Effectiveness]]&lt;3.9,"Low",IF(Table1[[#This Row],[Overall Effectiveness]]&lt;4.2,"Medium","High"))</f>
        <v>High</v>
      </c>
      <c r="AF946" s="30" t="str">
        <f t="shared" si="88"/>
        <v>Group Projects</v>
      </c>
      <c r="AG946" s="30" t="str">
        <f t="shared" si="89"/>
        <v>Case Studies</v>
      </c>
      <c r="AH946" s="27">
        <f>COUNTIF(Teacher_Master!$D$2:$D$16,AF946)</f>
        <v>3</v>
      </c>
      <c r="AI946" s="30" t="str">
        <f>INDEX(Teacher_Master!$B$2:$B$16,MATCH(AF946,Teacher_Master!$D$2:$D$16,0))</f>
        <v>Dr. Rohan Dutta</v>
      </c>
    </row>
    <row r="947" spans="1:35" ht="14.25" customHeight="1" x14ac:dyDescent="0.3">
      <c r="A947" s="31" t="s">
        <v>1933</v>
      </c>
      <c r="B947" s="31" t="s">
        <v>1934</v>
      </c>
      <c r="C947" s="31" t="s">
        <v>2882</v>
      </c>
      <c r="D947" s="12">
        <f t="shared" ca="1" si="84"/>
        <v>26</v>
      </c>
      <c r="E947" s="12" t="str">
        <f ca="1">IF(Table1[[#This Row],[Age]]&lt;=22,"20-22",IF(Table1[[#This Row],[Age]]&lt;=25,"23-25",IF(Table1[[#This Row],[Age]]&lt;=28,"26-28","29-30")))</f>
        <v>26-28</v>
      </c>
      <c r="F947" s="12">
        <v>3.88</v>
      </c>
      <c r="G947" s="12">
        <v>4.17</v>
      </c>
      <c r="H947" s="12">
        <v>4.04</v>
      </c>
      <c r="I947" s="12">
        <v>3.54</v>
      </c>
      <c r="J947" s="12">
        <v>4.04</v>
      </c>
      <c r="K947" s="12">
        <v>3.92</v>
      </c>
      <c r="L947" s="12">
        <v>4.76</v>
      </c>
      <c r="M947" s="12" t="s">
        <v>211</v>
      </c>
      <c r="N947" s="12">
        <v>4.16</v>
      </c>
      <c r="O947" s="12">
        <v>3.65</v>
      </c>
      <c r="P947" s="12">
        <f t="shared" si="85"/>
        <v>3.9339999999999997</v>
      </c>
      <c r="Q947" s="12">
        <f t="shared" si="86"/>
        <v>3.93</v>
      </c>
      <c r="R947" s="12">
        <f t="shared" si="87"/>
        <v>4.1224999999999996</v>
      </c>
      <c r="S947" s="28">
        <f>IFERROR(INDEX('Clean Gamification Data'!$B:$B,MATCH($B947,'Clean Gamification Data'!$A:$A,0)),"Not Found")</f>
        <v>90.167176600000005</v>
      </c>
      <c r="T947" s="28">
        <f>IFERROR(INDEX('Clean Gamification Data'!$C:$C,MATCH($B947,'Clean Gamification Data'!$A:$A,0)),"Not Found")</f>
        <v>63.096508630000002</v>
      </c>
      <c r="U947" s="28">
        <f>IFERROR(INDEX('Clean Gamification Data'!$D:$D,MATCH($B947,'Clean Gamification Data'!$A:$A,0)),"Not Found")</f>
        <v>79.275376769999994</v>
      </c>
      <c r="V947" s="28">
        <f>IFERROR(INDEX('Clean Gamification Data'!$E:$E,MATCH($B947,'Clean Gamification Data'!$A:$A,0)),"Not Found")</f>
        <v>67.998458740000004</v>
      </c>
      <c r="W947" s="28">
        <f>IFERROR(INDEX('Clean Gamification Data'!$F:$F,MATCH($B947,'Clean Gamification Data'!$A:$A,0)),"Not Found")</f>
        <v>80</v>
      </c>
      <c r="X947" s="28">
        <f>IFERROR(INDEX('Clean Gamification Data'!$G:$G,MATCH($B947,'Clean Gamification Data'!$A:$A,0)),"Not Found")</f>
        <v>69.220318680000005</v>
      </c>
      <c r="Y947" s="28">
        <f>IFERROR(INDEX('Clean Gamification Data'!$H:$H,MATCH($B947,'Clean Gamification Data'!$A:$A,0)),"Not Found")</f>
        <v>66.322540419999996</v>
      </c>
      <c r="Z947" s="28">
        <f>IFERROR(INDEX('Clean Gamification Data'!$I:$I,MATCH($B947,'Clean Gamification Data'!$A:$A,0)),"Not Found")</f>
        <v>50</v>
      </c>
      <c r="AA947" s="28">
        <f>Table1[[#This Row],[Engagement (Gamification %)]]-Table1[[#This Row],[Engagement (Non-Gamification %)]]</f>
        <v>27.070667970000002</v>
      </c>
      <c r="AB947" s="28">
        <f>Table1[[#This Row],[Motivation (Gamification %)]]-Table1[[#This Row],[Motivation (Non-Gamification %)]]</f>
        <v>11.27691802999999</v>
      </c>
      <c r="AC947" s="28">
        <f>Table1[[#This Row],[Participation (Gamification %)]]-Table1[[#This Row],[Participation (Non-Gamification %)]]</f>
        <v>10.779681319999995</v>
      </c>
      <c r="AD947" s="28">
        <f>Table1[[#This Row],[Learning Outcomes (Gamification %)]]-Table1[[#This Row],[Learning Outcomes (Non-Gamification %)]]</f>
        <v>16.322540419999996</v>
      </c>
      <c r="AE947" s="44" t="str">
        <f>IF(Table1[[#This Row],[Overall Effectiveness]]&lt;3.9,"Low",IF(Table1[[#This Row],[Overall Effectiveness]]&lt;4.2,"Medium","High"))</f>
        <v>Medium</v>
      </c>
      <c r="AF947" s="30" t="str">
        <f t="shared" si="88"/>
        <v>Case Studies</v>
      </c>
      <c r="AG947" s="30" t="str">
        <f t="shared" si="89"/>
        <v>Case Studies</v>
      </c>
      <c r="AH947" s="27">
        <f>COUNTIF(Teacher_Master!$D$2:$D$16,AF947)</f>
        <v>3</v>
      </c>
      <c r="AI947" s="30" t="str">
        <f>INDEX(Teacher_Master!$B$2:$B$16,MATCH(AF947,Teacher_Master!$D$2:$D$16,0))</f>
        <v>Prof. Rajesh Mukherjee</v>
      </c>
    </row>
    <row r="948" spans="1:35" ht="14.25" customHeight="1" x14ac:dyDescent="0.3">
      <c r="A948" s="31" t="s">
        <v>1935</v>
      </c>
      <c r="B948" s="31" t="s">
        <v>2768</v>
      </c>
      <c r="C948" s="31" t="s">
        <v>2882</v>
      </c>
      <c r="D948" s="12">
        <f t="shared" ca="1" si="84"/>
        <v>24</v>
      </c>
      <c r="E948" s="12" t="str">
        <f ca="1">IF(Table1[[#This Row],[Age]]&lt;=22,"20-22",IF(Table1[[#This Row],[Age]]&lt;=25,"23-25",IF(Table1[[#This Row],[Age]]&lt;=28,"26-28","29-30")))</f>
        <v>23-25</v>
      </c>
      <c r="F948" s="12">
        <v>3.5</v>
      </c>
      <c r="G948" s="12">
        <v>3.91</v>
      </c>
      <c r="H948" s="12">
        <v>4.0199999999999996</v>
      </c>
      <c r="I948" s="12">
        <v>3.95</v>
      </c>
      <c r="J948" s="12">
        <v>3.85</v>
      </c>
      <c r="K948" s="12">
        <v>3.95</v>
      </c>
      <c r="L948" s="12">
        <v>4.29</v>
      </c>
      <c r="M948" s="12">
        <v>3.95</v>
      </c>
      <c r="N948" s="12">
        <v>3.97</v>
      </c>
      <c r="O948" s="12">
        <v>3.86</v>
      </c>
      <c r="P948" s="12">
        <f t="shared" si="85"/>
        <v>3.8460000000000001</v>
      </c>
      <c r="Q948" s="12">
        <f t="shared" si="86"/>
        <v>3.85</v>
      </c>
      <c r="R948" s="12">
        <f t="shared" si="87"/>
        <v>4.0039999999999996</v>
      </c>
      <c r="S948" s="28">
        <f>IFERROR(INDEX('Clean Gamification Data'!$B:$B,MATCH($B948,'Clean Gamification Data'!$A:$A,0)),"Not Found")</f>
        <v>85.290467699999994</v>
      </c>
      <c r="T948" s="28">
        <f>IFERROR(INDEX('Clean Gamification Data'!$C:$C,MATCH($B948,'Clean Gamification Data'!$A:$A,0)),"Not Found")</f>
        <v>77.571848739999993</v>
      </c>
      <c r="U948" s="28">
        <f>IFERROR(INDEX('Clean Gamification Data'!$D:$D,MATCH($B948,'Clean Gamification Data'!$A:$A,0)),"Not Found")</f>
        <v>72.573155619999994</v>
      </c>
      <c r="V948" s="28">
        <f>IFERROR(INDEX('Clean Gamification Data'!$E:$E,MATCH($B948,'Clean Gamification Data'!$A:$A,0)),"Not Found")</f>
        <v>73.826241179999997</v>
      </c>
      <c r="W948" s="28">
        <f>IFERROR(INDEX('Clean Gamification Data'!$F:$F,MATCH($B948,'Clean Gamification Data'!$A:$A,0)),"Not Found")</f>
        <v>94.961321999999996</v>
      </c>
      <c r="X948" s="28">
        <f>IFERROR(INDEX('Clean Gamification Data'!$G:$G,MATCH($B948,'Clean Gamification Data'!$A:$A,0)),"Not Found")</f>
        <v>75.826538630000002</v>
      </c>
      <c r="Y948" s="28">
        <f>IFERROR(INDEX('Clean Gamification Data'!$H:$H,MATCH($B948,'Clean Gamification Data'!$A:$A,0)),"Not Found")</f>
        <v>66.730138120000007</v>
      </c>
      <c r="Z948" s="28">
        <f>IFERROR(INDEX('Clean Gamification Data'!$I:$I,MATCH($B948,'Clean Gamification Data'!$A:$A,0)),"Not Found")</f>
        <v>70</v>
      </c>
      <c r="AA948" s="28">
        <f>Table1[[#This Row],[Engagement (Gamification %)]]-Table1[[#This Row],[Engagement (Non-Gamification %)]]</f>
        <v>7.7186189600000006</v>
      </c>
      <c r="AB948" s="28">
        <f>Table1[[#This Row],[Motivation (Gamification %)]]-Table1[[#This Row],[Motivation (Non-Gamification %)]]</f>
        <v>-1.2530855600000024</v>
      </c>
      <c r="AC948" s="28">
        <f>Table1[[#This Row],[Participation (Gamification %)]]-Table1[[#This Row],[Participation (Non-Gamification %)]]</f>
        <v>19.134783369999994</v>
      </c>
      <c r="AD948" s="28">
        <f>Table1[[#This Row],[Learning Outcomes (Gamification %)]]-Table1[[#This Row],[Learning Outcomes (Non-Gamification %)]]</f>
        <v>-3.2698618799999934</v>
      </c>
      <c r="AE948" s="44" t="str">
        <f>IF(Table1[[#This Row],[Overall Effectiveness]]&lt;3.9,"Low",IF(Table1[[#This Row],[Overall Effectiveness]]&lt;4.2,"Medium","High"))</f>
        <v>Low</v>
      </c>
      <c r="AF948" s="30" t="str">
        <f t="shared" si="88"/>
        <v>Group Projects</v>
      </c>
      <c r="AG948" s="30" t="str">
        <f t="shared" si="89"/>
        <v>Case Studies</v>
      </c>
      <c r="AH948" s="27">
        <f>COUNTIF(Teacher_Master!$D$2:$D$16,AF948)</f>
        <v>3</v>
      </c>
      <c r="AI948" s="30" t="str">
        <f>INDEX(Teacher_Master!$B$2:$B$16,MATCH(AF948,Teacher_Master!$D$2:$D$16,0))</f>
        <v>Dr. Rohan Dutta</v>
      </c>
    </row>
    <row r="949" spans="1:35" ht="14.25" customHeight="1" x14ac:dyDescent="0.3">
      <c r="A949" s="31" t="s">
        <v>1937</v>
      </c>
      <c r="B949" s="31" t="s">
        <v>2769</v>
      </c>
      <c r="C949" s="31" t="s">
        <v>2882</v>
      </c>
      <c r="D949" s="12">
        <f t="shared" ca="1" si="84"/>
        <v>27</v>
      </c>
      <c r="E949" s="12" t="str">
        <f ca="1">IF(Table1[[#This Row],[Age]]&lt;=22,"20-22",IF(Table1[[#This Row],[Age]]&lt;=25,"23-25",IF(Table1[[#This Row],[Age]]&lt;=28,"26-28","29-30")))</f>
        <v>26-28</v>
      </c>
      <c r="F949" s="12">
        <v>3.49</v>
      </c>
      <c r="G949" s="12">
        <v>3.62</v>
      </c>
      <c r="H949" s="12">
        <v>3.94</v>
      </c>
      <c r="I949" s="12">
        <v>3.82</v>
      </c>
      <c r="J949" s="12">
        <v>4</v>
      </c>
      <c r="K949" s="12">
        <v>4.08</v>
      </c>
      <c r="L949" s="12">
        <v>3.91</v>
      </c>
      <c r="M949" s="12">
        <v>4.1399999999999997</v>
      </c>
      <c r="N949" s="12">
        <v>4</v>
      </c>
      <c r="O949" s="12">
        <v>4.4800000000000004</v>
      </c>
      <c r="P949" s="12">
        <f t="shared" si="85"/>
        <v>3.774</v>
      </c>
      <c r="Q949" s="12">
        <f t="shared" si="86"/>
        <v>3.77</v>
      </c>
      <c r="R949" s="12">
        <f t="shared" si="87"/>
        <v>4.1219999999999999</v>
      </c>
      <c r="S949" s="28">
        <f>IFERROR(INDEX('Clean Gamification Data'!$B:$B,MATCH($B949,'Clean Gamification Data'!$A:$A,0)),"Not Found")</f>
        <v>81.068729149999996</v>
      </c>
      <c r="T949" s="28">
        <f>IFERROR(INDEX('Clean Gamification Data'!$C:$C,MATCH($B949,'Clean Gamification Data'!$A:$A,0)),"Not Found")</f>
        <v>67.600103720000007</v>
      </c>
      <c r="U949" s="28">
        <f>IFERROR(INDEX('Clean Gamification Data'!$D:$D,MATCH($B949,'Clean Gamification Data'!$A:$A,0)),"Not Found")</f>
        <v>84.961603199999999</v>
      </c>
      <c r="V949" s="28">
        <f>IFERROR(INDEX('Clean Gamification Data'!$E:$E,MATCH($B949,'Clean Gamification Data'!$A:$A,0)),"Not Found")</f>
        <v>65.623738889999998</v>
      </c>
      <c r="W949" s="28">
        <f>IFERROR(INDEX('Clean Gamification Data'!$F:$F,MATCH($B949,'Clean Gamification Data'!$A:$A,0)),"Not Found")</f>
        <v>92.710593009999997</v>
      </c>
      <c r="X949" s="28">
        <f>IFERROR(INDEX('Clean Gamification Data'!$G:$G,MATCH($B949,'Clean Gamification Data'!$A:$A,0)),"Not Found")</f>
        <v>84.144577650000002</v>
      </c>
      <c r="Y949" s="28">
        <f>IFERROR(INDEX('Clean Gamification Data'!$H:$H,MATCH($B949,'Clean Gamification Data'!$A:$A,0)),"Not Found")</f>
        <v>75.710123339999996</v>
      </c>
      <c r="Z949" s="28">
        <f>IFERROR(INDEX('Clean Gamification Data'!$I:$I,MATCH($B949,'Clean Gamification Data'!$A:$A,0)),"Not Found")</f>
        <v>53.198561210000001</v>
      </c>
      <c r="AA949" s="28">
        <f>Table1[[#This Row],[Engagement (Gamification %)]]-Table1[[#This Row],[Engagement (Non-Gamification %)]]</f>
        <v>13.468625429999989</v>
      </c>
      <c r="AB949" s="28">
        <f>Table1[[#This Row],[Motivation (Gamification %)]]-Table1[[#This Row],[Motivation (Non-Gamification %)]]</f>
        <v>19.337864310000001</v>
      </c>
      <c r="AC949" s="28">
        <f>Table1[[#This Row],[Participation (Gamification %)]]-Table1[[#This Row],[Participation (Non-Gamification %)]]</f>
        <v>8.5660153599999944</v>
      </c>
      <c r="AD949" s="28">
        <f>Table1[[#This Row],[Learning Outcomes (Gamification %)]]-Table1[[#This Row],[Learning Outcomes (Non-Gamification %)]]</f>
        <v>22.511562129999994</v>
      </c>
      <c r="AE949" s="44" t="str">
        <f>IF(Table1[[#This Row],[Overall Effectiveness]]&lt;3.9,"Low",IF(Table1[[#This Row],[Overall Effectiveness]]&lt;4.2,"Medium","High"))</f>
        <v>Low</v>
      </c>
      <c r="AF949" s="30" t="str">
        <f t="shared" si="88"/>
        <v>Online Tutorials</v>
      </c>
      <c r="AG949" s="30" t="str">
        <f t="shared" si="89"/>
        <v>Online Tutorials</v>
      </c>
      <c r="AH949" s="27">
        <f>COUNTIF(Teacher_Master!$D$2:$D$16,AF949)</f>
        <v>3</v>
      </c>
      <c r="AI949" s="30" t="str">
        <f>INDEX(Teacher_Master!$B$2:$B$16,MATCH(AF949,Teacher_Master!$D$2:$D$16,0))</f>
        <v>Prof. Kavita Rao</v>
      </c>
    </row>
    <row r="950" spans="1:35" ht="14.25" customHeight="1" x14ac:dyDescent="0.3">
      <c r="A950" s="31" t="s">
        <v>1939</v>
      </c>
      <c r="B950" s="31" t="s">
        <v>2770</v>
      </c>
      <c r="C950" s="31" t="s">
        <v>2882</v>
      </c>
      <c r="D950" s="12">
        <f t="shared" ca="1" si="84"/>
        <v>20</v>
      </c>
      <c r="E950" s="12" t="str">
        <f ca="1">IF(Table1[[#This Row],[Age]]&lt;=22,"20-22",IF(Table1[[#This Row],[Age]]&lt;=25,"23-25",IF(Table1[[#This Row],[Age]]&lt;=28,"26-28","29-30")))</f>
        <v>20-22</v>
      </c>
      <c r="F950" s="12">
        <v>4.0599999999999996</v>
      </c>
      <c r="G950" s="12">
        <v>4.1100000000000003</v>
      </c>
      <c r="H950" s="12">
        <v>4</v>
      </c>
      <c r="I950" s="12">
        <v>4.1500000000000004</v>
      </c>
      <c r="J950" s="12">
        <v>3.93</v>
      </c>
      <c r="K950" s="12">
        <v>4.54</v>
      </c>
      <c r="L950" s="12">
        <v>4.25</v>
      </c>
      <c r="M950" s="12">
        <v>3.67</v>
      </c>
      <c r="N950" s="12">
        <v>3.86</v>
      </c>
      <c r="O950" s="12">
        <v>3.84</v>
      </c>
      <c r="P950" s="12">
        <f t="shared" si="85"/>
        <v>4.05</v>
      </c>
      <c r="Q950" s="12">
        <f t="shared" si="86"/>
        <v>4.05</v>
      </c>
      <c r="R950" s="12">
        <f t="shared" si="87"/>
        <v>4.032</v>
      </c>
      <c r="S950" s="28">
        <f>IFERROR(INDEX('Clean Gamification Data'!$B:$B,MATCH($B950,'Clean Gamification Data'!$A:$A,0)),"Not Found")</f>
        <v>89.783421559999994</v>
      </c>
      <c r="T950" s="28">
        <f>IFERROR(INDEX('Clean Gamification Data'!$C:$C,MATCH($B950,'Clean Gamification Data'!$A:$A,0)),"Not Found")</f>
        <v>72.248315259999998</v>
      </c>
      <c r="U950" s="28">
        <f>IFERROR(INDEX('Clean Gamification Data'!$D:$D,MATCH($B950,'Clean Gamification Data'!$A:$A,0)),"Not Found")</f>
        <v>85.446529519999999</v>
      </c>
      <c r="V950" s="28">
        <f>IFERROR(INDEX('Clean Gamification Data'!$E:$E,MATCH($B950,'Clean Gamification Data'!$A:$A,0)),"Not Found")</f>
        <v>56.748719880000003</v>
      </c>
      <c r="W950" s="28">
        <f>IFERROR(INDEX('Clean Gamification Data'!$F:$F,MATCH($B950,'Clean Gamification Data'!$A:$A,0)),"Not Found")</f>
        <v>88.235758680000004</v>
      </c>
      <c r="X950" s="28">
        <f>IFERROR(INDEX('Clean Gamification Data'!$G:$G,MATCH($B950,'Clean Gamification Data'!$A:$A,0)),"Not Found")</f>
        <v>68.896230059999994</v>
      </c>
      <c r="Y950" s="28">
        <f>IFERROR(INDEX('Clean Gamification Data'!$H:$H,MATCH($B950,'Clean Gamification Data'!$A:$A,0)),"Not Found")</f>
        <v>66.107404360000004</v>
      </c>
      <c r="Z950" s="28">
        <f>IFERROR(INDEX('Clean Gamification Data'!$I:$I,MATCH($B950,'Clean Gamification Data'!$A:$A,0)),"Not Found")</f>
        <v>60.4827522</v>
      </c>
      <c r="AA950" s="28">
        <f>Table1[[#This Row],[Engagement (Gamification %)]]-Table1[[#This Row],[Engagement (Non-Gamification %)]]</f>
        <v>17.535106299999995</v>
      </c>
      <c r="AB950" s="28">
        <f>Table1[[#This Row],[Motivation (Gamification %)]]-Table1[[#This Row],[Motivation (Non-Gamification %)]]</f>
        <v>28.697809639999996</v>
      </c>
      <c r="AC950" s="28">
        <f>Table1[[#This Row],[Participation (Gamification %)]]-Table1[[#This Row],[Participation (Non-Gamification %)]]</f>
        <v>19.33952862000001</v>
      </c>
      <c r="AD950" s="28">
        <f>Table1[[#This Row],[Learning Outcomes (Gamification %)]]-Table1[[#This Row],[Learning Outcomes (Non-Gamification %)]]</f>
        <v>5.6246521600000037</v>
      </c>
      <c r="AE950" s="44" t="str">
        <f>IF(Table1[[#This Row],[Overall Effectiveness]]&lt;3.9,"Low",IF(Table1[[#This Row],[Overall Effectiveness]]&lt;4.2,"Medium","High"))</f>
        <v>Medium</v>
      </c>
      <c r="AF950" s="30" t="str">
        <f t="shared" si="88"/>
        <v>Experiments</v>
      </c>
      <c r="AG950" s="30" t="str">
        <f t="shared" si="89"/>
        <v>Lectures</v>
      </c>
      <c r="AH950" s="27">
        <f>COUNTIF(Teacher_Master!$D$2:$D$16,AF950)</f>
        <v>3</v>
      </c>
      <c r="AI950" s="30" t="str">
        <f>INDEX(Teacher_Master!$B$2:$B$16,MATCH(AF950,Teacher_Master!$D$2:$D$16,0))</f>
        <v>Prof. Rahul Singh</v>
      </c>
    </row>
    <row r="951" spans="1:35" ht="14.25" customHeight="1" x14ac:dyDescent="0.3">
      <c r="A951" s="31" t="s">
        <v>1941</v>
      </c>
      <c r="B951" s="31" t="s">
        <v>2771</v>
      </c>
      <c r="C951" s="31" t="s">
        <v>2882</v>
      </c>
      <c r="D951" s="12">
        <f t="shared" ca="1" si="84"/>
        <v>23</v>
      </c>
      <c r="E951" s="12" t="str">
        <f ca="1">IF(Table1[[#This Row],[Age]]&lt;=22,"20-22",IF(Table1[[#This Row],[Age]]&lt;=25,"23-25",IF(Table1[[#This Row],[Age]]&lt;=28,"26-28","29-30")))</f>
        <v>23-25</v>
      </c>
      <c r="F951" s="12">
        <v>4.0999999999999996</v>
      </c>
      <c r="G951" s="12">
        <v>4.03</v>
      </c>
      <c r="H951" s="12">
        <v>3.89</v>
      </c>
      <c r="I951" s="12">
        <v>4.3</v>
      </c>
      <c r="J951" s="12">
        <v>3.72</v>
      </c>
      <c r="K951" s="12">
        <v>4.17</v>
      </c>
      <c r="L951" s="12">
        <v>4.04</v>
      </c>
      <c r="M951" s="12">
        <v>3.83</v>
      </c>
      <c r="N951" s="12">
        <v>3.9</v>
      </c>
      <c r="O951" s="12">
        <v>3.6</v>
      </c>
      <c r="P951" s="12">
        <f t="shared" si="85"/>
        <v>4.008</v>
      </c>
      <c r="Q951" s="12">
        <f t="shared" si="86"/>
        <v>4.01</v>
      </c>
      <c r="R951" s="12">
        <f t="shared" si="87"/>
        <v>3.9080000000000004</v>
      </c>
      <c r="S951" s="28">
        <f>IFERROR(INDEX('Clean Gamification Data'!$B:$B,MATCH($B951,'Clean Gamification Data'!$A:$A,0)),"Not Found")</f>
        <v>87.857906670000006</v>
      </c>
      <c r="T951" s="28">
        <f>IFERROR(INDEX('Clean Gamification Data'!$C:$C,MATCH($B951,'Clean Gamification Data'!$A:$A,0)),"Not Found")</f>
        <v>69.70758988</v>
      </c>
      <c r="U951" s="28">
        <f>IFERROR(INDEX('Clean Gamification Data'!$D:$D,MATCH($B951,'Clean Gamification Data'!$A:$A,0)),"Not Found")</f>
        <v>79.396915079999999</v>
      </c>
      <c r="V951" s="28">
        <f>IFERROR(INDEX('Clean Gamification Data'!$E:$E,MATCH($B951,'Clean Gamification Data'!$A:$A,0)),"Not Found")</f>
        <v>75</v>
      </c>
      <c r="W951" s="28">
        <f>IFERROR(INDEX('Clean Gamification Data'!$F:$F,MATCH($B951,'Clean Gamification Data'!$A:$A,0)),"Not Found")</f>
        <v>80</v>
      </c>
      <c r="X951" s="28">
        <f>IFERROR(INDEX('Clean Gamification Data'!$G:$G,MATCH($B951,'Clean Gamification Data'!$A:$A,0)),"Not Found")</f>
        <v>74.780694159999996</v>
      </c>
      <c r="Y951" s="28">
        <f>IFERROR(INDEX('Clean Gamification Data'!$H:$H,MATCH($B951,'Clean Gamification Data'!$A:$A,0)),"Not Found")</f>
        <v>75.324626570000007</v>
      </c>
      <c r="Z951" s="28">
        <f>IFERROR(INDEX('Clean Gamification Data'!$I:$I,MATCH($B951,'Clean Gamification Data'!$A:$A,0)),"Not Found")</f>
        <v>53.220287650000003</v>
      </c>
      <c r="AA951" s="28">
        <f>Table1[[#This Row],[Engagement (Gamification %)]]-Table1[[#This Row],[Engagement (Non-Gamification %)]]</f>
        <v>18.150316790000005</v>
      </c>
      <c r="AB951" s="28">
        <f>Table1[[#This Row],[Motivation (Gamification %)]]-Table1[[#This Row],[Motivation (Non-Gamification %)]]</f>
        <v>4.3969150799999994</v>
      </c>
      <c r="AC951" s="28">
        <f>Table1[[#This Row],[Participation (Gamification %)]]-Table1[[#This Row],[Participation (Non-Gamification %)]]</f>
        <v>5.2193058400000041</v>
      </c>
      <c r="AD951" s="28">
        <f>Table1[[#This Row],[Learning Outcomes (Gamification %)]]-Table1[[#This Row],[Learning Outcomes (Non-Gamification %)]]</f>
        <v>22.104338920000004</v>
      </c>
      <c r="AE951" s="44" t="str">
        <f>IF(Table1[[#This Row],[Overall Effectiveness]]&lt;3.9,"Low",IF(Table1[[#This Row],[Overall Effectiveness]]&lt;4.2,"Medium","High"))</f>
        <v>Medium</v>
      </c>
      <c r="AF951" s="30" t="str">
        <f t="shared" si="88"/>
        <v>Experiments</v>
      </c>
      <c r="AG951" s="30" t="str">
        <f t="shared" si="89"/>
        <v>Lectures</v>
      </c>
      <c r="AH951" s="27">
        <f>COUNTIF(Teacher_Master!$D$2:$D$16,AF951)</f>
        <v>3</v>
      </c>
      <c r="AI951" s="30" t="str">
        <f>INDEX(Teacher_Master!$B$2:$B$16,MATCH(AF951,Teacher_Master!$D$2:$D$16,0))</f>
        <v>Prof. Rahul Singh</v>
      </c>
    </row>
    <row r="952" spans="1:35" ht="14.25" customHeight="1" x14ac:dyDescent="0.3">
      <c r="A952" s="31" t="s">
        <v>1943</v>
      </c>
      <c r="B952" s="31" t="s">
        <v>2772</v>
      </c>
      <c r="C952" s="31" t="s">
        <v>2881</v>
      </c>
      <c r="D952" s="12">
        <f t="shared" ca="1" si="84"/>
        <v>22</v>
      </c>
      <c r="E952" s="12" t="str">
        <f ca="1">IF(Table1[[#This Row],[Age]]&lt;=22,"20-22",IF(Table1[[#This Row],[Age]]&lt;=25,"23-25",IF(Table1[[#This Row],[Age]]&lt;=28,"26-28","29-30")))</f>
        <v>20-22</v>
      </c>
      <c r="F952" s="12">
        <v>4.66</v>
      </c>
      <c r="G952" s="12">
        <v>4.18</v>
      </c>
      <c r="H952" s="12">
        <v>4.49</v>
      </c>
      <c r="I952" s="12">
        <v>3.96</v>
      </c>
      <c r="J952" s="12">
        <v>3.78</v>
      </c>
      <c r="K952" s="12">
        <v>3.94</v>
      </c>
      <c r="L952" s="12">
        <v>4.29</v>
      </c>
      <c r="M952" s="12">
        <v>4.9400000000000004</v>
      </c>
      <c r="N952" s="12">
        <v>3.87</v>
      </c>
      <c r="O952" s="12">
        <v>4.24</v>
      </c>
      <c r="P952" s="12">
        <f t="shared" si="85"/>
        <v>4.2140000000000004</v>
      </c>
      <c r="Q952" s="12">
        <f t="shared" si="86"/>
        <v>4.21</v>
      </c>
      <c r="R952" s="12">
        <f t="shared" si="87"/>
        <v>4.2560000000000002</v>
      </c>
      <c r="S952" s="28">
        <f>IFERROR(INDEX('Clean Gamification Data'!$B:$B,MATCH($B952,'Clean Gamification Data'!$A:$A,0)),"Not Found")</f>
        <v>87.125144340000006</v>
      </c>
      <c r="T952" s="28">
        <f>IFERROR(INDEX('Clean Gamification Data'!$C:$C,MATCH($B952,'Clean Gamification Data'!$A:$A,0)),"Not Found")</f>
        <v>69.711205019999994</v>
      </c>
      <c r="U952" s="28">
        <f>IFERROR(INDEX('Clean Gamification Data'!$D:$D,MATCH($B952,'Clean Gamification Data'!$A:$A,0)),"Not Found")</f>
        <v>78.780951819999999</v>
      </c>
      <c r="V952" s="28">
        <f>IFERROR(INDEX('Clean Gamification Data'!$E:$E,MATCH($B952,'Clean Gamification Data'!$A:$A,0)),"Not Found")</f>
        <v>69.241154949999995</v>
      </c>
      <c r="W952" s="28">
        <f>IFERROR(INDEX('Clean Gamification Data'!$F:$F,MATCH($B952,'Clean Gamification Data'!$A:$A,0)),"Not Found")</f>
        <v>98.376772970000005</v>
      </c>
      <c r="X952" s="28">
        <f>IFERROR(INDEX('Clean Gamification Data'!$G:$G,MATCH($B952,'Clean Gamification Data'!$A:$A,0)),"Not Found")</f>
        <v>80.412814499999996</v>
      </c>
      <c r="Y952" s="28">
        <f>IFERROR(INDEX('Clean Gamification Data'!$H:$H,MATCH($B952,'Clean Gamification Data'!$A:$A,0)),"Not Found")</f>
        <v>70.414209560000003</v>
      </c>
      <c r="Z952" s="28">
        <f>IFERROR(INDEX('Clean Gamification Data'!$I:$I,MATCH($B952,'Clean Gamification Data'!$A:$A,0)),"Not Found")</f>
        <v>50</v>
      </c>
      <c r="AA952" s="28">
        <f>Table1[[#This Row],[Engagement (Gamification %)]]-Table1[[#This Row],[Engagement (Non-Gamification %)]]</f>
        <v>17.413939320000011</v>
      </c>
      <c r="AB952" s="28">
        <f>Table1[[#This Row],[Motivation (Gamification %)]]-Table1[[#This Row],[Motivation (Non-Gamification %)]]</f>
        <v>9.5397968700000035</v>
      </c>
      <c r="AC952" s="28">
        <f>Table1[[#This Row],[Participation (Gamification %)]]-Table1[[#This Row],[Participation (Non-Gamification %)]]</f>
        <v>17.963958470000009</v>
      </c>
      <c r="AD952" s="28">
        <f>Table1[[#This Row],[Learning Outcomes (Gamification %)]]-Table1[[#This Row],[Learning Outcomes (Non-Gamification %)]]</f>
        <v>20.414209560000003</v>
      </c>
      <c r="AE952" s="44" t="str">
        <f>IF(Table1[[#This Row],[Overall Effectiveness]]&lt;3.9,"Low",IF(Table1[[#This Row],[Overall Effectiveness]]&lt;4.2,"Medium","High"))</f>
        <v>High</v>
      </c>
      <c r="AF952" s="30" t="str">
        <f t="shared" si="88"/>
        <v>Lectures</v>
      </c>
      <c r="AG952" s="30" t="str">
        <f t="shared" si="89"/>
        <v>Group Projects</v>
      </c>
      <c r="AH952" s="27">
        <f>COUNTIF(Teacher_Master!$D$2:$D$16,AF952)</f>
        <v>3</v>
      </c>
      <c r="AI952" s="30" t="str">
        <f>INDEX(Teacher_Master!$B$2:$B$16,MATCH(AF952,Teacher_Master!$D$2:$D$16,0))</f>
        <v>Prof. Vikram Gupta</v>
      </c>
    </row>
    <row r="953" spans="1:35" ht="14.25" customHeight="1" x14ac:dyDescent="0.3">
      <c r="A953" s="31" t="s">
        <v>1945</v>
      </c>
      <c r="B953" s="31" t="s">
        <v>1946</v>
      </c>
      <c r="C953" s="31" t="s">
        <v>2882</v>
      </c>
      <c r="D953" s="12">
        <f t="shared" ca="1" si="84"/>
        <v>20</v>
      </c>
      <c r="E953" s="12" t="str">
        <f ca="1">IF(Table1[[#This Row],[Age]]&lt;=22,"20-22",IF(Table1[[#This Row],[Age]]&lt;=25,"23-25",IF(Table1[[#This Row],[Age]]&lt;=28,"26-28","29-30")))</f>
        <v>20-22</v>
      </c>
      <c r="F953" s="12">
        <v>4.01</v>
      </c>
      <c r="G953" s="12">
        <v>3.98</v>
      </c>
      <c r="H953" s="12">
        <v>3.91</v>
      </c>
      <c r="I953" s="12">
        <v>3.91</v>
      </c>
      <c r="J953" s="12">
        <v>3.85</v>
      </c>
      <c r="K953" s="12">
        <v>4.32</v>
      </c>
      <c r="L953" s="12">
        <v>4.12</v>
      </c>
      <c r="M953" s="12">
        <v>4.05</v>
      </c>
      <c r="N953" s="12">
        <v>4.45</v>
      </c>
      <c r="O953" s="12">
        <v>3.98</v>
      </c>
      <c r="P953" s="12">
        <f t="shared" si="85"/>
        <v>3.9319999999999999</v>
      </c>
      <c r="Q953" s="12">
        <f t="shared" si="86"/>
        <v>3.93</v>
      </c>
      <c r="R953" s="12">
        <f t="shared" si="87"/>
        <v>4.1840000000000002</v>
      </c>
      <c r="S953" s="28">
        <f>IFERROR(INDEX('Clean Gamification Data'!$B:$B,MATCH($B953,'Clean Gamification Data'!$A:$A,0)),"Not Found")</f>
        <v>77.878657930000003</v>
      </c>
      <c r="T953" s="28">
        <f>IFERROR(INDEX('Clean Gamification Data'!$C:$C,MATCH($B953,'Clean Gamification Data'!$A:$A,0)),"Not Found")</f>
        <v>73.034591520000006</v>
      </c>
      <c r="U953" s="28">
        <f>IFERROR(INDEX('Clean Gamification Data'!$D:$D,MATCH($B953,'Clean Gamification Data'!$A:$A,0)),"Not Found")</f>
        <v>79.615840340000005</v>
      </c>
      <c r="V953" s="28">
        <f>IFERROR(INDEX('Clean Gamification Data'!$E:$E,MATCH($B953,'Clean Gamification Data'!$A:$A,0)),"Not Found")</f>
        <v>60.935100210000002</v>
      </c>
      <c r="W953" s="28">
        <f>IFERROR(INDEX('Clean Gamification Data'!$F:$F,MATCH($B953,'Clean Gamification Data'!$A:$A,0)),"Not Found")</f>
        <v>86.300742260000007</v>
      </c>
      <c r="X953" s="28">
        <f>IFERROR(INDEX('Clean Gamification Data'!$G:$G,MATCH($B953,'Clean Gamification Data'!$A:$A,0)),"Not Found")</f>
        <v>74.914265880000002</v>
      </c>
      <c r="Y953" s="28">
        <f>IFERROR(INDEX('Clean Gamification Data'!$H:$H,MATCH($B953,'Clean Gamification Data'!$A:$A,0)),"Not Found")</f>
        <v>77.723735820000002</v>
      </c>
      <c r="Z953" s="28">
        <f>IFERROR(INDEX('Clean Gamification Data'!$I:$I,MATCH($B953,'Clean Gamification Data'!$A:$A,0)),"Not Found")</f>
        <v>60.415370090000003</v>
      </c>
      <c r="AA953" s="28">
        <f>Table1[[#This Row],[Engagement (Gamification %)]]-Table1[[#This Row],[Engagement (Non-Gamification %)]]</f>
        <v>4.8440664099999964</v>
      </c>
      <c r="AB953" s="28">
        <f>Table1[[#This Row],[Motivation (Gamification %)]]-Table1[[#This Row],[Motivation (Non-Gamification %)]]</f>
        <v>18.680740130000004</v>
      </c>
      <c r="AC953" s="28">
        <f>Table1[[#This Row],[Participation (Gamification %)]]-Table1[[#This Row],[Participation (Non-Gamification %)]]</f>
        <v>11.386476380000005</v>
      </c>
      <c r="AD953" s="28">
        <f>Table1[[#This Row],[Learning Outcomes (Gamification %)]]-Table1[[#This Row],[Learning Outcomes (Non-Gamification %)]]</f>
        <v>17.308365729999998</v>
      </c>
      <c r="AE953" s="44" t="str">
        <f>IF(Table1[[#This Row],[Overall Effectiveness]]&lt;3.9,"Low",IF(Table1[[#This Row],[Overall Effectiveness]]&lt;4.2,"Medium","High"))</f>
        <v>Medium</v>
      </c>
      <c r="AF953" s="30" t="str">
        <f t="shared" si="88"/>
        <v>Lectures</v>
      </c>
      <c r="AG953" s="30" t="str">
        <f t="shared" si="89"/>
        <v>Experiments</v>
      </c>
      <c r="AH953" s="27">
        <f>COUNTIF(Teacher_Master!$D$2:$D$16,AF953)</f>
        <v>3</v>
      </c>
      <c r="AI953" s="30" t="str">
        <f>INDEX(Teacher_Master!$B$2:$B$16,MATCH(AF953,Teacher_Master!$D$2:$D$16,0))</f>
        <v>Prof. Vikram Gupta</v>
      </c>
    </row>
    <row r="954" spans="1:35" ht="14.25" customHeight="1" x14ac:dyDescent="0.3">
      <c r="A954" s="31" t="s">
        <v>1947</v>
      </c>
      <c r="B954" s="31" t="s">
        <v>1948</v>
      </c>
      <c r="C954" s="31" t="s">
        <v>2882</v>
      </c>
      <c r="D954" s="12">
        <f t="shared" ca="1" si="84"/>
        <v>29</v>
      </c>
      <c r="E954" s="12" t="str">
        <f ca="1">IF(Table1[[#This Row],[Age]]&lt;=22,"20-22",IF(Table1[[#This Row],[Age]]&lt;=25,"23-25",IF(Table1[[#This Row],[Age]]&lt;=28,"26-28","29-30")))</f>
        <v>29-30</v>
      </c>
      <c r="F954" s="12">
        <v>3.77</v>
      </c>
      <c r="G954" s="12">
        <v>4.33</v>
      </c>
      <c r="H954" s="12">
        <v>3.49</v>
      </c>
      <c r="I954" s="12">
        <v>4.59</v>
      </c>
      <c r="J954" s="12">
        <v>4.28</v>
      </c>
      <c r="K954" s="12">
        <v>4.2699999999999996</v>
      </c>
      <c r="L954" s="12">
        <v>4.09</v>
      </c>
      <c r="M954" s="12">
        <v>4.2</v>
      </c>
      <c r="N954" s="12">
        <v>3.89</v>
      </c>
      <c r="O954" s="12">
        <v>4.67</v>
      </c>
      <c r="P954" s="12">
        <f t="shared" si="85"/>
        <v>4.0920000000000005</v>
      </c>
      <c r="Q954" s="12">
        <f t="shared" si="86"/>
        <v>4.09</v>
      </c>
      <c r="R954" s="12">
        <f t="shared" si="87"/>
        <v>4.2239999999999993</v>
      </c>
      <c r="S954" s="28">
        <f>IFERROR(INDEX('Clean Gamification Data'!$B:$B,MATCH($B954,'Clean Gamification Data'!$A:$A,0)),"Not Found")</f>
        <v>81.203169729999999</v>
      </c>
      <c r="T954" s="28">
        <f>IFERROR(INDEX('Clean Gamification Data'!$C:$C,MATCH($B954,'Clean Gamification Data'!$A:$A,0)),"Not Found")</f>
        <v>66.699892329999997</v>
      </c>
      <c r="U954" s="28">
        <f>IFERROR(INDEX('Clean Gamification Data'!$D:$D,MATCH($B954,'Clean Gamification Data'!$A:$A,0)),"Not Found")</f>
        <v>79.332427780000003</v>
      </c>
      <c r="V954" s="28">
        <f>IFERROR(INDEX('Clean Gamification Data'!$E:$E,MATCH($B954,'Clean Gamification Data'!$A:$A,0)),"Not Found")</f>
        <v>67.667472110000006</v>
      </c>
      <c r="W954" s="28">
        <f>IFERROR(INDEX('Clean Gamification Data'!$F:$F,MATCH($B954,'Clean Gamification Data'!$A:$A,0)),"Not Found")</f>
        <v>83.956689109999999</v>
      </c>
      <c r="X954" s="28">
        <f>IFERROR(INDEX('Clean Gamification Data'!$G:$G,MATCH($B954,'Clean Gamification Data'!$A:$A,0)),"Not Found")</f>
        <v>70.760737430000006</v>
      </c>
      <c r="Y954" s="28">
        <f>IFERROR(INDEX('Clean Gamification Data'!$H:$H,MATCH($B954,'Clean Gamification Data'!$A:$A,0)),"Not Found")</f>
        <v>68.537243380000007</v>
      </c>
      <c r="Z954" s="28">
        <f>IFERROR(INDEX('Clean Gamification Data'!$I:$I,MATCH($B954,'Clean Gamification Data'!$A:$A,0)),"Not Found")</f>
        <v>59.346497759999998</v>
      </c>
      <c r="AA954" s="28">
        <f>Table1[[#This Row],[Engagement (Gamification %)]]-Table1[[#This Row],[Engagement (Non-Gamification %)]]</f>
        <v>14.503277400000002</v>
      </c>
      <c r="AB954" s="28">
        <f>Table1[[#This Row],[Motivation (Gamification %)]]-Table1[[#This Row],[Motivation (Non-Gamification %)]]</f>
        <v>11.664955669999998</v>
      </c>
      <c r="AC954" s="28">
        <f>Table1[[#This Row],[Participation (Gamification %)]]-Table1[[#This Row],[Participation (Non-Gamification %)]]</f>
        <v>13.195951679999993</v>
      </c>
      <c r="AD954" s="28">
        <f>Table1[[#This Row],[Learning Outcomes (Gamification %)]]-Table1[[#This Row],[Learning Outcomes (Non-Gamification %)]]</f>
        <v>9.1907456200000084</v>
      </c>
      <c r="AE954" s="44" t="str">
        <f>IF(Table1[[#This Row],[Overall Effectiveness]]&lt;3.9,"Low",IF(Table1[[#This Row],[Overall Effectiveness]]&lt;4.2,"Medium","High"))</f>
        <v>Medium</v>
      </c>
      <c r="AF954" s="30" t="str">
        <f t="shared" si="88"/>
        <v>Experiments</v>
      </c>
      <c r="AG954" s="30" t="str">
        <f t="shared" si="89"/>
        <v>Online Tutorials</v>
      </c>
      <c r="AH954" s="27">
        <f>COUNTIF(Teacher_Master!$D$2:$D$16,AF954)</f>
        <v>3</v>
      </c>
      <c r="AI954" s="30" t="str">
        <f>INDEX(Teacher_Master!$B$2:$B$16,MATCH(AF954,Teacher_Master!$D$2:$D$16,0))</f>
        <v>Prof. Rahul Singh</v>
      </c>
    </row>
    <row r="955" spans="1:35" ht="14.25" customHeight="1" x14ac:dyDescent="0.3">
      <c r="A955" s="31" t="s">
        <v>1949</v>
      </c>
      <c r="B955" s="31" t="s">
        <v>2773</v>
      </c>
      <c r="C955" s="31" t="s">
        <v>2882</v>
      </c>
      <c r="D955" s="12">
        <f t="shared" ca="1" si="84"/>
        <v>23</v>
      </c>
      <c r="E955" s="12" t="str">
        <f ca="1">IF(Table1[[#This Row],[Age]]&lt;=22,"20-22",IF(Table1[[#This Row],[Age]]&lt;=25,"23-25",IF(Table1[[#This Row],[Age]]&lt;=28,"26-28","29-30")))</f>
        <v>23-25</v>
      </c>
      <c r="F955" s="12">
        <v>3.92</v>
      </c>
      <c r="G955" s="12">
        <v>4.2300000000000004</v>
      </c>
      <c r="H955" s="12">
        <v>4.26</v>
      </c>
      <c r="I955" s="12">
        <v>3.9</v>
      </c>
      <c r="J955" s="12">
        <v>4.1100000000000003</v>
      </c>
      <c r="K955" s="12">
        <v>3.6</v>
      </c>
      <c r="L955" s="12">
        <v>3.8</v>
      </c>
      <c r="M955" s="12">
        <v>3.63</v>
      </c>
      <c r="N955" s="12">
        <v>3.75</v>
      </c>
      <c r="O955" s="12">
        <v>3.71</v>
      </c>
      <c r="P955" s="12">
        <f t="shared" si="85"/>
        <v>4.0839999999999996</v>
      </c>
      <c r="Q955" s="12">
        <f t="shared" si="86"/>
        <v>4.08</v>
      </c>
      <c r="R955" s="12">
        <f t="shared" si="87"/>
        <v>3.6980000000000004</v>
      </c>
      <c r="S955" s="28">
        <f>IFERROR(INDEX('Clean Gamification Data'!$B:$B,MATCH($B955,'Clean Gamification Data'!$A:$A,0)),"Not Found")</f>
        <v>87.492628819999993</v>
      </c>
      <c r="T955" s="28">
        <f>IFERROR(INDEX('Clean Gamification Data'!$C:$C,MATCH($B955,'Clean Gamification Data'!$A:$A,0)),"Not Found")</f>
        <v>60</v>
      </c>
      <c r="U955" s="28">
        <f>IFERROR(INDEX('Clean Gamification Data'!$D:$D,MATCH($B955,'Clean Gamification Data'!$A:$A,0)),"Not Found")</f>
        <v>75.843005809999994</v>
      </c>
      <c r="V955" s="28">
        <f>IFERROR(INDEX('Clean Gamification Data'!$E:$E,MATCH($B955,'Clean Gamification Data'!$A:$A,0)),"Not Found")</f>
        <v>58.44240602</v>
      </c>
      <c r="W955" s="28">
        <f>IFERROR(INDEX('Clean Gamification Data'!$F:$F,MATCH($B955,'Clean Gamification Data'!$A:$A,0)),"Not Found")</f>
        <v>81.413151409999998</v>
      </c>
      <c r="X955" s="28">
        <f>IFERROR(INDEX('Clean Gamification Data'!$G:$G,MATCH($B955,'Clean Gamification Data'!$A:$A,0)),"Not Found")</f>
        <v>85</v>
      </c>
      <c r="Y955" s="28">
        <f>IFERROR(INDEX('Clean Gamification Data'!$H:$H,MATCH($B955,'Clean Gamification Data'!$A:$A,0)),"Not Found")</f>
        <v>76.881145270000005</v>
      </c>
      <c r="Z955" s="28">
        <f>IFERROR(INDEX('Clean Gamification Data'!$I:$I,MATCH($B955,'Clean Gamification Data'!$A:$A,0)),"Not Found")</f>
        <v>50</v>
      </c>
      <c r="AA955" s="28">
        <f>Table1[[#This Row],[Engagement (Gamification %)]]-Table1[[#This Row],[Engagement (Non-Gamification %)]]</f>
        <v>27.492628819999993</v>
      </c>
      <c r="AB955" s="28">
        <f>Table1[[#This Row],[Motivation (Gamification %)]]-Table1[[#This Row],[Motivation (Non-Gamification %)]]</f>
        <v>17.400599789999994</v>
      </c>
      <c r="AC955" s="28">
        <f>Table1[[#This Row],[Participation (Gamification %)]]-Table1[[#This Row],[Participation (Non-Gamification %)]]</f>
        <v>-3.5868485900000024</v>
      </c>
      <c r="AD955" s="28">
        <f>Table1[[#This Row],[Learning Outcomes (Gamification %)]]-Table1[[#This Row],[Learning Outcomes (Non-Gamification %)]]</f>
        <v>26.881145270000005</v>
      </c>
      <c r="AE955" s="44" t="str">
        <f>IF(Table1[[#This Row],[Overall Effectiveness]]&lt;3.9,"Low",IF(Table1[[#This Row],[Overall Effectiveness]]&lt;4.2,"Medium","High"))</f>
        <v>Medium</v>
      </c>
      <c r="AF955" s="30" t="str">
        <f t="shared" si="88"/>
        <v>Group Projects</v>
      </c>
      <c r="AG955" s="30" t="str">
        <f t="shared" si="89"/>
        <v>Case Studies</v>
      </c>
      <c r="AH955" s="27">
        <f>COUNTIF(Teacher_Master!$D$2:$D$16,AF955)</f>
        <v>3</v>
      </c>
      <c r="AI955" s="30" t="str">
        <f>INDEX(Teacher_Master!$B$2:$B$16,MATCH(AF955,Teacher_Master!$D$2:$D$16,0))</f>
        <v>Dr. Rohan Dutta</v>
      </c>
    </row>
    <row r="956" spans="1:35" ht="14.25" customHeight="1" x14ac:dyDescent="0.3">
      <c r="A956" s="31" t="s">
        <v>1951</v>
      </c>
      <c r="B956" s="31" t="s">
        <v>2774</v>
      </c>
      <c r="C956" s="31" t="s">
        <v>2882</v>
      </c>
      <c r="D956" s="12">
        <f t="shared" ca="1" si="84"/>
        <v>28</v>
      </c>
      <c r="E956" s="12" t="str">
        <f ca="1">IF(Table1[[#This Row],[Age]]&lt;=22,"20-22",IF(Table1[[#This Row],[Age]]&lt;=25,"23-25",IF(Table1[[#This Row],[Age]]&lt;=28,"26-28","29-30")))</f>
        <v>26-28</v>
      </c>
      <c r="F956" s="12">
        <v>3.83</v>
      </c>
      <c r="G956" s="12">
        <v>4</v>
      </c>
      <c r="H956" s="12">
        <v>3.61</v>
      </c>
      <c r="I956" s="12">
        <v>4.3600000000000003</v>
      </c>
      <c r="J956" s="12" t="s">
        <v>211</v>
      </c>
      <c r="K956" s="12">
        <v>4.76</v>
      </c>
      <c r="L956" s="12">
        <v>4.41</v>
      </c>
      <c r="M956" s="12">
        <v>4.59</v>
      </c>
      <c r="N956" s="12">
        <v>4.03</v>
      </c>
      <c r="O956" s="12">
        <v>4.07</v>
      </c>
      <c r="P956" s="12">
        <f t="shared" si="85"/>
        <v>3.95</v>
      </c>
      <c r="Q956" s="12">
        <f t="shared" si="86"/>
        <v>3.95</v>
      </c>
      <c r="R956" s="12">
        <f t="shared" si="87"/>
        <v>4.3719999999999999</v>
      </c>
      <c r="S956" s="28">
        <f>IFERROR(INDEX('Clean Gamification Data'!$B:$B,MATCH($B956,'Clean Gamification Data'!$A:$A,0)),"Not Found")</f>
        <v>87.010636340000005</v>
      </c>
      <c r="T956" s="28">
        <f>IFERROR(INDEX('Clean Gamification Data'!$C:$C,MATCH($B956,'Clean Gamification Data'!$A:$A,0)),"Not Found")</f>
        <v>71.050676080000002</v>
      </c>
      <c r="U956" s="28">
        <f>IFERROR(INDEX('Clean Gamification Data'!$D:$D,MATCH($B956,'Clean Gamification Data'!$A:$A,0)),"Not Found")</f>
        <v>70</v>
      </c>
      <c r="V956" s="28">
        <f>IFERROR(INDEX('Clean Gamification Data'!$E:$E,MATCH($B956,'Clean Gamification Data'!$A:$A,0)),"Not Found")</f>
        <v>73.944859879999996</v>
      </c>
      <c r="W956" s="28">
        <f>IFERROR(INDEX('Clean Gamification Data'!$F:$F,MATCH($B956,'Clean Gamification Data'!$A:$A,0)),"Not Found")</f>
        <v>98.473439299999995</v>
      </c>
      <c r="X956" s="28">
        <f>IFERROR(INDEX('Clean Gamification Data'!$G:$G,MATCH($B956,'Clean Gamification Data'!$A:$A,0)),"Not Found")</f>
        <v>71.666858360000006</v>
      </c>
      <c r="Y956" s="28">
        <f>IFERROR(INDEX('Clean Gamification Data'!$H:$H,MATCH($B956,'Clean Gamification Data'!$A:$A,0)),"Not Found")</f>
        <v>69.259356690000004</v>
      </c>
      <c r="Z956" s="28">
        <f>IFERROR(INDEX('Clean Gamification Data'!$I:$I,MATCH($B956,'Clean Gamification Data'!$A:$A,0)),"Not Found")</f>
        <v>56.60311454</v>
      </c>
      <c r="AA956" s="28">
        <f>Table1[[#This Row],[Engagement (Gamification %)]]-Table1[[#This Row],[Engagement (Non-Gamification %)]]</f>
        <v>15.959960260000003</v>
      </c>
      <c r="AB956" s="28">
        <f>Table1[[#This Row],[Motivation (Gamification %)]]-Table1[[#This Row],[Motivation (Non-Gamification %)]]</f>
        <v>-3.9448598799999957</v>
      </c>
      <c r="AC956" s="28">
        <f>Table1[[#This Row],[Participation (Gamification %)]]-Table1[[#This Row],[Participation (Non-Gamification %)]]</f>
        <v>26.806580939999989</v>
      </c>
      <c r="AD956" s="28">
        <f>Table1[[#This Row],[Learning Outcomes (Gamification %)]]-Table1[[#This Row],[Learning Outcomes (Non-Gamification %)]]</f>
        <v>12.656242150000004</v>
      </c>
      <c r="AE956" s="44" t="str">
        <f>IF(Table1[[#This Row],[Overall Effectiveness]]&lt;3.9,"Low",IF(Table1[[#This Row],[Overall Effectiveness]]&lt;4.2,"Medium","High"))</f>
        <v>Medium</v>
      </c>
      <c r="AF956" s="30" t="str">
        <f t="shared" si="88"/>
        <v>Experiments</v>
      </c>
      <c r="AG956" s="30" t="str">
        <f t="shared" si="89"/>
        <v>Lectures</v>
      </c>
      <c r="AH956" s="27">
        <f>COUNTIF(Teacher_Master!$D$2:$D$16,AF956)</f>
        <v>3</v>
      </c>
      <c r="AI956" s="30" t="str">
        <f>INDEX(Teacher_Master!$B$2:$B$16,MATCH(AF956,Teacher_Master!$D$2:$D$16,0))</f>
        <v>Prof. Rahul Singh</v>
      </c>
    </row>
    <row r="957" spans="1:35" ht="14.25" customHeight="1" x14ac:dyDescent="0.3">
      <c r="A957" s="31" t="s">
        <v>1953</v>
      </c>
      <c r="B957" s="31" t="s">
        <v>2775</v>
      </c>
      <c r="C957" s="31" t="s">
        <v>2881</v>
      </c>
      <c r="D957" s="12">
        <f t="shared" ca="1" si="84"/>
        <v>24</v>
      </c>
      <c r="E957" s="12" t="str">
        <f ca="1">IF(Table1[[#This Row],[Age]]&lt;=22,"20-22",IF(Table1[[#This Row],[Age]]&lt;=25,"23-25",IF(Table1[[#This Row],[Age]]&lt;=28,"26-28","29-30")))</f>
        <v>23-25</v>
      </c>
      <c r="F957" s="12">
        <v>3.78</v>
      </c>
      <c r="G957" s="12">
        <v>3.65</v>
      </c>
      <c r="H957" s="12">
        <v>4.3899999999999997</v>
      </c>
      <c r="I957" s="12">
        <v>4.29</v>
      </c>
      <c r="J957" s="12">
        <v>3.76</v>
      </c>
      <c r="K957" s="12">
        <v>4.21</v>
      </c>
      <c r="L957" s="12">
        <v>4.08</v>
      </c>
      <c r="M957" s="12">
        <v>4.12</v>
      </c>
      <c r="N957" s="12">
        <v>4.12</v>
      </c>
      <c r="O957" s="12">
        <v>4.4800000000000004</v>
      </c>
      <c r="P957" s="12">
        <f t="shared" si="85"/>
        <v>3.9739999999999993</v>
      </c>
      <c r="Q957" s="12">
        <f t="shared" si="86"/>
        <v>3.97</v>
      </c>
      <c r="R957" s="12">
        <f t="shared" si="87"/>
        <v>4.202</v>
      </c>
      <c r="S957" s="28">
        <f>IFERROR(INDEX('Clean Gamification Data'!$B:$B,MATCH($B957,'Clean Gamification Data'!$A:$A,0)),"Not Found")</f>
        <v>90.975439170000001</v>
      </c>
      <c r="T957" s="28">
        <f>IFERROR(INDEX('Clean Gamification Data'!$C:$C,MATCH($B957,'Clean Gamification Data'!$A:$A,0)),"Not Found")</f>
        <v>74.61821132</v>
      </c>
      <c r="U957" s="28">
        <f>IFERROR(INDEX('Clean Gamification Data'!$D:$D,MATCH($B957,'Clean Gamification Data'!$A:$A,0)),"Not Found")</f>
        <v>80.891093650000002</v>
      </c>
      <c r="V957" s="28">
        <f>IFERROR(INDEX('Clean Gamification Data'!$E:$E,MATCH($B957,'Clean Gamification Data'!$A:$A,0)),"Not Found")</f>
        <v>64.276636530000005</v>
      </c>
      <c r="W957" s="28">
        <f>IFERROR(INDEX('Clean Gamification Data'!$F:$F,MATCH($B957,'Clean Gamification Data'!$A:$A,0)),"Not Found")</f>
        <v>90.981115720000005</v>
      </c>
      <c r="X957" s="28">
        <f>IFERROR(INDEX('Clean Gamification Data'!$G:$G,MATCH($B957,'Clean Gamification Data'!$A:$A,0)),"Not Found")</f>
        <v>78.796660360000004</v>
      </c>
      <c r="Y957" s="28">
        <f>IFERROR(INDEX('Clean Gamification Data'!$H:$H,MATCH($B957,'Clean Gamification Data'!$A:$A,0)),"Not Found")</f>
        <v>65</v>
      </c>
      <c r="Z957" s="28">
        <f>IFERROR(INDEX('Clean Gamification Data'!$I:$I,MATCH($B957,'Clean Gamification Data'!$A:$A,0)),"Not Found")</f>
        <v>62.731466820000001</v>
      </c>
      <c r="AA957" s="28">
        <f>Table1[[#This Row],[Engagement (Gamification %)]]-Table1[[#This Row],[Engagement (Non-Gamification %)]]</f>
        <v>16.357227850000001</v>
      </c>
      <c r="AB957" s="28">
        <f>Table1[[#This Row],[Motivation (Gamification %)]]-Table1[[#This Row],[Motivation (Non-Gamification %)]]</f>
        <v>16.614457119999997</v>
      </c>
      <c r="AC957" s="28">
        <f>Table1[[#This Row],[Participation (Gamification %)]]-Table1[[#This Row],[Participation (Non-Gamification %)]]</f>
        <v>12.184455360000001</v>
      </c>
      <c r="AD957" s="28">
        <f>Table1[[#This Row],[Learning Outcomes (Gamification %)]]-Table1[[#This Row],[Learning Outcomes (Non-Gamification %)]]</f>
        <v>2.2685331799999986</v>
      </c>
      <c r="AE957" s="44" t="str">
        <f>IF(Table1[[#This Row],[Overall Effectiveness]]&lt;3.9,"Low",IF(Table1[[#This Row],[Overall Effectiveness]]&lt;4.2,"Medium","High"))</f>
        <v>Medium</v>
      </c>
      <c r="AF957" s="30" t="str">
        <f t="shared" si="88"/>
        <v>Group Projects</v>
      </c>
      <c r="AG957" s="30" t="str">
        <f t="shared" si="89"/>
        <v>Online Tutorials</v>
      </c>
      <c r="AH957" s="27">
        <f>COUNTIF(Teacher_Master!$D$2:$D$16,AF957)</f>
        <v>3</v>
      </c>
      <c r="AI957" s="30" t="str">
        <f>INDEX(Teacher_Master!$B$2:$B$16,MATCH(AF957,Teacher_Master!$D$2:$D$16,0))</f>
        <v>Dr. Rohan Dutta</v>
      </c>
    </row>
    <row r="958" spans="1:35" ht="14.25" customHeight="1" x14ac:dyDescent="0.3">
      <c r="A958" s="31" t="s">
        <v>1955</v>
      </c>
      <c r="B958" s="31" t="s">
        <v>2776</v>
      </c>
      <c r="C958" s="31" t="s">
        <v>2882</v>
      </c>
      <c r="D958" s="12">
        <f t="shared" ca="1" si="84"/>
        <v>22</v>
      </c>
      <c r="E958" s="12" t="str">
        <f ca="1">IF(Table1[[#This Row],[Age]]&lt;=22,"20-22",IF(Table1[[#This Row],[Age]]&lt;=25,"23-25",IF(Table1[[#This Row],[Age]]&lt;=28,"26-28","29-30")))</f>
        <v>20-22</v>
      </c>
      <c r="F958" s="12">
        <v>3.63</v>
      </c>
      <c r="G958" s="12">
        <v>3.75</v>
      </c>
      <c r="H958" s="12">
        <v>4.32</v>
      </c>
      <c r="I958" s="12">
        <v>3.95</v>
      </c>
      <c r="J958" s="12">
        <v>4.05</v>
      </c>
      <c r="K958" s="12">
        <v>4.47</v>
      </c>
      <c r="L958" s="12">
        <v>3.91</v>
      </c>
      <c r="M958" s="12">
        <v>4.07</v>
      </c>
      <c r="N958" s="12">
        <v>3.69</v>
      </c>
      <c r="O958" s="12">
        <v>4.43</v>
      </c>
      <c r="P958" s="12">
        <f t="shared" si="85"/>
        <v>3.94</v>
      </c>
      <c r="Q958" s="12">
        <f t="shared" si="86"/>
        <v>3.94</v>
      </c>
      <c r="R958" s="12">
        <f t="shared" si="87"/>
        <v>4.1139999999999999</v>
      </c>
      <c r="S958" s="28">
        <f>IFERROR(INDEX('Clean Gamification Data'!$B:$B,MATCH($B958,'Clean Gamification Data'!$A:$A,0)),"Not Found")</f>
        <v>79.322801490000003</v>
      </c>
      <c r="T958" s="28">
        <f>IFERROR(INDEX('Clean Gamification Data'!$C:$C,MATCH($B958,'Clean Gamification Data'!$A:$A,0)),"Not Found")</f>
        <v>63.183705260000004</v>
      </c>
      <c r="U958" s="28">
        <f>IFERROR(INDEX('Clean Gamification Data'!$D:$D,MATCH($B958,'Clean Gamification Data'!$A:$A,0)),"Not Found")</f>
        <v>83.806174380000002</v>
      </c>
      <c r="V958" s="28">
        <f>IFERROR(INDEX('Clean Gamification Data'!$E:$E,MATCH($B958,'Clean Gamification Data'!$A:$A,0)),"Not Found")</f>
        <v>62.131236059999999</v>
      </c>
      <c r="W958" s="28">
        <f>IFERROR(INDEX('Clean Gamification Data'!$F:$F,MATCH($B958,'Clean Gamification Data'!$A:$A,0)),"Not Found")</f>
        <v>89.469608440000002</v>
      </c>
      <c r="X958" s="28">
        <f>IFERROR(INDEX('Clean Gamification Data'!$G:$G,MATCH($B958,'Clean Gamification Data'!$A:$A,0)),"Not Found")</f>
        <v>76.342020360000006</v>
      </c>
      <c r="Y958" s="28">
        <f>IFERROR(INDEX('Clean Gamification Data'!$H:$H,MATCH($B958,'Clean Gamification Data'!$A:$A,0)),"Not Found")</f>
        <v>72.246966959999995</v>
      </c>
      <c r="Z958" s="28">
        <f>IFERROR(INDEX('Clean Gamification Data'!$I:$I,MATCH($B958,'Clean Gamification Data'!$A:$A,0)),"Not Found")</f>
        <v>56.262590279999998</v>
      </c>
      <c r="AA958" s="28">
        <f>Table1[[#This Row],[Engagement (Gamification %)]]-Table1[[#This Row],[Engagement (Non-Gamification %)]]</f>
        <v>16.13909623</v>
      </c>
      <c r="AB958" s="28">
        <f>Table1[[#This Row],[Motivation (Gamification %)]]-Table1[[#This Row],[Motivation (Non-Gamification %)]]</f>
        <v>21.674938320000003</v>
      </c>
      <c r="AC958" s="28">
        <f>Table1[[#This Row],[Participation (Gamification %)]]-Table1[[#This Row],[Participation (Non-Gamification %)]]</f>
        <v>13.127588079999995</v>
      </c>
      <c r="AD958" s="28">
        <f>Table1[[#This Row],[Learning Outcomes (Gamification %)]]-Table1[[#This Row],[Learning Outcomes (Non-Gamification %)]]</f>
        <v>15.984376679999997</v>
      </c>
      <c r="AE958" s="44" t="str">
        <f>IF(Table1[[#This Row],[Overall Effectiveness]]&lt;3.9,"Low",IF(Table1[[#This Row],[Overall Effectiveness]]&lt;4.2,"Medium","High"))</f>
        <v>Medium</v>
      </c>
      <c r="AF958" s="30" t="str">
        <f t="shared" si="88"/>
        <v>Group Projects</v>
      </c>
      <c r="AG958" s="30" t="str">
        <f t="shared" si="89"/>
        <v>Lectures</v>
      </c>
      <c r="AH958" s="27">
        <f>COUNTIF(Teacher_Master!$D$2:$D$16,AF958)</f>
        <v>3</v>
      </c>
      <c r="AI958" s="30" t="str">
        <f>INDEX(Teacher_Master!$B$2:$B$16,MATCH(AF958,Teacher_Master!$D$2:$D$16,0))</f>
        <v>Dr. Rohan Dutta</v>
      </c>
    </row>
    <row r="959" spans="1:35" ht="14.25" customHeight="1" x14ac:dyDescent="0.3">
      <c r="A959" s="31" t="s">
        <v>1957</v>
      </c>
      <c r="B959" s="31" t="s">
        <v>1958</v>
      </c>
      <c r="C959" s="31" t="s">
        <v>2882</v>
      </c>
      <c r="D959" s="12">
        <f t="shared" ca="1" si="84"/>
        <v>22</v>
      </c>
      <c r="E959" s="12" t="str">
        <f ca="1">IF(Table1[[#This Row],[Age]]&lt;=22,"20-22",IF(Table1[[#This Row],[Age]]&lt;=25,"23-25",IF(Table1[[#This Row],[Age]]&lt;=28,"26-28","29-30")))</f>
        <v>20-22</v>
      </c>
      <c r="F959" s="12">
        <v>4.46</v>
      </c>
      <c r="G959" s="12">
        <v>3.58</v>
      </c>
      <c r="H959" s="12">
        <v>4.21</v>
      </c>
      <c r="I959" s="12">
        <v>4.3099999999999996</v>
      </c>
      <c r="J959" s="12">
        <v>4.1900000000000004</v>
      </c>
      <c r="K959" s="12">
        <v>3.91</v>
      </c>
      <c r="L959" s="12">
        <v>4.72</v>
      </c>
      <c r="M959" s="12">
        <v>3.77</v>
      </c>
      <c r="N959" s="12">
        <v>3.93</v>
      </c>
      <c r="O959" s="12">
        <v>4.29</v>
      </c>
      <c r="P959" s="12">
        <f t="shared" si="85"/>
        <v>4.1500000000000004</v>
      </c>
      <c r="Q959" s="12">
        <f t="shared" si="86"/>
        <v>4.1500000000000004</v>
      </c>
      <c r="R959" s="12">
        <f t="shared" si="87"/>
        <v>4.1239999999999997</v>
      </c>
      <c r="S959" s="28">
        <f>IFERROR(INDEX('Clean Gamification Data'!$B:$B,MATCH($B959,'Clean Gamification Data'!$A:$A,0)),"Not Found")</f>
        <v>81.049541320000003</v>
      </c>
      <c r="T959" s="28">
        <f>IFERROR(INDEX('Clean Gamification Data'!$C:$C,MATCH($B959,'Clean Gamification Data'!$A:$A,0)),"Not Found")</f>
        <v>70.413359659999998</v>
      </c>
      <c r="U959" s="28">
        <f>IFERROR(INDEX('Clean Gamification Data'!$D:$D,MATCH($B959,'Clean Gamification Data'!$A:$A,0)),"Not Found")</f>
        <v>78.928879420000001</v>
      </c>
      <c r="V959" s="28">
        <f>IFERROR(INDEX('Clean Gamification Data'!$E:$E,MATCH($B959,'Clean Gamification Data'!$A:$A,0)),"Not Found")</f>
        <v>68.03281921</v>
      </c>
      <c r="W959" s="28">
        <f>IFERROR(INDEX('Clean Gamification Data'!$F:$F,MATCH($B959,'Clean Gamification Data'!$A:$A,0)),"Not Found")</f>
        <v>96.073514099999997</v>
      </c>
      <c r="X959" s="28">
        <f>IFERROR(INDEX('Clean Gamification Data'!$G:$G,MATCH($B959,'Clean Gamification Data'!$A:$A,0)),"Not Found")</f>
        <v>71.497969190000006</v>
      </c>
      <c r="Y959" s="28">
        <f>IFERROR(INDEX('Clean Gamification Data'!$H:$H,MATCH($B959,'Clean Gamification Data'!$A:$A,0)),"Not Found")</f>
        <v>72.574517920000005</v>
      </c>
      <c r="Z959" s="28">
        <f>IFERROR(INDEX('Clean Gamification Data'!$I:$I,MATCH($B959,'Clean Gamification Data'!$A:$A,0)),"Not Found")</f>
        <v>51.450043620000002</v>
      </c>
      <c r="AA959" s="28">
        <f>Table1[[#This Row],[Engagement (Gamification %)]]-Table1[[#This Row],[Engagement (Non-Gamification %)]]</f>
        <v>10.636181660000005</v>
      </c>
      <c r="AB959" s="28">
        <f>Table1[[#This Row],[Motivation (Gamification %)]]-Table1[[#This Row],[Motivation (Non-Gamification %)]]</f>
        <v>10.896060210000002</v>
      </c>
      <c r="AC959" s="28">
        <f>Table1[[#This Row],[Participation (Gamification %)]]-Table1[[#This Row],[Participation (Non-Gamification %)]]</f>
        <v>24.575544909999991</v>
      </c>
      <c r="AD959" s="28">
        <f>Table1[[#This Row],[Learning Outcomes (Gamification %)]]-Table1[[#This Row],[Learning Outcomes (Non-Gamification %)]]</f>
        <v>21.124474300000003</v>
      </c>
      <c r="AE959" s="44" t="str">
        <f>IF(Table1[[#This Row],[Overall Effectiveness]]&lt;3.9,"Low",IF(Table1[[#This Row],[Overall Effectiveness]]&lt;4.2,"Medium","High"))</f>
        <v>Medium</v>
      </c>
      <c r="AF959" s="30" t="str">
        <f t="shared" si="88"/>
        <v>Lectures</v>
      </c>
      <c r="AG959" s="30" t="str">
        <f t="shared" si="89"/>
        <v>Case Studies</v>
      </c>
      <c r="AH959" s="27">
        <f>COUNTIF(Teacher_Master!$D$2:$D$16,AF959)</f>
        <v>3</v>
      </c>
      <c r="AI959" s="30" t="str">
        <f>INDEX(Teacher_Master!$B$2:$B$16,MATCH(AF959,Teacher_Master!$D$2:$D$16,0))</f>
        <v>Prof. Vikram Gupta</v>
      </c>
    </row>
    <row r="960" spans="1:35" ht="14.25" customHeight="1" x14ac:dyDescent="0.3">
      <c r="A960" s="31" t="s">
        <v>1959</v>
      </c>
      <c r="B960" s="31" t="s">
        <v>2777</v>
      </c>
      <c r="C960" s="31" t="s">
        <v>2881</v>
      </c>
      <c r="D960" s="12">
        <f t="shared" ca="1" si="84"/>
        <v>27</v>
      </c>
      <c r="E960" s="12" t="str">
        <f ca="1">IF(Table1[[#This Row],[Age]]&lt;=22,"20-22",IF(Table1[[#This Row],[Age]]&lt;=25,"23-25",IF(Table1[[#This Row],[Age]]&lt;=28,"26-28","29-30")))</f>
        <v>26-28</v>
      </c>
      <c r="F960" s="12">
        <v>3.74</v>
      </c>
      <c r="G960" s="12">
        <v>3.88</v>
      </c>
      <c r="H960" s="12">
        <v>3.91</v>
      </c>
      <c r="I960" s="12">
        <v>3.73</v>
      </c>
      <c r="J960" s="12">
        <v>4.0599999999999996</v>
      </c>
      <c r="K960" s="12">
        <v>4.25</v>
      </c>
      <c r="L960" s="12">
        <v>3.61</v>
      </c>
      <c r="M960" s="12">
        <v>4.16</v>
      </c>
      <c r="N960" s="12">
        <v>4.25</v>
      </c>
      <c r="O960" s="12">
        <v>3.47</v>
      </c>
      <c r="P960" s="12">
        <f t="shared" si="85"/>
        <v>3.8639999999999999</v>
      </c>
      <c r="Q960" s="12">
        <f t="shared" si="86"/>
        <v>3.86</v>
      </c>
      <c r="R960" s="12">
        <f t="shared" si="87"/>
        <v>3.9479999999999995</v>
      </c>
      <c r="S960" s="28">
        <f>IFERROR(INDEX('Clean Gamification Data'!$B:$B,MATCH($B960,'Clean Gamification Data'!$A:$A,0)),"Not Found")</f>
        <v>84.946279770000004</v>
      </c>
      <c r="T960" s="28">
        <f>IFERROR(INDEX('Clean Gamification Data'!$C:$C,MATCH($B960,'Clean Gamification Data'!$A:$A,0)),"Not Found")</f>
        <v>66.967315679999999</v>
      </c>
      <c r="U960" s="28">
        <f>IFERROR(INDEX('Clean Gamification Data'!$D:$D,MATCH($B960,'Clean Gamification Data'!$A:$A,0)),"Not Found")</f>
        <v>76.130875200000006</v>
      </c>
      <c r="V960" s="28">
        <f>IFERROR(INDEX('Clean Gamification Data'!$E:$E,MATCH($B960,'Clean Gamification Data'!$A:$A,0)),"Not Found")</f>
        <v>63.197601480000003</v>
      </c>
      <c r="W960" s="28">
        <f>IFERROR(INDEX('Clean Gamification Data'!$F:$F,MATCH($B960,'Clean Gamification Data'!$A:$A,0)),"Not Found")</f>
        <v>91.673121710000004</v>
      </c>
      <c r="X960" s="28">
        <f>IFERROR(INDEX('Clean Gamification Data'!$G:$G,MATCH($B960,'Clean Gamification Data'!$A:$A,0)),"Not Found")</f>
        <v>75.859875439999996</v>
      </c>
      <c r="Y960" s="28">
        <f>IFERROR(INDEX('Clean Gamification Data'!$H:$H,MATCH($B960,'Clean Gamification Data'!$A:$A,0)),"Not Found")</f>
        <v>71.703072340000006</v>
      </c>
      <c r="Z960" s="28">
        <f>IFERROR(INDEX('Clean Gamification Data'!$I:$I,MATCH($B960,'Clean Gamification Data'!$A:$A,0)),"Not Found")</f>
        <v>64.522131610000002</v>
      </c>
      <c r="AA960" s="28">
        <f>Table1[[#This Row],[Engagement (Gamification %)]]-Table1[[#This Row],[Engagement (Non-Gamification %)]]</f>
        <v>17.978964090000005</v>
      </c>
      <c r="AB960" s="28">
        <f>Table1[[#This Row],[Motivation (Gamification %)]]-Table1[[#This Row],[Motivation (Non-Gamification %)]]</f>
        <v>12.933273720000003</v>
      </c>
      <c r="AC960" s="28">
        <f>Table1[[#This Row],[Participation (Gamification %)]]-Table1[[#This Row],[Participation (Non-Gamification %)]]</f>
        <v>15.813246270000008</v>
      </c>
      <c r="AD960" s="28">
        <f>Table1[[#This Row],[Learning Outcomes (Gamification %)]]-Table1[[#This Row],[Learning Outcomes (Non-Gamification %)]]</f>
        <v>7.1809407300000032</v>
      </c>
      <c r="AE960" s="44" t="str">
        <f>IF(Table1[[#This Row],[Overall Effectiveness]]&lt;3.9,"Low",IF(Table1[[#This Row],[Overall Effectiveness]]&lt;4.2,"Medium","High"))</f>
        <v>Low</v>
      </c>
      <c r="AF960" s="30" t="str">
        <f t="shared" si="88"/>
        <v>Online Tutorials</v>
      </c>
      <c r="AG960" s="30" t="str">
        <f t="shared" si="89"/>
        <v>Lectures</v>
      </c>
      <c r="AH960" s="27">
        <f>COUNTIF(Teacher_Master!$D$2:$D$16,AF960)</f>
        <v>3</v>
      </c>
      <c r="AI960" s="30" t="str">
        <f>INDEX(Teacher_Master!$B$2:$B$16,MATCH(AF960,Teacher_Master!$D$2:$D$16,0))</f>
        <v>Prof. Kavita Rao</v>
      </c>
    </row>
    <row r="961" spans="1:35" ht="14.25" customHeight="1" x14ac:dyDescent="0.3">
      <c r="A961" s="31" t="s">
        <v>1961</v>
      </c>
      <c r="B961" s="31" t="s">
        <v>1962</v>
      </c>
      <c r="C961" s="31" t="s">
        <v>2881</v>
      </c>
      <c r="D961" s="12">
        <f t="shared" ca="1" si="84"/>
        <v>25</v>
      </c>
      <c r="E961" s="12" t="str">
        <f ca="1">IF(Table1[[#This Row],[Age]]&lt;=22,"20-22",IF(Table1[[#This Row],[Age]]&lt;=25,"23-25",IF(Table1[[#This Row],[Age]]&lt;=28,"26-28","29-30")))</f>
        <v>23-25</v>
      </c>
      <c r="F961" s="12">
        <v>3.25</v>
      </c>
      <c r="G961" s="12">
        <v>4.24</v>
      </c>
      <c r="H961" s="12">
        <v>4.13</v>
      </c>
      <c r="I961" s="12">
        <v>4.05</v>
      </c>
      <c r="J961" s="12">
        <v>3.76</v>
      </c>
      <c r="K961" s="12">
        <v>3.47</v>
      </c>
      <c r="L961" s="12">
        <v>4.6900000000000004</v>
      </c>
      <c r="M961" s="12">
        <v>4.03</v>
      </c>
      <c r="N961" s="12">
        <v>4.3499999999999996</v>
      </c>
      <c r="O961" s="12">
        <v>4.1900000000000004</v>
      </c>
      <c r="P961" s="12">
        <f t="shared" si="85"/>
        <v>3.8860000000000001</v>
      </c>
      <c r="Q961" s="12">
        <f t="shared" si="86"/>
        <v>3.89</v>
      </c>
      <c r="R961" s="12">
        <f t="shared" si="87"/>
        <v>4.1459999999999999</v>
      </c>
      <c r="S961" s="28">
        <f>IFERROR(INDEX('Clean Gamification Data'!$B:$B,MATCH($B961,'Clean Gamification Data'!$A:$A,0)),"Not Found")</f>
        <v>82.754174390000003</v>
      </c>
      <c r="T961" s="28">
        <f>IFERROR(INDEX('Clean Gamification Data'!$C:$C,MATCH($B961,'Clean Gamification Data'!$A:$A,0)),"Not Found")</f>
        <v>73.722977330000006</v>
      </c>
      <c r="U961" s="28">
        <f>IFERROR(INDEX('Clean Gamification Data'!$D:$D,MATCH($B961,'Clean Gamification Data'!$A:$A,0)),"Not Found")</f>
        <v>85.765467999999998</v>
      </c>
      <c r="V961" s="28">
        <f>IFERROR(INDEX('Clean Gamification Data'!$E:$E,MATCH($B961,'Clean Gamification Data'!$A:$A,0)),"Not Found")</f>
        <v>65.5927887</v>
      </c>
      <c r="W961" s="28">
        <f>IFERROR(INDEX('Clean Gamification Data'!$F:$F,MATCH($B961,'Clean Gamification Data'!$A:$A,0)),"Not Found")</f>
        <v>90.524680309999994</v>
      </c>
      <c r="X961" s="28">
        <f>IFERROR(INDEX('Clean Gamification Data'!$G:$G,MATCH($B961,'Clean Gamification Data'!$A:$A,0)),"Not Found")</f>
        <v>82.673651500000005</v>
      </c>
      <c r="Y961" s="28">
        <f>IFERROR(INDEX('Clean Gamification Data'!$H:$H,MATCH($B961,'Clean Gamification Data'!$A:$A,0)),"Not Found")</f>
        <v>69.860124799999994</v>
      </c>
      <c r="Z961" s="28">
        <f>IFERROR(INDEX('Clean Gamification Data'!$I:$I,MATCH($B961,'Clean Gamification Data'!$A:$A,0)),"Not Found")</f>
        <v>63.554271210000003</v>
      </c>
      <c r="AA961" s="28">
        <f>Table1[[#This Row],[Engagement (Gamification %)]]-Table1[[#This Row],[Engagement (Non-Gamification %)]]</f>
        <v>9.0311970599999967</v>
      </c>
      <c r="AB961" s="28">
        <f>Table1[[#This Row],[Motivation (Gamification %)]]-Table1[[#This Row],[Motivation (Non-Gamification %)]]</f>
        <v>20.172679299999999</v>
      </c>
      <c r="AC961" s="28">
        <f>Table1[[#This Row],[Participation (Gamification %)]]-Table1[[#This Row],[Participation (Non-Gamification %)]]</f>
        <v>7.8510288099999883</v>
      </c>
      <c r="AD961" s="28">
        <f>Table1[[#This Row],[Learning Outcomes (Gamification %)]]-Table1[[#This Row],[Learning Outcomes (Non-Gamification %)]]</f>
        <v>6.305853589999991</v>
      </c>
      <c r="AE961" s="44" t="str">
        <f>IF(Table1[[#This Row],[Overall Effectiveness]]&lt;3.9,"Low",IF(Table1[[#This Row],[Overall Effectiveness]]&lt;4.2,"Medium","High"))</f>
        <v>Low</v>
      </c>
      <c r="AF961" s="30" t="str">
        <f t="shared" si="88"/>
        <v>Case Studies</v>
      </c>
      <c r="AG961" s="30" t="str">
        <f t="shared" si="89"/>
        <v>Case Studies</v>
      </c>
      <c r="AH961" s="27">
        <f>COUNTIF(Teacher_Master!$D$2:$D$16,AF961)</f>
        <v>3</v>
      </c>
      <c r="AI961" s="30" t="str">
        <f>INDEX(Teacher_Master!$B$2:$B$16,MATCH(AF961,Teacher_Master!$D$2:$D$16,0))</f>
        <v>Prof. Rajesh Mukherjee</v>
      </c>
    </row>
    <row r="962" spans="1:35" ht="14.25" customHeight="1" x14ac:dyDescent="0.3">
      <c r="A962" s="31" t="s">
        <v>1963</v>
      </c>
      <c r="B962" s="31" t="s">
        <v>2778</v>
      </c>
      <c r="C962" s="31" t="s">
        <v>2882</v>
      </c>
      <c r="D962" s="12">
        <f t="shared" ref="D962:D1003" ca="1" si="90">RANDBETWEEN(20,30)</f>
        <v>21</v>
      </c>
      <c r="E962" s="12" t="str">
        <f ca="1">IF(Table1[[#This Row],[Age]]&lt;=22,"20-22",IF(Table1[[#This Row],[Age]]&lt;=25,"23-25",IF(Table1[[#This Row],[Age]]&lt;=28,"26-28","29-30")))</f>
        <v>20-22</v>
      </c>
      <c r="F962" s="12">
        <v>4.45</v>
      </c>
      <c r="G962" s="12" t="s">
        <v>211</v>
      </c>
      <c r="H962" s="12">
        <v>3.81</v>
      </c>
      <c r="I962" s="12">
        <v>3.73</v>
      </c>
      <c r="J962" s="12">
        <v>4.41</v>
      </c>
      <c r="K962" s="12">
        <v>4.0999999999999996</v>
      </c>
      <c r="L962" s="12">
        <v>4.01</v>
      </c>
      <c r="M962" s="12">
        <v>3.79</v>
      </c>
      <c r="N962" s="12">
        <v>3.57</v>
      </c>
      <c r="O962" s="12">
        <v>4.4000000000000004</v>
      </c>
      <c r="P962" s="12">
        <f t="shared" ref="P962:P1003" si="91">AVERAGE(F962:J962)</f>
        <v>4.0999999999999996</v>
      </c>
      <c r="Q962" s="12">
        <f t="shared" ref="Q962:Q1003" si="92">ROUND(P962,2)</f>
        <v>4.0999999999999996</v>
      </c>
      <c r="R962" s="12">
        <f t="shared" ref="R962:R1003" si="93">AVERAGE(K962:O962)</f>
        <v>3.9739999999999993</v>
      </c>
      <c r="S962" s="28">
        <f>IFERROR(INDEX('Clean Gamification Data'!$B:$B,MATCH($B962,'Clean Gamification Data'!$A:$A,0)),"Not Found")</f>
        <v>81.430976670000007</v>
      </c>
      <c r="T962" s="28">
        <f>IFERROR(INDEX('Clean Gamification Data'!$C:$C,MATCH($B962,'Clean Gamification Data'!$A:$A,0)),"Not Found")</f>
        <v>62.084998450000001</v>
      </c>
      <c r="U962" s="28">
        <f>IFERROR(INDEX('Clean Gamification Data'!$D:$D,MATCH($B962,'Clean Gamification Data'!$A:$A,0)),"Not Found")</f>
        <v>72.591509419999994</v>
      </c>
      <c r="V962" s="28">
        <f>IFERROR(INDEX('Clean Gamification Data'!$E:$E,MATCH($B962,'Clean Gamification Data'!$A:$A,0)),"Not Found")</f>
        <v>69.636339620000001</v>
      </c>
      <c r="W962" s="28">
        <f>IFERROR(INDEX('Clean Gamification Data'!$F:$F,MATCH($B962,'Clean Gamification Data'!$A:$A,0)),"Not Found")</f>
        <v>81.041266059999998</v>
      </c>
      <c r="X962" s="28">
        <f>IFERROR(INDEX('Clean Gamification Data'!$G:$G,MATCH($B962,'Clean Gamification Data'!$A:$A,0)),"Not Found")</f>
        <v>79.655788200000003</v>
      </c>
      <c r="Y962" s="28">
        <f>IFERROR(INDEX('Clean Gamification Data'!$H:$H,MATCH($B962,'Clean Gamification Data'!$A:$A,0)),"Not Found")</f>
        <v>67.590633400000002</v>
      </c>
      <c r="Z962" s="28">
        <f>IFERROR(INDEX('Clean Gamification Data'!$I:$I,MATCH($B962,'Clean Gamification Data'!$A:$A,0)),"Not Found")</f>
        <v>69.268021829999995</v>
      </c>
      <c r="AA962" s="28">
        <f>Table1[[#This Row],[Engagement (Gamification %)]]-Table1[[#This Row],[Engagement (Non-Gamification %)]]</f>
        <v>19.345978220000006</v>
      </c>
      <c r="AB962" s="28">
        <f>Table1[[#This Row],[Motivation (Gamification %)]]-Table1[[#This Row],[Motivation (Non-Gamification %)]]</f>
        <v>2.9551697999999931</v>
      </c>
      <c r="AC962" s="28">
        <f>Table1[[#This Row],[Participation (Gamification %)]]-Table1[[#This Row],[Participation (Non-Gamification %)]]</f>
        <v>1.3854778599999946</v>
      </c>
      <c r="AD962" s="28">
        <f>Table1[[#This Row],[Learning Outcomes (Gamification %)]]-Table1[[#This Row],[Learning Outcomes (Non-Gamification %)]]</f>
        <v>-1.6773884299999935</v>
      </c>
      <c r="AE962" s="44" t="str">
        <f>IF(Table1[[#This Row],[Overall Effectiveness]]&lt;3.9,"Low",IF(Table1[[#This Row],[Overall Effectiveness]]&lt;4.2,"Medium","High"))</f>
        <v>Medium</v>
      </c>
      <c r="AF962" s="30" t="str">
        <f t="shared" ref="AF962:AF1003" si="94">CHOOSE(MATCH(MAX(F962:J962),F962:J962,0),"Lectures","Case Studies","Group Projects","Experiments","Online Tutorials")</f>
        <v>Lectures</v>
      </c>
      <c r="AG962" s="30" t="str">
        <f t="shared" ref="AG962:AG1003" si="95">CHOOSE(MATCH(MAX(K962:O962),K962:O962,0),"Lectures","Case Studies","Group Projects","Experiments","Online Tutorials")</f>
        <v>Online Tutorials</v>
      </c>
      <c r="AH962" s="27">
        <f>COUNTIF(Teacher_Master!$D$2:$D$16,AF962)</f>
        <v>3</v>
      </c>
      <c r="AI962" s="30" t="str">
        <f>INDEX(Teacher_Master!$B$2:$B$16,MATCH(AF962,Teacher_Master!$D$2:$D$16,0))</f>
        <v>Prof. Vikram Gupta</v>
      </c>
    </row>
    <row r="963" spans="1:35" ht="14.25" customHeight="1" x14ac:dyDescent="0.3">
      <c r="A963" s="31" t="s">
        <v>1965</v>
      </c>
      <c r="B963" s="31" t="s">
        <v>1966</v>
      </c>
      <c r="C963" s="31" t="s">
        <v>2882</v>
      </c>
      <c r="D963" s="12">
        <f t="shared" ca="1" si="90"/>
        <v>24</v>
      </c>
      <c r="E963" s="12" t="str">
        <f ca="1">IF(Table1[[#This Row],[Age]]&lt;=22,"20-22",IF(Table1[[#This Row],[Age]]&lt;=25,"23-25",IF(Table1[[#This Row],[Age]]&lt;=28,"26-28","29-30")))</f>
        <v>23-25</v>
      </c>
      <c r="F963" s="12">
        <v>3.46</v>
      </c>
      <c r="G963" s="12" t="s">
        <v>211</v>
      </c>
      <c r="H963" s="12">
        <v>3.81</v>
      </c>
      <c r="I963" s="12">
        <v>3.8</v>
      </c>
      <c r="J963" s="12">
        <v>4.08</v>
      </c>
      <c r="K963" s="12">
        <v>3.9</v>
      </c>
      <c r="L963" s="12">
        <v>4.3600000000000003</v>
      </c>
      <c r="M963" s="12">
        <v>3.61</v>
      </c>
      <c r="N963" s="12">
        <v>3.55</v>
      </c>
      <c r="O963" s="12">
        <v>3.78</v>
      </c>
      <c r="P963" s="12">
        <f t="shared" si="91"/>
        <v>3.7875000000000001</v>
      </c>
      <c r="Q963" s="12">
        <f t="shared" si="92"/>
        <v>3.79</v>
      </c>
      <c r="R963" s="12">
        <f t="shared" si="93"/>
        <v>3.84</v>
      </c>
      <c r="S963" s="28">
        <f>IFERROR(INDEX('Clean Gamification Data'!$B:$B,MATCH($B963,'Clean Gamification Data'!$A:$A,0)),"Not Found")</f>
        <v>89.555254079999997</v>
      </c>
      <c r="T963" s="28">
        <f>IFERROR(INDEX('Clean Gamification Data'!$C:$C,MATCH($B963,'Clean Gamification Data'!$A:$A,0)),"Not Found")</f>
        <v>70.177826899999999</v>
      </c>
      <c r="U963" s="28">
        <f>IFERROR(INDEX('Clean Gamification Data'!$D:$D,MATCH($B963,'Clean Gamification Data'!$A:$A,0)),"Not Found")</f>
        <v>72.760148380000004</v>
      </c>
      <c r="V963" s="28">
        <f>IFERROR(INDEX('Clean Gamification Data'!$E:$E,MATCH($B963,'Clean Gamification Data'!$A:$A,0)),"Not Found")</f>
        <v>64.427974180000007</v>
      </c>
      <c r="W963" s="28">
        <f>IFERROR(INDEX('Clean Gamification Data'!$F:$F,MATCH($B963,'Clean Gamification Data'!$A:$A,0)),"Not Found")</f>
        <v>92.591243469999995</v>
      </c>
      <c r="X963" s="28">
        <f>IFERROR(INDEX('Clean Gamification Data'!$G:$G,MATCH($B963,'Clean Gamification Data'!$A:$A,0)),"Not Found")</f>
        <v>74.061114829999994</v>
      </c>
      <c r="Y963" s="28">
        <f>IFERROR(INDEX('Clean Gamification Data'!$H:$H,MATCH($B963,'Clean Gamification Data'!$A:$A,0)),"Not Found")</f>
        <v>70.717006760000004</v>
      </c>
      <c r="Z963" s="28">
        <f>IFERROR(INDEX('Clean Gamification Data'!$I:$I,MATCH($B963,'Clean Gamification Data'!$A:$A,0)),"Not Found")</f>
        <v>50</v>
      </c>
      <c r="AA963" s="28">
        <f>Table1[[#This Row],[Engagement (Gamification %)]]-Table1[[#This Row],[Engagement (Non-Gamification %)]]</f>
        <v>19.377427179999998</v>
      </c>
      <c r="AB963" s="28">
        <f>Table1[[#This Row],[Motivation (Gamification %)]]-Table1[[#This Row],[Motivation (Non-Gamification %)]]</f>
        <v>8.3321741999999972</v>
      </c>
      <c r="AC963" s="28">
        <f>Table1[[#This Row],[Participation (Gamification %)]]-Table1[[#This Row],[Participation (Non-Gamification %)]]</f>
        <v>18.530128640000001</v>
      </c>
      <c r="AD963" s="28">
        <f>Table1[[#This Row],[Learning Outcomes (Gamification %)]]-Table1[[#This Row],[Learning Outcomes (Non-Gamification %)]]</f>
        <v>20.717006760000004</v>
      </c>
      <c r="AE963" s="44" t="str">
        <f>IF(Table1[[#This Row],[Overall Effectiveness]]&lt;3.9,"Low",IF(Table1[[#This Row],[Overall Effectiveness]]&lt;4.2,"Medium","High"))</f>
        <v>Low</v>
      </c>
      <c r="AF963" s="30" t="str">
        <f t="shared" si="94"/>
        <v>Online Tutorials</v>
      </c>
      <c r="AG963" s="30" t="str">
        <f t="shared" si="95"/>
        <v>Case Studies</v>
      </c>
      <c r="AH963" s="27">
        <f>COUNTIF(Teacher_Master!$D$2:$D$16,AF963)</f>
        <v>3</v>
      </c>
      <c r="AI963" s="30" t="str">
        <f>INDEX(Teacher_Master!$B$2:$B$16,MATCH(AF963,Teacher_Master!$D$2:$D$16,0))</f>
        <v>Prof. Kavita Rao</v>
      </c>
    </row>
    <row r="964" spans="1:35" ht="14.25" customHeight="1" x14ac:dyDescent="0.3">
      <c r="A964" s="31" t="s">
        <v>1967</v>
      </c>
      <c r="B964" s="31" t="s">
        <v>1968</v>
      </c>
      <c r="C964" s="31" t="s">
        <v>2882</v>
      </c>
      <c r="D964" s="12">
        <f t="shared" ca="1" si="90"/>
        <v>23</v>
      </c>
      <c r="E964" s="12" t="str">
        <f ca="1">IF(Table1[[#This Row],[Age]]&lt;=22,"20-22",IF(Table1[[#This Row],[Age]]&lt;=25,"23-25",IF(Table1[[#This Row],[Age]]&lt;=28,"26-28","29-30")))</f>
        <v>23-25</v>
      </c>
      <c r="F964" s="12">
        <v>3.8</v>
      </c>
      <c r="G964" s="12">
        <v>4.2</v>
      </c>
      <c r="H964" s="12">
        <v>4.54</v>
      </c>
      <c r="I964" s="12">
        <v>3.75</v>
      </c>
      <c r="J964" s="12">
        <v>4.09</v>
      </c>
      <c r="K964" s="12" t="s">
        <v>211</v>
      </c>
      <c r="L964" s="12">
        <v>3.97</v>
      </c>
      <c r="M964" s="12">
        <v>3.95</v>
      </c>
      <c r="N964" s="12">
        <v>4.3499999999999996</v>
      </c>
      <c r="O964" s="12">
        <v>3.83</v>
      </c>
      <c r="P964" s="12">
        <f t="shared" si="91"/>
        <v>4.0759999999999996</v>
      </c>
      <c r="Q964" s="12">
        <f t="shared" si="92"/>
        <v>4.08</v>
      </c>
      <c r="R964" s="12">
        <f t="shared" si="93"/>
        <v>4.0250000000000004</v>
      </c>
      <c r="S964" s="28">
        <f>IFERROR(INDEX('Clean Gamification Data'!$B:$B,MATCH($B964,'Clean Gamification Data'!$A:$A,0)),"Not Found")</f>
        <v>93.719232899999994</v>
      </c>
      <c r="T964" s="28">
        <f>IFERROR(INDEX('Clean Gamification Data'!$C:$C,MATCH($B964,'Clean Gamification Data'!$A:$A,0)),"Not Found")</f>
        <v>69.660782639999994</v>
      </c>
      <c r="U964" s="28">
        <f>IFERROR(INDEX('Clean Gamification Data'!$D:$D,MATCH($B964,'Clean Gamification Data'!$A:$A,0)),"Not Found")</f>
        <v>77.116763199999994</v>
      </c>
      <c r="V964" s="28">
        <f>IFERROR(INDEX('Clean Gamification Data'!$E:$E,MATCH($B964,'Clean Gamification Data'!$A:$A,0)),"Not Found")</f>
        <v>62.28674565</v>
      </c>
      <c r="W964" s="28">
        <f>IFERROR(INDEX('Clean Gamification Data'!$F:$F,MATCH($B964,'Clean Gamification Data'!$A:$A,0)),"Not Found")</f>
        <v>93.917312609999996</v>
      </c>
      <c r="X964" s="28">
        <f>IFERROR(INDEX('Clean Gamification Data'!$G:$G,MATCH($B964,'Clean Gamification Data'!$A:$A,0)),"Not Found")</f>
        <v>79.67760251</v>
      </c>
      <c r="Y964" s="28">
        <f>IFERROR(INDEX('Clean Gamification Data'!$H:$H,MATCH($B964,'Clean Gamification Data'!$A:$A,0)),"Not Found")</f>
        <v>65</v>
      </c>
      <c r="Z964" s="28">
        <f>IFERROR(INDEX('Clean Gamification Data'!$I:$I,MATCH($B964,'Clean Gamification Data'!$A:$A,0)),"Not Found")</f>
        <v>53.381116910000003</v>
      </c>
      <c r="AA964" s="28">
        <f>Table1[[#This Row],[Engagement (Gamification %)]]-Table1[[#This Row],[Engagement (Non-Gamification %)]]</f>
        <v>24.058450260000001</v>
      </c>
      <c r="AB964" s="28">
        <f>Table1[[#This Row],[Motivation (Gamification %)]]-Table1[[#This Row],[Motivation (Non-Gamification %)]]</f>
        <v>14.830017549999994</v>
      </c>
      <c r="AC964" s="28">
        <f>Table1[[#This Row],[Participation (Gamification %)]]-Table1[[#This Row],[Participation (Non-Gamification %)]]</f>
        <v>14.239710099999996</v>
      </c>
      <c r="AD964" s="28">
        <f>Table1[[#This Row],[Learning Outcomes (Gamification %)]]-Table1[[#This Row],[Learning Outcomes (Non-Gamification %)]]</f>
        <v>11.618883089999997</v>
      </c>
      <c r="AE964" s="44" t="str">
        <f>IF(Table1[[#This Row],[Overall Effectiveness]]&lt;3.9,"Low",IF(Table1[[#This Row],[Overall Effectiveness]]&lt;4.2,"Medium","High"))</f>
        <v>Medium</v>
      </c>
      <c r="AF964" s="30" t="str">
        <f t="shared" si="94"/>
        <v>Group Projects</v>
      </c>
      <c r="AG964" s="30" t="str">
        <f t="shared" si="95"/>
        <v>Experiments</v>
      </c>
      <c r="AH964" s="27">
        <f>COUNTIF(Teacher_Master!$D$2:$D$16,AF964)</f>
        <v>3</v>
      </c>
      <c r="AI964" s="30" t="str">
        <f>INDEX(Teacher_Master!$B$2:$B$16,MATCH(AF964,Teacher_Master!$D$2:$D$16,0))</f>
        <v>Dr. Rohan Dutta</v>
      </c>
    </row>
    <row r="965" spans="1:35" ht="14.25" customHeight="1" x14ac:dyDescent="0.3">
      <c r="A965" s="31" t="s">
        <v>1969</v>
      </c>
      <c r="B965" s="31" t="s">
        <v>2779</v>
      </c>
      <c r="C965" s="31" t="s">
        <v>2882</v>
      </c>
      <c r="D965" s="12">
        <f t="shared" ca="1" si="90"/>
        <v>24</v>
      </c>
      <c r="E965" s="12" t="str">
        <f ca="1">IF(Table1[[#This Row],[Age]]&lt;=22,"20-22",IF(Table1[[#This Row],[Age]]&lt;=25,"23-25",IF(Table1[[#This Row],[Age]]&lt;=28,"26-28","29-30")))</f>
        <v>23-25</v>
      </c>
      <c r="F965" s="12">
        <v>3.78</v>
      </c>
      <c r="G965" s="12">
        <v>4.46</v>
      </c>
      <c r="H965" s="12">
        <v>3.88</v>
      </c>
      <c r="I965" s="12">
        <v>4.3600000000000003</v>
      </c>
      <c r="J965" s="12">
        <v>4.04</v>
      </c>
      <c r="K965" s="12">
        <v>4.3099999999999996</v>
      </c>
      <c r="L965" s="12">
        <v>4.22</v>
      </c>
      <c r="M965" s="12">
        <v>4.09</v>
      </c>
      <c r="N965" s="12">
        <v>3.98</v>
      </c>
      <c r="O965" s="12">
        <v>4.04</v>
      </c>
      <c r="P965" s="12">
        <f t="shared" si="91"/>
        <v>4.1040000000000001</v>
      </c>
      <c r="Q965" s="12">
        <f t="shared" si="92"/>
        <v>4.0999999999999996</v>
      </c>
      <c r="R965" s="12">
        <f t="shared" si="93"/>
        <v>4.1279999999999992</v>
      </c>
      <c r="S965" s="28">
        <f>IFERROR(INDEX('Clean Gamification Data'!$B:$B,MATCH($B965,'Clean Gamification Data'!$A:$A,0)),"Not Found")</f>
        <v>79.729949439999999</v>
      </c>
      <c r="T965" s="28">
        <f>IFERROR(INDEX('Clean Gamification Data'!$C:$C,MATCH($B965,'Clean Gamification Data'!$A:$A,0)),"Not Found")</f>
        <v>73.416769680000002</v>
      </c>
      <c r="U965" s="28">
        <f>IFERROR(INDEX('Clean Gamification Data'!$D:$D,MATCH($B965,'Clean Gamification Data'!$A:$A,0)),"Not Found")</f>
        <v>78.739916719999997</v>
      </c>
      <c r="V965" s="28">
        <f>IFERROR(INDEX('Clean Gamification Data'!$E:$E,MATCH($B965,'Clean Gamification Data'!$A:$A,0)),"Not Found")</f>
        <v>65.968839329999994</v>
      </c>
      <c r="W965" s="28">
        <f>IFERROR(INDEX('Clean Gamification Data'!$F:$F,MATCH($B965,'Clean Gamification Data'!$A:$A,0)),"Not Found")</f>
        <v>83.277895720000004</v>
      </c>
      <c r="X965" s="28">
        <f>IFERROR(INDEX('Clean Gamification Data'!$G:$G,MATCH($B965,'Clean Gamification Data'!$A:$A,0)),"Not Found")</f>
        <v>79.442339450000006</v>
      </c>
      <c r="Y965" s="28">
        <f>IFERROR(INDEX('Clean Gamification Data'!$H:$H,MATCH($B965,'Clean Gamification Data'!$A:$A,0)),"Not Found")</f>
        <v>69.42810987</v>
      </c>
      <c r="Z965" s="28">
        <f>IFERROR(INDEX('Clean Gamification Data'!$I:$I,MATCH($B965,'Clean Gamification Data'!$A:$A,0)),"Not Found")</f>
        <v>70</v>
      </c>
      <c r="AA965" s="28">
        <f>Table1[[#This Row],[Engagement (Gamification %)]]-Table1[[#This Row],[Engagement (Non-Gamification %)]]</f>
        <v>6.313179759999997</v>
      </c>
      <c r="AB965" s="28">
        <f>Table1[[#This Row],[Motivation (Gamification %)]]-Table1[[#This Row],[Motivation (Non-Gamification %)]]</f>
        <v>12.771077390000002</v>
      </c>
      <c r="AC965" s="28">
        <f>Table1[[#This Row],[Participation (Gamification %)]]-Table1[[#This Row],[Participation (Non-Gamification %)]]</f>
        <v>3.8355562699999979</v>
      </c>
      <c r="AD965" s="28">
        <f>Table1[[#This Row],[Learning Outcomes (Gamification %)]]-Table1[[#This Row],[Learning Outcomes (Non-Gamification %)]]</f>
        <v>-0.57189012999999989</v>
      </c>
      <c r="AE965" s="44" t="str">
        <f>IF(Table1[[#This Row],[Overall Effectiveness]]&lt;3.9,"Low",IF(Table1[[#This Row],[Overall Effectiveness]]&lt;4.2,"Medium","High"))</f>
        <v>Medium</v>
      </c>
      <c r="AF965" s="30" t="str">
        <f t="shared" si="94"/>
        <v>Case Studies</v>
      </c>
      <c r="AG965" s="30" t="str">
        <f t="shared" si="95"/>
        <v>Lectures</v>
      </c>
      <c r="AH965" s="27">
        <f>COUNTIF(Teacher_Master!$D$2:$D$16,AF965)</f>
        <v>3</v>
      </c>
      <c r="AI965" s="30" t="str">
        <f>INDEX(Teacher_Master!$B$2:$B$16,MATCH(AF965,Teacher_Master!$D$2:$D$16,0))</f>
        <v>Prof. Rajesh Mukherjee</v>
      </c>
    </row>
    <row r="966" spans="1:35" ht="14.25" customHeight="1" x14ac:dyDescent="0.3">
      <c r="A966" s="31" t="s">
        <v>1971</v>
      </c>
      <c r="B966" s="31" t="s">
        <v>2780</v>
      </c>
      <c r="C966" s="31" t="s">
        <v>2882</v>
      </c>
      <c r="D966" s="12">
        <f t="shared" ca="1" si="90"/>
        <v>30</v>
      </c>
      <c r="E966" s="12" t="str">
        <f ca="1">IF(Table1[[#This Row],[Age]]&lt;=22,"20-22",IF(Table1[[#This Row],[Age]]&lt;=25,"23-25",IF(Table1[[#This Row],[Age]]&lt;=28,"26-28","29-30")))</f>
        <v>29-30</v>
      </c>
      <c r="F966" s="12">
        <v>3.99</v>
      </c>
      <c r="G966" s="12">
        <v>3.78</v>
      </c>
      <c r="H966" s="12">
        <v>3.96</v>
      </c>
      <c r="I966" s="12">
        <v>3.65</v>
      </c>
      <c r="J966" s="12">
        <v>3.88</v>
      </c>
      <c r="K966" s="12">
        <v>4.53</v>
      </c>
      <c r="L966" s="12">
        <v>3.96</v>
      </c>
      <c r="M966" s="12">
        <v>3.89</v>
      </c>
      <c r="N966" s="12">
        <v>4.1100000000000003</v>
      </c>
      <c r="O966" s="12">
        <v>3.89</v>
      </c>
      <c r="P966" s="12">
        <f t="shared" si="91"/>
        <v>3.8520000000000003</v>
      </c>
      <c r="Q966" s="12">
        <f t="shared" si="92"/>
        <v>3.85</v>
      </c>
      <c r="R966" s="12">
        <f t="shared" si="93"/>
        <v>4.0760000000000005</v>
      </c>
      <c r="S966" s="28">
        <f>IFERROR(INDEX('Clean Gamification Data'!$B:$B,MATCH($B966,'Clean Gamification Data'!$A:$A,0)),"Not Found")</f>
        <v>88.299287430000007</v>
      </c>
      <c r="T966" s="28">
        <f>IFERROR(INDEX('Clean Gamification Data'!$C:$C,MATCH($B966,'Clean Gamification Data'!$A:$A,0)),"Not Found")</f>
        <v>66.703926620000004</v>
      </c>
      <c r="U966" s="28">
        <f>IFERROR(INDEX('Clean Gamification Data'!$D:$D,MATCH($B966,'Clean Gamification Data'!$A:$A,0)),"Not Found")</f>
        <v>78.525543229999997</v>
      </c>
      <c r="V966" s="28">
        <f>IFERROR(INDEX('Clean Gamification Data'!$E:$E,MATCH($B966,'Clean Gamification Data'!$A:$A,0)),"Not Found")</f>
        <v>66.796521100000007</v>
      </c>
      <c r="W966" s="28">
        <f>IFERROR(INDEX('Clean Gamification Data'!$F:$F,MATCH($B966,'Clean Gamification Data'!$A:$A,0)),"Not Found")</f>
        <v>88.451699559999994</v>
      </c>
      <c r="X966" s="28">
        <f>IFERROR(INDEX('Clean Gamification Data'!$G:$G,MATCH($B966,'Clean Gamification Data'!$A:$A,0)),"Not Found")</f>
        <v>82.646508909999994</v>
      </c>
      <c r="Y966" s="28">
        <f>IFERROR(INDEX('Clean Gamification Data'!$H:$H,MATCH($B966,'Clean Gamification Data'!$A:$A,0)),"Not Found")</f>
        <v>73.919802950000005</v>
      </c>
      <c r="Z966" s="28">
        <f>IFERROR(INDEX('Clean Gamification Data'!$I:$I,MATCH($B966,'Clean Gamification Data'!$A:$A,0)),"Not Found")</f>
        <v>57.919883460000001</v>
      </c>
      <c r="AA966" s="28">
        <f>Table1[[#This Row],[Engagement (Gamification %)]]-Table1[[#This Row],[Engagement (Non-Gamification %)]]</f>
        <v>21.595360810000003</v>
      </c>
      <c r="AB966" s="28">
        <f>Table1[[#This Row],[Motivation (Gamification %)]]-Table1[[#This Row],[Motivation (Non-Gamification %)]]</f>
        <v>11.72902212999999</v>
      </c>
      <c r="AC966" s="28">
        <f>Table1[[#This Row],[Participation (Gamification %)]]-Table1[[#This Row],[Participation (Non-Gamification %)]]</f>
        <v>5.8051906500000001</v>
      </c>
      <c r="AD966" s="28">
        <f>Table1[[#This Row],[Learning Outcomes (Gamification %)]]-Table1[[#This Row],[Learning Outcomes (Non-Gamification %)]]</f>
        <v>15.999919490000003</v>
      </c>
      <c r="AE966" s="44" t="str">
        <f>IF(Table1[[#This Row],[Overall Effectiveness]]&lt;3.9,"Low",IF(Table1[[#This Row],[Overall Effectiveness]]&lt;4.2,"Medium","High"))</f>
        <v>Low</v>
      </c>
      <c r="AF966" s="30" t="str">
        <f t="shared" si="94"/>
        <v>Lectures</v>
      </c>
      <c r="AG966" s="30" t="str">
        <f t="shared" si="95"/>
        <v>Lectures</v>
      </c>
      <c r="AH966" s="27">
        <f>COUNTIF(Teacher_Master!$D$2:$D$16,AF966)</f>
        <v>3</v>
      </c>
      <c r="AI966" s="30" t="str">
        <f>INDEX(Teacher_Master!$B$2:$B$16,MATCH(AF966,Teacher_Master!$D$2:$D$16,0))</f>
        <v>Prof. Vikram Gupta</v>
      </c>
    </row>
    <row r="967" spans="1:35" ht="14.25" customHeight="1" x14ac:dyDescent="0.3">
      <c r="A967" s="31" t="s">
        <v>1973</v>
      </c>
      <c r="B967" s="31" t="s">
        <v>2781</v>
      </c>
      <c r="C967" s="31" t="s">
        <v>2881</v>
      </c>
      <c r="D967" s="12">
        <f t="shared" ca="1" si="90"/>
        <v>30</v>
      </c>
      <c r="E967" s="12" t="str">
        <f ca="1">IF(Table1[[#This Row],[Age]]&lt;=22,"20-22",IF(Table1[[#This Row],[Age]]&lt;=25,"23-25",IF(Table1[[#This Row],[Age]]&lt;=28,"26-28","29-30")))</f>
        <v>29-30</v>
      </c>
      <c r="F967" s="12">
        <v>4.21</v>
      </c>
      <c r="G967" s="12">
        <v>3.86</v>
      </c>
      <c r="H967" s="12">
        <v>4.1399999999999997</v>
      </c>
      <c r="I967" s="12">
        <v>4.67</v>
      </c>
      <c r="J967" s="12">
        <v>3.89</v>
      </c>
      <c r="K967" s="12">
        <v>3.96</v>
      </c>
      <c r="L967" s="12">
        <v>4.3499999999999996</v>
      </c>
      <c r="M967" s="12">
        <v>4.07</v>
      </c>
      <c r="N967" s="12">
        <v>3.4</v>
      </c>
      <c r="O967" s="12">
        <v>4.0199999999999996</v>
      </c>
      <c r="P967" s="12">
        <f t="shared" si="91"/>
        <v>4.1540000000000008</v>
      </c>
      <c r="Q967" s="12">
        <f t="shared" si="92"/>
        <v>4.1500000000000004</v>
      </c>
      <c r="R967" s="12">
        <f t="shared" si="93"/>
        <v>3.9599999999999995</v>
      </c>
      <c r="S967" s="28">
        <f>IFERROR(INDEX('Clean Gamification Data'!$B:$B,MATCH($B967,'Clean Gamification Data'!$A:$A,0)),"Not Found")</f>
        <v>79.251087999999996</v>
      </c>
      <c r="T967" s="28">
        <f>IFERROR(INDEX('Clean Gamification Data'!$C:$C,MATCH($B967,'Clean Gamification Data'!$A:$A,0)),"Not Found")</f>
        <v>74.870414139999994</v>
      </c>
      <c r="U967" s="28">
        <f>IFERROR(INDEX('Clean Gamification Data'!$D:$D,MATCH($B967,'Clean Gamification Data'!$A:$A,0)),"Not Found")</f>
        <v>70</v>
      </c>
      <c r="V967" s="28">
        <f>IFERROR(INDEX('Clean Gamification Data'!$E:$E,MATCH($B967,'Clean Gamification Data'!$A:$A,0)),"Not Found")</f>
        <v>61.791290949999997</v>
      </c>
      <c r="W967" s="28">
        <f>IFERROR(INDEX('Clean Gamification Data'!$F:$F,MATCH($B967,'Clean Gamification Data'!$A:$A,0)),"Not Found")</f>
        <v>92.190984880000002</v>
      </c>
      <c r="X967" s="28">
        <f>IFERROR(INDEX('Clean Gamification Data'!$G:$G,MATCH($B967,'Clean Gamification Data'!$A:$A,0)),"Not Found")</f>
        <v>82.352959350000006</v>
      </c>
      <c r="Y967" s="28">
        <f>IFERROR(INDEX('Clean Gamification Data'!$H:$H,MATCH($B967,'Clean Gamification Data'!$A:$A,0)),"Not Found")</f>
        <v>74.641162989999998</v>
      </c>
      <c r="Z967" s="28">
        <f>IFERROR(INDEX('Clean Gamification Data'!$I:$I,MATCH($B967,'Clean Gamification Data'!$A:$A,0)),"Not Found")</f>
        <v>57.97675744</v>
      </c>
      <c r="AA967" s="28">
        <f>Table1[[#This Row],[Engagement (Gamification %)]]-Table1[[#This Row],[Engagement (Non-Gamification %)]]</f>
        <v>4.3806738600000017</v>
      </c>
      <c r="AB967" s="28">
        <f>Table1[[#This Row],[Motivation (Gamification %)]]-Table1[[#This Row],[Motivation (Non-Gamification %)]]</f>
        <v>8.2087090500000031</v>
      </c>
      <c r="AC967" s="28">
        <f>Table1[[#This Row],[Participation (Gamification %)]]-Table1[[#This Row],[Participation (Non-Gamification %)]]</f>
        <v>9.8380255299999959</v>
      </c>
      <c r="AD967" s="28">
        <f>Table1[[#This Row],[Learning Outcomes (Gamification %)]]-Table1[[#This Row],[Learning Outcomes (Non-Gamification %)]]</f>
        <v>16.664405549999998</v>
      </c>
      <c r="AE967" s="44" t="str">
        <f>IF(Table1[[#This Row],[Overall Effectiveness]]&lt;3.9,"Low",IF(Table1[[#This Row],[Overall Effectiveness]]&lt;4.2,"Medium","High"))</f>
        <v>Medium</v>
      </c>
      <c r="AF967" s="30" t="str">
        <f t="shared" si="94"/>
        <v>Experiments</v>
      </c>
      <c r="AG967" s="30" t="str">
        <f t="shared" si="95"/>
        <v>Case Studies</v>
      </c>
      <c r="AH967" s="27">
        <f>COUNTIF(Teacher_Master!$D$2:$D$16,AF967)</f>
        <v>3</v>
      </c>
      <c r="AI967" s="30" t="str">
        <f>INDEX(Teacher_Master!$B$2:$B$16,MATCH(AF967,Teacher_Master!$D$2:$D$16,0))</f>
        <v>Prof. Rahul Singh</v>
      </c>
    </row>
    <row r="968" spans="1:35" ht="14.25" customHeight="1" x14ac:dyDescent="0.3">
      <c r="A968" s="31" t="s">
        <v>1975</v>
      </c>
      <c r="B968" s="31" t="s">
        <v>2782</v>
      </c>
      <c r="C968" s="31" t="s">
        <v>2881</v>
      </c>
      <c r="D968" s="12">
        <f t="shared" ca="1" si="90"/>
        <v>29</v>
      </c>
      <c r="E968" s="12" t="str">
        <f ca="1">IF(Table1[[#This Row],[Age]]&lt;=22,"20-22",IF(Table1[[#This Row],[Age]]&lt;=25,"23-25",IF(Table1[[#This Row],[Age]]&lt;=28,"26-28","29-30")))</f>
        <v>29-30</v>
      </c>
      <c r="F968" s="12">
        <v>3.37</v>
      </c>
      <c r="G968" s="12">
        <v>4.1500000000000004</v>
      </c>
      <c r="H968" s="12">
        <v>4.5</v>
      </c>
      <c r="I968" s="12">
        <v>3.97</v>
      </c>
      <c r="J968" s="12">
        <v>3.73</v>
      </c>
      <c r="K968" s="12">
        <v>3.85</v>
      </c>
      <c r="L968" s="12">
        <v>3.74</v>
      </c>
      <c r="M968" s="12">
        <v>4</v>
      </c>
      <c r="N968" s="12">
        <v>4.46</v>
      </c>
      <c r="O968" s="12">
        <v>3.84</v>
      </c>
      <c r="P968" s="12">
        <f t="shared" si="91"/>
        <v>3.944</v>
      </c>
      <c r="Q968" s="12">
        <f t="shared" si="92"/>
        <v>3.94</v>
      </c>
      <c r="R968" s="12">
        <f t="shared" si="93"/>
        <v>3.9780000000000002</v>
      </c>
      <c r="S968" s="28">
        <f>IFERROR(INDEX('Clean Gamification Data'!$B:$B,MATCH($B968,'Clean Gamification Data'!$A:$A,0)),"Not Found")</f>
        <v>81.085255230000001</v>
      </c>
      <c r="T968" s="28">
        <f>IFERROR(INDEX('Clean Gamification Data'!$C:$C,MATCH($B968,'Clean Gamification Data'!$A:$A,0)),"Not Found")</f>
        <v>64.655737110000004</v>
      </c>
      <c r="U968" s="28">
        <f>IFERROR(INDEX('Clean Gamification Data'!$D:$D,MATCH($B968,'Clean Gamification Data'!$A:$A,0)),"Not Found")</f>
        <v>78.596620389999998</v>
      </c>
      <c r="V968" s="28">
        <f>IFERROR(INDEX('Clean Gamification Data'!$E:$E,MATCH($B968,'Clean Gamification Data'!$A:$A,0)),"Not Found")</f>
        <v>63.171167740000001</v>
      </c>
      <c r="W968" s="28">
        <f>IFERROR(INDEX('Clean Gamification Data'!$F:$F,MATCH($B968,'Clean Gamification Data'!$A:$A,0)),"Not Found")</f>
        <v>87.394359989999998</v>
      </c>
      <c r="X968" s="28">
        <f>IFERROR(INDEX('Clean Gamification Data'!$G:$G,MATCH($B968,'Clean Gamification Data'!$A:$A,0)),"Not Found")</f>
        <v>85</v>
      </c>
      <c r="Y968" s="28">
        <f>IFERROR(INDEX('Clean Gamification Data'!$H:$H,MATCH($B968,'Clean Gamification Data'!$A:$A,0)),"Not Found")</f>
        <v>67.949921149999994</v>
      </c>
      <c r="Z968" s="28">
        <f>IFERROR(INDEX('Clean Gamification Data'!$I:$I,MATCH($B968,'Clean Gamification Data'!$A:$A,0)),"Not Found")</f>
        <v>56.713651900000002</v>
      </c>
      <c r="AA968" s="28">
        <f>Table1[[#This Row],[Engagement (Gamification %)]]-Table1[[#This Row],[Engagement (Non-Gamification %)]]</f>
        <v>16.429518119999997</v>
      </c>
      <c r="AB968" s="28">
        <f>Table1[[#This Row],[Motivation (Gamification %)]]-Table1[[#This Row],[Motivation (Non-Gamification %)]]</f>
        <v>15.425452649999997</v>
      </c>
      <c r="AC968" s="28">
        <f>Table1[[#This Row],[Participation (Gamification %)]]-Table1[[#This Row],[Participation (Non-Gamification %)]]</f>
        <v>2.3943599899999981</v>
      </c>
      <c r="AD968" s="28">
        <f>Table1[[#This Row],[Learning Outcomes (Gamification %)]]-Table1[[#This Row],[Learning Outcomes (Non-Gamification %)]]</f>
        <v>11.236269249999992</v>
      </c>
      <c r="AE968" s="44" t="str">
        <f>IF(Table1[[#This Row],[Overall Effectiveness]]&lt;3.9,"Low",IF(Table1[[#This Row],[Overall Effectiveness]]&lt;4.2,"Medium","High"))</f>
        <v>Medium</v>
      </c>
      <c r="AF968" s="30" t="str">
        <f t="shared" si="94"/>
        <v>Group Projects</v>
      </c>
      <c r="AG968" s="30" t="str">
        <f t="shared" si="95"/>
        <v>Experiments</v>
      </c>
      <c r="AH968" s="27">
        <f>COUNTIF(Teacher_Master!$D$2:$D$16,AF968)</f>
        <v>3</v>
      </c>
      <c r="AI968" s="30" t="str">
        <f>INDEX(Teacher_Master!$B$2:$B$16,MATCH(AF968,Teacher_Master!$D$2:$D$16,0))</f>
        <v>Dr. Rohan Dutta</v>
      </c>
    </row>
    <row r="969" spans="1:35" ht="14.25" customHeight="1" x14ac:dyDescent="0.3">
      <c r="A969" s="31" t="s">
        <v>1977</v>
      </c>
      <c r="B969" s="31" t="s">
        <v>2783</v>
      </c>
      <c r="C969" s="31" t="s">
        <v>2881</v>
      </c>
      <c r="D969" s="12">
        <f t="shared" ca="1" si="90"/>
        <v>30</v>
      </c>
      <c r="E969" s="12" t="str">
        <f ca="1">IF(Table1[[#This Row],[Age]]&lt;=22,"20-22",IF(Table1[[#This Row],[Age]]&lt;=25,"23-25",IF(Table1[[#This Row],[Age]]&lt;=28,"26-28","29-30")))</f>
        <v>29-30</v>
      </c>
      <c r="F969" s="12">
        <v>4.3600000000000003</v>
      </c>
      <c r="G969" s="12">
        <v>4.66</v>
      </c>
      <c r="H969" s="12">
        <v>4.82</v>
      </c>
      <c r="I969" s="12">
        <v>4.12</v>
      </c>
      <c r="J969" s="12" t="s">
        <v>211</v>
      </c>
      <c r="K969" s="12">
        <v>4.28</v>
      </c>
      <c r="L969" s="12">
        <v>4.09</v>
      </c>
      <c r="M969" s="12">
        <v>4.3099999999999996</v>
      </c>
      <c r="N969" s="12">
        <v>4.1500000000000004</v>
      </c>
      <c r="O969" s="12">
        <v>3.49</v>
      </c>
      <c r="P969" s="12">
        <f t="shared" si="91"/>
        <v>4.49</v>
      </c>
      <c r="Q969" s="12">
        <f t="shared" si="92"/>
        <v>4.49</v>
      </c>
      <c r="R969" s="12">
        <f t="shared" si="93"/>
        <v>4.0640000000000001</v>
      </c>
      <c r="S969" s="28">
        <f>IFERROR(INDEX('Clean Gamification Data'!$B:$B,MATCH($B969,'Clean Gamification Data'!$A:$A,0)),"Not Found")</f>
        <v>77.682215159999998</v>
      </c>
      <c r="T969" s="28">
        <f>IFERROR(INDEX('Clean Gamification Data'!$C:$C,MATCH($B969,'Clean Gamification Data'!$A:$A,0)),"Not Found")</f>
        <v>60</v>
      </c>
      <c r="U969" s="28">
        <f>IFERROR(INDEX('Clean Gamification Data'!$D:$D,MATCH($B969,'Clean Gamification Data'!$A:$A,0)),"Not Found")</f>
        <v>75.980873900000006</v>
      </c>
      <c r="V969" s="28">
        <f>IFERROR(INDEX('Clean Gamification Data'!$E:$E,MATCH($B969,'Clean Gamification Data'!$A:$A,0)),"Not Found")</f>
        <v>65.350172119999996</v>
      </c>
      <c r="W969" s="28">
        <f>IFERROR(INDEX('Clean Gamification Data'!$F:$F,MATCH($B969,'Clean Gamification Data'!$A:$A,0)),"Not Found")</f>
        <v>93.211124100000006</v>
      </c>
      <c r="X969" s="28">
        <f>IFERROR(INDEX('Clean Gamification Data'!$G:$G,MATCH($B969,'Clean Gamification Data'!$A:$A,0)),"Not Found")</f>
        <v>71.816779789999998</v>
      </c>
      <c r="Y969" s="28">
        <f>IFERROR(INDEX('Clean Gamification Data'!$H:$H,MATCH($B969,'Clean Gamification Data'!$A:$A,0)),"Not Found")</f>
        <v>67.407023269999996</v>
      </c>
      <c r="Z969" s="28">
        <f>IFERROR(INDEX('Clean Gamification Data'!$I:$I,MATCH($B969,'Clean Gamification Data'!$A:$A,0)),"Not Found")</f>
        <v>62.548015290000002</v>
      </c>
      <c r="AA969" s="28">
        <f>Table1[[#This Row],[Engagement (Gamification %)]]-Table1[[#This Row],[Engagement (Non-Gamification %)]]</f>
        <v>17.682215159999998</v>
      </c>
      <c r="AB969" s="28">
        <f>Table1[[#This Row],[Motivation (Gamification %)]]-Table1[[#This Row],[Motivation (Non-Gamification %)]]</f>
        <v>10.63070178000001</v>
      </c>
      <c r="AC969" s="28">
        <f>Table1[[#This Row],[Participation (Gamification %)]]-Table1[[#This Row],[Participation (Non-Gamification %)]]</f>
        <v>21.394344310000008</v>
      </c>
      <c r="AD969" s="28">
        <f>Table1[[#This Row],[Learning Outcomes (Gamification %)]]-Table1[[#This Row],[Learning Outcomes (Non-Gamification %)]]</f>
        <v>4.8590079799999941</v>
      </c>
      <c r="AE969" s="44" t="str">
        <f>IF(Table1[[#This Row],[Overall Effectiveness]]&lt;3.9,"Low",IF(Table1[[#This Row],[Overall Effectiveness]]&lt;4.2,"Medium","High"))</f>
        <v>High</v>
      </c>
      <c r="AF969" s="30" t="str">
        <f t="shared" si="94"/>
        <v>Group Projects</v>
      </c>
      <c r="AG969" s="30" t="str">
        <f t="shared" si="95"/>
        <v>Group Projects</v>
      </c>
      <c r="AH969" s="27">
        <f>COUNTIF(Teacher_Master!$D$2:$D$16,AF969)</f>
        <v>3</v>
      </c>
      <c r="AI969" s="30" t="str">
        <f>INDEX(Teacher_Master!$B$2:$B$16,MATCH(AF969,Teacher_Master!$D$2:$D$16,0))</f>
        <v>Dr. Rohan Dutta</v>
      </c>
    </row>
    <row r="970" spans="1:35" ht="14.25" customHeight="1" x14ac:dyDescent="0.3">
      <c r="A970" s="31" t="s">
        <v>1979</v>
      </c>
      <c r="B970" s="31" t="s">
        <v>1980</v>
      </c>
      <c r="C970" s="31" t="s">
        <v>2882</v>
      </c>
      <c r="D970" s="12">
        <f t="shared" ca="1" si="90"/>
        <v>26</v>
      </c>
      <c r="E970" s="12" t="str">
        <f ca="1">IF(Table1[[#This Row],[Age]]&lt;=22,"20-22",IF(Table1[[#This Row],[Age]]&lt;=25,"23-25",IF(Table1[[#This Row],[Age]]&lt;=28,"26-28","29-30")))</f>
        <v>26-28</v>
      </c>
      <c r="F970" s="12">
        <v>3.63</v>
      </c>
      <c r="G970" s="12">
        <v>4.05</v>
      </c>
      <c r="H970" s="12">
        <v>4.0199999999999996</v>
      </c>
      <c r="I970" s="12">
        <v>4.01</v>
      </c>
      <c r="J970" s="12">
        <v>4.04</v>
      </c>
      <c r="K970" s="12">
        <v>3.46</v>
      </c>
      <c r="L970" s="12">
        <v>4.21</v>
      </c>
      <c r="M970" s="12">
        <v>3.39</v>
      </c>
      <c r="N970" s="12">
        <v>4.03</v>
      </c>
      <c r="O970" s="12">
        <v>3.75</v>
      </c>
      <c r="P970" s="12">
        <f t="shared" si="91"/>
        <v>3.95</v>
      </c>
      <c r="Q970" s="12">
        <f t="shared" si="92"/>
        <v>3.95</v>
      </c>
      <c r="R970" s="12">
        <f t="shared" si="93"/>
        <v>3.7679999999999998</v>
      </c>
      <c r="S970" s="28">
        <f>IFERROR(INDEX('Clean Gamification Data'!$B:$B,MATCH($B970,'Clean Gamification Data'!$A:$A,0)),"Not Found")</f>
        <v>83.906715939999998</v>
      </c>
      <c r="T970" s="28">
        <f>IFERROR(INDEX('Clean Gamification Data'!$C:$C,MATCH($B970,'Clean Gamification Data'!$A:$A,0)),"Not Found")</f>
        <v>63.065145790000003</v>
      </c>
      <c r="U970" s="28">
        <f>IFERROR(INDEX('Clean Gamification Data'!$D:$D,MATCH($B970,'Clean Gamification Data'!$A:$A,0)),"Not Found")</f>
        <v>75.708671409999994</v>
      </c>
      <c r="V970" s="28">
        <f>IFERROR(INDEX('Clean Gamification Data'!$E:$E,MATCH($B970,'Clean Gamification Data'!$A:$A,0)),"Not Found")</f>
        <v>65.295914350000004</v>
      </c>
      <c r="W970" s="28">
        <f>IFERROR(INDEX('Clean Gamification Data'!$F:$F,MATCH($B970,'Clean Gamification Data'!$A:$A,0)),"Not Found")</f>
        <v>94.858500309999997</v>
      </c>
      <c r="X970" s="28">
        <f>IFERROR(INDEX('Clean Gamification Data'!$G:$G,MATCH($B970,'Clean Gamification Data'!$A:$A,0)),"Not Found")</f>
        <v>73.974210249999999</v>
      </c>
      <c r="Y970" s="28">
        <f>IFERROR(INDEX('Clean Gamification Data'!$H:$H,MATCH($B970,'Clean Gamification Data'!$A:$A,0)),"Not Found")</f>
        <v>69.206429589999999</v>
      </c>
      <c r="Z970" s="28">
        <f>IFERROR(INDEX('Clean Gamification Data'!$I:$I,MATCH($B970,'Clean Gamification Data'!$A:$A,0)),"Not Found")</f>
        <v>52.165508699999997</v>
      </c>
      <c r="AA970" s="28">
        <f>Table1[[#This Row],[Engagement (Gamification %)]]-Table1[[#This Row],[Engagement (Non-Gamification %)]]</f>
        <v>20.841570149999995</v>
      </c>
      <c r="AB970" s="28">
        <f>Table1[[#This Row],[Motivation (Gamification %)]]-Table1[[#This Row],[Motivation (Non-Gamification %)]]</f>
        <v>10.41275705999999</v>
      </c>
      <c r="AC970" s="28">
        <f>Table1[[#This Row],[Participation (Gamification %)]]-Table1[[#This Row],[Participation (Non-Gamification %)]]</f>
        <v>20.884290059999998</v>
      </c>
      <c r="AD970" s="28">
        <f>Table1[[#This Row],[Learning Outcomes (Gamification %)]]-Table1[[#This Row],[Learning Outcomes (Non-Gamification %)]]</f>
        <v>17.040920890000002</v>
      </c>
      <c r="AE970" s="44" t="str">
        <f>IF(Table1[[#This Row],[Overall Effectiveness]]&lt;3.9,"Low",IF(Table1[[#This Row],[Overall Effectiveness]]&lt;4.2,"Medium","High"))</f>
        <v>Medium</v>
      </c>
      <c r="AF970" s="30" t="str">
        <f t="shared" si="94"/>
        <v>Case Studies</v>
      </c>
      <c r="AG970" s="30" t="str">
        <f t="shared" si="95"/>
        <v>Case Studies</v>
      </c>
      <c r="AH970" s="27">
        <f>COUNTIF(Teacher_Master!$D$2:$D$16,AF970)</f>
        <v>3</v>
      </c>
      <c r="AI970" s="30" t="str">
        <f>INDEX(Teacher_Master!$B$2:$B$16,MATCH(AF970,Teacher_Master!$D$2:$D$16,0))</f>
        <v>Prof. Rajesh Mukherjee</v>
      </c>
    </row>
    <row r="971" spans="1:35" ht="14.25" customHeight="1" x14ac:dyDescent="0.3">
      <c r="A971" s="31" t="s">
        <v>1981</v>
      </c>
      <c r="B971" s="31" t="s">
        <v>2784</v>
      </c>
      <c r="C971" s="31" t="s">
        <v>2882</v>
      </c>
      <c r="D971" s="12">
        <f t="shared" ca="1" si="90"/>
        <v>24</v>
      </c>
      <c r="E971" s="12" t="str">
        <f ca="1">IF(Table1[[#This Row],[Age]]&lt;=22,"20-22",IF(Table1[[#This Row],[Age]]&lt;=25,"23-25",IF(Table1[[#This Row],[Age]]&lt;=28,"26-28","29-30")))</f>
        <v>23-25</v>
      </c>
      <c r="F971" s="12">
        <v>3.5</v>
      </c>
      <c r="G971" s="12">
        <v>3.49</v>
      </c>
      <c r="H971" s="12">
        <v>3.8</v>
      </c>
      <c r="I971" s="12">
        <v>4.04</v>
      </c>
      <c r="J971" s="12">
        <v>4.6500000000000004</v>
      </c>
      <c r="K971" s="12">
        <v>3.9</v>
      </c>
      <c r="L971" s="12">
        <v>3.92</v>
      </c>
      <c r="M971" s="12">
        <v>4.0199999999999996</v>
      </c>
      <c r="N971" s="12">
        <v>4.1500000000000004</v>
      </c>
      <c r="O971" s="12">
        <v>3.72</v>
      </c>
      <c r="P971" s="12">
        <f t="shared" si="91"/>
        <v>3.8959999999999995</v>
      </c>
      <c r="Q971" s="12">
        <f t="shared" si="92"/>
        <v>3.9</v>
      </c>
      <c r="R971" s="12">
        <f t="shared" si="93"/>
        <v>3.9420000000000002</v>
      </c>
      <c r="S971" s="28">
        <f>IFERROR(INDEX('Clean Gamification Data'!$B:$B,MATCH($B971,'Clean Gamification Data'!$A:$A,0)),"Not Found")</f>
        <v>89.501373950000001</v>
      </c>
      <c r="T971" s="28">
        <f>IFERROR(INDEX('Clean Gamification Data'!$C:$C,MATCH($B971,'Clean Gamification Data'!$A:$A,0)),"Not Found")</f>
        <v>69.616291849999996</v>
      </c>
      <c r="U971" s="28">
        <f>IFERROR(INDEX('Clean Gamification Data'!$D:$D,MATCH($B971,'Clean Gamification Data'!$A:$A,0)),"Not Found")</f>
        <v>70</v>
      </c>
      <c r="V971" s="28">
        <f>IFERROR(INDEX('Clean Gamification Data'!$E:$E,MATCH($B971,'Clean Gamification Data'!$A:$A,0)),"Not Found")</f>
        <v>55</v>
      </c>
      <c r="W971" s="28">
        <f>IFERROR(INDEX('Clean Gamification Data'!$F:$F,MATCH($B971,'Clean Gamification Data'!$A:$A,0)),"Not Found")</f>
        <v>81.165264460000003</v>
      </c>
      <c r="X971" s="28">
        <f>IFERROR(INDEX('Clean Gamification Data'!$G:$G,MATCH($B971,'Clean Gamification Data'!$A:$A,0)),"Not Found")</f>
        <v>78.509146569999999</v>
      </c>
      <c r="Y971" s="28">
        <f>IFERROR(INDEX('Clean Gamification Data'!$H:$H,MATCH($B971,'Clean Gamification Data'!$A:$A,0)),"Not Found")</f>
        <v>70.377580019999996</v>
      </c>
      <c r="Z971" s="28">
        <f>IFERROR(INDEX('Clean Gamification Data'!$I:$I,MATCH($B971,'Clean Gamification Data'!$A:$A,0)),"Not Found")</f>
        <v>56.808967670000001</v>
      </c>
      <c r="AA971" s="28">
        <f>Table1[[#This Row],[Engagement (Gamification %)]]-Table1[[#This Row],[Engagement (Non-Gamification %)]]</f>
        <v>19.885082100000005</v>
      </c>
      <c r="AB971" s="28">
        <f>Table1[[#This Row],[Motivation (Gamification %)]]-Table1[[#This Row],[Motivation (Non-Gamification %)]]</f>
        <v>15</v>
      </c>
      <c r="AC971" s="28">
        <f>Table1[[#This Row],[Participation (Gamification %)]]-Table1[[#This Row],[Participation (Non-Gamification %)]]</f>
        <v>2.6561178900000044</v>
      </c>
      <c r="AD971" s="28">
        <f>Table1[[#This Row],[Learning Outcomes (Gamification %)]]-Table1[[#This Row],[Learning Outcomes (Non-Gamification %)]]</f>
        <v>13.568612349999995</v>
      </c>
      <c r="AE971" s="44" t="str">
        <f>IF(Table1[[#This Row],[Overall Effectiveness]]&lt;3.9,"Low",IF(Table1[[#This Row],[Overall Effectiveness]]&lt;4.2,"Medium","High"))</f>
        <v>Low</v>
      </c>
      <c r="AF971" s="30" t="str">
        <f t="shared" si="94"/>
        <v>Online Tutorials</v>
      </c>
      <c r="AG971" s="30" t="str">
        <f t="shared" si="95"/>
        <v>Experiments</v>
      </c>
      <c r="AH971" s="27">
        <f>COUNTIF(Teacher_Master!$D$2:$D$16,AF971)</f>
        <v>3</v>
      </c>
      <c r="AI971" s="30" t="str">
        <f>INDEX(Teacher_Master!$B$2:$B$16,MATCH(AF971,Teacher_Master!$D$2:$D$16,0))</f>
        <v>Prof. Kavita Rao</v>
      </c>
    </row>
    <row r="972" spans="1:35" ht="14.25" customHeight="1" x14ac:dyDescent="0.3">
      <c r="A972" s="31" t="s">
        <v>1983</v>
      </c>
      <c r="B972" s="31" t="s">
        <v>2785</v>
      </c>
      <c r="C972" s="31" t="s">
        <v>2881</v>
      </c>
      <c r="D972" s="12">
        <f t="shared" ca="1" si="90"/>
        <v>21</v>
      </c>
      <c r="E972" s="12" t="str">
        <f ca="1">IF(Table1[[#This Row],[Age]]&lt;=22,"20-22",IF(Table1[[#This Row],[Age]]&lt;=25,"23-25",IF(Table1[[#This Row],[Age]]&lt;=28,"26-28","29-30")))</f>
        <v>20-22</v>
      </c>
      <c r="F972" s="12" t="s">
        <v>211</v>
      </c>
      <c r="G972" s="12">
        <v>4.62</v>
      </c>
      <c r="H972" s="12">
        <v>4.3600000000000003</v>
      </c>
      <c r="I972" s="12">
        <v>4.7300000000000004</v>
      </c>
      <c r="J972" s="12">
        <v>4.1900000000000004</v>
      </c>
      <c r="K972" s="12">
        <v>3.87</v>
      </c>
      <c r="L972" s="12">
        <v>4.01</v>
      </c>
      <c r="M972" s="12">
        <v>3.85</v>
      </c>
      <c r="N972" s="12">
        <v>4.3</v>
      </c>
      <c r="O972" s="12">
        <v>4.0199999999999996</v>
      </c>
      <c r="P972" s="12">
        <f t="shared" si="91"/>
        <v>4.4750000000000005</v>
      </c>
      <c r="Q972" s="12">
        <f t="shared" si="92"/>
        <v>4.4800000000000004</v>
      </c>
      <c r="R972" s="12">
        <f t="shared" si="93"/>
        <v>4.01</v>
      </c>
      <c r="S972" s="28">
        <f>IFERROR(INDEX('Clean Gamification Data'!$B:$B,MATCH($B972,'Clean Gamification Data'!$A:$A,0)),"Not Found")</f>
        <v>76.190369430000004</v>
      </c>
      <c r="T972" s="28">
        <f>IFERROR(INDEX('Clean Gamification Data'!$C:$C,MATCH($B972,'Clean Gamification Data'!$A:$A,0)),"Not Found")</f>
        <v>62.605708159999999</v>
      </c>
      <c r="U972" s="28">
        <f>IFERROR(INDEX('Clean Gamification Data'!$D:$D,MATCH($B972,'Clean Gamification Data'!$A:$A,0)),"Not Found")</f>
        <v>73.524630200000004</v>
      </c>
      <c r="V972" s="28">
        <f>IFERROR(INDEX('Clean Gamification Data'!$E:$E,MATCH($B972,'Clean Gamification Data'!$A:$A,0)),"Not Found")</f>
        <v>66.423261460000006</v>
      </c>
      <c r="W972" s="28">
        <f>IFERROR(INDEX('Clean Gamification Data'!$F:$F,MATCH($B972,'Clean Gamification Data'!$A:$A,0)),"Not Found")</f>
        <v>88.375782169999994</v>
      </c>
      <c r="X972" s="28">
        <f>IFERROR(INDEX('Clean Gamification Data'!$G:$G,MATCH($B972,'Clean Gamification Data'!$A:$A,0)),"Not Found")</f>
        <v>73.764317059999996</v>
      </c>
      <c r="Y972" s="28">
        <f>IFERROR(INDEX('Clean Gamification Data'!$H:$H,MATCH($B972,'Clean Gamification Data'!$A:$A,0)),"Not Found")</f>
        <v>73.147115459999995</v>
      </c>
      <c r="Z972" s="28">
        <f>IFERROR(INDEX('Clean Gamification Data'!$I:$I,MATCH($B972,'Clean Gamification Data'!$A:$A,0)),"Not Found")</f>
        <v>67.002543099999997</v>
      </c>
      <c r="AA972" s="28">
        <f>Table1[[#This Row],[Engagement (Gamification %)]]-Table1[[#This Row],[Engagement (Non-Gamification %)]]</f>
        <v>13.584661270000005</v>
      </c>
      <c r="AB972" s="28">
        <f>Table1[[#This Row],[Motivation (Gamification %)]]-Table1[[#This Row],[Motivation (Non-Gamification %)]]</f>
        <v>7.1013687399999981</v>
      </c>
      <c r="AC972" s="28">
        <f>Table1[[#This Row],[Participation (Gamification %)]]-Table1[[#This Row],[Participation (Non-Gamification %)]]</f>
        <v>14.611465109999997</v>
      </c>
      <c r="AD972" s="28">
        <f>Table1[[#This Row],[Learning Outcomes (Gamification %)]]-Table1[[#This Row],[Learning Outcomes (Non-Gamification %)]]</f>
        <v>6.144572359999998</v>
      </c>
      <c r="AE972" s="44" t="str">
        <f>IF(Table1[[#This Row],[Overall Effectiveness]]&lt;3.9,"Low",IF(Table1[[#This Row],[Overall Effectiveness]]&lt;4.2,"Medium","High"))</f>
        <v>High</v>
      </c>
      <c r="AF972" s="30" t="str">
        <f t="shared" si="94"/>
        <v>Experiments</v>
      </c>
      <c r="AG972" s="30" t="str">
        <f t="shared" si="95"/>
        <v>Experiments</v>
      </c>
      <c r="AH972" s="27">
        <f>COUNTIF(Teacher_Master!$D$2:$D$16,AF972)</f>
        <v>3</v>
      </c>
      <c r="AI972" s="30" t="str">
        <f>INDEX(Teacher_Master!$B$2:$B$16,MATCH(AF972,Teacher_Master!$D$2:$D$16,0))</f>
        <v>Prof. Rahul Singh</v>
      </c>
    </row>
    <row r="973" spans="1:35" ht="14.25" customHeight="1" x14ac:dyDescent="0.3">
      <c r="A973" s="31" t="s">
        <v>1985</v>
      </c>
      <c r="B973" s="31" t="s">
        <v>2786</v>
      </c>
      <c r="C973" s="31" t="s">
        <v>2882</v>
      </c>
      <c r="D973" s="12">
        <f t="shared" ca="1" si="90"/>
        <v>27</v>
      </c>
      <c r="E973" s="12" t="str">
        <f ca="1">IF(Table1[[#This Row],[Age]]&lt;=22,"20-22",IF(Table1[[#This Row],[Age]]&lt;=25,"23-25",IF(Table1[[#This Row],[Age]]&lt;=28,"26-28","29-30")))</f>
        <v>26-28</v>
      </c>
      <c r="F973" s="12">
        <v>4.03</v>
      </c>
      <c r="G973" s="12">
        <v>3.53</v>
      </c>
      <c r="H973" s="12">
        <v>4.6500000000000004</v>
      </c>
      <c r="I973" s="12">
        <v>3.7</v>
      </c>
      <c r="J973" s="12">
        <v>4.2300000000000004</v>
      </c>
      <c r="K973" s="12" t="s">
        <v>211</v>
      </c>
      <c r="L973" s="12">
        <v>4.1100000000000003</v>
      </c>
      <c r="M973" s="12">
        <v>4.28</v>
      </c>
      <c r="N973" s="12">
        <v>4.08</v>
      </c>
      <c r="O973" s="12">
        <v>3.69</v>
      </c>
      <c r="P973" s="12">
        <f t="shared" si="91"/>
        <v>4.0280000000000005</v>
      </c>
      <c r="Q973" s="12">
        <f t="shared" si="92"/>
        <v>4.03</v>
      </c>
      <c r="R973" s="12">
        <f t="shared" si="93"/>
        <v>4.04</v>
      </c>
      <c r="S973" s="28">
        <f>IFERROR(INDEX('Clean Gamification Data'!$B:$B,MATCH($B973,'Clean Gamification Data'!$A:$A,0)),"Not Found")</f>
        <v>86.747628539999994</v>
      </c>
      <c r="T973" s="28">
        <f>IFERROR(INDEX('Clean Gamification Data'!$C:$C,MATCH($B973,'Clean Gamification Data'!$A:$A,0)),"Not Found")</f>
        <v>60.534841880000002</v>
      </c>
      <c r="U973" s="28">
        <f>IFERROR(INDEX('Clean Gamification Data'!$D:$D,MATCH($B973,'Clean Gamification Data'!$A:$A,0)),"Not Found")</f>
        <v>81.15644992</v>
      </c>
      <c r="V973" s="28">
        <f>IFERROR(INDEX('Clean Gamification Data'!$E:$E,MATCH($B973,'Clean Gamification Data'!$A:$A,0)),"Not Found")</f>
        <v>69.833112330000006</v>
      </c>
      <c r="W973" s="28">
        <f>IFERROR(INDEX('Clean Gamification Data'!$F:$F,MATCH($B973,'Clean Gamification Data'!$A:$A,0)),"Not Found")</f>
        <v>80.623640280000004</v>
      </c>
      <c r="X973" s="28">
        <f>IFERROR(INDEX('Clean Gamification Data'!$G:$G,MATCH($B973,'Clean Gamification Data'!$A:$A,0)),"Not Found")</f>
        <v>85</v>
      </c>
      <c r="Y973" s="28">
        <f>IFERROR(INDEX('Clean Gamification Data'!$H:$H,MATCH($B973,'Clean Gamification Data'!$A:$A,0)),"Not Found")</f>
        <v>71.342084970000002</v>
      </c>
      <c r="Z973" s="28">
        <f>IFERROR(INDEX('Clean Gamification Data'!$I:$I,MATCH($B973,'Clean Gamification Data'!$A:$A,0)),"Not Found")</f>
        <v>61.34346996</v>
      </c>
      <c r="AA973" s="28">
        <f>Table1[[#This Row],[Engagement (Gamification %)]]-Table1[[#This Row],[Engagement (Non-Gamification %)]]</f>
        <v>26.212786659999992</v>
      </c>
      <c r="AB973" s="28">
        <f>Table1[[#This Row],[Motivation (Gamification %)]]-Table1[[#This Row],[Motivation (Non-Gamification %)]]</f>
        <v>11.323337589999994</v>
      </c>
      <c r="AC973" s="28">
        <f>Table1[[#This Row],[Participation (Gamification %)]]-Table1[[#This Row],[Participation (Non-Gamification %)]]</f>
        <v>-4.3763597199999964</v>
      </c>
      <c r="AD973" s="28">
        <f>Table1[[#This Row],[Learning Outcomes (Gamification %)]]-Table1[[#This Row],[Learning Outcomes (Non-Gamification %)]]</f>
        <v>9.9986150100000017</v>
      </c>
      <c r="AE973" s="44" t="str">
        <f>IF(Table1[[#This Row],[Overall Effectiveness]]&lt;3.9,"Low",IF(Table1[[#This Row],[Overall Effectiveness]]&lt;4.2,"Medium","High"))</f>
        <v>Medium</v>
      </c>
      <c r="AF973" s="30" t="str">
        <f t="shared" si="94"/>
        <v>Group Projects</v>
      </c>
      <c r="AG973" s="30" t="str">
        <f t="shared" si="95"/>
        <v>Group Projects</v>
      </c>
      <c r="AH973" s="27">
        <f>COUNTIF(Teacher_Master!$D$2:$D$16,AF973)</f>
        <v>3</v>
      </c>
      <c r="AI973" s="30" t="str">
        <f>INDEX(Teacher_Master!$B$2:$B$16,MATCH(AF973,Teacher_Master!$D$2:$D$16,0))</f>
        <v>Dr. Rohan Dutta</v>
      </c>
    </row>
    <row r="974" spans="1:35" ht="14.25" customHeight="1" x14ac:dyDescent="0.3">
      <c r="A974" s="31" t="s">
        <v>1987</v>
      </c>
      <c r="B974" s="31" t="s">
        <v>1988</v>
      </c>
      <c r="C974" s="31" t="s">
        <v>2882</v>
      </c>
      <c r="D974" s="12">
        <f t="shared" ca="1" si="90"/>
        <v>23</v>
      </c>
      <c r="E974" s="12" t="str">
        <f ca="1">IF(Table1[[#This Row],[Age]]&lt;=22,"20-22",IF(Table1[[#This Row],[Age]]&lt;=25,"23-25",IF(Table1[[#This Row],[Age]]&lt;=28,"26-28","29-30")))</f>
        <v>23-25</v>
      </c>
      <c r="F974" s="12">
        <v>4.13</v>
      </c>
      <c r="G974" s="12">
        <v>3.98</v>
      </c>
      <c r="H974" s="12">
        <v>4.08</v>
      </c>
      <c r="I974" s="12">
        <v>3.93</v>
      </c>
      <c r="J974" s="12">
        <v>3.71</v>
      </c>
      <c r="K974" s="12">
        <v>4.0999999999999996</v>
      </c>
      <c r="L974" s="12">
        <v>3.9</v>
      </c>
      <c r="M974" s="12">
        <v>4.07</v>
      </c>
      <c r="N974" s="12">
        <v>3.68</v>
      </c>
      <c r="O974" s="12">
        <v>3.82</v>
      </c>
      <c r="P974" s="12">
        <f t="shared" si="91"/>
        <v>3.9660000000000002</v>
      </c>
      <c r="Q974" s="12">
        <f t="shared" si="92"/>
        <v>3.97</v>
      </c>
      <c r="R974" s="12">
        <f t="shared" si="93"/>
        <v>3.9140000000000001</v>
      </c>
      <c r="S974" s="28">
        <f>IFERROR(INDEX('Clean Gamification Data'!$B:$B,MATCH($B974,'Clean Gamification Data'!$A:$A,0)),"Not Found")</f>
        <v>89.189977619999993</v>
      </c>
      <c r="T974" s="28">
        <f>IFERROR(INDEX('Clean Gamification Data'!$C:$C,MATCH($B974,'Clean Gamification Data'!$A:$A,0)),"Not Found")</f>
        <v>76.98375317</v>
      </c>
      <c r="U974" s="28">
        <f>IFERROR(INDEX('Clean Gamification Data'!$D:$D,MATCH($B974,'Clean Gamification Data'!$A:$A,0)),"Not Found")</f>
        <v>86.714566910000002</v>
      </c>
      <c r="V974" s="28">
        <f>IFERROR(INDEX('Clean Gamification Data'!$E:$E,MATCH($B974,'Clean Gamification Data'!$A:$A,0)),"Not Found")</f>
        <v>62.383393929999997</v>
      </c>
      <c r="W974" s="28">
        <f>IFERROR(INDEX('Clean Gamification Data'!$F:$F,MATCH($B974,'Clean Gamification Data'!$A:$A,0)),"Not Found")</f>
        <v>99.9</v>
      </c>
      <c r="X974" s="28">
        <f>IFERROR(INDEX('Clean Gamification Data'!$G:$G,MATCH($B974,'Clean Gamification Data'!$A:$A,0)),"Not Found")</f>
        <v>81.650234220000002</v>
      </c>
      <c r="Y974" s="28">
        <f>IFERROR(INDEX('Clean Gamification Data'!$H:$H,MATCH($B974,'Clean Gamification Data'!$A:$A,0)),"Not Found")</f>
        <v>72.753674070000002</v>
      </c>
      <c r="Z974" s="28">
        <f>IFERROR(INDEX('Clean Gamification Data'!$I:$I,MATCH($B974,'Clean Gamification Data'!$A:$A,0)),"Not Found")</f>
        <v>56.374458429999997</v>
      </c>
      <c r="AA974" s="28">
        <f>Table1[[#This Row],[Engagement (Gamification %)]]-Table1[[#This Row],[Engagement (Non-Gamification %)]]</f>
        <v>12.206224449999993</v>
      </c>
      <c r="AB974" s="28">
        <f>Table1[[#This Row],[Motivation (Gamification %)]]-Table1[[#This Row],[Motivation (Non-Gamification %)]]</f>
        <v>24.331172980000005</v>
      </c>
      <c r="AC974" s="28">
        <f>Table1[[#This Row],[Participation (Gamification %)]]-Table1[[#This Row],[Participation (Non-Gamification %)]]</f>
        <v>18.249765780000004</v>
      </c>
      <c r="AD974" s="28">
        <f>Table1[[#This Row],[Learning Outcomes (Gamification %)]]-Table1[[#This Row],[Learning Outcomes (Non-Gamification %)]]</f>
        <v>16.379215640000005</v>
      </c>
      <c r="AE974" s="44" t="str">
        <f>IF(Table1[[#This Row],[Overall Effectiveness]]&lt;3.9,"Low",IF(Table1[[#This Row],[Overall Effectiveness]]&lt;4.2,"Medium","High"))</f>
        <v>Medium</v>
      </c>
      <c r="AF974" s="30" t="str">
        <f t="shared" si="94"/>
        <v>Lectures</v>
      </c>
      <c r="AG974" s="30" t="str">
        <f t="shared" si="95"/>
        <v>Lectures</v>
      </c>
      <c r="AH974" s="27">
        <f>COUNTIF(Teacher_Master!$D$2:$D$16,AF974)</f>
        <v>3</v>
      </c>
      <c r="AI974" s="30" t="str">
        <f>INDEX(Teacher_Master!$B$2:$B$16,MATCH(AF974,Teacher_Master!$D$2:$D$16,0))</f>
        <v>Prof. Vikram Gupta</v>
      </c>
    </row>
    <row r="975" spans="1:35" ht="14.25" customHeight="1" x14ac:dyDescent="0.3">
      <c r="A975" s="31" t="s">
        <v>1989</v>
      </c>
      <c r="B975" s="31" t="s">
        <v>2787</v>
      </c>
      <c r="C975" s="31" t="s">
        <v>2881</v>
      </c>
      <c r="D975" s="12">
        <f t="shared" ca="1" si="90"/>
        <v>27</v>
      </c>
      <c r="E975" s="12" t="str">
        <f ca="1">IF(Table1[[#This Row],[Age]]&lt;=22,"20-22",IF(Table1[[#This Row],[Age]]&lt;=25,"23-25",IF(Table1[[#This Row],[Age]]&lt;=28,"26-28","29-30")))</f>
        <v>26-28</v>
      </c>
      <c r="F975" s="12">
        <v>3.5</v>
      </c>
      <c r="G975" s="12">
        <v>3.74</v>
      </c>
      <c r="H975" s="12">
        <v>4.5599999999999996</v>
      </c>
      <c r="I975" s="12">
        <v>4.4800000000000004</v>
      </c>
      <c r="J975" s="12">
        <v>4.09</v>
      </c>
      <c r="K975" s="12">
        <v>3.84</v>
      </c>
      <c r="L975" s="12">
        <v>4.2</v>
      </c>
      <c r="M975" s="12">
        <v>3.64</v>
      </c>
      <c r="N975" s="12">
        <v>4.04</v>
      </c>
      <c r="O975" s="12" t="s">
        <v>211</v>
      </c>
      <c r="P975" s="12">
        <f t="shared" si="91"/>
        <v>4.0739999999999998</v>
      </c>
      <c r="Q975" s="12">
        <f t="shared" si="92"/>
        <v>4.07</v>
      </c>
      <c r="R975" s="12">
        <f t="shared" si="93"/>
        <v>3.9299999999999997</v>
      </c>
      <c r="S975" s="28">
        <f>IFERROR(INDEX('Clean Gamification Data'!$B:$B,MATCH($B975,'Clean Gamification Data'!$A:$A,0)),"Not Found")</f>
        <v>79.118858900000006</v>
      </c>
      <c r="T975" s="28">
        <f>IFERROR(INDEX('Clean Gamification Data'!$C:$C,MATCH($B975,'Clean Gamification Data'!$A:$A,0)),"Not Found")</f>
        <v>74.118275550000007</v>
      </c>
      <c r="U975" s="28">
        <f>IFERROR(INDEX('Clean Gamification Data'!$D:$D,MATCH($B975,'Clean Gamification Data'!$A:$A,0)),"Not Found")</f>
        <v>79.687961189999996</v>
      </c>
      <c r="V975" s="28">
        <f>IFERROR(INDEX('Clean Gamification Data'!$E:$E,MATCH($B975,'Clean Gamification Data'!$A:$A,0)),"Not Found")</f>
        <v>74.495473189999998</v>
      </c>
      <c r="W975" s="28">
        <f>IFERROR(INDEX('Clean Gamification Data'!$F:$F,MATCH($B975,'Clean Gamification Data'!$A:$A,0)),"Not Found")</f>
        <v>95.998096649999994</v>
      </c>
      <c r="X975" s="28">
        <f>IFERROR(INDEX('Clean Gamification Data'!$G:$G,MATCH($B975,'Clean Gamification Data'!$A:$A,0)),"Not Found")</f>
        <v>76.48486939</v>
      </c>
      <c r="Y975" s="28">
        <f>IFERROR(INDEX('Clean Gamification Data'!$H:$H,MATCH($B975,'Clean Gamification Data'!$A:$A,0)),"Not Found")</f>
        <v>75.042728990000001</v>
      </c>
      <c r="Z975" s="28">
        <f>IFERROR(INDEX('Clean Gamification Data'!$I:$I,MATCH($B975,'Clean Gamification Data'!$A:$A,0)),"Not Found")</f>
        <v>62.727195080000001</v>
      </c>
      <c r="AA975" s="28">
        <f>Table1[[#This Row],[Engagement (Gamification %)]]-Table1[[#This Row],[Engagement (Non-Gamification %)]]</f>
        <v>5.0005833499999994</v>
      </c>
      <c r="AB975" s="28">
        <f>Table1[[#This Row],[Motivation (Gamification %)]]-Table1[[#This Row],[Motivation (Non-Gamification %)]]</f>
        <v>5.1924879999999973</v>
      </c>
      <c r="AC975" s="28">
        <f>Table1[[#This Row],[Participation (Gamification %)]]-Table1[[#This Row],[Participation (Non-Gamification %)]]</f>
        <v>19.513227259999994</v>
      </c>
      <c r="AD975" s="28">
        <f>Table1[[#This Row],[Learning Outcomes (Gamification %)]]-Table1[[#This Row],[Learning Outcomes (Non-Gamification %)]]</f>
        <v>12.315533909999999</v>
      </c>
      <c r="AE975" s="44" t="str">
        <f>IF(Table1[[#This Row],[Overall Effectiveness]]&lt;3.9,"Low",IF(Table1[[#This Row],[Overall Effectiveness]]&lt;4.2,"Medium","High"))</f>
        <v>Medium</v>
      </c>
      <c r="AF975" s="30" t="str">
        <f t="shared" si="94"/>
        <v>Group Projects</v>
      </c>
      <c r="AG975" s="30" t="str">
        <f t="shared" si="95"/>
        <v>Case Studies</v>
      </c>
      <c r="AH975" s="27">
        <f>COUNTIF(Teacher_Master!$D$2:$D$16,AF975)</f>
        <v>3</v>
      </c>
      <c r="AI975" s="30" t="str">
        <f>INDEX(Teacher_Master!$B$2:$B$16,MATCH(AF975,Teacher_Master!$D$2:$D$16,0))</f>
        <v>Dr. Rohan Dutta</v>
      </c>
    </row>
    <row r="976" spans="1:35" ht="14.25" customHeight="1" x14ac:dyDescent="0.3">
      <c r="A976" s="31" t="s">
        <v>1991</v>
      </c>
      <c r="B976" s="31" t="s">
        <v>2788</v>
      </c>
      <c r="C976" s="31" t="s">
        <v>2882</v>
      </c>
      <c r="D976" s="12">
        <f t="shared" ca="1" si="90"/>
        <v>27</v>
      </c>
      <c r="E976" s="12" t="str">
        <f ca="1">IF(Table1[[#This Row],[Age]]&lt;=22,"20-22",IF(Table1[[#This Row],[Age]]&lt;=25,"23-25",IF(Table1[[#This Row],[Age]]&lt;=28,"26-28","29-30")))</f>
        <v>26-28</v>
      </c>
      <c r="F976" s="12">
        <v>3.85</v>
      </c>
      <c r="G976" s="12">
        <v>4.0599999999999996</v>
      </c>
      <c r="H976" s="12">
        <v>3.67</v>
      </c>
      <c r="I976" s="12">
        <v>4.03</v>
      </c>
      <c r="J976" s="12">
        <v>4.3099999999999996</v>
      </c>
      <c r="K976" s="12">
        <v>3.97</v>
      </c>
      <c r="L976" s="12">
        <v>4.21</v>
      </c>
      <c r="M976" s="12">
        <v>3.87</v>
      </c>
      <c r="N976" s="12">
        <v>3.99</v>
      </c>
      <c r="O976" s="12">
        <v>4.46</v>
      </c>
      <c r="P976" s="12">
        <f t="shared" si="91"/>
        <v>3.9839999999999995</v>
      </c>
      <c r="Q976" s="12">
        <f t="shared" si="92"/>
        <v>3.98</v>
      </c>
      <c r="R976" s="12">
        <f t="shared" si="93"/>
        <v>4.0999999999999996</v>
      </c>
      <c r="S976" s="28">
        <f>IFERROR(INDEX('Clean Gamification Data'!$B:$B,MATCH($B976,'Clean Gamification Data'!$A:$A,0)),"Not Found")</f>
        <v>93.08768001</v>
      </c>
      <c r="T976" s="28">
        <f>IFERROR(INDEX('Clean Gamification Data'!$C:$C,MATCH($B976,'Clean Gamification Data'!$A:$A,0)),"Not Found")</f>
        <v>65.499218690000006</v>
      </c>
      <c r="U976" s="28">
        <f>IFERROR(INDEX('Clean Gamification Data'!$D:$D,MATCH($B976,'Clean Gamification Data'!$A:$A,0)),"Not Found")</f>
        <v>85.333486519999994</v>
      </c>
      <c r="V976" s="28">
        <f>IFERROR(INDEX('Clean Gamification Data'!$E:$E,MATCH($B976,'Clean Gamification Data'!$A:$A,0)),"Not Found")</f>
        <v>59.49041708</v>
      </c>
      <c r="W976" s="28">
        <f>IFERROR(INDEX('Clean Gamification Data'!$F:$F,MATCH($B976,'Clean Gamification Data'!$A:$A,0)),"Not Found")</f>
        <v>88.427606769999997</v>
      </c>
      <c r="X976" s="28">
        <f>IFERROR(INDEX('Clean Gamification Data'!$G:$G,MATCH($B976,'Clean Gamification Data'!$A:$A,0)),"Not Found")</f>
        <v>81.435933969999994</v>
      </c>
      <c r="Y976" s="28">
        <f>IFERROR(INDEX('Clean Gamification Data'!$H:$H,MATCH($B976,'Clean Gamification Data'!$A:$A,0)),"Not Found")</f>
        <v>74.121475790000005</v>
      </c>
      <c r="Z976" s="28">
        <f>IFERROR(INDEX('Clean Gamification Data'!$I:$I,MATCH($B976,'Clean Gamification Data'!$A:$A,0)),"Not Found")</f>
        <v>54.759103940000003</v>
      </c>
      <c r="AA976" s="28">
        <f>Table1[[#This Row],[Engagement (Gamification %)]]-Table1[[#This Row],[Engagement (Non-Gamification %)]]</f>
        <v>27.588461319999993</v>
      </c>
      <c r="AB976" s="28">
        <f>Table1[[#This Row],[Motivation (Gamification %)]]-Table1[[#This Row],[Motivation (Non-Gamification %)]]</f>
        <v>25.843069439999994</v>
      </c>
      <c r="AC976" s="28">
        <f>Table1[[#This Row],[Participation (Gamification %)]]-Table1[[#This Row],[Participation (Non-Gamification %)]]</f>
        <v>6.9916728000000035</v>
      </c>
      <c r="AD976" s="28">
        <f>Table1[[#This Row],[Learning Outcomes (Gamification %)]]-Table1[[#This Row],[Learning Outcomes (Non-Gamification %)]]</f>
        <v>19.362371850000002</v>
      </c>
      <c r="AE976" s="44" t="str">
        <f>IF(Table1[[#This Row],[Overall Effectiveness]]&lt;3.9,"Low",IF(Table1[[#This Row],[Overall Effectiveness]]&lt;4.2,"Medium","High"))</f>
        <v>Medium</v>
      </c>
      <c r="AF976" s="30" t="str">
        <f t="shared" si="94"/>
        <v>Online Tutorials</v>
      </c>
      <c r="AG976" s="30" t="str">
        <f t="shared" si="95"/>
        <v>Online Tutorials</v>
      </c>
      <c r="AH976" s="27">
        <f>COUNTIF(Teacher_Master!$D$2:$D$16,AF976)</f>
        <v>3</v>
      </c>
      <c r="AI976" s="30" t="str">
        <f>INDEX(Teacher_Master!$B$2:$B$16,MATCH(AF976,Teacher_Master!$D$2:$D$16,0))</f>
        <v>Prof. Kavita Rao</v>
      </c>
    </row>
    <row r="977" spans="1:35" ht="14.25" customHeight="1" x14ac:dyDescent="0.3">
      <c r="A977" s="31" t="s">
        <v>1993</v>
      </c>
      <c r="B977" s="31" t="s">
        <v>2789</v>
      </c>
      <c r="C977" s="31" t="s">
        <v>2882</v>
      </c>
      <c r="D977" s="12">
        <f t="shared" ca="1" si="90"/>
        <v>29</v>
      </c>
      <c r="E977" s="12" t="str">
        <f ca="1">IF(Table1[[#This Row],[Age]]&lt;=22,"20-22",IF(Table1[[#This Row],[Age]]&lt;=25,"23-25",IF(Table1[[#This Row],[Age]]&lt;=28,"26-28","29-30")))</f>
        <v>29-30</v>
      </c>
      <c r="F977" s="12">
        <v>4.46</v>
      </c>
      <c r="G977" s="12">
        <v>4.4000000000000004</v>
      </c>
      <c r="H977" s="12">
        <v>4.07</v>
      </c>
      <c r="I977" s="12">
        <v>4.08</v>
      </c>
      <c r="J977" s="12">
        <v>4.3499999999999996</v>
      </c>
      <c r="K977" s="12">
        <v>3.81</v>
      </c>
      <c r="L977" s="12">
        <v>3.85</v>
      </c>
      <c r="M977" s="12">
        <v>4.0599999999999996</v>
      </c>
      <c r="N977" s="12">
        <v>4.08</v>
      </c>
      <c r="O977" s="12">
        <v>3.57</v>
      </c>
      <c r="P977" s="12">
        <f t="shared" si="91"/>
        <v>4.2720000000000002</v>
      </c>
      <c r="Q977" s="12">
        <f t="shared" si="92"/>
        <v>4.2699999999999996</v>
      </c>
      <c r="R977" s="12">
        <f t="shared" si="93"/>
        <v>3.8739999999999997</v>
      </c>
      <c r="S977" s="28">
        <f>IFERROR(INDEX('Clean Gamification Data'!$B:$B,MATCH($B977,'Clean Gamification Data'!$A:$A,0)),"Not Found")</f>
        <v>75.645441500000004</v>
      </c>
      <c r="T977" s="28">
        <f>IFERROR(INDEX('Clean Gamification Data'!$C:$C,MATCH($B977,'Clean Gamification Data'!$A:$A,0)),"Not Found")</f>
        <v>67.498117460000003</v>
      </c>
      <c r="U977" s="28">
        <f>IFERROR(INDEX('Clean Gamification Data'!$D:$D,MATCH($B977,'Clean Gamification Data'!$A:$A,0)),"Not Found")</f>
        <v>73.870415769999994</v>
      </c>
      <c r="V977" s="28">
        <f>IFERROR(INDEX('Clean Gamification Data'!$E:$E,MATCH($B977,'Clean Gamification Data'!$A:$A,0)),"Not Found")</f>
        <v>74.164118149999993</v>
      </c>
      <c r="W977" s="28">
        <f>IFERROR(INDEX('Clean Gamification Data'!$F:$F,MATCH($B977,'Clean Gamification Data'!$A:$A,0)),"Not Found")</f>
        <v>85.96341074</v>
      </c>
      <c r="X977" s="28">
        <f>IFERROR(INDEX('Clean Gamification Data'!$G:$G,MATCH($B977,'Clean Gamification Data'!$A:$A,0)),"Not Found")</f>
        <v>81.53903407</v>
      </c>
      <c r="Y977" s="28">
        <f>IFERROR(INDEX('Clean Gamification Data'!$H:$H,MATCH($B977,'Clean Gamification Data'!$A:$A,0)),"Not Found")</f>
        <v>74.389059880000005</v>
      </c>
      <c r="Z977" s="28">
        <f>IFERROR(INDEX('Clean Gamification Data'!$I:$I,MATCH($B977,'Clean Gamification Data'!$A:$A,0)),"Not Found")</f>
        <v>50</v>
      </c>
      <c r="AA977" s="28">
        <f>Table1[[#This Row],[Engagement (Gamification %)]]-Table1[[#This Row],[Engagement (Non-Gamification %)]]</f>
        <v>8.1473240400000009</v>
      </c>
      <c r="AB977" s="28">
        <f>Table1[[#This Row],[Motivation (Gamification %)]]-Table1[[#This Row],[Motivation (Non-Gamification %)]]</f>
        <v>-0.29370237999999915</v>
      </c>
      <c r="AC977" s="28">
        <f>Table1[[#This Row],[Participation (Gamification %)]]-Table1[[#This Row],[Participation (Non-Gamification %)]]</f>
        <v>4.4243766700000009</v>
      </c>
      <c r="AD977" s="28">
        <f>Table1[[#This Row],[Learning Outcomes (Gamification %)]]-Table1[[#This Row],[Learning Outcomes (Non-Gamification %)]]</f>
        <v>24.389059880000005</v>
      </c>
      <c r="AE977" s="44" t="str">
        <f>IF(Table1[[#This Row],[Overall Effectiveness]]&lt;3.9,"Low",IF(Table1[[#This Row],[Overall Effectiveness]]&lt;4.2,"Medium","High"))</f>
        <v>High</v>
      </c>
      <c r="AF977" s="30" t="str">
        <f t="shared" si="94"/>
        <v>Lectures</v>
      </c>
      <c r="AG977" s="30" t="str">
        <f t="shared" si="95"/>
        <v>Experiments</v>
      </c>
      <c r="AH977" s="27">
        <f>COUNTIF(Teacher_Master!$D$2:$D$16,AF977)</f>
        <v>3</v>
      </c>
      <c r="AI977" s="30" t="str">
        <f>INDEX(Teacher_Master!$B$2:$B$16,MATCH(AF977,Teacher_Master!$D$2:$D$16,0))</f>
        <v>Prof. Vikram Gupta</v>
      </c>
    </row>
    <row r="978" spans="1:35" ht="14.25" customHeight="1" x14ac:dyDescent="0.3">
      <c r="A978" s="31" t="s">
        <v>1995</v>
      </c>
      <c r="B978" s="31" t="s">
        <v>1996</v>
      </c>
      <c r="C978" s="31" t="s">
        <v>2882</v>
      </c>
      <c r="D978" s="12">
        <f t="shared" ca="1" si="90"/>
        <v>24</v>
      </c>
      <c r="E978" s="12" t="str">
        <f ca="1">IF(Table1[[#This Row],[Age]]&lt;=22,"20-22",IF(Table1[[#This Row],[Age]]&lt;=25,"23-25",IF(Table1[[#This Row],[Age]]&lt;=28,"26-28","29-30")))</f>
        <v>23-25</v>
      </c>
      <c r="F978" s="12">
        <v>3.78</v>
      </c>
      <c r="G978" s="12">
        <v>4.46</v>
      </c>
      <c r="H978" s="12">
        <v>4.1399999999999997</v>
      </c>
      <c r="I978" s="12">
        <v>3.86</v>
      </c>
      <c r="J978" s="12">
        <v>4.2300000000000004</v>
      </c>
      <c r="K978" s="12">
        <v>4.2</v>
      </c>
      <c r="L978" s="12">
        <v>3.95</v>
      </c>
      <c r="M978" s="12">
        <v>4.3099999999999996</v>
      </c>
      <c r="N978" s="12">
        <v>4.09</v>
      </c>
      <c r="O978" s="12">
        <v>3.69</v>
      </c>
      <c r="P978" s="12">
        <f t="shared" si="91"/>
        <v>4.0939999999999994</v>
      </c>
      <c r="Q978" s="12">
        <f t="shared" si="92"/>
        <v>4.09</v>
      </c>
      <c r="R978" s="12">
        <f t="shared" si="93"/>
        <v>4.048</v>
      </c>
      <c r="S978" s="28">
        <f>IFERROR(INDEX('Clean Gamification Data'!$B:$B,MATCH($B978,'Clean Gamification Data'!$A:$A,0)),"Not Found")</f>
        <v>88.944784850000005</v>
      </c>
      <c r="T978" s="28">
        <f>IFERROR(INDEX('Clean Gamification Data'!$C:$C,MATCH($B978,'Clean Gamification Data'!$A:$A,0)),"Not Found")</f>
        <v>65.181815619999995</v>
      </c>
      <c r="U978" s="28">
        <f>IFERROR(INDEX('Clean Gamification Data'!$D:$D,MATCH($B978,'Clean Gamification Data'!$A:$A,0)),"Not Found")</f>
        <v>77.174198880000006</v>
      </c>
      <c r="V978" s="28">
        <f>IFERROR(INDEX('Clean Gamification Data'!$E:$E,MATCH($B978,'Clean Gamification Data'!$A:$A,0)),"Not Found")</f>
        <v>71.549924099999998</v>
      </c>
      <c r="W978" s="28">
        <f>IFERROR(INDEX('Clean Gamification Data'!$F:$F,MATCH($B978,'Clean Gamification Data'!$A:$A,0)),"Not Found")</f>
        <v>87.265730970000007</v>
      </c>
      <c r="X978" s="28">
        <f>IFERROR(INDEX('Clean Gamification Data'!$G:$G,MATCH($B978,'Clean Gamification Data'!$A:$A,0)),"Not Found")</f>
        <v>81.180249200000006</v>
      </c>
      <c r="Y978" s="28">
        <f>IFERROR(INDEX('Clean Gamification Data'!$H:$H,MATCH($B978,'Clean Gamification Data'!$A:$A,0)),"Not Found")</f>
        <v>73.520266219999996</v>
      </c>
      <c r="Z978" s="28">
        <f>IFERROR(INDEX('Clean Gamification Data'!$I:$I,MATCH($B978,'Clean Gamification Data'!$A:$A,0)),"Not Found")</f>
        <v>55.524301690000001</v>
      </c>
      <c r="AA978" s="28">
        <f>Table1[[#This Row],[Engagement (Gamification %)]]-Table1[[#This Row],[Engagement (Non-Gamification %)]]</f>
        <v>23.76296923000001</v>
      </c>
      <c r="AB978" s="28">
        <f>Table1[[#This Row],[Motivation (Gamification %)]]-Table1[[#This Row],[Motivation (Non-Gamification %)]]</f>
        <v>5.6242747800000075</v>
      </c>
      <c r="AC978" s="28">
        <f>Table1[[#This Row],[Participation (Gamification %)]]-Table1[[#This Row],[Participation (Non-Gamification %)]]</f>
        <v>6.0854817700000012</v>
      </c>
      <c r="AD978" s="28">
        <f>Table1[[#This Row],[Learning Outcomes (Gamification %)]]-Table1[[#This Row],[Learning Outcomes (Non-Gamification %)]]</f>
        <v>17.995964529999995</v>
      </c>
      <c r="AE978" s="44" t="str">
        <f>IF(Table1[[#This Row],[Overall Effectiveness]]&lt;3.9,"Low",IF(Table1[[#This Row],[Overall Effectiveness]]&lt;4.2,"Medium","High"))</f>
        <v>Medium</v>
      </c>
      <c r="AF978" s="30" t="str">
        <f t="shared" si="94"/>
        <v>Case Studies</v>
      </c>
      <c r="AG978" s="30" t="str">
        <f t="shared" si="95"/>
        <v>Group Projects</v>
      </c>
      <c r="AH978" s="27">
        <f>COUNTIF(Teacher_Master!$D$2:$D$16,AF978)</f>
        <v>3</v>
      </c>
      <c r="AI978" s="30" t="str">
        <f>INDEX(Teacher_Master!$B$2:$B$16,MATCH(AF978,Teacher_Master!$D$2:$D$16,0))</f>
        <v>Prof. Rajesh Mukherjee</v>
      </c>
    </row>
    <row r="979" spans="1:35" ht="14.25" customHeight="1" x14ac:dyDescent="0.3">
      <c r="A979" s="31" t="s">
        <v>1997</v>
      </c>
      <c r="B979" s="31" t="s">
        <v>1998</v>
      </c>
      <c r="C979" s="31" t="s">
        <v>2882</v>
      </c>
      <c r="D979" s="12">
        <f t="shared" ca="1" si="90"/>
        <v>22</v>
      </c>
      <c r="E979" s="12" t="str">
        <f ca="1">IF(Table1[[#This Row],[Age]]&lt;=22,"20-22",IF(Table1[[#This Row],[Age]]&lt;=25,"23-25",IF(Table1[[#This Row],[Age]]&lt;=28,"26-28","29-30")))</f>
        <v>20-22</v>
      </c>
      <c r="F979" s="12">
        <v>3.88</v>
      </c>
      <c r="G979" s="12">
        <v>3.97</v>
      </c>
      <c r="H979" s="12">
        <v>4.3499999999999996</v>
      </c>
      <c r="I979" s="12">
        <v>4.5</v>
      </c>
      <c r="J979" s="12">
        <v>4.1900000000000004</v>
      </c>
      <c r="K979" s="12" t="s">
        <v>211</v>
      </c>
      <c r="L979" s="12">
        <v>3.91</v>
      </c>
      <c r="M979" s="12">
        <v>3.93</v>
      </c>
      <c r="N979" s="12">
        <v>4.92</v>
      </c>
      <c r="O979" s="12">
        <v>3.81</v>
      </c>
      <c r="P979" s="12">
        <f t="shared" si="91"/>
        <v>4.1779999999999999</v>
      </c>
      <c r="Q979" s="12">
        <f t="shared" si="92"/>
        <v>4.18</v>
      </c>
      <c r="R979" s="12">
        <f t="shared" si="93"/>
        <v>4.1425000000000001</v>
      </c>
      <c r="S979" s="28">
        <f>IFERROR(INDEX('Clean Gamification Data'!$B:$B,MATCH($B979,'Clean Gamification Data'!$A:$A,0)),"Not Found")</f>
        <v>86.841782210000005</v>
      </c>
      <c r="T979" s="28">
        <f>IFERROR(INDEX('Clean Gamification Data'!$C:$C,MATCH($B979,'Clean Gamification Data'!$A:$A,0)),"Not Found")</f>
        <v>69.058112429999994</v>
      </c>
      <c r="U979" s="28">
        <f>IFERROR(INDEX('Clean Gamification Data'!$D:$D,MATCH($B979,'Clean Gamification Data'!$A:$A,0)),"Not Found")</f>
        <v>75.405357129999999</v>
      </c>
      <c r="V979" s="28">
        <f>IFERROR(INDEX('Clean Gamification Data'!$E:$E,MATCH($B979,'Clean Gamification Data'!$A:$A,0)),"Not Found")</f>
        <v>65.751546180000005</v>
      </c>
      <c r="W979" s="28">
        <f>IFERROR(INDEX('Clean Gamification Data'!$F:$F,MATCH($B979,'Clean Gamification Data'!$A:$A,0)),"Not Found")</f>
        <v>92.228333919999997</v>
      </c>
      <c r="X979" s="28">
        <f>IFERROR(INDEX('Clean Gamification Data'!$G:$G,MATCH($B979,'Clean Gamification Data'!$A:$A,0)),"Not Found")</f>
        <v>80.066816939999995</v>
      </c>
      <c r="Y979" s="28">
        <f>IFERROR(INDEX('Clean Gamification Data'!$H:$H,MATCH($B979,'Clean Gamification Data'!$A:$A,0)),"Not Found")</f>
        <v>71.846028459999999</v>
      </c>
      <c r="Z979" s="28">
        <f>IFERROR(INDEX('Clean Gamification Data'!$I:$I,MATCH($B979,'Clean Gamification Data'!$A:$A,0)),"Not Found")</f>
        <v>68.273462390000006</v>
      </c>
      <c r="AA979" s="28">
        <f>Table1[[#This Row],[Engagement (Gamification %)]]-Table1[[#This Row],[Engagement (Non-Gamification %)]]</f>
        <v>17.783669780000011</v>
      </c>
      <c r="AB979" s="28">
        <f>Table1[[#This Row],[Motivation (Gamification %)]]-Table1[[#This Row],[Motivation (Non-Gamification %)]]</f>
        <v>9.6538109499999933</v>
      </c>
      <c r="AC979" s="28">
        <f>Table1[[#This Row],[Participation (Gamification %)]]-Table1[[#This Row],[Participation (Non-Gamification %)]]</f>
        <v>12.161516980000002</v>
      </c>
      <c r="AD979" s="28">
        <f>Table1[[#This Row],[Learning Outcomes (Gamification %)]]-Table1[[#This Row],[Learning Outcomes (Non-Gamification %)]]</f>
        <v>3.5725660699999935</v>
      </c>
      <c r="AE979" s="44" t="str">
        <f>IF(Table1[[#This Row],[Overall Effectiveness]]&lt;3.9,"Low",IF(Table1[[#This Row],[Overall Effectiveness]]&lt;4.2,"Medium","High"))</f>
        <v>Medium</v>
      </c>
      <c r="AF979" s="30" t="str">
        <f t="shared" si="94"/>
        <v>Experiments</v>
      </c>
      <c r="AG979" s="30" t="str">
        <f t="shared" si="95"/>
        <v>Experiments</v>
      </c>
      <c r="AH979" s="27">
        <f>COUNTIF(Teacher_Master!$D$2:$D$16,AF979)</f>
        <v>3</v>
      </c>
      <c r="AI979" s="30" t="str">
        <f>INDEX(Teacher_Master!$B$2:$B$16,MATCH(AF979,Teacher_Master!$D$2:$D$16,0))</f>
        <v>Prof. Rahul Singh</v>
      </c>
    </row>
    <row r="980" spans="1:35" ht="14.25" customHeight="1" x14ac:dyDescent="0.3">
      <c r="A980" s="31" t="s">
        <v>1999</v>
      </c>
      <c r="B980" s="31" t="s">
        <v>2790</v>
      </c>
      <c r="C980" s="31" t="s">
        <v>2882</v>
      </c>
      <c r="D980" s="12">
        <f t="shared" ca="1" si="90"/>
        <v>20</v>
      </c>
      <c r="E980" s="12" t="str">
        <f ca="1">IF(Table1[[#This Row],[Age]]&lt;=22,"20-22",IF(Table1[[#This Row],[Age]]&lt;=25,"23-25",IF(Table1[[#This Row],[Age]]&lt;=28,"26-28","29-30")))</f>
        <v>20-22</v>
      </c>
      <c r="F980" s="12">
        <v>4.0999999999999996</v>
      </c>
      <c r="G980" s="12">
        <v>3.8</v>
      </c>
      <c r="H980" s="12">
        <v>4.38</v>
      </c>
      <c r="I980" s="12">
        <v>3.9</v>
      </c>
      <c r="J980" s="12">
        <v>4.22</v>
      </c>
      <c r="K980" s="12" t="s">
        <v>211</v>
      </c>
      <c r="L980" s="12">
        <v>4.2300000000000004</v>
      </c>
      <c r="M980" s="12">
        <v>4.28</v>
      </c>
      <c r="N980" s="12">
        <v>3.73</v>
      </c>
      <c r="O980" s="12">
        <v>4.47</v>
      </c>
      <c r="P980" s="12">
        <f t="shared" si="91"/>
        <v>4.08</v>
      </c>
      <c r="Q980" s="12">
        <f t="shared" si="92"/>
        <v>4.08</v>
      </c>
      <c r="R980" s="12">
        <f t="shared" si="93"/>
        <v>4.1775000000000002</v>
      </c>
      <c r="S980" s="28">
        <f>IFERROR(INDEX('Clean Gamification Data'!$B:$B,MATCH($B980,'Clean Gamification Data'!$A:$A,0)),"Not Found")</f>
        <v>79.552340130000005</v>
      </c>
      <c r="T980" s="28">
        <f>IFERROR(INDEX('Clean Gamification Data'!$C:$C,MATCH($B980,'Clean Gamification Data'!$A:$A,0)),"Not Found")</f>
        <v>64.372430780000002</v>
      </c>
      <c r="U980" s="28">
        <f>IFERROR(INDEX('Clean Gamification Data'!$D:$D,MATCH($B980,'Clean Gamification Data'!$A:$A,0)),"Not Found")</f>
        <v>85.621689040000007</v>
      </c>
      <c r="V980" s="28">
        <f>IFERROR(INDEX('Clean Gamification Data'!$E:$E,MATCH($B980,'Clean Gamification Data'!$A:$A,0)),"Not Found")</f>
        <v>71.061459959999993</v>
      </c>
      <c r="W980" s="28">
        <f>IFERROR(INDEX('Clean Gamification Data'!$F:$F,MATCH($B980,'Clean Gamification Data'!$A:$A,0)),"Not Found")</f>
        <v>85.532657270000001</v>
      </c>
      <c r="X980" s="28">
        <f>IFERROR(INDEX('Clean Gamification Data'!$G:$G,MATCH($B980,'Clean Gamification Data'!$A:$A,0)),"Not Found")</f>
        <v>78.828594039999999</v>
      </c>
      <c r="Y980" s="28">
        <f>IFERROR(INDEX('Clean Gamification Data'!$H:$H,MATCH($B980,'Clean Gamification Data'!$A:$A,0)),"Not Found")</f>
        <v>70.906175439999998</v>
      </c>
      <c r="Z980" s="28">
        <f>IFERROR(INDEX('Clean Gamification Data'!$I:$I,MATCH($B980,'Clean Gamification Data'!$A:$A,0)),"Not Found")</f>
        <v>51.574576729999997</v>
      </c>
      <c r="AA980" s="28">
        <f>Table1[[#This Row],[Engagement (Gamification %)]]-Table1[[#This Row],[Engagement (Non-Gamification %)]]</f>
        <v>15.179909350000003</v>
      </c>
      <c r="AB980" s="28">
        <f>Table1[[#This Row],[Motivation (Gamification %)]]-Table1[[#This Row],[Motivation (Non-Gamification %)]]</f>
        <v>14.560229080000013</v>
      </c>
      <c r="AC980" s="28">
        <f>Table1[[#This Row],[Participation (Gamification %)]]-Table1[[#This Row],[Participation (Non-Gamification %)]]</f>
        <v>6.7040632300000027</v>
      </c>
      <c r="AD980" s="28">
        <f>Table1[[#This Row],[Learning Outcomes (Gamification %)]]-Table1[[#This Row],[Learning Outcomes (Non-Gamification %)]]</f>
        <v>19.331598710000002</v>
      </c>
      <c r="AE980" s="44" t="str">
        <f>IF(Table1[[#This Row],[Overall Effectiveness]]&lt;3.9,"Low",IF(Table1[[#This Row],[Overall Effectiveness]]&lt;4.2,"Medium","High"))</f>
        <v>Medium</v>
      </c>
      <c r="AF980" s="30" t="str">
        <f t="shared" si="94"/>
        <v>Group Projects</v>
      </c>
      <c r="AG980" s="30" t="str">
        <f t="shared" si="95"/>
        <v>Online Tutorials</v>
      </c>
      <c r="AH980" s="27">
        <f>COUNTIF(Teacher_Master!$D$2:$D$16,AF980)</f>
        <v>3</v>
      </c>
      <c r="AI980" s="30" t="str">
        <f>INDEX(Teacher_Master!$B$2:$B$16,MATCH(AF980,Teacher_Master!$D$2:$D$16,0))</f>
        <v>Dr. Rohan Dutta</v>
      </c>
    </row>
    <row r="981" spans="1:35" ht="14.25" customHeight="1" x14ac:dyDescent="0.3">
      <c r="A981" s="31" t="s">
        <v>2001</v>
      </c>
      <c r="B981" s="31" t="s">
        <v>2002</v>
      </c>
      <c r="C981" s="31" t="s">
        <v>2881</v>
      </c>
      <c r="D981" s="12">
        <f t="shared" ca="1" si="90"/>
        <v>23</v>
      </c>
      <c r="E981" s="12" t="str">
        <f ca="1">IF(Table1[[#This Row],[Age]]&lt;=22,"20-22",IF(Table1[[#This Row],[Age]]&lt;=25,"23-25",IF(Table1[[#This Row],[Age]]&lt;=28,"26-28","29-30")))</f>
        <v>23-25</v>
      </c>
      <c r="F981" s="12">
        <v>3.76</v>
      </c>
      <c r="G981" s="12">
        <v>4.1900000000000004</v>
      </c>
      <c r="H981" s="12">
        <v>3.58</v>
      </c>
      <c r="I981" s="12">
        <v>4.32</v>
      </c>
      <c r="J981" s="12">
        <v>3.36</v>
      </c>
      <c r="K981" s="12" t="s">
        <v>211</v>
      </c>
      <c r="L981" s="12">
        <v>3.7</v>
      </c>
      <c r="M981" s="12">
        <v>4.51</v>
      </c>
      <c r="N981" s="12">
        <v>4.59</v>
      </c>
      <c r="O981" s="12">
        <v>3.96</v>
      </c>
      <c r="P981" s="12">
        <f t="shared" si="91"/>
        <v>3.8420000000000001</v>
      </c>
      <c r="Q981" s="12">
        <f t="shared" si="92"/>
        <v>3.84</v>
      </c>
      <c r="R981" s="12">
        <f t="shared" si="93"/>
        <v>4.1900000000000004</v>
      </c>
      <c r="S981" s="28">
        <f>IFERROR(INDEX('Clean Gamification Data'!$B:$B,MATCH($B981,'Clean Gamification Data'!$A:$A,0)),"Not Found")</f>
        <v>86.672058910000004</v>
      </c>
      <c r="T981" s="28">
        <f>IFERROR(INDEX('Clean Gamification Data'!$C:$C,MATCH($B981,'Clean Gamification Data'!$A:$A,0)),"Not Found")</f>
        <v>68.151527130000005</v>
      </c>
      <c r="U981" s="28">
        <f>IFERROR(INDEX('Clean Gamification Data'!$D:$D,MATCH($B981,'Clean Gamification Data'!$A:$A,0)),"Not Found")</f>
        <v>75.979310850000005</v>
      </c>
      <c r="V981" s="28">
        <f>IFERROR(INDEX('Clean Gamification Data'!$E:$E,MATCH($B981,'Clean Gamification Data'!$A:$A,0)),"Not Found")</f>
        <v>67.322622080000002</v>
      </c>
      <c r="W981" s="28">
        <f>IFERROR(INDEX('Clean Gamification Data'!$F:$F,MATCH($B981,'Clean Gamification Data'!$A:$A,0)),"Not Found")</f>
        <v>82.588883989999999</v>
      </c>
      <c r="X981" s="28">
        <f>IFERROR(INDEX('Clean Gamification Data'!$G:$G,MATCH($B981,'Clean Gamification Data'!$A:$A,0)),"Not Found")</f>
        <v>76.938155730000005</v>
      </c>
      <c r="Y981" s="28">
        <f>IFERROR(INDEX('Clean Gamification Data'!$H:$H,MATCH($B981,'Clean Gamification Data'!$A:$A,0)),"Not Found")</f>
        <v>68.763456649999995</v>
      </c>
      <c r="Z981" s="28">
        <f>IFERROR(INDEX('Clean Gamification Data'!$I:$I,MATCH($B981,'Clean Gamification Data'!$A:$A,0)),"Not Found")</f>
        <v>61.809997189999997</v>
      </c>
      <c r="AA981" s="28">
        <f>Table1[[#This Row],[Engagement (Gamification %)]]-Table1[[#This Row],[Engagement (Non-Gamification %)]]</f>
        <v>18.520531779999999</v>
      </c>
      <c r="AB981" s="28">
        <f>Table1[[#This Row],[Motivation (Gamification %)]]-Table1[[#This Row],[Motivation (Non-Gamification %)]]</f>
        <v>8.6566887700000024</v>
      </c>
      <c r="AC981" s="28">
        <f>Table1[[#This Row],[Participation (Gamification %)]]-Table1[[#This Row],[Participation (Non-Gamification %)]]</f>
        <v>5.650728259999994</v>
      </c>
      <c r="AD981" s="28">
        <f>Table1[[#This Row],[Learning Outcomes (Gamification %)]]-Table1[[#This Row],[Learning Outcomes (Non-Gamification %)]]</f>
        <v>6.9534594599999977</v>
      </c>
      <c r="AE981" s="44" t="str">
        <f>IF(Table1[[#This Row],[Overall Effectiveness]]&lt;3.9,"Low",IF(Table1[[#This Row],[Overall Effectiveness]]&lt;4.2,"Medium","High"))</f>
        <v>Low</v>
      </c>
      <c r="AF981" s="30" t="str">
        <f t="shared" si="94"/>
        <v>Experiments</v>
      </c>
      <c r="AG981" s="30" t="str">
        <f t="shared" si="95"/>
        <v>Experiments</v>
      </c>
      <c r="AH981" s="27">
        <f>COUNTIF(Teacher_Master!$D$2:$D$16,AF981)</f>
        <v>3</v>
      </c>
      <c r="AI981" s="30" t="str">
        <f>INDEX(Teacher_Master!$B$2:$B$16,MATCH(AF981,Teacher_Master!$D$2:$D$16,0))</f>
        <v>Prof. Rahul Singh</v>
      </c>
    </row>
    <row r="982" spans="1:35" ht="14.25" customHeight="1" x14ac:dyDescent="0.3">
      <c r="A982" s="31" t="s">
        <v>2003</v>
      </c>
      <c r="B982" s="31" t="s">
        <v>2004</v>
      </c>
      <c r="C982" s="31" t="s">
        <v>2882</v>
      </c>
      <c r="D982" s="12">
        <f t="shared" ca="1" si="90"/>
        <v>26</v>
      </c>
      <c r="E982" s="12" t="str">
        <f ca="1">IF(Table1[[#This Row],[Age]]&lt;=22,"20-22",IF(Table1[[#This Row],[Age]]&lt;=25,"23-25",IF(Table1[[#This Row],[Age]]&lt;=28,"26-28","29-30")))</f>
        <v>26-28</v>
      </c>
      <c r="F982" s="12">
        <v>4.18</v>
      </c>
      <c r="G982" s="12">
        <v>4.54</v>
      </c>
      <c r="H982" s="12">
        <v>3.96</v>
      </c>
      <c r="I982" s="12" t="s">
        <v>211</v>
      </c>
      <c r="J982" s="12">
        <v>3.8</v>
      </c>
      <c r="K982" s="12">
        <v>4.5599999999999996</v>
      </c>
      <c r="L982" s="12">
        <v>3.86</v>
      </c>
      <c r="M982" s="12">
        <v>4.41</v>
      </c>
      <c r="N982" s="12">
        <v>4.12</v>
      </c>
      <c r="O982" s="12">
        <v>4.26</v>
      </c>
      <c r="P982" s="12">
        <f t="shared" si="91"/>
        <v>4.12</v>
      </c>
      <c r="Q982" s="12">
        <f t="shared" si="92"/>
        <v>4.12</v>
      </c>
      <c r="R982" s="12">
        <f t="shared" si="93"/>
        <v>4.242</v>
      </c>
      <c r="S982" s="28">
        <f>IFERROR(INDEX('Clean Gamification Data'!$B:$B,MATCH($B982,'Clean Gamification Data'!$A:$A,0)),"Not Found")</f>
        <v>82.374451250000007</v>
      </c>
      <c r="T982" s="28">
        <f>IFERROR(INDEX('Clean Gamification Data'!$C:$C,MATCH($B982,'Clean Gamification Data'!$A:$A,0)),"Not Found")</f>
        <v>65.860127489999996</v>
      </c>
      <c r="U982" s="28">
        <f>IFERROR(INDEX('Clean Gamification Data'!$D:$D,MATCH($B982,'Clean Gamification Data'!$A:$A,0)),"Not Found")</f>
        <v>79.984811059999998</v>
      </c>
      <c r="V982" s="28">
        <f>IFERROR(INDEX('Clean Gamification Data'!$E:$E,MATCH($B982,'Clean Gamification Data'!$A:$A,0)),"Not Found")</f>
        <v>68.148914320000003</v>
      </c>
      <c r="W982" s="28">
        <f>IFERROR(INDEX('Clean Gamification Data'!$F:$F,MATCH($B982,'Clean Gamification Data'!$A:$A,0)),"Not Found")</f>
        <v>88.063155440000003</v>
      </c>
      <c r="X982" s="28">
        <f>IFERROR(INDEX('Clean Gamification Data'!$G:$G,MATCH($B982,'Clean Gamification Data'!$A:$A,0)),"Not Found")</f>
        <v>77.38181032</v>
      </c>
      <c r="Y982" s="28">
        <f>IFERROR(INDEX('Clean Gamification Data'!$H:$H,MATCH($B982,'Clean Gamification Data'!$A:$A,0)),"Not Found")</f>
        <v>72.266220090000004</v>
      </c>
      <c r="Z982" s="28">
        <f>IFERROR(INDEX('Clean Gamification Data'!$I:$I,MATCH($B982,'Clean Gamification Data'!$A:$A,0)),"Not Found")</f>
        <v>63.349375760000001</v>
      </c>
      <c r="AA982" s="28">
        <f>Table1[[#This Row],[Engagement (Gamification %)]]-Table1[[#This Row],[Engagement (Non-Gamification %)]]</f>
        <v>16.514323760000011</v>
      </c>
      <c r="AB982" s="28">
        <f>Table1[[#This Row],[Motivation (Gamification %)]]-Table1[[#This Row],[Motivation (Non-Gamification %)]]</f>
        <v>11.835896739999995</v>
      </c>
      <c r="AC982" s="28">
        <f>Table1[[#This Row],[Participation (Gamification %)]]-Table1[[#This Row],[Participation (Non-Gamification %)]]</f>
        <v>10.681345120000003</v>
      </c>
      <c r="AD982" s="28">
        <f>Table1[[#This Row],[Learning Outcomes (Gamification %)]]-Table1[[#This Row],[Learning Outcomes (Non-Gamification %)]]</f>
        <v>8.9168443300000035</v>
      </c>
      <c r="AE982" s="44" t="str">
        <f>IF(Table1[[#This Row],[Overall Effectiveness]]&lt;3.9,"Low",IF(Table1[[#This Row],[Overall Effectiveness]]&lt;4.2,"Medium","High"))</f>
        <v>Medium</v>
      </c>
      <c r="AF982" s="30" t="str">
        <f t="shared" si="94"/>
        <v>Case Studies</v>
      </c>
      <c r="AG982" s="30" t="str">
        <f t="shared" si="95"/>
        <v>Lectures</v>
      </c>
      <c r="AH982" s="27">
        <f>COUNTIF(Teacher_Master!$D$2:$D$16,AF982)</f>
        <v>3</v>
      </c>
      <c r="AI982" s="30" t="str">
        <f>INDEX(Teacher_Master!$B$2:$B$16,MATCH(AF982,Teacher_Master!$D$2:$D$16,0))</f>
        <v>Prof. Rajesh Mukherjee</v>
      </c>
    </row>
    <row r="983" spans="1:35" ht="14.25" customHeight="1" x14ac:dyDescent="0.3">
      <c r="A983" s="31" t="s">
        <v>2005</v>
      </c>
      <c r="B983" s="31" t="s">
        <v>2006</v>
      </c>
      <c r="C983" s="31" t="s">
        <v>2882</v>
      </c>
      <c r="D983" s="12">
        <f t="shared" ca="1" si="90"/>
        <v>21</v>
      </c>
      <c r="E983" s="12" t="str">
        <f ca="1">IF(Table1[[#This Row],[Age]]&lt;=22,"20-22",IF(Table1[[#This Row],[Age]]&lt;=25,"23-25",IF(Table1[[#This Row],[Age]]&lt;=28,"26-28","29-30")))</f>
        <v>20-22</v>
      </c>
      <c r="F983" s="12">
        <v>4.1399999999999997</v>
      </c>
      <c r="G983" s="12">
        <v>3.93</v>
      </c>
      <c r="H983" s="12">
        <v>4.0599999999999996</v>
      </c>
      <c r="I983" s="12">
        <v>4.33</v>
      </c>
      <c r="J983" s="12">
        <v>3.54</v>
      </c>
      <c r="K983" s="12">
        <v>4.12</v>
      </c>
      <c r="L983" s="12">
        <v>3.21</v>
      </c>
      <c r="M983" s="12">
        <v>4.21</v>
      </c>
      <c r="N983" s="12">
        <v>4.5</v>
      </c>
      <c r="O983" s="12">
        <v>4.18</v>
      </c>
      <c r="P983" s="12">
        <f t="shared" si="91"/>
        <v>4</v>
      </c>
      <c r="Q983" s="12">
        <f t="shared" si="92"/>
        <v>4</v>
      </c>
      <c r="R983" s="12">
        <f t="shared" si="93"/>
        <v>4.0439999999999996</v>
      </c>
      <c r="S983" s="28">
        <f>IFERROR(INDEX('Clean Gamification Data'!$B:$B,MATCH($B983,'Clean Gamification Data'!$A:$A,0)),"Not Found")</f>
        <v>89.563496580000006</v>
      </c>
      <c r="T983" s="28">
        <f>IFERROR(INDEX('Clean Gamification Data'!$C:$C,MATCH($B983,'Clean Gamification Data'!$A:$A,0)),"Not Found")</f>
        <v>70.998300060000005</v>
      </c>
      <c r="U983" s="28">
        <f>IFERROR(INDEX('Clean Gamification Data'!$D:$D,MATCH($B983,'Clean Gamification Data'!$A:$A,0)),"Not Found")</f>
        <v>78.871993540000005</v>
      </c>
      <c r="V983" s="28">
        <f>IFERROR(INDEX('Clean Gamification Data'!$E:$E,MATCH($B983,'Clean Gamification Data'!$A:$A,0)),"Not Found")</f>
        <v>70.81328164</v>
      </c>
      <c r="W983" s="28">
        <f>IFERROR(INDEX('Clean Gamification Data'!$F:$F,MATCH($B983,'Clean Gamification Data'!$A:$A,0)),"Not Found")</f>
        <v>81.641271970000005</v>
      </c>
      <c r="X983" s="28">
        <f>IFERROR(INDEX('Clean Gamification Data'!$G:$G,MATCH($B983,'Clean Gamification Data'!$A:$A,0)),"Not Found")</f>
        <v>75.563243080000007</v>
      </c>
      <c r="Y983" s="28">
        <f>IFERROR(INDEX('Clean Gamification Data'!$H:$H,MATCH($B983,'Clean Gamification Data'!$A:$A,0)),"Not Found")</f>
        <v>65</v>
      </c>
      <c r="Z983" s="28">
        <f>IFERROR(INDEX('Clean Gamification Data'!$I:$I,MATCH($B983,'Clean Gamification Data'!$A:$A,0)),"Not Found")</f>
        <v>61.230071469999999</v>
      </c>
      <c r="AA983" s="28">
        <f>Table1[[#This Row],[Engagement (Gamification %)]]-Table1[[#This Row],[Engagement (Non-Gamification %)]]</f>
        <v>18.565196520000001</v>
      </c>
      <c r="AB983" s="28">
        <f>Table1[[#This Row],[Motivation (Gamification %)]]-Table1[[#This Row],[Motivation (Non-Gamification %)]]</f>
        <v>8.0587119000000058</v>
      </c>
      <c r="AC983" s="28">
        <f>Table1[[#This Row],[Participation (Gamification %)]]-Table1[[#This Row],[Participation (Non-Gamification %)]]</f>
        <v>6.0780288899999988</v>
      </c>
      <c r="AD983" s="28">
        <f>Table1[[#This Row],[Learning Outcomes (Gamification %)]]-Table1[[#This Row],[Learning Outcomes (Non-Gamification %)]]</f>
        <v>3.7699285300000014</v>
      </c>
      <c r="AE983" s="44" t="str">
        <f>IF(Table1[[#This Row],[Overall Effectiveness]]&lt;3.9,"Low",IF(Table1[[#This Row],[Overall Effectiveness]]&lt;4.2,"Medium","High"))</f>
        <v>Medium</v>
      </c>
      <c r="AF983" s="30" t="str">
        <f t="shared" si="94"/>
        <v>Experiments</v>
      </c>
      <c r="AG983" s="30" t="str">
        <f t="shared" si="95"/>
        <v>Experiments</v>
      </c>
      <c r="AH983" s="27">
        <f>COUNTIF(Teacher_Master!$D$2:$D$16,AF983)</f>
        <v>3</v>
      </c>
      <c r="AI983" s="30" t="str">
        <f>INDEX(Teacher_Master!$B$2:$B$16,MATCH(AF983,Teacher_Master!$D$2:$D$16,0))</f>
        <v>Prof. Rahul Singh</v>
      </c>
    </row>
    <row r="984" spans="1:35" ht="14.25" customHeight="1" x14ac:dyDescent="0.3">
      <c r="A984" s="31" t="s">
        <v>2007</v>
      </c>
      <c r="B984" s="31" t="s">
        <v>2008</v>
      </c>
      <c r="C984" s="31" t="s">
        <v>2882</v>
      </c>
      <c r="D984" s="12">
        <f t="shared" ca="1" si="90"/>
        <v>28</v>
      </c>
      <c r="E984" s="12" t="str">
        <f ca="1">IF(Table1[[#This Row],[Age]]&lt;=22,"20-22",IF(Table1[[#This Row],[Age]]&lt;=25,"23-25",IF(Table1[[#This Row],[Age]]&lt;=28,"26-28","29-30")))</f>
        <v>26-28</v>
      </c>
      <c r="F984" s="12">
        <v>3.97</v>
      </c>
      <c r="G984" s="12">
        <v>4.4800000000000004</v>
      </c>
      <c r="H984" s="12">
        <v>3.95</v>
      </c>
      <c r="I984" s="12">
        <v>4.1500000000000004</v>
      </c>
      <c r="J984" s="12">
        <v>3.89</v>
      </c>
      <c r="K984" s="12">
        <v>3.85</v>
      </c>
      <c r="L984" s="12">
        <v>3.56</v>
      </c>
      <c r="M984" s="12">
        <v>4.58</v>
      </c>
      <c r="N984" s="12">
        <v>4.18</v>
      </c>
      <c r="O984" s="12">
        <v>4.16</v>
      </c>
      <c r="P984" s="12">
        <f t="shared" si="91"/>
        <v>4.088000000000001</v>
      </c>
      <c r="Q984" s="12">
        <f t="shared" si="92"/>
        <v>4.09</v>
      </c>
      <c r="R984" s="12">
        <f t="shared" si="93"/>
        <v>4.0660000000000007</v>
      </c>
      <c r="S984" s="28">
        <f>IFERROR(INDEX('Clean Gamification Data'!$B:$B,MATCH($B984,'Clean Gamification Data'!$A:$A,0)),"Not Found")</f>
        <v>87.555655340000001</v>
      </c>
      <c r="T984" s="28">
        <f>IFERROR(INDEX('Clean Gamification Data'!$C:$C,MATCH($B984,'Clean Gamification Data'!$A:$A,0)),"Not Found")</f>
        <v>65.828988589999994</v>
      </c>
      <c r="U984" s="28">
        <f>IFERROR(INDEX('Clean Gamification Data'!$D:$D,MATCH($B984,'Clean Gamification Data'!$A:$A,0)),"Not Found")</f>
        <v>82.798474119999995</v>
      </c>
      <c r="V984" s="28">
        <f>IFERROR(INDEX('Clean Gamification Data'!$E:$E,MATCH($B984,'Clean Gamification Data'!$A:$A,0)),"Not Found")</f>
        <v>60.845517579999999</v>
      </c>
      <c r="W984" s="28">
        <f>IFERROR(INDEX('Clean Gamification Data'!$F:$F,MATCH($B984,'Clean Gamification Data'!$A:$A,0)),"Not Found")</f>
        <v>84.134377740000005</v>
      </c>
      <c r="X984" s="28">
        <f>IFERROR(INDEX('Clean Gamification Data'!$G:$G,MATCH($B984,'Clean Gamification Data'!$A:$A,0)),"Not Found")</f>
        <v>76.238994270000006</v>
      </c>
      <c r="Y984" s="28">
        <f>IFERROR(INDEX('Clean Gamification Data'!$H:$H,MATCH($B984,'Clean Gamification Data'!$A:$A,0)),"Not Found")</f>
        <v>74.097914470000006</v>
      </c>
      <c r="Z984" s="28">
        <f>IFERROR(INDEX('Clean Gamification Data'!$I:$I,MATCH($B984,'Clean Gamification Data'!$A:$A,0)),"Not Found")</f>
        <v>57.791229360000003</v>
      </c>
      <c r="AA984" s="28">
        <f>Table1[[#This Row],[Engagement (Gamification %)]]-Table1[[#This Row],[Engagement (Non-Gamification %)]]</f>
        <v>21.726666750000007</v>
      </c>
      <c r="AB984" s="28">
        <f>Table1[[#This Row],[Motivation (Gamification %)]]-Table1[[#This Row],[Motivation (Non-Gamification %)]]</f>
        <v>21.952956539999995</v>
      </c>
      <c r="AC984" s="28">
        <f>Table1[[#This Row],[Participation (Gamification %)]]-Table1[[#This Row],[Participation (Non-Gamification %)]]</f>
        <v>7.8953834699999987</v>
      </c>
      <c r="AD984" s="28">
        <f>Table1[[#This Row],[Learning Outcomes (Gamification %)]]-Table1[[#This Row],[Learning Outcomes (Non-Gamification %)]]</f>
        <v>16.306685110000004</v>
      </c>
      <c r="AE984" s="44" t="str">
        <f>IF(Table1[[#This Row],[Overall Effectiveness]]&lt;3.9,"Low",IF(Table1[[#This Row],[Overall Effectiveness]]&lt;4.2,"Medium","High"))</f>
        <v>Medium</v>
      </c>
      <c r="AF984" s="30" t="str">
        <f t="shared" si="94"/>
        <v>Case Studies</v>
      </c>
      <c r="AG984" s="30" t="str">
        <f t="shared" si="95"/>
        <v>Group Projects</v>
      </c>
      <c r="AH984" s="27">
        <f>COUNTIF(Teacher_Master!$D$2:$D$16,AF984)</f>
        <v>3</v>
      </c>
      <c r="AI984" s="30" t="str">
        <f>INDEX(Teacher_Master!$B$2:$B$16,MATCH(AF984,Teacher_Master!$D$2:$D$16,0))</f>
        <v>Prof. Rajesh Mukherjee</v>
      </c>
    </row>
    <row r="985" spans="1:35" ht="14.25" customHeight="1" x14ac:dyDescent="0.3">
      <c r="A985" s="31" t="s">
        <v>2009</v>
      </c>
      <c r="B985" s="31" t="s">
        <v>2791</v>
      </c>
      <c r="C985" s="31" t="s">
        <v>2882</v>
      </c>
      <c r="D985" s="12">
        <f t="shared" ca="1" si="90"/>
        <v>27</v>
      </c>
      <c r="E985" s="12" t="str">
        <f ca="1">IF(Table1[[#This Row],[Age]]&lt;=22,"20-22",IF(Table1[[#This Row],[Age]]&lt;=25,"23-25",IF(Table1[[#This Row],[Age]]&lt;=28,"26-28","29-30")))</f>
        <v>26-28</v>
      </c>
      <c r="F985" s="12">
        <v>4.5599999999999996</v>
      </c>
      <c r="G985" s="12" t="s">
        <v>211</v>
      </c>
      <c r="H985" s="12">
        <v>4.34</v>
      </c>
      <c r="I985" s="12">
        <v>3.47</v>
      </c>
      <c r="J985" s="12">
        <v>3.7</v>
      </c>
      <c r="K985" s="12">
        <v>3.83</v>
      </c>
      <c r="L985" s="12">
        <v>3.73</v>
      </c>
      <c r="M985" s="12">
        <v>3.92</v>
      </c>
      <c r="N985" s="12">
        <v>3.86</v>
      </c>
      <c r="O985" s="12">
        <v>4.41</v>
      </c>
      <c r="P985" s="12">
        <f t="shared" si="91"/>
        <v>4.0175000000000001</v>
      </c>
      <c r="Q985" s="12">
        <f t="shared" si="92"/>
        <v>4.0199999999999996</v>
      </c>
      <c r="R985" s="12">
        <f t="shared" si="93"/>
        <v>3.95</v>
      </c>
      <c r="S985" s="28">
        <f>IFERROR(INDEX('Clean Gamification Data'!$B:$B,MATCH($B985,'Clean Gamification Data'!$A:$A,0)),"Not Found")</f>
        <v>85.079765629999997</v>
      </c>
      <c r="T985" s="28">
        <f>IFERROR(INDEX('Clean Gamification Data'!$C:$C,MATCH($B985,'Clean Gamification Data'!$A:$A,0)),"Not Found")</f>
        <v>79.744664270000001</v>
      </c>
      <c r="U985" s="28">
        <f>IFERROR(INDEX('Clean Gamification Data'!$D:$D,MATCH($B985,'Clean Gamification Data'!$A:$A,0)),"Not Found")</f>
        <v>77.523359630000002</v>
      </c>
      <c r="V985" s="28">
        <f>IFERROR(INDEX('Clean Gamification Data'!$E:$E,MATCH($B985,'Clean Gamification Data'!$A:$A,0)),"Not Found")</f>
        <v>67.180221810000006</v>
      </c>
      <c r="W985" s="28">
        <f>IFERROR(INDEX('Clean Gamification Data'!$F:$F,MATCH($B985,'Clean Gamification Data'!$A:$A,0)),"Not Found")</f>
        <v>81.894477249999994</v>
      </c>
      <c r="X985" s="28">
        <f>IFERROR(INDEX('Clean Gamification Data'!$G:$G,MATCH($B985,'Clean Gamification Data'!$A:$A,0)),"Not Found")</f>
        <v>81.11740202</v>
      </c>
      <c r="Y985" s="28">
        <f>IFERROR(INDEX('Clean Gamification Data'!$H:$H,MATCH($B985,'Clean Gamification Data'!$A:$A,0)),"Not Found")</f>
        <v>73.21699065</v>
      </c>
      <c r="Z985" s="28">
        <f>IFERROR(INDEX('Clean Gamification Data'!$I:$I,MATCH($B985,'Clean Gamification Data'!$A:$A,0)),"Not Found")</f>
        <v>53.23049177</v>
      </c>
      <c r="AA985" s="28">
        <f>Table1[[#This Row],[Engagement (Gamification %)]]-Table1[[#This Row],[Engagement (Non-Gamification %)]]</f>
        <v>5.3351013599999959</v>
      </c>
      <c r="AB985" s="28">
        <f>Table1[[#This Row],[Motivation (Gamification %)]]-Table1[[#This Row],[Motivation (Non-Gamification %)]]</f>
        <v>10.343137819999995</v>
      </c>
      <c r="AC985" s="28">
        <f>Table1[[#This Row],[Participation (Gamification %)]]-Table1[[#This Row],[Participation (Non-Gamification %)]]</f>
        <v>0.77707522999999412</v>
      </c>
      <c r="AD985" s="28">
        <f>Table1[[#This Row],[Learning Outcomes (Gamification %)]]-Table1[[#This Row],[Learning Outcomes (Non-Gamification %)]]</f>
        <v>19.986498879999999</v>
      </c>
      <c r="AE985" s="44" t="str">
        <f>IF(Table1[[#This Row],[Overall Effectiveness]]&lt;3.9,"Low",IF(Table1[[#This Row],[Overall Effectiveness]]&lt;4.2,"Medium","High"))</f>
        <v>Medium</v>
      </c>
      <c r="AF985" s="30" t="str">
        <f t="shared" si="94"/>
        <v>Lectures</v>
      </c>
      <c r="AG985" s="30" t="str">
        <f t="shared" si="95"/>
        <v>Online Tutorials</v>
      </c>
      <c r="AH985" s="27">
        <f>COUNTIF(Teacher_Master!$D$2:$D$16,AF985)</f>
        <v>3</v>
      </c>
      <c r="AI985" s="30" t="str">
        <f>INDEX(Teacher_Master!$B$2:$B$16,MATCH(AF985,Teacher_Master!$D$2:$D$16,0))</f>
        <v>Prof. Vikram Gupta</v>
      </c>
    </row>
    <row r="986" spans="1:35" ht="14.25" customHeight="1" x14ac:dyDescent="0.3">
      <c r="A986" s="31" t="s">
        <v>2011</v>
      </c>
      <c r="B986" s="31" t="s">
        <v>2012</v>
      </c>
      <c r="C986" s="31" t="s">
        <v>2882</v>
      </c>
      <c r="D986" s="12">
        <f t="shared" ca="1" si="90"/>
        <v>29</v>
      </c>
      <c r="E986" s="12" t="str">
        <f ca="1">IF(Table1[[#This Row],[Age]]&lt;=22,"20-22",IF(Table1[[#This Row],[Age]]&lt;=25,"23-25",IF(Table1[[#This Row],[Age]]&lt;=28,"26-28","29-30")))</f>
        <v>29-30</v>
      </c>
      <c r="F986" s="12">
        <v>4.25</v>
      </c>
      <c r="G986" s="12">
        <v>3.6</v>
      </c>
      <c r="H986" s="12">
        <v>4.4000000000000004</v>
      </c>
      <c r="I986" s="12">
        <v>4.47</v>
      </c>
      <c r="J986" s="12">
        <v>4.3899999999999997</v>
      </c>
      <c r="K986" s="12">
        <v>3.69</v>
      </c>
      <c r="L986" s="12">
        <v>3.99</v>
      </c>
      <c r="M986" s="12">
        <v>3.25</v>
      </c>
      <c r="N986" s="12">
        <v>3.7</v>
      </c>
      <c r="O986" s="12">
        <v>4.47</v>
      </c>
      <c r="P986" s="12">
        <f t="shared" si="91"/>
        <v>4.2219999999999995</v>
      </c>
      <c r="Q986" s="12">
        <f t="shared" si="92"/>
        <v>4.22</v>
      </c>
      <c r="R986" s="12">
        <f t="shared" si="93"/>
        <v>3.8199999999999994</v>
      </c>
      <c r="S986" s="28">
        <f>IFERROR(INDEX('Clean Gamification Data'!$B:$B,MATCH($B986,'Clean Gamification Data'!$A:$A,0)),"Not Found")</f>
        <v>87.229316220000001</v>
      </c>
      <c r="T986" s="28">
        <f>IFERROR(INDEX('Clean Gamification Data'!$C:$C,MATCH($B986,'Clean Gamification Data'!$A:$A,0)),"Not Found")</f>
        <v>68.226355870000006</v>
      </c>
      <c r="U986" s="28">
        <f>IFERROR(INDEX('Clean Gamification Data'!$D:$D,MATCH($B986,'Clean Gamification Data'!$A:$A,0)),"Not Found")</f>
        <v>83.556557589999997</v>
      </c>
      <c r="V986" s="28">
        <f>IFERROR(INDEX('Clean Gamification Data'!$E:$E,MATCH($B986,'Clean Gamification Data'!$A:$A,0)),"Not Found")</f>
        <v>74.032717390000002</v>
      </c>
      <c r="W986" s="28">
        <f>IFERROR(INDEX('Clean Gamification Data'!$F:$F,MATCH($B986,'Clean Gamification Data'!$A:$A,0)),"Not Found")</f>
        <v>93.007299500000002</v>
      </c>
      <c r="X986" s="28">
        <f>IFERROR(INDEX('Clean Gamification Data'!$G:$G,MATCH($B986,'Clean Gamification Data'!$A:$A,0)),"Not Found")</f>
        <v>80.744909519999993</v>
      </c>
      <c r="Y986" s="28">
        <f>IFERROR(INDEX('Clean Gamification Data'!$H:$H,MATCH($B986,'Clean Gamification Data'!$A:$A,0)),"Not Found")</f>
        <v>65</v>
      </c>
      <c r="Z986" s="28">
        <f>IFERROR(INDEX('Clean Gamification Data'!$I:$I,MATCH($B986,'Clean Gamification Data'!$A:$A,0)),"Not Found")</f>
        <v>52.829050080000002</v>
      </c>
      <c r="AA986" s="28">
        <f>Table1[[#This Row],[Engagement (Gamification %)]]-Table1[[#This Row],[Engagement (Non-Gamification %)]]</f>
        <v>19.002960349999995</v>
      </c>
      <c r="AB986" s="28">
        <f>Table1[[#This Row],[Motivation (Gamification %)]]-Table1[[#This Row],[Motivation (Non-Gamification %)]]</f>
        <v>9.5238401999999951</v>
      </c>
      <c r="AC986" s="28">
        <f>Table1[[#This Row],[Participation (Gamification %)]]-Table1[[#This Row],[Participation (Non-Gamification %)]]</f>
        <v>12.262389980000009</v>
      </c>
      <c r="AD986" s="28">
        <f>Table1[[#This Row],[Learning Outcomes (Gamification %)]]-Table1[[#This Row],[Learning Outcomes (Non-Gamification %)]]</f>
        <v>12.170949919999998</v>
      </c>
      <c r="AE986" s="44" t="str">
        <f>IF(Table1[[#This Row],[Overall Effectiveness]]&lt;3.9,"Low",IF(Table1[[#This Row],[Overall Effectiveness]]&lt;4.2,"Medium","High"))</f>
        <v>High</v>
      </c>
      <c r="AF986" s="30" t="str">
        <f t="shared" si="94"/>
        <v>Experiments</v>
      </c>
      <c r="AG986" s="30" t="str">
        <f t="shared" si="95"/>
        <v>Online Tutorials</v>
      </c>
      <c r="AH986" s="27">
        <f>COUNTIF(Teacher_Master!$D$2:$D$16,AF986)</f>
        <v>3</v>
      </c>
      <c r="AI986" s="30" t="str">
        <f>INDEX(Teacher_Master!$B$2:$B$16,MATCH(AF986,Teacher_Master!$D$2:$D$16,0))</f>
        <v>Prof. Rahul Singh</v>
      </c>
    </row>
    <row r="987" spans="1:35" ht="14.25" customHeight="1" x14ac:dyDescent="0.3">
      <c r="A987" s="31" t="s">
        <v>2013</v>
      </c>
      <c r="B987" s="31" t="s">
        <v>2014</v>
      </c>
      <c r="C987" s="31" t="s">
        <v>2882</v>
      </c>
      <c r="D987" s="12">
        <f t="shared" ca="1" si="90"/>
        <v>23</v>
      </c>
      <c r="E987" s="12" t="str">
        <f ca="1">IF(Table1[[#This Row],[Age]]&lt;=22,"20-22",IF(Table1[[#This Row],[Age]]&lt;=25,"23-25",IF(Table1[[#This Row],[Age]]&lt;=28,"26-28","29-30")))</f>
        <v>23-25</v>
      </c>
      <c r="F987" s="12">
        <v>3.95</v>
      </c>
      <c r="G987" s="12" t="s">
        <v>211</v>
      </c>
      <c r="H987" s="12">
        <v>3.91</v>
      </c>
      <c r="I987" s="12">
        <v>4.21</v>
      </c>
      <c r="J987" s="12">
        <v>4.29</v>
      </c>
      <c r="K987" s="12">
        <v>4.01</v>
      </c>
      <c r="L987" s="12">
        <v>3.46</v>
      </c>
      <c r="M987" s="12">
        <v>3.6</v>
      </c>
      <c r="N987" s="12">
        <v>4.34</v>
      </c>
      <c r="O987" s="12">
        <v>4.4000000000000004</v>
      </c>
      <c r="P987" s="12">
        <f t="shared" si="91"/>
        <v>4.09</v>
      </c>
      <c r="Q987" s="12">
        <f t="shared" si="92"/>
        <v>4.09</v>
      </c>
      <c r="R987" s="12">
        <f t="shared" si="93"/>
        <v>3.9620000000000006</v>
      </c>
      <c r="S987" s="28">
        <f>IFERROR(INDEX('Clean Gamification Data'!$B:$B,MATCH($B987,'Clean Gamification Data'!$A:$A,0)),"Not Found")</f>
        <v>84.842227100000002</v>
      </c>
      <c r="T987" s="28">
        <f>IFERROR(INDEX('Clean Gamification Data'!$C:$C,MATCH($B987,'Clean Gamification Data'!$A:$A,0)),"Not Found")</f>
        <v>64.816388279999998</v>
      </c>
      <c r="U987" s="28">
        <f>IFERROR(INDEX('Clean Gamification Data'!$D:$D,MATCH($B987,'Clean Gamification Data'!$A:$A,0)),"Not Found")</f>
        <v>70</v>
      </c>
      <c r="V987" s="28">
        <f>IFERROR(INDEX('Clean Gamification Data'!$E:$E,MATCH($B987,'Clean Gamification Data'!$A:$A,0)),"Not Found")</f>
        <v>63.159785999999997</v>
      </c>
      <c r="W987" s="28">
        <f>IFERROR(INDEX('Clean Gamification Data'!$F:$F,MATCH($B987,'Clean Gamification Data'!$A:$A,0)),"Not Found")</f>
        <v>94.7021345</v>
      </c>
      <c r="X987" s="28">
        <f>IFERROR(INDEX('Clean Gamification Data'!$G:$G,MATCH($B987,'Clean Gamification Data'!$A:$A,0)),"Not Found")</f>
        <v>70.488226830000002</v>
      </c>
      <c r="Y987" s="28">
        <f>IFERROR(INDEX('Clean Gamification Data'!$H:$H,MATCH($B987,'Clean Gamification Data'!$A:$A,0)),"Not Found")</f>
        <v>70.430389430000005</v>
      </c>
      <c r="Z987" s="28">
        <f>IFERROR(INDEX('Clean Gamification Data'!$I:$I,MATCH($B987,'Clean Gamification Data'!$A:$A,0)),"Not Found")</f>
        <v>60.660075159999998</v>
      </c>
      <c r="AA987" s="28">
        <f>Table1[[#This Row],[Engagement (Gamification %)]]-Table1[[#This Row],[Engagement (Non-Gamification %)]]</f>
        <v>20.025838820000004</v>
      </c>
      <c r="AB987" s="28">
        <f>Table1[[#This Row],[Motivation (Gamification %)]]-Table1[[#This Row],[Motivation (Non-Gamification %)]]</f>
        <v>6.8402140000000031</v>
      </c>
      <c r="AC987" s="28">
        <f>Table1[[#This Row],[Participation (Gamification %)]]-Table1[[#This Row],[Participation (Non-Gamification %)]]</f>
        <v>24.213907669999998</v>
      </c>
      <c r="AD987" s="28">
        <f>Table1[[#This Row],[Learning Outcomes (Gamification %)]]-Table1[[#This Row],[Learning Outcomes (Non-Gamification %)]]</f>
        <v>9.7703142700000072</v>
      </c>
      <c r="AE987" s="44" t="str">
        <f>IF(Table1[[#This Row],[Overall Effectiveness]]&lt;3.9,"Low",IF(Table1[[#This Row],[Overall Effectiveness]]&lt;4.2,"Medium","High"))</f>
        <v>Medium</v>
      </c>
      <c r="AF987" s="30" t="str">
        <f t="shared" si="94"/>
        <v>Online Tutorials</v>
      </c>
      <c r="AG987" s="30" t="str">
        <f t="shared" si="95"/>
        <v>Online Tutorials</v>
      </c>
      <c r="AH987" s="27">
        <f>COUNTIF(Teacher_Master!$D$2:$D$16,AF987)</f>
        <v>3</v>
      </c>
      <c r="AI987" s="30" t="str">
        <f>INDEX(Teacher_Master!$B$2:$B$16,MATCH(AF987,Teacher_Master!$D$2:$D$16,0))</f>
        <v>Prof. Kavita Rao</v>
      </c>
    </row>
    <row r="988" spans="1:35" ht="14.25" customHeight="1" x14ac:dyDescent="0.3">
      <c r="A988" s="31" t="s">
        <v>2015</v>
      </c>
      <c r="B988" s="31" t="s">
        <v>2792</v>
      </c>
      <c r="C988" s="31" t="s">
        <v>2881</v>
      </c>
      <c r="D988" s="12">
        <f t="shared" ca="1" si="90"/>
        <v>24</v>
      </c>
      <c r="E988" s="12" t="str">
        <f ca="1">IF(Table1[[#This Row],[Age]]&lt;=22,"20-22",IF(Table1[[#This Row],[Age]]&lt;=25,"23-25",IF(Table1[[#This Row],[Age]]&lt;=28,"26-28","29-30")))</f>
        <v>23-25</v>
      </c>
      <c r="F988" s="12">
        <v>4.25</v>
      </c>
      <c r="G988" s="12">
        <v>3.51</v>
      </c>
      <c r="H988" s="12">
        <v>4.1100000000000003</v>
      </c>
      <c r="I988" s="12">
        <v>3.95</v>
      </c>
      <c r="J988" s="12">
        <v>4.3600000000000003</v>
      </c>
      <c r="K988" s="12">
        <v>4.03</v>
      </c>
      <c r="L988" s="12">
        <v>3.08</v>
      </c>
      <c r="M988" s="12">
        <v>3.63</v>
      </c>
      <c r="N988" s="12">
        <v>4.68</v>
      </c>
      <c r="O988" s="12">
        <v>3.89</v>
      </c>
      <c r="P988" s="12">
        <f t="shared" si="91"/>
        <v>4.0359999999999996</v>
      </c>
      <c r="Q988" s="12">
        <f t="shared" si="92"/>
        <v>4.04</v>
      </c>
      <c r="R988" s="12">
        <f t="shared" si="93"/>
        <v>3.8619999999999997</v>
      </c>
      <c r="S988" s="28">
        <f>IFERROR(INDEX('Clean Gamification Data'!$B:$B,MATCH($B988,'Clean Gamification Data'!$A:$A,0)),"Not Found")</f>
        <v>81.473561489999994</v>
      </c>
      <c r="T988" s="28">
        <f>IFERROR(INDEX('Clean Gamification Data'!$C:$C,MATCH($B988,'Clean Gamification Data'!$A:$A,0)),"Not Found")</f>
        <v>63.829968409999999</v>
      </c>
      <c r="U988" s="28">
        <f>IFERROR(INDEX('Clean Gamification Data'!$D:$D,MATCH($B988,'Clean Gamification Data'!$A:$A,0)),"Not Found")</f>
        <v>79.116284980000003</v>
      </c>
      <c r="V988" s="28">
        <f>IFERROR(INDEX('Clean Gamification Data'!$E:$E,MATCH($B988,'Clean Gamification Data'!$A:$A,0)),"Not Found")</f>
        <v>55</v>
      </c>
      <c r="W988" s="28">
        <f>IFERROR(INDEX('Clean Gamification Data'!$F:$F,MATCH($B988,'Clean Gamification Data'!$A:$A,0)),"Not Found")</f>
        <v>92.425798139999998</v>
      </c>
      <c r="X988" s="28">
        <f>IFERROR(INDEX('Clean Gamification Data'!$G:$G,MATCH($B988,'Clean Gamification Data'!$A:$A,0)),"Not Found")</f>
        <v>73.783531019999998</v>
      </c>
      <c r="Y988" s="28">
        <f>IFERROR(INDEX('Clean Gamification Data'!$H:$H,MATCH($B988,'Clean Gamification Data'!$A:$A,0)),"Not Found")</f>
        <v>71.689032019999999</v>
      </c>
      <c r="Z988" s="28">
        <f>IFERROR(INDEX('Clean Gamification Data'!$I:$I,MATCH($B988,'Clean Gamification Data'!$A:$A,0)),"Not Found")</f>
        <v>61.19196436</v>
      </c>
      <c r="AA988" s="28">
        <f>Table1[[#This Row],[Engagement (Gamification %)]]-Table1[[#This Row],[Engagement (Non-Gamification %)]]</f>
        <v>17.643593079999995</v>
      </c>
      <c r="AB988" s="28">
        <f>Table1[[#This Row],[Motivation (Gamification %)]]-Table1[[#This Row],[Motivation (Non-Gamification %)]]</f>
        <v>24.116284980000003</v>
      </c>
      <c r="AC988" s="28">
        <f>Table1[[#This Row],[Participation (Gamification %)]]-Table1[[#This Row],[Participation (Non-Gamification %)]]</f>
        <v>18.64226712</v>
      </c>
      <c r="AD988" s="28">
        <f>Table1[[#This Row],[Learning Outcomes (Gamification %)]]-Table1[[#This Row],[Learning Outcomes (Non-Gamification %)]]</f>
        <v>10.497067659999999</v>
      </c>
      <c r="AE988" s="44" t="str">
        <f>IF(Table1[[#This Row],[Overall Effectiveness]]&lt;3.9,"Low",IF(Table1[[#This Row],[Overall Effectiveness]]&lt;4.2,"Medium","High"))</f>
        <v>Medium</v>
      </c>
      <c r="AF988" s="30" t="str">
        <f t="shared" si="94"/>
        <v>Online Tutorials</v>
      </c>
      <c r="AG988" s="30" t="str">
        <f t="shared" si="95"/>
        <v>Experiments</v>
      </c>
      <c r="AH988" s="27">
        <f>COUNTIF(Teacher_Master!$D$2:$D$16,AF988)</f>
        <v>3</v>
      </c>
      <c r="AI988" s="30" t="str">
        <f>INDEX(Teacher_Master!$B$2:$B$16,MATCH(AF988,Teacher_Master!$D$2:$D$16,0))</f>
        <v>Prof. Kavita Rao</v>
      </c>
    </row>
    <row r="989" spans="1:35" ht="14.25" customHeight="1" x14ac:dyDescent="0.3">
      <c r="A989" s="31" t="s">
        <v>2017</v>
      </c>
      <c r="B989" s="31" t="s">
        <v>2793</v>
      </c>
      <c r="C989" s="31" t="s">
        <v>2881</v>
      </c>
      <c r="D989" s="12">
        <f t="shared" ca="1" si="90"/>
        <v>27</v>
      </c>
      <c r="E989" s="12" t="str">
        <f ca="1">IF(Table1[[#This Row],[Age]]&lt;=22,"20-22",IF(Table1[[#This Row],[Age]]&lt;=25,"23-25",IF(Table1[[#This Row],[Age]]&lt;=28,"26-28","29-30")))</f>
        <v>26-28</v>
      </c>
      <c r="F989" s="12">
        <v>3.63</v>
      </c>
      <c r="G989" s="12">
        <v>4.07</v>
      </c>
      <c r="H989" s="12">
        <v>3.7</v>
      </c>
      <c r="I989" s="12">
        <v>3.66</v>
      </c>
      <c r="J989" s="12">
        <v>3.26</v>
      </c>
      <c r="K989" s="12">
        <v>3.7</v>
      </c>
      <c r="L989" s="12">
        <v>4.13</v>
      </c>
      <c r="M989" s="12">
        <v>3.66</v>
      </c>
      <c r="N989" s="12">
        <v>4.24</v>
      </c>
      <c r="O989" s="12">
        <v>3.46</v>
      </c>
      <c r="P989" s="12">
        <f t="shared" si="91"/>
        <v>3.6640000000000001</v>
      </c>
      <c r="Q989" s="12">
        <f t="shared" si="92"/>
        <v>3.66</v>
      </c>
      <c r="R989" s="12">
        <f t="shared" si="93"/>
        <v>3.8380000000000001</v>
      </c>
      <c r="S989" s="28">
        <f>IFERROR(INDEX('Clean Gamification Data'!$B:$B,MATCH($B989,'Clean Gamification Data'!$A:$A,0)),"Not Found")</f>
        <v>79.885347719999999</v>
      </c>
      <c r="T989" s="28">
        <f>IFERROR(INDEX('Clean Gamification Data'!$C:$C,MATCH($B989,'Clean Gamification Data'!$A:$A,0)),"Not Found")</f>
        <v>68.103036840000001</v>
      </c>
      <c r="U989" s="28">
        <f>IFERROR(INDEX('Clean Gamification Data'!$D:$D,MATCH($B989,'Clean Gamification Data'!$A:$A,0)),"Not Found")</f>
        <v>70.055302380000001</v>
      </c>
      <c r="V989" s="28">
        <f>IFERROR(INDEX('Clean Gamification Data'!$E:$E,MATCH($B989,'Clean Gamification Data'!$A:$A,0)),"Not Found")</f>
        <v>64.686363279999995</v>
      </c>
      <c r="W989" s="28">
        <f>IFERROR(INDEX('Clean Gamification Data'!$F:$F,MATCH($B989,'Clean Gamification Data'!$A:$A,0)),"Not Found")</f>
        <v>94.989947389999998</v>
      </c>
      <c r="X989" s="28">
        <f>IFERROR(INDEX('Clean Gamification Data'!$G:$G,MATCH($B989,'Clean Gamification Data'!$A:$A,0)),"Not Found")</f>
        <v>78.908806159999997</v>
      </c>
      <c r="Y989" s="28">
        <f>IFERROR(INDEX('Clean Gamification Data'!$H:$H,MATCH($B989,'Clean Gamification Data'!$A:$A,0)),"Not Found")</f>
        <v>74.066234780000002</v>
      </c>
      <c r="Z989" s="28">
        <f>IFERROR(INDEX('Clean Gamification Data'!$I:$I,MATCH($B989,'Clean Gamification Data'!$A:$A,0)),"Not Found")</f>
        <v>59.11126359</v>
      </c>
      <c r="AA989" s="28">
        <f>Table1[[#This Row],[Engagement (Gamification %)]]-Table1[[#This Row],[Engagement (Non-Gamification %)]]</f>
        <v>11.782310879999997</v>
      </c>
      <c r="AB989" s="28">
        <f>Table1[[#This Row],[Motivation (Gamification %)]]-Table1[[#This Row],[Motivation (Non-Gamification %)]]</f>
        <v>5.3689391000000057</v>
      </c>
      <c r="AC989" s="28">
        <f>Table1[[#This Row],[Participation (Gamification %)]]-Table1[[#This Row],[Participation (Non-Gamification %)]]</f>
        <v>16.08114123</v>
      </c>
      <c r="AD989" s="28">
        <f>Table1[[#This Row],[Learning Outcomes (Gamification %)]]-Table1[[#This Row],[Learning Outcomes (Non-Gamification %)]]</f>
        <v>14.954971190000002</v>
      </c>
      <c r="AE989" s="44" t="str">
        <f>IF(Table1[[#This Row],[Overall Effectiveness]]&lt;3.9,"Low",IF(Table1[[#This Row],[Overall Effectiveness]]&lt;4.2,"Medium","High"))</f>
        <v>Low</v>
      </c>
      <c r="AF989" s="30" t="str">
        <f t="shared" si="94"/>
        <v>Case Studies</v>
      </c>
      <c r="AG989" s="30" t="str">
        <f t="shared" si="95"/>
        <v>Experiments</v>
      </c>
      <c r="AH989" s="27">
        <f>COUNTIF(Teacher_Master!$D$2:$D$16,AF989)</f>
        <v>3</v>
      </c>
      <c r="AI989" s="30" t="str">
        <f>INDEX(Teacher_Master!$B$2:$B$16,MATCH(AF989,Teacher_Master!$D$2:$D$16,0))</f>
        <v>Prof. Rajesh Mukherjee</v>
      </c>
    </row>
    <row r="990" spans="1:35" ht="14.25" customHeight="1" x14ac:dyDescent="0.3">
      <c r="A990" s="31" t="s">
        <v>2019</v>
      </c>
      <c r="B990" s="31" t="s">
        <v>2794</v>
      </c>
      <c r="C990" s="31" t="s">
        <v>2881</v>
      </c>
      <c r="D990" s="12">
        <f t="shared" ca="1" si="90"/>
        <v>26</v>
      </c>
      <c r="E990" s="12" t="str">
        <f ca="1">IF(Table1[[#This Row],[Age]]&lt;=22,"20-22",IF(Table1[[#This Row],[Age]]&lt;=25,"23-25",IF(Table1[[#This Row],[Age]]&lt;=28,"26-28","29-30")))</f>
        <v>26-28</v>
      </c>
      <c r="F990" s="12">
        <v>3.27</v>
      </c>
      <c r="G990" s="12">
        <v>3.41</v>
      </c>
      <c r="H990" s="12">
        <v>4.0599999999999996</v>
      </c>
      <c r="I990" s="12">
        <v>3.5</v>
      </c>
      <c r="J990" s="12">
        <v>3.82</v>
      </c>
      <c r="K990" s="12">
        <v>4.16</v>
      </c>
      <c r="L990" s="12">
        <v>3.42</v>
      </c>
      <c r="M990" s="12">
        <v>4.25</v>
      </c>
      <c r="N990" s="12">
        <v>4.0199999999999996</v>
      </c>
      <c r="O990" s="12">
        <v>3.59</v>
      </c>
      <c r="P990" s="12">
        <f t="shared" si="91"/>
        <v>3.6119999999999997</v>
      </c>
      <c r="Q990" s="12">
        <f t="shared" si="92"/>
        <v>3.61</v>
      </c>
      <c r="R990" s="12">
        <f t="shared" si="93"/>
        <v>3.8879999999999995</v>
      </c>
      <c r="S990" s="28">
        <f>IFERROR(INDEX('Clean Gamification Data'!$B:$B,MATCH($B990,'Clean Gamification Data'!$A:$A,0)),"Not Found")</f>
        <v>95.225537509999995</v>
      </c>
      <c r="T990" s="28">
        <f>IFERROR(INDEX('Clean Gamification Data'!$C:$C,MATCH($B990,'Clean Gamification Data'!$A:$A,0)),"Not Found")</f>
        <v>60</v>
      </c>
      <c r="U990" s="28">
        <f>IFERROR(INDEX('Clean Gamification Data'!$D:$D,MATCH($B990,'Clean Gamification Data'!$A:$A,0)),"Not Found")</f>
        <v>70</v>
      </c>
      <c r="V990" s="28">
        <f>IFERROR(INDEX('Clean Gamification Data'!$E:$E,MATCH($B990,'Clean Gamification Data'!$A:$A,0)),"Not Found")</f>
        <v>62.922517419999998</v>
      </c>
      <c r="W990" s="28">
        <f>IFERROR(INDEX('Clean Gamification Data'!$F:$F,MATCH($B990,'Clean Gamification Data'!$A:$A,0)),"Not Found")</f>
        <v>90.560321049999999</v>
      </c>
      <c r="X990" s="28">
        <f>IFERROR(INDEX('Clean Gamification Data'!$G:$G,MATCH($B990,'Clean Gamification Data'!$A:$A,0)),"Not Found")</f>
        <v>81.473536530000004</v>
      </c>
      <c r="Y990" s="28">
        <f>IFERROR(INDEX('Clean Gamification Data'!$H:$H,MATCH($B990,'Clean Gamification Data'!$A:$A,0)),"Not Found")</f>
        <v>77.334639370000005</v>
      </c>
      <c r="Z990" s="28">
        <f>IFERROR(INDEX('Clean Gamification Data'!$I:$I,MATCH($B990,'Clean Gamification Data'!$A:$A,0)),"Not Found")</f>
        <v>50</v>
      </c>
      <c r="AA990" s="28">
        <f>Table1[[#This Row],[Engagement (Gamification %)]]-Table1[[#This Row],[Engagement (Non-Gamification %)]]</f>
        <v>35.225537509999995</v>
      </c>
      <c r="AB990" s="28">
        <f>Table1[[#This Row],[Motivation (Gamification %)]]-Table1[[#This Row],[Motivation (Non-Gamification %)]]</f>
        <v>7.0774825800000016</v>
      </c>
      <c r="AC990" s="28">
        <f>Table1[[#This Row],[Participation (Gamification %)]]-Table1[[#This Row],[Participation (Non-Gamification %)]]</f>
        <v>9.0867845199999948</v>
      </c>
      <c r="AD990" s="28">
        <f>Table1[[#This Row],[Learning Outcomes (Gamification %)]]-Table1[[#This Row],[Learning Outcomes (Non-Gamification %)]]</f>
        <v>27.334639370000005</v>
      </c>
      <c r="AE990" s="44" t="str">
        <f>IF(Table1[[#This Row],[Overall Effectiveness]]&lt;3.9,"Low",IF(Table1[[#This Row],[Overall Effectiveness]]&lt;4.2,"Medium","High"))</f>
        <v>Low</v>
      </c>
      <c r="AF990" s="30" t="str">
        <f t="shared" si="94"/>
        <v>Group Projects</v>
      </c>
      <c r="AG990" s="30" t="str">
        <f t="shared" si="95"/>
        <v>Group Projects</v>
      </c>
      <c r="AH990" s="27">
        <f>COUNTIF(Teacher_Master!$D$2:$D$16,AF990)</f>
        <v>3</v>
      </c>
      <c r="AI990" s="30" t="str">
        <f>INDEX(Teacher_Master!$B$2:$B$16,MATCH(AF990,Teacher_Master!$D$2:$D$16,0))</f>
        <v>Dr. Rohan Dutta</v>
      </c>
    </row>
    <row r="991" spans="1:35" ht="14.25" customHeight="1" x14ac:dyDescent="0.3">
      <c r="A991" s="31" t="s">
        <v>2021</v>
      </c>
      <c r="B991" s="31" t="s">
        <v>2795</v>
      </c>
      <c r="C991" s="31" t="s">
        <v>2882</v>
      </c>
      <c r="D991" s="12">
        <f t="shared" ca="1" si="90"/>
        <v>27</v>
      </c>
      <c r="E991" s="12" t="str">
        <f ca="1">IF(Table1[[#This Row],[Age]]&lt;=22,"20-22",IF(Table1[[#This Row],[Age]]&lt;=25,"23-25",IF(Table1[[#This Row],[Age]]&lt;=28,"26-28","29-30")))</f>
        <v>26-28</v>
      </c>
      <c r="F991" s="12">
        <v>3.88</v>
      </c>
      <c r="G991" s="12">
        <v>3.82</v>
      </c>
      <c r="H991" s="12">
        <v>3.57</v>
      </c>
      <c r="I991" s="12">
        <v>3.96</v>
      </c>
      <c r="J991" s="12">
        <v>4.2</v>
      </c>
      <c r="K991" s="12">
        <v>3.74</v>
      </c>
      <c r="L991" s="12">
        <v>4.46</v>
      </c>
      <c r="M991" s="12">
        <v>4.1100000000000003</v>
      </c>
      <c r="N991" s="12">
        <v>4.6500000000000004</v>
      </c>
      <c r="O991" s="12">
        <v>4.07</v>
      </c>
      <c r="P991" s="12">
        <f t="shared" si="91"/>
        <v>3.8860000000000001</v>
      </c>
      <c r="Q991" s="12">
        <f t="shared" si="92"/>
        <v>3.89</v>
      </c>
      <c r="R991" s="12">
        <f t="shared" si="93"/>
        <v>4.2060000000000004</v>
      </c>
      <c r="S991" s="28">
        <f>IFERROR(INDEX('Clean Gamification Data'!$B:$B,MATCH($B991,'Clean Gamification Data'!$A:$A,0)),"Not Found")</f>
        <v>85.55007938</v>
      </c>
      <c r="T991" s="28">
        <f>IFERROR(INDEX('Clean Gamification Data'!$C:$C,MATCH($B991,'Clean Gamification Data'!$A:$A,0)),"Not Found")</f>
        <v>64.464542570000006</v>
      </c>
      <c r="U991" s="28">
        <f>IFERROR(INDEX('Clean Gamification Data'!$D:$D,MATCH($B991,'Clean Gamification Data'!$A:$A,0)),"Not Found")</f>
        <v>83.362111100000007</v>
      </c>
      <c r="V991" s="28">
        <f>IFERROR(INDEX('Clean Gamification Data'!$E:$E,MATCH($B991,'Clean Gamification Data'!$A:$A,0)),"Not Found")</f>
        <v>68.415279279999993</v>
      </c>
      <c r="W991" s="28">
        <f>IFERROR(INDEX('Clean Gamification Data'!$F:$F,MATCH($B991,'Clean Gamification Data'!$A:$A,0)),"Not Found")</f>
        <v>93.820875430000001</v>
      </c>
      <c r="X991" s="28">
        <f>IFERROR(INDEX('Clean Gamification Data'!$G:$G,MATCH($B991,'Clean Gamification Data'!$A:$A,0)),"Not Found")</f>
        <v>72.989507090000004</v>
      </c>
      <c r="Y991" s="28">
        <f>IFERROR(INDEX('Clean Gamification Data'!$H:$H,MATCH($B991,'Clean Gamification Data'!$A:$A,0)),"Not Found")</f>
        <v>71.347955780000007</v>
      </c>
      <c r="Z991" s="28">
        <f>IFERROR(INDEX('Clean Gamification Data'!$I:$I,MATCH($B991,'Clean Gamification Data'!$A:$A,0)),"Not Found")</f>
        <v>60.418441479999998</v>
      </c>
      <c r="AA991" s="28">
        <f>Table1[[#This Row],[Engagement (Gamification %)]]-Table1[[#This Row],[Engagement (Non-Gamification %)]]</f>
        <v>21.085536809999994</v>
      </c>
      <c r="AB991" s="28">
        <f>Table1[[#This Row],[Motivation (Gamification %)]]-Table1[[#This Row],[Motivation (Non-Gamification %)]]</f>
        <v>14.946831820000014</v>
      </c>
      <c r="AC991" s="28">
        <f>Table1[[#This Row],[Participation (Gamification %)]]-Table1[[#This Row],[Participation (Non-Gamification %)]]</f>
        <v>20.831368339999997</v>
      </c>
      <c r="AD991" s="28">
        <f>Table1[[#This Row],[Learning Outcomes (Gamification %)]]-Table1[[#This Row],[Learning Outcomes (Non-Gamification %)]]</f>
        <v>10.929514300000008</v>
      </c>
      <c r="AE991" s="44" t="str">
        <f>IF(Table1[[#This Row],[Overall Effectiveness]]&lt;3.9,"Low",IF(Table1[[#This Row],[Overall Effectiveness]]&lt;4.2,"Medium","High"))</f>
        <v>Low</v>
      </c>
      <c r="AF991" s="30" t="str">
        <f t="shared" si="94"/>
        <v>Online Tutorials</v>
      </c>
      <c r="AG991" s="30" t="str">
        <f t="shared" si="95"/>
        <v>Experiments</v>
      </c>
      <c r="AH991" s="27">
        <f>COUNTIF(Teacher_Master!$D$2:$D$16,AF991)</f>
        <v>3</v>
      </c>
      <c r="AI991" s="30" t="str">
        <f>INDEX(Teacher_Master!$B$2:$B$16,MATCH(AF991,Teacher_Master!$D$2:$D$16,0))</f>
        <v>Prof. Kavita Rao</v>
      </c>
    </row>
    <row r="992" spans="1:35" ht="14.25" customHeight="1" x14ac:dyDescent="0.3">
      <c r="A992" s="31" t="s">
        <v>2023</v>
      </c>
      <c r="B992" s="31" t="s">
        <v>2796</v>
      </c>
      <c r="C992" s="31" t="s">
        <v>2882</v>
      </c>
      <c r="D992" s="12">
        <f t="shared" ca="1" si="90"/>
        <v>24</v>
      </c>
      <c r="E992" s="12" t="str">
        <f ca="1">IF(Table1[[#This Row],[Age]]&lt;=22,"20-22",IF(Table1[[#This Row],[Age]]&lt;=25,"23-25",IF(Table1[[#This Row],[Age]]&lt;=28,"26-28","29-30")))</f>
        <v>23-25</v>
      </c>
      <c r="F992" s="12">
        <v>4.0999999999999996</v>
      </c>
      <c r="G992" s="12">
        <v>4.38</v>
      </c>
      <c r="H992" s="12">
        <v>4.04</v>
      </c>
      <c r="I992" s="12">
        <v>4.28</v>
      </c>
      <c r="J992" s="12">
        <v>3.92</v>
      </c>
      <c r="K992" s="12">
        <v>3.8</v>
      </c>
      <c r="L992" s="12">
        <v>3.59</v>
      </c>
      <c r="M992" s="12" t="s">
        <v>211</v>
      </c>
      <c r="N992" s="12">
        <v>4.0999999999999996</v>
      </c>
      <c r="O992" s="12">
        <v>3.63</v>
      </c>
      <c r="P992" s="12">
        <f t="shared" si="91"/>
        <v>4.1440000000000001</v>
      </c>
      <c r="Q992" s="12">
        <f t="shared" si="92"/>
        <v>4.1399999999999997</v>
      </c>
      <c r="R992" s="12">
        <f t="shared" si="93"/>
        <v>3.7799999999999994</v>
      </c>
      <c r="S992" s="28">
        <f>IFERROR(INDEX('Clean Gamification Data'!$B:$B,MATCH($B992,'Clean Gamification Data'!$A:$A,0)),"Not Found")</f>
        <v>77.180176059999994</v>
      </c>
      <c r="T992" s="28">
        <f>IFERROR(INDEX('Clean Gamification Data'!$C:$C,MATCH($B992,'Clean Gamification Data'!$A:$A,0)),"Not Found")</f>
        <v>67.563918560000005</v>
      </c>
      <c r="U992" s="28">
        <f>IFERROR(INDEX('Clean Gamification Data'!$D:$D,MATCH($B992,'Clean Gamification Data'!$A:$A,0)),"Not Found")</f>
        <v>75.051358649999997</v>
      </c>
      <c r="V992" s="28">
        <f>IFERROR(INDEX('Clean Gamification Data'!$E:$E,MATCH($B992,'Clean Gamification Data'!$A:$A,0)),"Not Found")</f>
        <v>64.925183140000001</v>
      </c>
      <c r="W992" s="28">
        <f>IFERROR(INDEX('Clean Gamification Data'!$F:$F,MATCH($B992,'Clean Gamification Data'!$A:$A,0)),"Not Found")</f>
        <v>99.9</v>
      </c>
      <c r="X992" s="28">
        <f>IFERROR(INDEX('Clean Gamification Data'!$G:$G,MATCH($B992,'Clean Gamification Data'!$A:$A,0)),"Not Found")</f>
        <v>71.559298720000001</v>
      </c>
      <c r="Y992" s="28">
        <f>IFERROR(INDEX('Clean Gamification Data'!$H:$H,MATCH($B992,'Clean Gamification Data'!$A:$A,0)),"Not Found")</f>
        <v>71.42286077</v>
      </c>
      <c r="Z992" s="28">
        <f>IFERROR(INDEX('Clean Gamification Data'!$I:$I,MATCH($B992,'Clean Gamification Data'!$A:$A,0)),"Not Found")</f>
        <v>58.24846024</v>
      </c>
      <c r="AA992" s="28">
        <f>Table1[[#This Row],[Engagement (Gamification %)]]-Table1[[#This Row],[Engagement (Non-Gamification %)]]</f>
        <v>9.616257499999989</v>
      </c>
      <c r="AB992" s="28">
        <f>Table1[[#This Row],[Motivation (Gamification %)]]-Table1[[#This Row],[Motivation (Non-Gamification %)]]</f>
        <v>10.126175509999996</v>
      </c>
      <c r="AC992" s="28">
        <f>Table1[[#This Row],[Participation (Gamification %)]]-Table1[[#This Row],[Participation (Non-Gamification %)]]</f>
        <v>28.340701280000005</v>
      </c>
      <c r="AD992" s="28">
        <f>Table1[[#This Row],[Learning Outcomes (Gamification %)]]-Table1[[#This Row],[Learning Outcomes (Non-Gamification %)]]</f>
        <v>13.17440053</v>
      </c>
      <c r="AE992" s="44" t="str">
        <f>IF(Table1[[#This Row],[Overall Effectiveness]]&lt;3.9,"Low",IF(Table1[[#This Row],[Overall Effectiveness]]&lt;4.2,"Medium","High"))</f>
        <v>Medium</v>
      </c>
      <c r="AF992" s="30" t="str">
        <f t="shared" si="94"/>
        <v>Case Studies</v>
      </c>
      <c r="AG992" s="30" t="str">
        <f t="shared" si="95"/>
        <v>Experiments</v>
      </c>
      <c r="AH992" s="27">
        <f>COUNTIF(Teacher_Master!$D$2:$D$16,AF992)</f>
        <v>3</v>
      </c>
      <c r="AI992" s="30" t="str">
        <f>INDEX(Teacher_Master!$B$2:$B$16,MATCH(AF992,Teacher_Master!$D$2:$D$16,0))</f>
        <v>Prof. Rajesh Mukherjee</v>
      </c>
    </row>
    <row r="993" spans="1:35" ht="14.25" customHeight="1" x14ac:dyDescent="0.3">
      <c r="A993" s="31" t="s">
        <v>2025</v>
      </c>
      <c r="B993" s="31" t="s">
        <v>2026</v>
      </c>
      <c r="C993" s="31" t="s">
        <v>2881</v>
      </c>
      <c r="D993" s="12">
        <f t="shared" ca="1" si="90"/>
        <v>29</v>
      </c>
      <c r="E993" s="12" t="str">
        <f ca="1">IF(Table1[[#This Row],[Age]]&lt;=22,"20-22",IF(Table1[[#This Row],[Age]]&lt;=25,"23-25",IF(Table1[[#This Row],[Age]]&lt;=28,"26-28","29-30")))</f>
        <v>29-30</v>
      </c>
      <c r="F993" s="12">
        <v>4.12</v>
      </c>
      <c r="G993" s="12">
        <v>4.22</v>
      </c>
      <c r="H993" s="12">
        <v>4</v>
      </c>
      <c r="I993" s="12">
        <v>4.1900000000000004</v>
      </c>
      <c r="J993" s="12">
        <v>3.3</v>
      </c>
      <c r="K993" s="12">
        <v>3.89</v>
      </c>
      <c r="L993" s="12">
        <v>4.21</v>
      </c>
      <c r="M993" s="12">
        <v>4.09</v>
      </c>
      <c r="N993" s="12">
        <v>3.98</v>
      </c>
      <c r="O993" s="12">
        <v>4.1500000000000004</v>
      </c>
      <c r="P993" s="12">
        <f t="shared" si="91"/>
        <v>3.9660000000000002</v>
      </c>
      <c r="Q993" s="12">
        <f t="shared" si="92"/>
        <v>3.97</v>
      </c>
      <c r="R993" s="12">
        <f t="shared" si="93"/>
        <v>4.0640000000000001</v>
      </c>
      <c r="S993" s="28">
        <f>IFERROR(INDEX('Clean Gamification Data'!$B:$B,MATCH($B993,'Clean Gamification Data'!$A:$A,0)),"Not Found")</f>
        <v>99.9</v>
      </c>
      <c r="T993" s="28">
        <f>IFERROR(INDEX('Clean Gamification Data'!$C:$C,MATCH($B993,'Clean Gamification Data'!$A:$A,0)),"Not Found")</f>
        <v>66.957534699999997</v>
      </c>
      <c r="U993" s="28">
        <f>IFERROR(INDEX('Clean Gamification Data'!$D:$D,MATCH($B993,'Clean Gamification Data'!$A:$A,0)),"Not Found")</f>
        <v>79.154470739999994</v>
      </c>
      <c r="V993" s="28">
        <f>IFERROR(INDEX('Clean Gamification Data'!$E:$E,MATCH($B993,'Clean Gamification Data'!$A:$A,0)),"Not Found")</f>
        <v>63.616989160000003</v>
      </c>
      <c r="W993" s="28">
        <f>IFERROR(INDEX('Clean Gamification Data'!$F:$F,MATCH($B993,'Clean Gamification Data'!$A:$A,0)),"Not Found")</f>
        <v>83.647541380000007</v>
      </c>
      <c r="X993" s="28">
        <f>IFERROR(INDEX('Clean Gamification Data'!$G:$G,MATCH($B993,'Clean Gamification Data'!$A:$A,0)),"Not Found")</f>
        <v>78.928119730000006</v>
      </c>
      <c r="Y993" s="28">
        <f>IFERROR(INDEX('Clean Gamification Data'!$H:$H,MATCH($B993,'Clean Gamification Data'!$A:$A,0)),"Not Found")</f>
        <v>67.958598519999995</v>
      </c>
      <c r="Z993" s="28">
        <f>IFERROR(INDEX('Clean Gamification Data'!$I:$I,MATCH($B993,'Clean Gamification Data'!$A:$A,0)),"Not Found")</f>
        <v>66.850540330000001</v>
      </c>
      <c r="AA993" s="28">
        <f>Table1[[#This Row],[Engagement (Gamification %)]]-Table1[[#This Row],[Engagement (Non-Gamification %)]]</f>
        <v>32.942465300000009</v>
      </c>
      <c r="AB993" s="28">
        <f>Table1[[#This Row],[Motivation (Gamification %)]]-Table1[[#This Row],[Motivation (Non-Gamification %)]]</f>
        <v>15.537481579999991</v>
      </c>
      <c r="AC993" s="28">
        <f>Table1[[#This Row],[Participation (Gamification %)]]-Table1[[#This Row],[Participation (Non-Gamification %)]]</f>
        <v>4.719421650000001</v>
      </c>
      <c r="AD993" s="28">
        <f>Table1[[#This Row],[Learning Outcomes (Gamification %)]]-Table1[[#This Row],[Learning Outcomes (Non-Gamification %)]]</f>
        <v>1.1080581899999942</v>
      </c>
      <c r="AE993" s="44" t="str">
        <f>IF(Table1[[#This Row],[Overall Effectiveness]]&lt;3.9,"Low",IF(Table1[[#This Row],[Overall Effectiveness]]&lt;4.2,"Medium","High"))</f>
        <v>Medium</v>
      </c>
      <c r="AF993" s="30" t="str">
        <f t="shared" si="94"/>
        <v>Case Studies</v>
      </c>
      <c r="AG993" s="30" t="str">
        <f t="shared" si="95"/>
        <v>Case Studies</v>
      </c>
      <c r="AH993" s="27">
        <f>COUNTIF(Teacher_Master!$D$2:$D$16,AF993)</f>
        <v>3</v>
      </c>
      <c r="AI993" s="30" t="str">
        <f>INDEX(Teacher_Master!$B$2:$B$16,MATCH(AF993,Teacher_Master!$D$2:$D$16,0))</f>
        <v>Prof. Rajesh Mukherjee</v>
      </c>
    </row>
    <row r="994" spans="1:35" ht="14.25" customHeight="1" x14ac:dyDescent="0.3">
      <c r="A994" s="31" t="s">
        <v>2027</v>
      </c>
      <c r="B994" s="31" t="s">
        <v>2797</v>
      </c>
      <c r="C994" s="31" t="s">
        <v>2882</v>
      </c>
      <c r="D994" s="12">
        <f t="shared" ca="1" si="90"/>
        <v>21</v>
      </c>
      <c r="E994" s="12" t="str">
        <f ca="1">IF(Table1[[#This Row],[Age]]&lt;=22,"20-22",IF(Table1[[#This Row],[Age]]&lt;=25,"23-25",IF(Table1[[#This Row],[Age]]&lt;=28,"26-28","29-30")))</f>
        <v>20-22</v>
      </c>
      <c r="F994" s="12">
        <v>3.93</v>
      </c>
      <c r="G994" s="12">
        <v>3.87</v>
      </c>
      <c r="H994" s="12" t="s">
        <v>211</v>
      </c>
      <c r="I994" s="12">
        <v>4.8899999999999997</v>
      </c>
      <c r="J994" s="12">
        <v>4.13</v>
      </c>
      <c r="K994" s="12">
        <v>4.76</v>
      </c>
      <c r="L994" s="12">
        <v>4.0599999999999996</v>
      </c>
      <c r="M994" s="12">
        <v>3.98</v>
      </c>
      <c r="N994" s="12">
        <v>4.5999999999999996</v>
      </c>
      <c r="O994" s="12">
        <v>3.52</v>
      </c>
      <c r="P994" s="12">
        <f t="shared" si="91"/>
        <v>4.2050000000000001</v>
      </c>
      <c r="Q994" s="12">
        <f t="shared" si="92"/>
        <v>4.21</v>
      </c>
      <c r="R994" s="12">
        <f t="shared" si="93"/>
        <v>4.1839999999999993</v>
      </c>
      <c r="S994" s="28">
        <f>IFERROR(INDEX('Clean Gamification Data'!$B:$B,MATCH($B994,'Clean Gamification Data'!$A:$A,0)),"Not Found")</f>
        <v>86.395310420000001</v>
      </c>
      <c r="T994" s="28">
        <f>IFERROR(INDEX('Clean Gamification Data'!$C:$C,MATCH($B994,'Clean Gamification Data'!$A:$A,0)),"Not Found")</f>
        <v>64.976686999999998</v>
      </c>
      <c r="U994" s="28">
        <f>IFERROR(INDEX('Clean Gamification Data'!$D:$D,MATCH($B994,'Clean Gamification Data'!$A:$A,0)),"Not Found")</f>
        <v>87.421628470000002</v>
      </c>
      <c r="V994" s="28">
        <f>IFERROR(INDEX('Clean Gamification Data'!$E:$E,MATCH($B994,'Clean Gamification Data'!$A:$A,0)),"Not Found")</f>
        <v>55</v>
      </c>
      <c r="W994" s="28">
        <f>IFERROR(INDEX('Clean Gamification Data'!$F:$F,MATCH($B994,'Clean Gamification Data'!$A:$A,0)),"Not Found")</f>
        <v>85.188812279999993</v>
      </c>
      <c r="X994" s="28">
        <f>IFERROR(INDEX('Clean Gamification Data'!$G:$G,MATCH($B994,'Clean Gamification Data'!$A:$A,0)),"Not Found")</f>
        <v>79.277684719999996</v>
      </c>
      <c r="Y994" s="28">
        <f>IFERROR(INDEX('Clean Gamification Data'!$H:$H,MATCH($B994,'Clean Gamification Data'!$A:$A,0)),"Not Found")</f>
        <v>68.722574809999998</v>
      </c>
      <c r="Z994" s="28">
        <f>IFERROR(INDEX('Clean Gamification Data'!$I:$I,MATCH($B994,'Clean Gamification Data'!$A:$A,0)),"Not Found")</f>
        <v>70</v>
      </c>
      <c r="AA994" s="28">
        <f>Table1[[#This Row],[Engagement (Gamification %)]]-Table1[[#This Row],[Engagement (Non-Gamification %)]]</f>
        <v>21.418623420000003</v>
      </c>
      <c r="AB994" s="28">
        <f>Table1[[#This Row],[Motivation (Gamification %)]]-Table1[[#This Row],[Motivation (Non-Gamification %)]]</f>
        <v>32.421628470000002</v>
      </c>
      <c r="AC994" s="28">
        <f>Table1[[#This Row],[Participation (Gamification %)]]-Table1[[#This Row],[Participation (Non-Gamification %)]]</f>
        <v>5.9111275599999971</v>
      </c>
      <c r="AD994" s="28">
        <f>Table1[[#This Row],[Learning Outcomes (Gamification %)]]-Table1[[#This Row],[Learning Outcomes (Non-Gamification %)]]</f>
        <v>-1.2774251900000024</v>
      </c>
      <c r="AE994" s="44" t="str">
        <f>IF(Table1[[#This Row],[Overall Effectiveness]]&lt;3.9,"Low",IF(Table1[[#This Row],[Overall Effectiveness]]&lt;4.2,"Medium","High"))</f>
        <v>High</v>
      </c>
      <c r="AF994" s="30" t="str">
        <f t="shared" si="94"/>
        <v>Experiments</v>
      </c>
      <c r="AG994" s="30" t="str">
        <f t="shared" si="95"/>
        <v>Lectures</v>
      </c>
      <c r="AH994" s="27">
        <f>COUNTIF(Teacher_Master!$D$2:$D$16,AF994)</f>
        <v>3</v>
      </c>
      <c r="AI994" s="30" t="str">
        <f>INDEX(Teacher_Master!$B$2:$B$16,MATCH(AF994,Teacher_Master!$D$2:$D$16,0))</f>
        <v>Prof. Rahul Singh</v>
      </c>
    </row>
    <row r="995" spans="1:35" ht="14.25" customHeight="1" x14ac:dyDescent="0.3">
      <c r="A995" s="31" t="s">
        <v>2029</v>
      </c>
      <c r="B995" s="31" t="s">
        <v>2030</v>
      </c>
      <c r="C995" s="31" t="s">
        <v>2882</v>
      </c>
      <c r="D995" s="12">
        <f t="shared" ca="1" si="90"/>
        <v>26</v>
      </c>
      <c r="E995" s="12" t="str">
        <f ca="1">IF(Table1[[#This Row],[Age]]&lt;=22,"20-22",IF(Table1[[#This Row],[Age]]&lt;=25,"23-25",IF(Table1[[#This Row],[Age]]&lt;=28,"26-28","29-30")))</f>
        <v>26-28</v>
      </c>
      <c r="F995" s="12">
        <v>4.6900000000000004</v>
      </c>
      <c r="G995" s="12">
        <v>4.1500000000000004</v>
      </c>
      <c r="H995" s="12">
        <v>4.18</v>
      </c>
      <c r="I995" s="12">
        <v>3.88</v>
      </c>
      <c r="J995" s="12">
        <v>4.38</v>
      </c>
      <c r="K995" s="12">
        <v>4.1500000000000004</v>
      </c>
      <c r="L995" s="12">
        <v>4.22</v>
      </c>
      <c r="M995" s="12">
        <v>4.57</v>
      </c>
      <c r="N995" s="12">
        <v>3.91</v>
      </c>
      <c r="O995" s="12">
        <v>3.96</v>
      </c>
      <c r="P995" s="12">
        <f t="shared" si="91"/>
        <v>4.2559999999999993</v>
      </c>
      <c r="Q995" s="12">
        <f t="shared" si="92"/>
        <v>4.26</v>
      </c>
      <c r="R995" s="12">
        <f t="shared" si="93"/>
        <v>4.1620000000000008</v>
      </c>
      <c r="S995" s="28">
        <f>IFERROR(INDEX('Clean Gamification Data'!$B:$B,MATCH($B995,'Clean Gamification Data'!$A:$A,0)),"Not Found")</f>
        <v>79.259458559999999</v>
      </c>
      <c r="T995" s="28">
        <f>IFERROR(INDEX('Clean Gamification Data'!$C:$C,MATCH($B995,'Clean Gamification Data'!$A:$A,0)),"Not Found")</f>
        <v>63.223799079999999</v>
      </c>
      <c r="U995" s="28">
        <f>IFERROR(INDEX('Clean Gamification Data'!$D:$D,MATCH($B995,'Clean Gamification Data'!$A:$A,0)),"Not Found")</f>
        <v>73.814046610000005</v>
      </c>
      <c r="V995" s="28">
        <f>IFERROR(INDEX('Clean Gamification Data'!$E:$E,MATCH($B995,'Clean Gamification Data'!$A:$A,0)),"Not Found")</f>
        <v>62.497715599999999</v>
      </c>
      <c r="W995" s="28">
        <f>IFERROR(INDEX('Clean Gamification Data'!$F:$F,MATCH($B995,'Clean Gamification Data'!$A:$A,0)),"Not Found")</f>
        <v>82.023054880000004</v>
      </c>
      <c r="X995" s="28">
        <f>IFERROR(INDEX('Clean Gamification Data'!$G:$G,MATCH($B995,'Clean Gamification Data'!$A:$A,0)),"Not Found")</f>
        <v>82.781914490000005</v>
      </c>
      <c r="Y995" s="28">
        <f>IFERROR(INDEX('Clean Gamification Data'!$H:$H,MATCH($B995,'Clean Gamification Data'!$A:$A,0)),"Not Found")</f>
        <v>70.874684299999998</v>
      </c>
      <c r="Z995" s="28">
        <f>IFERROR(INDEX('Clean Gamification Data'!$I:$I,MATCH($B995,'Clean Gamification Data'!$A:$A,0)),"Not Found")</f>
        <v>50</v>
      </c>
      <c r="AA995" s="28">
        <f>Table1[[#This Row],[Engagement (Gamification %)]]-Table1[[#This Row],[Engagement (Non-Gamification %)]]</f>
        <v>16.03565948</v>
      </c>
      <c r="AB995" s="28">
        <f>Table1[[#This Row],[Motivation (Gamification %)]]-Table1[[#This Row],[Motivation (Non-Gamification %)]]</f>
        <v>11.316331010000006</v>
      </c>
      <c r="AC995" s="28">
        <f>Table1[[#This Row],[Participation (Gamification %)]]-Table1[[#This Row],[Participation (Non-Gamification %)]]</f>
        <v>-0.75885961000000179</v>
      </c>
      <c r="AD995" s="28">
        <f>Table1[[#This Row],[Learning Outcomes (Gamification %)]]-Table1[[#This Row],[Learning Outcomes (Non-Gamification %)]]</f>
        <v>20.874684299999998</v>
      </c>
      <c r="AE995" s="44" t="str">
        <f>IF(Table1[[#This Row],[Overall Effectiveness]]&lt;3.9,"Low",IF(Table1[[#This Row],[Overall Effectiveness]]&lt;4.2,"Medium","High"))</f>
        <v>High</v>
      </c>
      <c r="AF995" s="30" t="str">
        <f t="shared" si="94"/>
        <v>Lectures</v>
      </c>
      <c r="AG995" s="30" t="str">
        <f t="shared" si="95"/>
        <v>Group Projects</v>
      </c>
      <c r="AH995" s="27">
        <f>COUNTIF(Teacher_Master!$D$2:$D$16,AF995)</f>
        <v>3</v>
      </c>
      <c r="AI995" s="30" t="str">
        <f>INDEX(Teacher_Master!$B$2:$B$16,MATCH(AF995,Teacher_Master!$D$2:$D$16,0))</f>
        <v>Prof. Vikram Gupta</v>
      </c>
    </row>
    <row r="996" spans="1:35" ht="14.25" customHeight="1" x14ac:dyDescent="0.3">
      <c r="A996" s="31" t="s">
        <v>2031</v>
      </c>
      <c r="B996" s="31" t="s">
        <v>2798</v>
      </c>
      <c r="C996" s="31" t="s">
        <v>2881</v>
      </c>
      <c r="D996" s="12">
        <f t="shared" ca="1" si="90"/>
        <v>29</v>
      </c>
      <c r="E996" s="12" t="str">
        <f ca="1">IF(Table1[[#This Row],[Age]]&lt;=22,"20-22",IF(Table1[[#This Row],[Age]]&lt;=25,"23-25",IF(Table1[[#This Row],[Age]]&lt;=28,"26-28","29-30")))</f>
        <v>29-30</v>
      </c>
      <c r="F996" s="12">
        <v>4.49</v>
      </c>
      <c r="G996" s="12">
        <v>3.78</v>
      </c>
      <c r="H996" s="12">
        <v>4.4400000000000004</v>
      </c>
      <c r="I996" s="12">
        <v>4.42</v>
      </c>
      <c r="J996" s="12">
        <v>4.32</v>
      </c>
      <c r="K996" s="12">
        <v>4.3</v>
      </c>
      <c r="L996" s="12">
        <v>3.63</v>
      </c>
      <c r="M996" s="12">
        <v>3.72</v>
      </c>
      <c r="N996" s="12">
        <v>3.97</v>
      </c>
      <c r="O996" s="12">
        <v>4.24</v>
      </c>
      <c r="P996" s="12">
        <f t="shared" si="91"/>
        <v>4.2900000000000009</v>
      </c>
      <c r="Q996" s="12">
        <f t="shared" si="92"/>
        <v>4.29</v>
      </c>
      <c r="R996" s="12">
        <f t="shared" si="93"/>
        <v>3.972</v>
      </c>
      <c r="S996" s="28">
        <f>IFERROR(INDEX('Clean Gamification Data'!$B:$B,MATCH($B996,'Clean Gamification Data'!$A:$A,0)),"Not Found")</f>
        <v>84.838538139999997</v>
      </c>
      <c r="T996" s="28">
        <f>IFERROR(INDEX('Clean Gamification Data'!$C:$C,MATCH($B996,'Clean Gamification Data'!$A:$A,0)),"Not Found")</f>
        <v>60</v>
      </c>
      <c r="U996" s="28">
        <f>IFERROR(INDEX('Clean Gamification Data'!$D:$D,MATCH($B996,'Clean Gamification Data'!$A:$A,0)),"Not Found")</f>
        <v>81.961262450000007</v>
      </c>
      <c r="V996" s="28">
        <f>IFERROR(INDEX('Clean Gamification Data'!$E:$E,MATCH($B996,'Clean Gamification Data'!$A:$A,0)),"Not Found")</f>
        <v>62.087274999999998</v>
      </c>
      <c r="W996" s="28">
        <f>IFERROR(INDEX('Clean Gamification Data'!$F:$F,MATCH($B996,'Clean Gamification Data'!$A:$A,0)),"Not Found")</f>
        <v>94.621624729999994</v>
      </c>
      <c r="X996" s="28">
        <f>IFERROR(INDEX('Clean Gamification Data'!$G:$G,MATCH($B996,'Clean Gamification Data'!$A:$A,0)),"Not Found")</f>
        <v>85</v>
      </c>
      <c r="Y996" s="28">
        <f>IFERROR(INDEX('Clean Gamification Data'!$H:$H,MATCH($B996,'Clean Gamification Data'!$A:$A,0)),"Not Found")</f>
        <v>74.567013320000001</v>
      </c>
      <c r="Z996" s="28">
        <f>IFERROR(INDEX('Clean Gamification Data'!$I:$I,MATCH($B996,'Clean Gamification Data'!$A:$A,0)),"Not Found")</f>
        <v>59.238444479999998</v>
      </c>
      <c r="AA996" s="28">
        <f>Table1[[#This Row],[Engagement (Gamification %)]]-Table1[[#This Row],[Engagement (Non-Gamification %)]]</f>
        <v>24.838538139999997</v>
      </c>
      <c r="AB996" s="28">
        <f>Table1[[#This Row],[Motivation (Gamification %)]]-Table1[[#This Row],[Motivation (Non-Gamification %)]]</f>
        <v>19.873987450000008</v>
      </c>
      <c r="AC996" s="28">
        <f>Table1[[#This Row],[Participation (Gamification %)]]-Table1[[#This Row],[Participation (Non-Gamification %)]]</f>
        <v>9.6216247299999935</v>
      </c>
      <c r="AD996" s="28">
        <f>Table1[[#This Row],[Learning Outcomes (Gamification %)]]-Table1[[#This Row],[Learning Outcomes (Non-Gamification %)]]</f>
        <v>15.328568840000003</v>
      </c>
      <c r="AE996" s="44" t="str">
        <f>IF(Table1[[#This Row],[Overall Effectiveness]]&lt;3.9,"Low",IF(Table1[[#This Row],[Overall Effectiveness]]&lt;4.2,"Medium","High"))</f>
        <v>High</v>
      </c>
      <c r="AF996" s="30" t="str">
        <f t="shared" si="94"/>
        <v>Lectures</v>
      </c>
      <c r="AG996" s="30" t="str">
        <f t="shared" si="95"/>
        <v>Lectures</v>
      </c>
      <c r="AH996" s="27">
        <f>COUNTIF(Teacher_Master!$D$2:$D$16,AF996)</f>
        <v>3</v>
      </c>
      <c r="AI996" s="30" t="str">
        <f>INDEX(Teacher_Master!$B$2:$B$16,MATCH(AF996,Teacher_Master!$D$2:$D$16,0))</f>
        <v>Prof. Vikram Gupta</v>
      </c>
    </row>
    <row r="997" spans="1:35" ht="14.25" customHeight="1" x14ac:dyDescent="0.3">
      <c r="A997" s="31" t="s">
        <v>2033</v>
      </c>
      <c r="B997" s="31" t="s">
        <v>2034</v>
      </c>
      <c r="C997" s="31" t="s">
        <v>2882</v>
      </c>
      <c r="D997" s="12">
        <f t="shared" ca="1" si="90"/>
        <v>30</v>
      </c>
      <c r="E997" s="12" t="str">
        <f ca="1">IF(Table1[[#This Row],[Age]]&lt;=22,"20-22",IF(Table1[[#This Row],[Age]]&lt;=25,"23-25",IF(Table1[[#This Row],[Age]]&lt;=28,"26-28","29-30")))</f>
        <v>29-30</v>
      </c>
      <c r="F997" s="12">
        <v>3.89</v>
      </c>
      <c r="G997" s="12" t="s">
        <v>211</v>
      </c>
      <c r="H997" s="12">
        <v>4.32</v>
      </c>
      <c r="I997" s="12">
        <v>4.28</v>
      </c>
      <c r="J997" s="12">
        <v>4.63</v>
      </c>
      <c r="K997" s="12">
        <v>4.08</v>
      </c>
      <c r="L997" s="12">
        <v>3.54</v>
      </c>
      <c r="M997" s="12">
        <v>4.42</v>
      </c>
      <c r="N997" s="12">
        <v>3.58</v>
      </c>
      <c r="O997" s="12">
        <v>4.66</v>
      </c>
      <c r="P997" s="12">
        <f t="shared" si="91"/>
        <v>4.28</v>
      </c>
      <c r="Q997" s="12">
        <f t="shared" si="92"/>
        <v>4.28</v>
      </c>
      <c r="R997" s="12">
        <f t="shared" si="93"/>
        <v>4.056</v>
      </c>
      <c r="S997" s="28">
        <f>IFERROR(INDEX('Clean Gamification Data'!$B:$B,MATCH($B997,'Clean Gamification Data'!$A:$A,0)),"Not Found")</f>
        <v>99.9</v>
      </c>
      <c r="T997" s="28">
        <f>IFERROR(INDEX('Clean Gamification Data'!$C:$C,MATCH($B997,'Clean Gamification Data'!$A:$A,0)),"Not Found")</f>
        <v>69.851008989999997</v>
      </c>
      <c r="U997" s="28">
        <f>IFERROR(INDEX('Clean Gamification Data'!$D:$D,MATCH($B997,'Clean Gamification Data'!$A:$A,0)),"Not Found")</f>
        <v>72.993381569999997</v>
      </c>
      <c r="V997" s="28">
        <f>IFERROR(INDEX('Clean Gamification Data'!$E:$E,MATCH($B997,'Clean Gamification Data'!$A:$A,0)),"Not Found")</f>
        <v>65.170470179999995</v>
      </c>
      <c r="W997" s="28">
        <f>IFERROR(INDEX('Clean Gamification Data'!$F:$F,MATCH($B997,'Clean Gamification Data'!$A:$A,0)),"Not Found")</f>
        <v>95.142453750000001</v>
      </c>
      <c r="X997" s="28">
        <f>IFERROR(INDEX('Clean Gamification Data'!$G:$G,MATCH($B997,'Clean Gamification Data'!$A:$A,0)),"Not Found")</f>
        <v>76.428621329999999</v>
      </c>
      <c r="Y997" s="28">
        <f>IFERROR(INDEX('Clean Gamification Data'!$H:$H,MATCH($B997,'Clean Gamification Data'!$A:$A,0)),"Not Found")</f>
        <v>66.073316879999993</v>
      </c>
      <c r="Z997" s="28">
        <f>IFERROR(INDEX('Clean Gamification Data'!$I:$I,MATCH($B997,'Clean Gamification Data'!$A:$A,0)),"Not Found")</f>
        <v>54.711016149999999</v>
      </c>
      <c r="AA997" s="28">
        <f>Table1[[#This Row],[Engagement (Gamification %)]]-Table1[[#This Row],[Engagement (Non-Gamification %)]]</f>
        <v>30.048991010000009</v>
      </c>
      <c r="AB997" s="28">
        <f>Table1[[#This Row],[Motivation (Gamification %)]]-Table1[[#This Row],[Motivation (Non-Gamification %)]]</f>
        <v>7.8229113900000016</v>
      </c>
      <c r="AC997" s="28">
        <f>Table1[[#This Row],[Participation (Gamification %)]]-Table1[[#This Row],[Participation (Non-Gamification %)]]</f>
        <v>18.713832420000003</v>
      </c>
      <c r="AD997" s="28">
        <f>Table1[[#This Row],[Learning Outcomes (Gamification %)]]-Table1[[#This Row],[Learning Outcomes (Non-Gamification %)]]</f>
        <v>11.362300729999994</v>
      </c>
      <c r="AE997" s="44" t="str">
        <f>IF(Table1[[#This Row],[Overall Effectiveness]]&lt;3.9,"Low",IF(Table1[[#This Row],[Overall Effectiveness]]&lt;4.2,"Medium","High"))</f>
        <v>High</v>
      </c>
      <c r="AF997" s="30" t="str">
        <f t="shared" si="94"/>
        <v>Online Tutorials</v>
      </c>
      <c r="AG997" s="30" t="str">
        <f t="shared" si="95"/>
        <v>Online Tutorials</v>
      </c>
      <c r="AH997" s="27">
        <f>COUNTIF(Teacher_Master!$D$2:$D$16,AF997)</f>
        <v>3</v>
      </c>
      <c r="AI997" s="30" t="str">
        <f>INDEX(Teacher_Master!$B$2:$B$16,MATCH(AF997,Teacher_Master!$D$2:$D$16,0))</f>
        <v>Prof. Kavita Rao</v>
      </c>
    </row>
    <row r="998" spans="1:35" ht="14.25" customHeight="1" x14ac:dyDescent="0.3">
      <c r="A998" s="31" t="s">
        <v>2035</v>
      </c>
      <c r="B998" s="31" t="s">
        <v>2799</v>
      </c>
      <c r="C998" s="31" t="s">
        <v>2882</v>
      </c>
      <c r="D998" s="12">
        <f t="shared" ca="1" si="90"/>
        <v>20</v>
      </c>
      <c r="E998" s="12" t="str">
        <f ca="1">IF(Table1[[#This Row],[Age]]&lt;=22,"20-22",IF(Table1[[#This Row],[Age]]&lt;=25,"23-25",IF(Table1[[#This Row],[Age]]&lt;=28,"26-28","29-30")))</f>
        <v>20-22</v>
      </c>
      <c r="F998" s="12">
        <v>4.49</v>
      </c>
      <c r="G998" s="12">
        <v>3.9</v>
      </c>
      <c r="H998" s="12">
        <v>4.1100000000000003</v>
      </c>
      <c r="I998" s="12">
        <v>4.54</v>
      </c>
      <c r="J998" s="12">
        <v>3.71</v>
      </c>
      <c r="K998" s="12">
        <v>3.58</v>
      </c>
      <c r="L998" s="12">
        <v>4.09</v>
      </c>
      <c r="M998" s="12">
        <v>4.01</v>
      </c>
      <c r="N998" s="12">
        <v>4.55</v>
      </c>
      <c r="O998" s="12">
        <v>3.93</v>
      </c>
      <c r="P998" s="12">
        <f t="shared" si="91"/>
        <v>4.1500000000000004</v>
      </c>
      <c r="Q998" s="12">
        <f t="shared" si="92"/>
        <v>4.1500000000000004</v>
      </c>
      <c r="R998" s="12">
        <f t="shared" si="93"/>
        <v>4.032</v>
      </c>
      <c r="S998" s="28">
        <f>IFERROR(INDEX('Clean Gamification Data'!$B:$B,MATCH($B998,'Clean Gamification Data'!$A:$A,0)),"Not Found")</f>
        <v>88.632896329999994</v>
      </c>
      <c r="T998" s="28">
        <f>IFERROR(INDEX('Clean Gamification Data'!$C:$C,MATCH($B998,'Clean Gamification Data'!$A:$A,0)),"Not Found")</f>
        <v>75.536347899999996</v>
      </c>
      <c r="U998" s="28">
        <f>IFERROR(INDEX('Clean Gamification Data'!$D:$D,MATCH($B998,'Clean Gamification Data'!$A:$A,0)),"Not Found")</f>
        <v>74.657704440000003</v>
      </c>
      <c r="V998" s="28">
        <f>IFERROR(INDEX('Clean Gamification Data'!$E:$E,MATCH($B998,'Clean Gamification Data'!$A:$A,0)),"Not Found")</f>
        <v>61.294281949999998</v>
      </c>
      <c r="W998" s="28">
        <f>IFERROR(INDEX('Clean Gamification Data'!$F:$F,MATCH($B998,'Clean Gamification Data'!$A:$A,0)),"Not Found")</f>
        <v>95.608831480000006</v>
      </c>
      <c r="X998" s="28">
        <f>IFERROR(INDEX('Clean Gamification Data'!$G:$G,MATCH($B998,'Clean Gamification Data'!$A:$A,0)),"Not Found")</f>
        <v>77.470533219999993</v>
      </c>
      <c r="Y998" s="28">
        <f>IFERROR(INDEX('Clean Gamification Data'!$H:$H,MATCH($B998,'Clean Gamification Data'!$A:$A,0)),"Not Found")</f>
        <v>71.978908739999994</v>
      </c>
      <c r="Z998" s="28">
        <f>IFERROR(INDEX('Clean Gamification Data'!$I:$I,MATCH($B998,'Clean Gamification Data'!$A:$A,0)),"Not Found")</f>
        <v>55.433689790000003</v>
      </c>
      <c r="AA998" s="28">
        <f>Table1[[#This Row],[Engagement (Gamification %)]]-Table1[[#This Row],[Engagement (Non-Gamification %)]]</f>
        <v>13.096548429999999</v>
      </c>
      <c r="AB998" s="28">
        <f>Table1[[#This Row],[Motivation (Gamification %)]]-Table1[[#This Row],[Motivation (Non-Gamification %)]]</f>
        <v>13.363422490000005</v>
      </c>
      <c r="AC998" s="28">
        <f>Table1[[#This Row],[Participation (Gamification %)]]-Table1[[#This Row],[Participation (Non-Gamification %)]]</f>
        <v>18.138298260000013</v>
      </c>
      <c r="AD998" s="28">
        <f>Table1[[#This Row],[Learning Outcomes (Gamification %)]]-Table1[[#This Row],[Learning Outcomes (Non-Gamification %)]]</f>
        <v>16.545218949999992</v>
      </c>
      <c r="AE998" s="44" t="str">
        <f>IF(Table1[[#This Row],[Overall Effectiveness]]&lt;3.9,"Low",IF(Table1[[#This Row],[Overall Effectiveness]]&lt;4.2,"Medium","High"))</f>
        <v>Medium</v>
      </c>
      <c r="AF998" s="30" t="str">
        <f t="shared" si="94"/>
        <v>Experiments</v>
      </c>
      <c r="AG998" s="30" t="str">
        <f t="shared" si="95"/>
        <v>Experiments</v>
      </c>
      <c r="AH998" s="27">
        <f>COUNTIF(Teacher_Master!$D$2:$D$16,AF998)</f>
        <v>3</v>
      </c>
      <c r="AI998" s="30" t="str">
        <f>INDEX(Teacher_Master!$B$2:$B$16,MATCH(AF998,Teacher_Master!$D$2:$D$16,0))</f>
        <v>Prof. Rahul Singh</v>
      </c>
    </row>
    <row r="999" spans="1:35" ht="14.25" customHeight="1" x14ac:dyDescent="0.3">
      <c r="A999" s="31" t="s">
        <v>2037</v>
      </c>
      <c r="B999" s="31" t="s">
        <v>2800</v>
      </c>
      <c r="C999" s="31" t="s">
        <v>2882</v>
      </c>
      <c r="D999" s="12">
        <f t="shared" ca="1" si="90"/>
        <v>26</v>
      </c>
      <c r="E999" s="12" t="str">
        <f ca="1">IF(Table1[[#This Row],[Age]]&lt;=22,"20-22",IF(Table1[[#This Row],[Age]]&lt;=25,"23-25",IF(Table1[[#This Row],[Age]]&lt;=28,"26-28","29-30")))</f>
        <v>26-28</v>
      </c>
      <c r="F999" s="12">
        <v>4.2</v>
      </c>
      <c r="G999" s="12">
        <v>4.24</v>
      </c>
      <c r="H999" s="12">
        <v>3.9</v>
      </c>
      <c r="I999" s="12">
        <v>3.98</v>
      </c>
      <c r="J999" s="12">
        <v>4.33</v>
      </c>
      <c r="K999" s="12">
        <v>4.46</v>
      </c>
      <c r="L999" s="12">
        <v>4.0599999999999996</v>
      </c>
      <c r="M999" s="12">
        <v>3.94</v>
      </c>
      <c r="N999" s="12">
        <v>4.26</v>
      </c>
      <c r="O999" s="12">
        <v>3.44</v>
      </c>
      <c r="P999" s="12">
        <f t="shared" si="91"/>
        <v>4.13</v>
      </c>
      <c r="Q999" s="12">
        <f t="shared" si="92"/>
        <v>4.13</v>
      </c>
      <c r="R999" s="12">
        <f t="shared" si="93"/>
        <v>4.032</v>
      </c>
      <c r="S999" s="28">
        <f>IFERROR(INDEX('Clean Gamification Data'!$B:$B,MATCH($B999,'Clean Gamification Data'!$A:$A,0)),"Not Found")</f>
        <v>80.272288329999995</v>
      </c>
      <c r="T999" s="28">
        <f>IFERROR(INDEX('Clean Gamification Data'!$C:$C,MATCH($B999,'Clean Gamification Data'!$A:$A,0)),"Not Found")</f>
        <v>60</v>
      </c>
      <c r="U999" s="28">
        <f>IFERROR(INDEX('Clean Gamification Data'!$D:$D,MATCH($B999,'Clean Gamification Data'!$A:$A,0)),"Not Found")</f>
        <v>90</v>
      </c>
      <c r="V999" s="28">
        <f>IFERROR(INDEX('Clean Gamification Data'!$E:$E,MATCH($B999,'Clean Gamification Data'!$A:$A,0)),"Not Found")</f>
        <v>67.905659249999999</v>
      </c>
      <c r="W999" s="28">
        <f>IFERROR(INDEX('Clean Gamification Data'!$F:$F,MATCH($B999,'Clean Gamification Data'!$A:$A,0)),"Not Found")</f>
        <v>91.599761130000005</v>
      </c>
      <c r="X999" s="28">
        <f>IFERROR(INDEX('Clean Gamification Data'!$G:$G,MATCH($B999,'Clean Gamification Data'!$A:$A,0)),"Not Found")</f>
        <v>78.67957389</v>
      </c>
      <c r="Y999" s="28">
        <f>IFERROR(INDEX('Clean Gamification Data'!$H:$H,MATCH($B999,'Clean Gamification Data'!$A:$A,0)),"Not Found")</f>
        <v>71.660910950000002</v>
      </c>
      <c r="Z999" s="28">
        <f>IFERROR(INDEX('Clean Gamification Data'!$I:$I,MATCH($B999,'Clean Gamification Data'!$A:$A,0)),"Not Found")</f>
        <v>70</v>
      </c>
      <c r="AA999" s="28">
        <f>Table1[[#This Row],[Engagement (Gamification %)]]-Table1[[#This Row],[Engagement (Non-Gamification %)]]</f>
        <v>20.272288329999995</v>
      </c>
      <c r="AB999" s="28">
        <f>Table1[[#This Row],[Motivation (Gamification %)]]-Table1[[#This Row],[Motivation (Non-Gamification %)]]</f>
        <v>22.094340750000001</v>
      </c>
      <c r="AC999" s="28">
        <f>Table1[[#This Row],[Participation (Gamification %)]]-Table1[[#This Row],[Participation (Non-Gamification %)]]</f>
        <v>12.920187240000004</v>
      </c>
      <c r="AD999" s="28">
        <f>Table1[[#This Row],[Learning Outcomes (Gamification %)]]-Table1[[#This Row],[Learning Outcomes (Non-Gamification %)]]</f>
        <v>1.6609109500000017</v>
      </c>
      <c r="AE999" s="44" t="str">
        <f>IF(Table1[[#This Row],[Overall Effectiveness]]&lt;3.9,"Low",IF(Table1[[#This Row],[Overall Effectiveness]]&lt;4.2,"Medium","High"))</f>
        <v>Medium</v>
      </c>
      <c r="AF999" s="30" t="str">
        <f t="shared" si="94"/>
        <v>Online Tutorials</v>
      </c>
      <c r="AG999" s="30" t="str">
        <f t="shared" si="95"/>
        <v>Lectures</v>
      </c>
      <c r="AH999" s="27">
        <f>COUNTIF(Teacher_Master!$D$2:$D$16,AF999)</f>
        <v>3</v>
      </c>
      <c r="AI999" s="30" t="str">
        <f>INDEX(Teacher_Master!$B$2:$B$16,MATCH(AF999,Teacher_Master!$D$2:$D$16,0))</f>
        <v>Prof. Kavita Rao</v>
      </c>
    </row>
    <row r="1000" spans="1:35" ht="14.25" customHeight="1" x14ac:dyDescent="0.3">
      <c r="A1000" s="31" t="s">
        <v>2039</v>
      </c>
      <c r="B1000" s="31" t="s">
        <v>2040</v>
      </c>
      <c r="C1000" s="31" t="s">
        <v>2882</v>
      </c>
      <c r="D1000" s="12">
        <f t="shared" ca="1" si="90"/>
        <v>26</v>
      </c>
      <c r="E1000" s="12" t="str">
        <f ca="1">IF(Table1[[#This Row],[Age]]&lt;=22,"20-22",IF(Table1[[#This Row],[Age]]&lt;=25,"23-25",IF(Table1[[#This Row],[Age]]&lt;=28,"26-28","29-30")))</f>
        <v>26-28</v>
      </c>
      <c r="F1000" s="12">
        <v>3.61</v>
      </c>
      <c r="G1000" s="12">
        <v>3.65</v>
      </c>
      <c r="H1000" s="12">
        <v>3.88</v>
      </c>
      <c r="I1000" s="12">
        <v>4.1500000000000004</v>
      </c>
      <c r="J1000" s="12">
        <v>3.87</v>
      </c>
      <c r="K1000" s="12">
        <v>4.03</v>
      </c>
      <c r="L1000" s="12">
        <v>4.22</v>
      </c>
      <c r="M1000" s="12">
        <v>3.61</v>
      </c>
      <c r="N1000" s="12">
        <v>3.57</v>
      </c>
      <c r="O1000" s="12">
        <v>4.5999999999999996</v>
      </c>
      <c r="P1000" s="12">
        <f t="shared" si="91"/>
        <v>3.8319999999999999</v>
      </c>
      <c r="Q1000" s="12">
        <f t="shared" si="92"/>
        <v>3.83</v>
      </c>
      <c r="R1000" s="12">
        <f t="shared" si="93"/>
        <v>4.0060000000000002</v>
      </c>
      <c r="S1000" s="28">
        <f>IFERROR(INDEX('Clean Gamification Data'!$B:$B,MATCH($B1000,'Clean Gamification Data'!$A:$A,0)),"Not Found")</f>
        <v>84.87266606</v>
      </c>
      <c r="T1000" s="28">
        <f>IFERROR(INDEX('Clean Gamification Data'!$C:$C,MATCH($B1000,'Clean Gamification Data'!$A:$A,0)),"Not Found")</f>
        <v>71.227290010000004</v>
      </c>
      <c r="U1000" s="28">
        <f>IFERROR(INDEX('Clean Gamification Data'!$D:$D,MATCH($B1000,'Clean Gamification Data'!$A:$A,0)),"Not Found")</f>
        <v>70.121949849999993</v>
      </c>
      <c r="V1000" s="28">
        <f>IFERROR(INDEX('Clean Gamification Data'!$E:$E,MATCH($B1000,'Clean Gamification Data'!$A:$A,0)),"Not Found")</f>
        <v>57.136156030000002</v>
      </c>
      <c r="W1000" s="28">
        <f>IFERROR(INDEX('Clean Gamification Data'!$F:$F,MATCH($B1000,'Clean Gamification Data'!$A:$A,0)),"Not Found")</f>
        <v>89.17802476</v>
      </c>
      <c r="X1000" s="28">
        <f>IFERROR(INDEX('Clean Gamification Data'!$G:$G,MATCH($B1000,'Clean Gamification Data'!$A:$A,0)),"Not Found")</f>
        <v>74.777396190000005</v>
      </c>
      <c r="Y1000" s="28">
        <f>IFERROR(INDEX('Clean Gamification Data'!$H:$H,MATCH($B1000,'Clean Gamification Data'!$A:$A,0)),"Not Found")</f>
        <v>71.474869870000006</v>
      </c>
      <c r="Z1000" s="28">
        <f>IFERROR(INDEX('Clean Gamification Data'!$I:$I,MATCH($B1000,'Clean Gamification Data'!$A:$A,0)),"Not Found")</f>
        <v>63.637861630000003</v>
      </c>
      <c r="AA1000" s="28">
        <f>Table1[[#This Row],[Engagement (Gamification %)]]-Table1[[#This Row],[Engagement (Non-Gamification %)]]</f>
        <v>13.645376049999996</v>
      </c>
      <c r="AB1000" s="28">
        <f>Table1[[#This Row],[Motivation (Gamification %)]]-Table1[[#This Row],[Motivation (Non-Gamification %)]]</f>
        <v>12.985793819999991</v>
      </c>
      <c r="AC1000" s="28">
        <f>Table1[[#This Row],[Participation (Gamification %)]]-Table1[[#This Row],[Participation (Non-Gamification %)]]</f>
        <v>14.400628569999995</v>
      </c>
      <c r="AD1000" s="28">
        <f>Table1[[#This Row],[Learning Outcomes (Gamification %)]]-Table1[[#This Row],[Learning Outcomes (Non-Gamification %)]]</f>
        <v>7.837008240000003</v>
      </c>
      <c r="AE1000" s="44" t="str">
        <f>IF(Table1[[#This Row],[Overall Effectiveness]]&lt;3.9,"Low",IF(Table1[[#This Row],[Overall Effectiveness]]&lt;4.2,"Medium","High"))</f>
        <v>Low</v>
      </c>
      <c r="AF1000" s="30" t="str">
        <f t="shared" si="94"/>
        <v>Experiments</v>
      </c>
      <c r="AG1000" s="30" t="str">
        <f t="shared" si="95"/>
        <v>Online Tutorials</v>
      </c>
      <c r="AH1000" s="27">
        <f>COUNTIF(Teacher_Master!$D$2:$D$16,AF1000)</f>
        <v>3</v>
      </c>
      <c r="AI1000" s="30" t="str">
        <f>INDEX(Teacher_Master!$B$2:$B$16,MATCH(AF1000,Teacher_Master!$D$2:$D$16,0))</f>
        <v>Prof. Rahul Singh</v>
      </c>
    </row>
    <row r="1001" spans="1:35" ht="14.25" customHeight="1" x14ac:dyDescent="0.3">
      <c r="A1001" s="31" t="s">
        <v>2041</v>
      </c>
      <c r="B1001" s="31" t="s">
        <v>2801</v>
      </c>
      <c r="C1001" s="31" t="s">
        <v>2882</v>
      </c>
      <c r="D1001" s="12">
        <f t="shared" ca="1" si="90"/>
        <v>29</v>
      </c>
      <c r="E1001" s="12" t="str">
        <f ca="1">IF(Table1[[#This Row],[Age]]&lt;=22,"20-22",IF(Table1[[#This Row],[Age]]&lt;=25,"23-25",IF(Table1[[#This Row],[Age]]&lt;=28,"26-28","29-30")))</f>
        <v>29-30</v>
      </c>
      <c r="F1001" s="12">
        <v>3.78</v>
      </c>
      <c r="G1001" s="12">
        <v>4.05</v>
      </c>
      <c r="H1001" s="12">
        <v>3.56</v>
      </c>
      <c r="I1001" s="12" t="s">
        <v>211</v>
      </c>
      <c r="J1001" s="12">
        <v>4.0199999999999996</v>
      </c>
      <c r="K1001" s="12">
        <v>4.33</v>
      </c>
      <c r="L1001" s="12">
        <v>4.1100000000000003</v>
      </c>
      <c r="M1001" s="12">
        <v>3.77</v>
      </c>
      <c r="N1001" s="12">
        <v>4.1100000000000003</v>
      </c>
      <c r="O1001" s="12">
        <v>4</v>
      </c>
      <c r="P1001" s="12">
        <f t="shared" si="91"/>
        <v>3.8525</v>
      </c>
      <c r="Q1001" s="12">
        <f t="shared" si="92"/>
        <v>3.85</v>
      </c>
      <c r="R1001" s="12">
        <f t="shared" si="93"/>
        <v>4.0640000000000001</v>
      </c>
      <c r="S1001" s="28">
        <f>IFERROR(INDEX('Clean Gamification Data'!$B:$B,MATCH($B1001,'Clean Gamification Data'!$A:$A,0)),"Not Found")</f>
        <v>93.688809079999999</v>
      </c>
      <c r="T1001" s="28">
        <f>IFERROR(INDEX('Clean Gamification Data'!$C:$C,MATCH($B1001,'Clean Gamification Data'!$A:$A,0)),"Not Found")</f>
        <v>76.57402372</v>
      </c>
      <c r="U1001" s="28">
        <f>IFERROR(INDEX('Clean Gamification Data'!$D:$D,MATCH($B1001,'Clean Gamification Data'!$A:$A,0)),"Not Found")</f>
        <v>81.297223340000002</v>
      </c>
      <c r="V1001" s="28">
        <f>IFERROR(INDEX('Clean Gamification Data'!$E:$E,MATCH($B1001,'Clean Gamification Data'!$A:$A,0)),"Not Found")</f>
        <v>70.948612080000004</v>
      </c>
      <c r="W1001" s="28">
        <f>IFERROR(INDEX('Clean Gamification Data'!$F:$F,MATCH($B1001,'Clean Gamification Data'!$A:$A,0)),"Not Found")</f>
        <v>95.914821119999999</v>
      </c>
      <c r="X1001" s="28">
        <f>IFERROR(INDEX('Clean Gamification Data'!$G:$G,MATCH($B1001,'Clean Gamification Data'!$A:$A,0)),"Not Found")</f>
        <v>80.281026830000002</v>
      </c>
      <c r="Y1001" s="28">
        <f>IFERROR(INDEX('Clean Gamification Data'!$H:$H,MATCH($B1001,'Clean Gamification Data'!$A:$A,0)),"Not Found")</f>
        <v>66.579494830000002</v>
      </c>
      <c r="Z1001" s="28">
        <f>IFERROR(INDEX('Clean Gamification Data'!$I:$I,MATCH($B1001,'Clean Gamification Data'!$A:$A,0)),"Not Found")</f>
        <v>50</v>
      </c>
      <c r="AA1001" s="28">
        <f>Table1[[#This Row],[Engagement (Gamification %)]]-Table1[[#This Row],[Engagement (Non-Gamification %)]]</f>
        <v>17.114785359999999</v>
      </c>
      <c r="AB1001" s="28">
        <f>Table1[[#This Row],[Motivation (Gamification %)]]-Table1[[#This Row],[Motivation (Non-Gamification %)]]</f>
        <v>10.348611259999998</v>
      </c>
      <c r="AC1001" s="28">
        <f>Table1[[#This Row],[Participation (Gamification %)]]-Table1[[#This Row],[Participation (Non-Gamification %)]]</f>
        <v>15.633794289999997</v>
      </c>
      <c r="AD1001" s="28">
        <f>Table1[[#This Row],[Learning Outcomes (Gamification %)]]-Table1[[#This Row],[Learning Outcomes (Non-Gamification %)]]</f>
        <v>16.579494830000002</v>
      </c>
      <c r="AE1001" s="44" t="str">
        <f>IF(Table1[[#This Row],[Overall Effectiveness]]&lt;3.9,"Low",IF(Table1[[#This Row],[Overall Effectiveness]]&lt;4.2,"Medium","High"))</f>
        <v>Low</v>
      </c>
      <c r="AF1001" s="30" t="str">
        <f t="shared" si="94"/>
        <v>Case Studies</v>
      </c>
      <c r="AG1001" s="30" t="str">
        <f t="shared" si="95"/>
        <v>Lectures</v>
      </c>
      <c r="AH1001" s="27">
        <f>COUNTIF(Teacher_Master!$D$2:$D$16,AF1001)</f>
        <v>3</v>
      </c>
      <c r="AI1001" s="30" t="str">
        <f>INDEX(Teacher_Master!$B$2:$B$16,MATCH(AF1001,Teacher_Master!$D$2:$D$16,0))</f>
        <v>Prof. Rajesh Mukherjee</v>
      </c>
    </row>
    <row r="1002" spans="1:35" ht="14.25" customHeight="1" x14ac:dyDescent="0.3">
      <c r="A1002" s="31" t="s">
        <v>2043</v>
      </c>
      <c r="B1002" s="31" t="s">
        <v>2802</v>
      </c>
      <c r="C1002" s="31" t="s">
        <v>2881</v>
      </c>
      <c r="D1002" s="12">
        <f t="shared" ca="1" si="90"/>
        <v>24</v>
      </c>
      <c r="E1002" s="12" t="str">
        <f ca="1">IF(Table1[[#This Row],[Age]]&lt;=22,"20-22",IF(Table1[[#This Row],[Age]]&lt;=25,"23-25",IF(Table1[[#This Row],[Age]]&lt;=28,"26-28","29-30")))</f>
        <v>23-25</v>
      </c>
      <c r="F1002" s="12">
        <v>4.59</v>
      </c>
      <c r="G1002" s="12">
        <v>3.79</v>
      </c>
      <c r="H1002" s="12">
        <v>3.6</v>
      </c>
      <c r="I1002" s="12">
        <v>4.1399999999999997</v>
      </c>
      <c r="J1002" s="12">
        <v>3.71</v>
      </c>
      <c r="K1002" s="12">
        <v>4.45</v>
      </c>
      <c r="L1002" s="12">
        <v>4.51</v>
      </c>
      <c r="M1002" s="12">
        <v>3.67</v>
      </c>
      <c r="N1002" s="12">
        <v>4.08</v>
      </c>
      <c r="O1002" s="12">
        <v>3.94</v>
      </c>
      <c r="P1002" s="12">
        <f t="shared" si="91"/>
        <v>3.9659999999999997</v>
      </c>
      <c r="Q1002" s="12">
        <f t="shared" si="92"/>
        <v>3.97</v>
      </c>
      <c r="R1002" s="12">
        <f t="shared" si="93"/>
        <v>4.1300000000000008</v>
      </c>
      <c r="S1002" s="28">
        <f>IFERROR(INDEX('Clean Gamification Data'!$B:$B,MATCH($B1002,'Clean Gamification Data'!$A:$A,0)),"Not Found")</f>
        <v>75.008568999999994</v>
      </c>
      <c r="T1002" s="28">
        <f>IFERROR(INDEX('Clean Gamification Data'!$C:$C,MATCH($B1002,'Clean Gamification Data'!$A:$A,0)),"Not Found")</f>
        <v>89.584100000000007</v>
      </c>
      <c r="U1002" s="28">
        <f>IFERROR(INDEX('Clean Gamification Data'!$D:$D,MATCH($B1002,'Clean Gamification Data'!$A:$A,0)),"Not Found")</f>
        <v>78.259630000000001</v>
      </c>
      <c r="V1002" s="28">
        <f>IFERROR(INDEX('Clean Gamification Data'!$E:$E,MATCH($B1002,'Clean Gamification Data'!$A:$A,0)),"Not Found")</f>
        <v>78.123547000000002</v>
      </c>
      <c r="W1002" s="28">
        <f>IFERROR(INDEX('Clean Gamification Data'!$F:$F,MATCH($B1002,'Clean Gamification Data'!$A:$A,0)),"Not Found")</f>
        <v>88.453366000000003</v>
      </c>
      <c r="X1002" s="28">
        <f>IFERROR(INDEX('Clean Gamification Data'!$G:$G,MATCH($B1002,'Clean Gamification Data'!$A:$A,0)),"Not Found")</f>
        <v>70.256986999999995</v>
      </c>
      <c r="Y1002" s="28">
        <f>IFERROR(INDEX('Clean Gamification Data'!$H:$H,MATCH($B1002,'Clean Gamification Data'!$A:$A,0)),"Not Found")</f>
        <v>82.123689999999996</v>
      </c>
      <c r="Z1002" s="28">
        <f>IFERROR(INDEX('Clean Gamification Data'!$I:$I,MATCH($B1002,'Clean Gamification Data'!$A:$A,0)),"Not Found")</f>
        <v>97</v>
      </c>
      <c r="AA1002" s="28">
        <f>Table1[[#This Row],[Engagement (Gamification %)]]-Table1[[#This Row],[Engagement (Non-Gamification %)]]</f>
        <v>-14.575531000000012</v>
      </c>
      <c r="AB1002" s="28">
        <f>Table1[[#This Row],[Motivation (Gamification %)]]-Table1[[#This Row],[Motivation (Non-Gamification %)]]</f>
        <v>0.13608299999999929</v>
      </c>
      <c r="AC1002" s="28">
        <f>Table1[[#This Row],[Participation (Gamification %)]]-Table1[[#This Row],[Participation (Non-Gamification %)]]</f>
        <v>18.196379000000007</v>
      </c>
      <c r="AD1002" s="28">
        <f>Table1[[#This Row],[Learning Outcomes (Gamification %)]]-Table1[[#This Row],[Learning Outcomes (Non-Gamification %)]]</f>
        <v>-14.876310000000004</v>
      </c>
      <c r="AE1002" s="44" t="str">
        <f>IF(Table1[[#This Row],[Overall Effectiveness]]&lt;3.9,"Low",IF(Table1[[#This Row],[Overall Effectiveness]]&lt;4.2,"Medium","High"))</f>
        <v>Medium</v>
      </c>
      <c r="AF1002" s="30" t="str">
        <f t="shared" si="94"/>
        <v>Lectures</v>
      </c>
      <c r="AG1002" s="30" t="str">
        <f t="shared" si="95"/>
        <v>Case Studies</v>
      </c>
      <c r="AH1002" s="27">
        <f>COUNTIF(Teacher_Master!$D$2:$D$16,AF1002)</f>
        <v>3</v>
      </c>
      <c r="AI1002" s="30" t="str">
        <f>INDEX(Teacher_Master!$B$2:$B$16,MATCH(AF1002,Teacher_Master!$D$2:$D$16,0))</f>
        <v>Prof. Vikram Gupta</v>
      </c>
    </row>
    <row r="1003" spans="1:35" ht="14.25" customHeight="1" x14ac:dyDescent="0.3">
      <c r="A1003" s="31" t="s">
        <v>2044</v>
      </c>
      <c r="B1003" s="31" t="s">
        <v>2803</v>
      </c>
      <c r="C1003" s="31" t="s">
        <v>2881</v>
      </c>
      <c r="D1003" s="12">
        <f t="shared" ca="1" si="90"/>
        <v>28</v>
      </c>
      <c r="E1003" s="12" t="str">
        <f ca="1">IF(Table1[[#This Row],[Age]]&lt;=22,"20-22",IF(Table1[[#This Row],[Age]]&lt;=25,"23-25",IF(Table1[[#This Row],[Age]]&lt;=28,"26-28","29-30")))</f>
        <v>26-28</v>
      </c>
      <c r="F1003" s="12">
        <v>4</v>
      </c>
      <c r="G1003" s="12">
        <v>3.98</v>
      </c>
      <c r="H1003" s="12">
        <v>3.79</v>
      </c>
      <c r="I1003" s="12">
        <v>3.1</v>
      </c>
      <c r="J1003" s="12">
        <v>3.62</v>
      </c>
      <c r="K1003" s="12">
        <v>3.98</v>
      </c>
      <c r="L1003" s="12">
        <v>3.58</v>
      </c>
      <c r="M1003" s="12">
        <v>4.59</v>
      </c>
      <c r="N1003" s="12">
        <v>3.63</v>
      </c>
      <c r="O1003" s="12">
        <v>4.41</v>
      </c>
      <c r="P1003" s="12">
        <f t="shared" si="91"/>
        <v>3.6979999999999995</v>
      </c>
      <c r="Q1003" s="12">
        <f t="shared" si="92"/>
        <v>3.7</v>
      </c>
      <c r="R1003" s="12">
        <f t="shared" si="93"/>
        <v>4.0380000000000003</v>
      </c>
      <c r="S1003" s="28">
        <f>IFERROR(INDEX('Clean Gamification Data'!$B:$B,MATCH($B1003,'Clean Gamification Data'!$A:$A,0)),"Not Found")</f>
        <v>85.456199999999995</v>
      </c>
      <c r="T1003" s="28">
        <f>IFERROR(INDEX('Clean Gamification Data'!$C:$C,MATCH($B1003,'Clean Gamification Data'!$A:$A,0)),"Not Found")</f>
        <v>74.985619999999997</v>
      </c>
      <c r="U1003" s="28">
        <f>IFERROR(INDEX('Clean Gamification Data'!$D:$D,MATCH($B1003,'Clean Gamification Data'!$A:$A,0)),"Not Found")</f>
        <v>87.145690000000002</v>
      </c>
      <c r="V1003" s="28">
        <f>IFERROR(INDEX('Clean Gamification Data'!$E:$E,MATCH($B1003,'Clean Gamification Data'!$A:$A,0)),"Not Found")</f>
        <v>70.458320000000001</v>
      </c>
      <c r="W1003" s="28">
        <f>IFERROR(INDEX('Clean Gamification Data'!$F:$F,MATCH($B1003,'Clean Gamification Data'!$A:$A,0)),"Not Found")</f>
        <v>82.147599999999997</v>
      </c>
      <c r="X1003" s="28">
        <f>IFERROR(INDEX('Clean Gamification Data'!$G:$G,MATCH($B1003,'Clean Gamification Data'!$A:$A,0)),"Not Found")</f>
        <v>95</v>
      </c>
      <c r="Y1003" s="28">
        <f>IFERROR(INDEX('Clean Gamification Data'!$H:$H,MATCH($B1003,'Clean Gamification Data'!$A:$A,0)),"Not Found")</f>
        <v>89.214500000000001</v>
      </c>
      <c r="Z1003" s="28">
        <f>IFERROR(INDEX('Clean Gamification Data'!$I:$I,MATCH($B1003,'Clean Gamification Data'!$A:$A,0)),"Not Found")</f>
        <v>78.214556000000002</v>
      </c>
      <c r="AA1003" s="28">
        <f>Table1[[#This Row],[Engagement (Gamification %)]]-Table1[[#This Row],[Engagement (Non-Gamification %)]]</f>
        <v>10.470579999999998</v>
      </c>
      <c r="AB1003" s="28">
        <f>Table1[[#This Row],[Motivation (Gamification %)]]-Table1[[#This Row],[Motivation (Non-Gamification %)]]</f>
        <v>16.687370000000001</v>
      </c>
      <c r="AC1003" s="28">
        <f>Table1[[#This Row],[Participation (Gamification %)]]-Table1[[#This Row],[Participation (Non-Gamification %)]]</f>
        <v>-12.852400000000003</v>
      </c>
      <c r="AD1003" s="28">
        <f>Table1[[#This Row],[Learning Outcomes (Gamification %)]]-Table1[[#This Row],[Learning Outcomes (Non-Gamification %)]]</f>
        <v>10.999943999999999</v>
      </c>
      <c r="AE1003" s="44" t="str">
        <f>IF(Table1[[#This Row],[Overall Effectiveness]]&lt;3.9,"Low",IF(Table1[[#This Row],[Overall Effectiveness]]&lt;4.2,"Medium","High"))</f>
        <v>Low</v>
      </c>
      <c r="AF1003" s="30" t="str">
        <f t="shared" si="94"/>
        <v>Lectures</v>
      </c>
      <c r="AG1003" s="30" t="str">
        <f t="shared" si="95"/>
        <v>Group Projects</v>
      </c>
      <c r="AH1003" s="27">
        <f>COUNTIF(Teacher_Master!$D$2:$D$16,AF1003)</f>
        <v>3</v>
      </c>
      <c r="AI1003" s="30" t="str">
        <f>INDEX(Teacher_Master!$B$2:$B$16,MATCH(AF1003,Teacher_Master!$D$2:$D$16,0))</f>
        <v>Prof. Vikram Gupta</v>
      </c>
    </row>
  </sheetData>
  <conditionalFormatting sqref="B1:R1003">
    <cfRule type="cellIs" dxfId="38" priority="2" operator="equal">
      <formula>"N/A"</formula>
    </cfRule>
    <cfRule type="cellIs" dxfId="37" priority="3" operator="equal">
      <formula>"NA"</formula>
    </cfRule>
  </conditionalFormatting>
  <dataValidations count="1">
    <dataValidation type="decimal" allowBlank="1" showInputMessage="1" showErrorMessage="1" sqref="S1:Z1" xr:uid="{00000000-0002-0000-0800-000000000000}">
      <formula1>0</formula1>
      <formula2>100</formula2>
    </dataValidation>
  </dataValidations>
  <pageMargins left="0.7" right="0.7" top="0.75" bottom="0.75" header="0.511811023622047" footer="0.511811023622047"/>
  <pageSetup paperSize="9" orientation="portrait" horizontalDpi="300" verticalDpi="30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48FC4-573C-4664-87F0-B49A9B422EAA}">
  <sheetPr codeName="Sheet20"/>
  <dimension ref="A1:J43"/>
  <sheetViews>
    <sheetView workbookViewId="0">
      <selection sqref="A1:B1"/>
    </sheetView>
  </sheetViews>
  <sheetFormatPr defaultColWidth="8.6640625" defaultRowHeight="14.4" x14ac:dyDescent="0.3"/>
  <cols>
    <col min="1" max="1" width="40.77734375" customWidth="1"/>
    <col min="2" max="2" width="22" customWidth="1"/>
    <col min="3" max="3" width="16.33203125" customWidth="1"/>
    <col min="4" max="4" width="11.44140625" customWidth="1"/>
  </cols>
  <sheetData>
    <row r="1" spans="1:10" ht="21.75" customHeight="1" x14ac:dyDescent="0.3">
      <c r="A1" s="116" t="s">
        <v>2883</v>
      </c>
      <c r="B1" s="116"/>
    </row>
    <row r="2" spans="1:10" ht="14.25" customHeight="1" x14ac:dyDescent="0.3">
      <c r="A2" s="13"/>
      <c r="B2" s="13"/>
    </row>
    <row r="3" spans="1:10" ht="23.4" customHeight="1" x14ac:dyDescent="0.3">
      <c r="A3" s="117" t="s">
        <v>2884</v>
      </c>
      <c r="B3" s="117"/>
    </row>
    <row r="4" spans="1:10" ht="14.25" customHeight="1" x14ac:dyDescent="0.3">
      <c r="A4" s="14" t="s">
        <v>2812</v>
      </c>
      <c r="B4" s="15" t="s">
        <v>2885</v>
      </c>
    </row>
    <row r="5" spans="1:10" ht="14.25" customHeight="1" x14ac:dyDescent="0.3">
      <c r="A5" s="37" t="s">
        <v>2886</v>
      </c>
      <c r="B5" s="36">
        <f>COUNTA(Master_Data!B:B)-1</f>
        <v>1002</v>
      </c>
    </row>
    <row r="6" spans="1:10" ht="14.25" customHeight="1" x14ac:dyDescent="0.3">
      <c r="A6" s="38" t="s">
        <v>2887</v>
      </c>
      <c r="B6" s="39">
        <f>AVERAGE(Master_Data!P:P)</f>
        <v>4.0429406187624748</v>
      </c>
      <c r="J6" s="5">
        <f>B7</f>
        <v>4.0482626413839009</v>
      </c>
    </row>
    <row r="7" spans="1:10" ht="14.25" customHeight="1" x14ac:dyDescent="0.3">
      <c r="A7" s="37" t="s">
        <v>2888</v>
      </c>
      <c r="B7" s="40">
        <f>AVERAGE(Master_Data!R:R)</f>
        <v>4.0482626413839009</v>
      </c>
      <c r="J7" s="5">
        <f>B6</f>
        <v>4.0429406187624748</v>
      </c>
    </row>
    <row r="8" spans="1:10" ht="14.25" customHeight="1" x14ac:dyDescent="0.3">
      <c r="A8" s="38" t="s">
        <v>2889</v>
      </c>
      <c r="B8" s="39">
        <f>MAX(Master_Data!P:P)</f>
        <v>4.49</v>
      </c>
    </row>
    <row r="9" spans="1:10" ht="14.25" customHeight="1" x14ac:dyDescent="0.3">
      <c r="A9" s="37" t="s">
        <v>2890</v>
      </c>
      <c r="B9" s="40">
        <f>MIN(Master_Data!P:P)</f>
        <v>3.6074999999999999</v>
      </c>
    </row>
    <row r="10" spans="1:10" ht="14.25" customHeight="1" x14ac:dyDescent="0.3">
      <c r="A10" s="38" t="s">
        <v>2891</v>
      </c>
      <c r="B10" s="39">
        <f>MAX(Master_Data!R:R)</f>
        <v>4.5179999999999998</v>
      </c>
    </row>
    <row r="11" spans="1:10" ht="14.25" customHeight="1" x14ac:dyDescent="0.3">
      <c r="A11" s="37" t="s">
        <v>2892</v>
      </c>
      <c r="B11" s="40">
        <f>MIN(Master_Data!R:R)</f>
        <v>3.4939999999999998</v>
      </c>
    </row>
    <row r="12" spans="1:10" ht="14.25" customHeight="1" x14ac:dyDescent="0.3">
      <c r="A12" s="38" t="s">
        <v>2893</v>
      </c>
      <c r="B12" s="41">
        <f>COUNTIF(Master_Data!P:P,"&gt;=4")</f>
        <v>617</v>
      </c>
    </row>
    <row r="13" spans="1:10" ht="14.25" customHeight="1" x14ac:dyDescent="0.3">
      <c r="A13" s="37" t="s">
        <v>2894</v>
      </c>
      <c r="B13" s="36">
        <f>COUNTIF(Master_Data!R:R,"&gt;=4")</f>
        <v>650</v>
      </c>
    </row>
    <row r="14" spans="1:10" ht="14.25" customHeight="1" x14ac:dyDescent="0.3">
      <c r="A14" s="13"/>
      <c r="B14" s="13"/>
    </row>
    <row r="15" spans="1:10" ht="25.2" customHeight="1" x14ac:dyDescent="0.3">
      <c r="A15" s="117" t="s">
        <v>2895</v>
      </c>
      <c r="B15" s="117"/>
    </row>
    <row r="16" spans="1:10" ht="14.25" customHeight="1" x14ac:dyDescent="0.3">
      <c r="A16" s="14" t="s">
        <v>2812</v>
      </c>
      <c r="B16" s="15" t="s">
        <v>2885</v>
      </c>
    </row>
    <row r="17" spans="1:10" ht="14.25" customHeight="1" x14ac:dyDescent="0.3">
      <c r="A17" s="38" t="s">
        <v>2896</v>
      </c>
      <c r="B17" s="39">
        <f>AVERAGE(Master_Data!S:S)</f>
        <v>85.517022347514953</v>
      </c>
    </row>
    <row r="18" spans="1:10" ht="14.25" customHeight="1" x14ac:dyDescent="0.3">
      <c r="A18" s="37" t="s">
        <v>2897</v>
      </c>
      <c r="B18" s="40">
        <f>AVERAGE(Master_Data!T:T)</f>
        <v>68.604651632225469</v>
      </c>
    </row>
    <row r="19" spans="1:10" ht="14.25" customHeight="1" x14ac:dyDescent="0.3">
      <c r="A19" s="38" t="s">
        <v>2898</v>
      </c>
      <c r="B19" s="39">
        <f>AVERAGE(Master_Data!U:U)</f>
        <v>77.193954170189812</v>
      </c>
    </row>
    <row r="20" spans="1:10" ht="14.25" customHeight="1" x14ac:dyDescent="0.3">
      <c r="A20" s="37" t="s">
        <v>2899</v>
      </c>
      <c r="B20" s="40">
        <f>AVERAGE(Master_Data!V:V)</f>
        <v>65.624272724381157</v>
      </c>
    </row>
    <row r="21" spans="1:10" ht="14.25" customHeight="1" x14ac:dyDescent="0.3">
      <c r="A21" s="38" t="s">
        <v>2900</v>
      </c>
      <c r="B21" s="39">
        <f>AVERAGE(Master_Data!W:W)</f>
        <v>89.962359717754481</v>
      </c>
    </row>
    <row r="22" spans="1:10" x14ac:dyDescent="0.3">
      <c r="A22" s="37" t="s">
        <v>2901</v>
      </c>
      <c r="B22" s="40">
        <f>AVERAGE(Master_Data!X:X)</f>
        <v>78.227135565359305</v>
      </c>
    </row>
    <row r="23" spans="1:10" x14ac:dyDescent="0.3">
      <c r="A23" s="38" t="s">
        <v>2902</v>
      </c>
      <c r="B23" s="39">
        <f>AVERAGE(Master_Data!Y:Y)</f>
        <v>71.12876544046901</v>
      </c>
    </row>
    <row r="24" spans="1:10" x14ac:dyDescent="0.3">
      <c r="A24" s="37" t="s">
        <v>2903</v>
      </c>
      <c r="B24" s="40">
        <f>AVERAGE(Master_Data!Z:Z)</f>
        <v>58.409985416147805</v>
      </c>
    </row>
    <row r="25" spans="1:10" x14ac:dyDescent="0.3">
      <c r="A25" s="38" t="s">
        <v>2904</v>
      </c>
      <c r="B25" s="39">
        <f>AVERAGE(Master_Data!S:S)-AVERAGE(Master_Data!T:T)</f>
        <v>16.912370715289484</v>
      </c>
      <c r="J25" s="5"/>
    </row>
    <row r="26" spans="1:10" x14ac:dyDescent="0.3">
      <c r="A26" s="37" t="s">
        <v>2905</v>
      </c>
      <c r="B26" s="40">
        <f>AVERAGE(Master_Data!U:U)-AVERAGE(Master_Data!V:V)</f>
        <v>11.569681445808655</v>
      </c>
    </row>
    <row r="27" spans="1:10" x14ac:dyDescent="0.3">
      <c r="A27" s="38" t="s">
        <v>2906</v>
      </c>
      <c r="B27" s="39">
        <f>AVERAGE(Master_Data!W:W)-AVERAGE(Master_Data!X:X)</f>
        <v>11.735224152395176</v>
      </c>
    </row>
    <row r="28" spans="1:10" x14ac:dyDescent="0.3">
      <c r="A28" s="37" t="s">
        <v>2907</v>
      </c>
      <c r="B28" s="40">
        <f>AVERAGE(Master_Data!Y:Y)-AVERAGE(Master_Data!Z:Z)</f>
        <v>12.718780024321205</v>
      </c>
      <c r="D28" s="51"/>
    </row>
    <row r="29" spans="1:10" x14ac:dyDescent="0.3">
      <c r="A29" s="38" t="s">
        <v>2908</v>
      </c>
      <c r="B29" s="39">
        <f>AVERAGE(B25:B28)</f>
        <v>13.23401408445363</v>
      </c>
    </row>
    <row r="31" spans="1:10" ht="22.8" customHeight="1" x14ac:dyDescent="0.3">
      <c r="A31" s="117" t="s">
        <v>2909</v>
      </c>
      <c r="B31" s="117"/>
    </row>
    <row r="32" spans="1:10" ht="16.2" customHeight="1" x14ac:dyDescent="0.3">
      <c r="A32" s="14" t="s">
        <v>2812</v>
      </c>
      <c r="B32" s="15" t="s">
        <v>2885</v>
      </c>
    </row>
    <row r="33" spans="1:5" x14ac:dyDescent="0.3">
      <c r="A33" s="37" t="s">
        <v>2910</v>
      </c>
      <c r="B33" s="19">
        <f>CORREL(Master_Data!P:P,Master_Data!R:R)</f>
        <v>-2.9057612004609718E-3</v>
      </c>
    </row>
    <row r="34" spans="1:5" x14ac:dyDescent="0.3">
      <c r="A34" s="38" t="s">
        <v>2911</v>
      </c>
      <c r="B34" s="49" t="str">
        <f>CHOOSE(MATCH(MAX('KPI Analysis'!D12:D16),'KPI Analysis'!D12:D16,0),"Lectures","Case Studies","Group Projects","Experiments","Online Tutorials")</f>
        <v>Experiments</v>
      </c>
    </row>
    <row r="35" spans="1:5" x14ac:dyDescent="0.3">
      <c r="A35" s="37" t="s">
        <v>2912</v>
      </c>
      <c r="B35" s="20" t="str">
        <f>CHOOSE(MATCH(MAX('KPI Analysis'!D21:D25),'KPI Analysis'!D21:D25,0),"Lectures","Case Studies","Group Projects","Experiments","Online Tutorials")</f>
        <v>Experiments</v>
      </c>
    </row>
    <row r="37" spans="1:5" ht="28.8" x14ac:dyDescent="0.3">
      <c r="A37" s="50" t="s">
        <v>2987</v>
      </c>
      <c r="B37" s="50" t="s">
        <v>2820</v>
      </c>
      <c r="C37" s="50" t="s">
        <v>2988</v>
      </c>
      <c r="D37" s="50" t="s">
        <v>2989</v>
      </c>
    </row>
    <row r="38" spans="1:5" x14ac:dyDescent="0.3">
      <c r="A38" s="52">
        <v>1</v>
      </c>
      <c r="B38" s="62" t="str">
        <f>Teacher_Master!B2</f>
        <v>Prof. Vikram Gupta</v>
      </c>
      <c r="C38" s="63" t="str">
        <f>Teacher_Master!D2</f>
        <v>Lectures</v>
      </c>
      <c r="D38" s="61">
        <f>Teacher_Master!F2</f>
        <v>15</v>
      </c>
    </row>
    <row r="39" spans="1:5" x14ac:dyDescent="0.3">
      <c r="A39" s="53">
        <v>2</v>
      </c>
      <c r="B39" s="64" t="str">
        <f>Teacher_Master!B3</f>
        <v>Prof. Rahul Singh</v>
      </c>
      <c r="C39" s="64" t="str">
        <f>Teacher_Master!D3</f>
        <v>Experiments</v>
      </c>
      <c r="D39" s="60">
        <f>Teacher_Master!F3</f>
        <v>13</v>
      </c>
    </row>
    <row r="40" spans="1:5" x14ac:dyDescent="0.3">
      <c r="A40" s="54">
        <v>3</v>
      </c>
      <c r="B40" s="65" t="str">
        <f>Teacher_Master!B4</f>
        <v>Dr. Ananya Sharma</v>
      </c>
      <c r="C40" s="66" t="str">
        <f>Teacher_Master!D4</f>
        <v>Lectures</v>
      </c>
      <c r="D40" s="58">
        <f>Teacher_Master!F4</f>
        <v>12</v>
      </c>
    </row>
    <row r="41" spans="1:5" ht="18" customHeight="1" x14ac:dyDescent="0.3">
      <c r="A41" s="55">
        <v>4</v>
      </c>
      <c r="B41" s="67" t="str">
        <f>Teacher_Master!B5</f>
        <v>Prof. Kavita Rao</v>
      </c>
      <c r="C41" s="64" t="str">
        <f>Teacher_Master!D5</f>
        <v>Online Tutorials</v>
      </c>
      <c r="D41" s="59">
        <f>Teacher_Master!F5</f>
        <v>12</v>
      </c>
      <c r="E41" s="57"/>
    </row>
    <row r="42" spans="1:5" x14ac:dyDescent="0.3">
      <c r="A42" s="56">
        <v>5</v>
      </c>
      <c r="B42" s="65" t="str">
        <f>Teacher_Master!B6</f>
        <v>Dr. Sneha Iyer</v>
      </c>
      <c r="C42" s="66" t="str">
        <f>Teacher_Master!D6</f>
        <v>Experiments</v>
      </c>
      <c r="D42" s="58">
        <f>Teacher_Master!F6</f>
        <v>11</v>
      </c>
    </row>
    <row r="43" spans="1:5" x14ac:dyDescent="0.3">
      <c r="A43" s="51"/>
      <c r="C43" s="51"/>
      <c r="D43" s="51"/>
    </row>
  </sheetData>
  <mergeCells count="4">
    <mergeCell ref="A1:B1"/>
    <mergeCell ref="A3:B3"/>
    <mergeCell ref="A15:B15"/>
    <mergeCell ref="A31:B3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0F861-B8A5-4FDA-BDF8-39BF482F667C}">
  <sheetPr codeName="Sheet21"/>
  <dimension ref="A1:K58"/>
  <sheetViews>
    <sheetView topLeftCell="A14" workbookViewId="0">
      <selection sqref="A1:C2"/>
    </sheetView>
  </sheetViews>
  <sheetFormatPr defaultColWidth="8.6640625" defaultRowHeight="14.4" x14ac:dyDescent="0.3"/>
  <cols>
    <col min="1" max="1" width="33" customWidth="1"/>
    <col min="2" max="2" width="16.5546875" bestFit="1" customWidth="1"/>
    <col min="3" max="3" width="15.109375" customWidth="1"/>
    <col min="4" max="4" width="20" customWidth="1"/>
  </cols>
  <sheetData>
    <row r="1" spans="1:11" ht="15" customHeight="1" x14ac:dyDescent="0.3">
      <c r="A1" s="124" t="s">
        <v>2913</v>
      </c>
      <c r="B1" s="124"/>
      <c r="C1" s="124"/>
      <c r="D1" s="33"/>
    </row>
    <row r="2" spans="1:11" ht="13.8" customHeight="1" x14ac:dyDescent="0.3">
      <c r="A2" s="124"/>
      <c r="B2" s="124"/>
      <c r="C2" s="124"/>
      <c r="D2" s="33"/>
      <c r="K2" s="46"/>
    </row>
    <row r="3" spans="1:11" ht="14.25" customHeight="1" x14ac:dyDescent="0.3">
      <c r="A3" s="119" t="s">
        <v>2943</v>
      </c>
      <c r="B3" s="120"/>
      <c r="C3" s="121"/>
      <c r="D3" s="17">
        <f>COUNTA(Master_Data!C:C)-1</f>
        <v>1002</v>
      </c>
    </row>
    <row r="4" spans="1:11" ht="13.8" customHeight="1" x14ac:dyDescent="0.3">
      <c r="A4" s="119" t="s">
        <v>2944</v>
      </c>
      <c r="B4" s="120"/>
      <c r="C4" s="121"/>
      <c r="D4" s="17">
        <f>COUNTIF(Table1[Gender],"Male")</f>
        <v>636</v>
      </c>
    </row>
    <row r="5" spans="1:11" ht="13.8" customHeight="1" x14ac:dyDescent="0.3">
      <c r="A5" s="119" t="s">
        <v>2945</v>
      </c>
      <c r="B5" s="120"/>
      <c r="C5" s="121"/>
      <c r="D5" s="17">
        <f>COUNTIF(Table1[Gender],"Female")</f>
        <v>366</v>
      </c>
    </row>
    <row r="6" spans="1:11" ht="13.8" hidden="1" customHeight="1" x14ac:dyDescent="0.3">
      <c r="A6" s="118" t="s">
        <v>2914</v>
      </c>
      <c r="B6" s="118"/>
      <c r="C6" s="21"/>
      <c r="D6" s="21">
        <f ca="1">AVERAGE(Table1[Age])</f>
        <v>24.870259481037923</v>
      </c>
    </row>
    <row r="7" spans="1:11" ht="0.6" hidden="1" customHeight="1" x14ac:dyDescent="0.3">
      <c r="A7" s="118" t="s">
        <v>2915</v>
      </c>
      <c r="B7" s="118"/>
      <c r="C7" s="22"/>
      <c r="D7" s="22">
        <f ca="1">MAX(Table1[Age])</f>
        <v>30</v>
      </c>
    </row>
    <row r="8" spans="1:11" ht="14.25" customHeight="1" x14ac:dyDescent="0.3">
      <c r="A8" s="119" t="s">
        <v>2946</v>
      </c>
      <c r="B8" s="120"/>
      <c r="C8" s="121"/>
      <c r="D8" s="22">
        <f ca="1">MIN(Table1[Age])</f>
        <v>20</v>
      </c>
    </row>
    <row r="10" spans="1:11" ht="14.25" customHeight="1" x14ac:dyDescent="0.3">
      <c r="A10" s="125" t="s">
        <v>2916</v>
      </c>
      <c r="B10" s="125"/>
      <c r="C10" s="125"/>
      <c r="D10" s="125"/>
    </row>
    <row r="11" spans="1:11" ht="14.25" customHeight="1" x14ac:dyDescent="0.3">
      <c r="A11" s="125"/>
      <c r="B11" s="125"/>
      <c r="C11" s="125"/>
      <c r="D11" s="125"/>
    </row>
    <row r="12" spans="1:11" ht="14.25" customHeight="1" x14ac:dyDescent="0.3">
      <c r="A12" s="118" t="s">
        <v>2917</v>
      </c>
      <c r="B12" s="118"/>
      <c r="C12" s="118"/>
      <c r="D12" s="18">
        <f>AVERAGE(Table1[Lectures_effectiveness])</f>
        <v>4.038233471074375</v>
      </c>
    </row>
    <row r="13" spans="1:11" ht="14.25" customHeight="1" x14ac:dyDescent="0.3">
      <c r="A13" s="118" t="s">
        <v>2918</v>
      </c>
      <c r="B13" s="118"/>
      <c r="C13" s="118"/>
      <c r="D13" s="18">
        <f>AVERAGE(Table1[Case Studies_effectiveness])</f>
        <v>4.0479296066252557</v>
      </c>
    </row>
    <row r="14" spans="1:11" ht="14.25" customHeight="1" x14ac:dyDescent="0.3">
      <c r="A14" s="118" t="s">
        <v>2919</v>
      </c>
      <c r="B14" s="118"/>
      <c r="C14" s="118"/>
      <c r="D14" s="18">
        <f>AVERAGE(Table1[Group Projects_effectiveness])</f>
        <v>4.0448186528497416</v>
      </c>
    </row>
    <row r="15" spans="1:11" ht="14.25" customHeight="1" x14ac:dyDescent="0.3">
      <c r="A15" s="118" t="s">
        <v>2920</v>
      </c>
      <c r="B15" s="118"/>
      <c r="C15" s="118"/>
      <c r="D15" s="18">
        <f>AVERAGE(Table1[Experiments_effectiveness])</f>
        <v>4.0490332640332607</v>
      </c>
    </row>
    <row r="16" spans="1:11" ht="14.25" customHeight="1" x14ac:dyDescent="0.3">
      <c r="A16" s="118" t="s">
        <v>2921</v>
      </c>
      <c r="B16" s="118"/>
      <c r="C16" s="118"/>
      <c r="D16" s="18">
        <f>AVERAGE(Table1[Online Tutorials_effectiveness])</f>
        <v>4.0372867420349445</v>
      </c>
    </row>
    <row r="17" spans="1:4" ht="14.25" customHeight="1" x14ac:dyDescent="0.3">
      <c r="A17" s="118" t="s">
        <v>2887</v>
      </c>
      <c r="B17" s="118"/>
      <c r="C17" s="118"/>
      <c r="D17" s="18">
        <f>AVERAGE(Table1[Overall Effectiveness])</f>
        <v>4.0429406187624748</v>
      </c>
    </row>
    <row r="19" spans="1:4" ht="14.25" customHeight="1" x14ac:dyDescent="0.3">
      <c r="A19" s="122" t="s">
        <v>2922</v>
      </c>
      <c r="B19" s="123"/>
      <c r="C19" s="123"/>
      <c r="D19" s="123"/>
    </row>
    <row r="20" spans="1:4" ht="14.25" customHeight="1" x14ac:dyDescent="0.3">
      <c r="A20" s="123"/>
      <c r="B20" s="123"/>
      <c r="C20" s="123"/>
      <c r="D20" s="123"/>
    </row>
    <row r="21" spans="1:4" ht="14.25" customHeight="1" x14ac:dyDescent="0.3">
      <c r="A21" s="118" t="s">
        <v>2923</v>
      </c>
      <c r="B21" s="118"/>
      <c r="C21" s="118"/>
      <c r="D21" s="18">
        <f>AVERAGE(Table1[Lectures_engagement])</f>
        <v>4.0524612202688752</v>
      </c>
    </row>
    <row r="22" spans="1:4" ht="14.25" customHeight="1" x14ac:dyDescent="0.3">
      <c r="A22" s="118" t="s">
        <v>2924</v>
      </c>
      <c r="B22" s="118"/>
      <c r="C22" s="118"/>
      <c r="D22" s="18">
        <f>AVERAGE(Table1[Case Studies_engagement])</f>
        <v>4.0487654320987687</v>
      </c>
    </row>
    <row r="23" spans="1:4" ht="14.25" customHeight="1" x14ac:dyDescent="0.3">
      <c r="A23" s="118" t="s">
        <v>2925</v>
      </c>
      <c r="B23" s="118"/>
      <c r="C23" s="118"/>
      <c r="D23" s="18">
        <f>AVERAGE(Table1[Group Projects_engagement])</f>
        <v>4.039435318275153</v>
      </c>
    </row>
    <row r="24" spans="1:4" ht="14.25" customHeight="1" x14ac:dyDescent="0.3">
      <c r="A24" s="118" t="s">
        <v>2926</v>
      </c>
      <c r="B24" s="118"/>
      <c r="C24" s="118"/>
      <c r="D24" s="18">
        <f>AVERAGE(Table1[Experiments_engagement])</f>
        <v>4.0568639667705115</v>
      </c>
    </row>
    <row r="25" spans="1:4" ht="14.25" customHeight="1" x14ac:dyDescent="0.3">
      <c r="A25" s="118" t="s">
        <v>2927</v>
      </c>
      <c r="B25" s="118"/>
      <c r="C25" s="118"/>
      <c r="D25" s="18">
        <f>AVERAGE(Table1[Online Tutorials_engagement])</f>
        <v>4.0453783231083857</v>
      </c>
    </row>
    <row r="26" spans="1:4" ht="14.25" customHeight="1" x14ac:dyDescent="0.3">
      <c r="A26" s="118" t="s">
        <v>2888</v>
      </c>
      <c r="B26" s="118"/>
      <c r="C26" s="118"/>
      <c r="D26" s="18">
        <f>AVERAGE(Table1[Overall Engagement])</f>
        <v>4.0482626413839009</v>
      </c>
    </row>
    <row r="28" spans="1:4" ht="14.25" customHeight="1" x14ac:dyDescent="0.3">
      <c r="A28" s="122" t="s">
        <v>2928</v>
      </c>
      <c r="B28" s="123"/>
      <c r="C28" s="123"/>
      <c r="D28" s="123"/>
    </row>
    <row r="29" spans="1:4" ht="14.25" customHeight="1" x14ac:dyDescent="0.3">
      <c r="A29" s="123"/>
      <c r="B29" s="123"/>
      <c r="C29" s="123"/>
      <c r="D29" s="123"/>
    </row>
    <row r="30" spans="1:4" ht="14.25" customHeight="1" x14ac:dyDescent="0.3">
      <c r="A30" s="118" t="s">
        <v>2929</v>
      </c>
      <c r="B30" s="118"/>
      <c r="C30" s="118"/>
      <c r="D30" s="18">
        <f>AVERAGE(Table1[Engagement (Gamification %)])</f>
        <v>85.517022347514953</v>
      </c>
    </row>
    <row r="31" spans="1:4" ht="14.25" customHeight="1" x14ac:dyDescent="0.3">
      <c r="A31" s="118" t="s">
        <v>2930</v>
      </c>
      <c r="B31" s="118"/>
      <c r="C31" s="118"/>
      <c r="D31" s="18">
        <f>AVERAGE(Table1[Engagement (Non-Gamification %)])</f>
        <v>68.604651632225469</v>
      </c>
    </row>
    <row r="32" spans="1:4" ht="14.25" customHeight="1" x14ac:dyDescent="0.3">
      <c r="A32" s="118" t="s">
        <v>2931</v>
      </c>
      <c r="B32" s="118"/>
      <c r="C32" s="118"/>
      <c r="D32" s="18">
        <f>AVERAGE(Table1[Motivation (Gamification %)])</f>
        <v>77.193954170189812</v>
      </c>
    </row>
    <row r="33" spans="1:9" ht="14.25" customHeight="1" x14ac:dyDescent="0.3">
      <c r="A33" s="118" t="s">
        <v>2932</v>
      </c>
      <c r="B33" s="118"/>
      <c r="C33" s="118"/>
      <c r="D33" s="18">
        <f>AVERAGE(Table1[Motivation (Non-Gamification %)])</f>
        <v>65.624272724381157</v>
      </c>
    </row>
    <row r="34" spans="1:9" ht="14.25" customHeight="1" x14ac:dyDescent="0.3">
      <c r="A34" s="118" t="s">
        <v>2933</v>
      </c>
      <c r="B34" s="118"/>
      <c r="C34" s="118"/>
      <c r="D34" s="18">
        <f>AVERAGE(Table1[Participation (Gamification %)])</f>
        <v>89.962359717754481</v>
      </c>
    </row>
    <row r="35" spans="1:9" ht="14.25" customHeight="1" x14ac:dyDescent="0.3">
      <c r="A35" s="118" t="s">
        <v>2934</v>
      </c>
      <c r="B35" s="118"/>
      <c r="C35" s="118"/>
      <c r="D35" s="18">
        <f>AVERAGE(Table1[Participation (Non-Gamification %)])</f>
        <v>78.227135565359305</v>
      </c>
    </row>
    <row r="36" spans="1:9" ht="14.25" customHeight="1" x14ac:dyDescent="0.3">
      <c r="A36" s="118" t="s">
        <v>2935</v>
      </c>
      <c r="B36" s="118"/>
      <c r="C36" s="118"/>
      <c r="D36" s="18">
        <f>AVERAGE(Table1[Learning Outcomes (Gamification %)])</f>
        <v>71.12876544046901</v>
      </c>
    </row>
    <row r="37" spans="1:9" ht="14.25" customHeight="1" x14ac:dyDescent="0.3">
      <c r="A37" s="118" t="s">
        <v>2936</v>
      </c>
      <c r="B37" s="118"/>
      <c r="C37" s="118"/>
      <c r="D37" s="18">
        <f>AVERAGE(Table1[Learning Outcomes (Non-Gamification %)])</f>
        <v>58.409985416147805</v>
      </c>
    </row>
    <row r="39" spans="1:9" ht="14.25" customHeight="1" x14ac:dyDescent="0.3">
      <c r="A39" s="122" t="s">
        <v>2937</v>
      </c>
      <c r="B39" s="123"/>
      <c r="C39" s="123"/>
      <c r="D39" s="123"/>
    </row>
    <row r="40" spans="1:9" ht="14.25" customHeight="1" x14ac:dyDescent="0.3">
      <c r="A40" s="123"/>
      <c r="B40" s="123"/>
      <c r="C40" s="123"/>
      <c r="D40" s="123"/>
      <c r="I40" s="46"/>
    </row>
    <row r="41" spans="1:9" ht="14.25" customHeight="1" x14ac:dyDescent="0.3">
      <c r="A41" s="118" t="s">
        <v>2938</v>
      </c>
      <c r="B41" s="118"/>
      <c r="C41" s="118"/>
      <c r="D41" s="17">
        <f>COUNTA(Table4[Teacher ID])</f>
        <v>15</v>
      </c>
    </row>
    <row r="42" spans="1:9" ht="14.25" customHeight="1" x14ac:dyDescent="0.3">
      <c r="A42" s="118" t="s">
        <v>2939</v>
      </c>
      <c r="B42" s="118"/>
      <c r="C42" s="118"/>
      <c r="D42" s="20" t="str">
        <f>INDEX(Table4[Teacher Name],MATCH(MAX(Table4[Experience (Years)]),Table4[Experience (Years)],0))</f>
        <v>Prof. Vikram Gupta</v>
      </c>
    </row>
    <row r="43" spans="1:9" ht="14.25" customHeight="1" x14ac:dyDescent="0.3">
      <c r="A43" s="118" t="s">
        <v>2940</v>
      </c>
      <c r="B43" s="118"/>
      <c r="C43" s="118"/>
      <c r="D43" s="21">
        <f>AVERAGE(Table4[Experience (Years)])</f>
        <v>10</v>
      </c>
    </row>
    <row r="44" spans="1:9" ht="14.25" customHeight="1" x14ac:dyDescent="0.3">
      <c r="A44" s="68" t="s">
        <v>2991</v>
      </c>
      <c r="B44" s="68"/>
      <c r="C44" s="68"/>
      <c r="D44" s="21">
        <f>COUNTA(A48:A52)</f>
        <v>5</v>
      </c>
    </row>
    <row r="45" spans="1:9" ht="14.25" customHeight="1" x14ac:dyDescent="0.3">
      <c r="A45" s="118" t="s">
        <v>2941</v>
      </c>
      <c r="B45" s="118"/>
      <c r="C45" s="118"/>
      <c r="D45" s="17">
        <f>SUM(D48:D52)</f>
        <v>15</v>
      </c>
    </row>
    <row r="47" spans="1:9" ht="14.25" customHeight="1" x14ac:dyDescent="0.3">
      <c r="A47" s="34" t="s">
        <v>2822</v>
      </c>
      <c r="D47" s="35" t="s">
        <v>2942</v>
      </c>
    </row>
    <row r="48" spans="1:9" ht="14.25" customHeight="1" x14ac:dyDescent="0.3">
      <c r="A48" s="16" t="s">
        <v>2828</v>
      </c>
      <c r="D48" s="17">
        <f>COUNTIF(Table4[Teaching Method],A48)</f>
        <v>3</v>
      </c>
    </row>
    <row r="49" spans="1:4" ht="14.25" customHeight="1" x14ac:dyDescent="0.3">
      <c r="A49" s="16" t="s">
        <v>2833</v>
      </c>
      <c r="D49" s="17">
        <f>COUNTIF(Table4[Teaching Method],A49)</f>
        <v>3</v>
      </c>
    </row>
    <row r="50" spans="1:4" ht="14.25" customHeight="1" x14ac:dyDescent="0.3">
      <c r="A50" s="16" t="s">
        <v>2838</v>
      </c>
      <c r="D50" s="17">
        <f>COUNTIF(Table4[Teaching Method],A50)</f>
        <v>3</v>
      </c>
    </row>
    <row r="51" spans="1:4" ht="14.25" customHeight="1" x14ac:dyDescent="0.3">
      <c r="A51" s="16" t="s">
        <v>2847</v>
      </c>
      <c r="D51" s="17">
        <f>COUNTIF(Table4[Teaching Method],A51)</f>
        <v>3</v>
      </c>
    </row>
    <row r="52" spans="1:4" ht="14.25" customHeight="1" x14ac:dyDescent="0.3">
      <c r="A52" s="16" t="s">
        <v>2842</v>
      </c>
      <c r="D52" s="17">
        <f>COUNTIF(Table4[Teaching Method],A52)</f>
        <v>3</v>
      </c>
    </row>
    <row r="54" spans="1:4" ht="14.4" customHeight="1" x14ac:dyDescent="0.3">
      <c r="A54" s="43"/>
      <c r="B54" s="29"/>
      <c r="C54" s="29"/>
      <c r="D54" s="43"/>
    </row>
    <row r="55" spans="1:4" ht="17.399999999999999" customHeight="1" x14ac:dyDescent="0.3">
      <c r="A55" s="43"/>
      <c r="B55" s="29"/>
      <c r="C55" s="29"/>
      <c r="D55" s="43"/>
    </row>
    <row r="56" spans="1:4" ht="16.2" customHeight="1" x14ac:dyDescent="0.3">
      <c r="A56" s="43"/>
      <c r="B56" s="29"/>
      <c r="C56" s="29"/>
      <c r="D56" s="43"/>
    </row>
    <row r="57" spans="1:4" ht="15.6" customHeight="1" x14ac:dyDescent="0.3">
      <c r="A57" s="43"/>
      <c r="B57" s="29"/>
      <c r="C57" s="29"/>
      <c r="D57" s="43"/>
    </row>
    <row r="58" spans="1:4" ht="15" customHeight="1" x14ac:dyDescent="0.3">
      <c r="A58" s="43"/>
      <c r="B58" s="29"/>
      <c r="C58" s="29"/>
      <c r="D58" s="43"/>
    </row>
  </sheetData>
  <mergeCells count="35">
    <mergeCell ref="A1:C2"/>
    <mergeCell ref="A6:B6"/>
    <mergeCell ref="A7:B7"/>
    <mergeCell ref="A23:C23"/>
    <mergeCell ref="A10:D11"/>
    <mergeCell ref="A12:C12"/>
    <mergeCell ref="A13:C13"/>
    <mergeCell ref="A14:C14"/>
    <mergeCell ref="A15:C15"/>
    <mergeCell ref="A3:C3"/>
    <mergeCell ref="A4:C4"/>
    <mergeCell ref="A5:C5"/>
    <mergeCell ref="A43:C43"/>
    <mergeCell ref="A45:C45"/>
    <mergeCell ref="A21:C21"/>
    <mergeCell ref="A22:C22"/>
    <mergeCell ref="A39:D40"/>
    <mergeCell ref="A41:C41"/>
    <mergeCell ref="A42:C42"/>
    <mergeCell ref="A32:C32"/>
    <mergeCell ref="A24:C24"/>
    <mergeCell ref="A25:C25"/>
    <mergeCell ref="A26:C26"/>
    <mergeCell ref="A28:D29"/>
    <mergeCell ref="A30:C30"/>
    <mergeCell ref="A35:C35"/>
    <mergeCell ref="A36:C36"/>
    <mergeCell ref="A37:C37"/>
    <mergeCell ref="A31:C31"/>
    <mergeCell ref="A33:C33"/>
    <mergeCell ref="A34:C34"/>
    <mergeCell ref="A8:C8"/>
    <mergeCell ref="A16:C16"/>
    <mergeCell ref="A17:C17"/>
    <mergeCell ref="A19:D2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EF523-6376-4A0F-8E48-AE6BEBA4FA51}">
  <sheetPr codeName="Sheet22"/>
  <dimension ref="A1:BC101"/>
  <sheetViews>
    <sheetView tabSelected="1" zoomScale="14" zoomScaleNormal="14" workbookViewId="0">
      <selection activeCell="BJ15" sqref="BJ15:BL16"/>
    </sheetView>
  </sheetViews>
  <sheetFormatPr defaultRowHeight="14.4" x14ac:dyDescent="0.3"/>
  <cols>
    <col min="10" max="15" width="8.88671875" customWidth="1"/>
  </cols>
  <sheetData>
    <row r="1" spans="1:55" x14ac:dyDescent="0.3">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row>
    <row r="2" spans="1:55" ht="14.4" customHeight="1" x14ac:dyDescent="0.3">
      <c r="A2" s="88" t="s">
        <v>2990</v>
      </c>
      <c r="B2" s="89"/>
      <c r="C2" s="89"/>
      <c r="D2" s="89"/>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row>
    <row r="3" spans="1:55" x14ac:dyDescent="0.3">
      <c r="A3" s="89"/>
      <c r="B3" s="89"/>
      <c r="C3" s="89"/>
      <c r="D3" s="89"/>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row>
    <row r="4" spans="1:55" x14ac:dyDescent="0.3">
      <c r="A4" s="89"/>
      <c r="B4" s="89"/>
      <c r="C4" s="89"/>
      <c r="D4" s="89"/>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row>
    <row r="5" spans="1:55" x14ac:dyDescent="0.3">
      <c r="A5" s="89"/>
      <c r="B5" s="89"/>
      <c r="C5" s="89"/>
      <c r="D5" s="89"/>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row>
    <row r="6" spans="1:55" ht="14.4" customHeight="1" x14ac:dyDescent="0.3">
      <c r="A6" s="90" t="str">
        <f ca="1">TEXT(TODAY(),"dd mmmm yyyy")</f>
        <v>14 July 2026</v>
      </c>
      <c r="B6" s="90"/>
      <c r="C6" s="90"/>
      <c r="D6" s="90"/>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5"/>
      <c r="BA6" s="85"/>
      <c r="BB6" s="85"/>
      <c r="BC6" s="85"/>
    </row>
    <row r="7" spans="1:55" ht="14.4" customHeight="1" x14ac:dyDescent="0.3">
      <c r="A7" s="90"/>
      <c r="B7" s="90"/>
      <c r="C7" s="90"/>
      <c r="D7" s="90"/>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5"/>
      <c r="BA7" s="85"/>
      <c r="BB7" s="85"/>
      <c r="BC7" s="85"/>
    </row>
    <row r="8" spans="1:55" ht="14.4" customHeight="1" x14ac:dyDescent="0.3">
      <c r="A8" s="90"/>
      <c r="B8" s="90"/>
      <c r="C8" s="90"/>
      <c r="D8" s="90"/>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5"/>
      <c r="BA8" s="85"/>
      <c r="BB8" s="85"/>
      <c r="BC8" s="85"/>
    </row>
    <row r="9" spans="1:55" x14ac:dyDescent="0.3">
      <c r="A9" s="90"/>
      <c r="B9" s="90"/>
      <c r="C9" s="90"/>
      <c r="D9" s="90"/>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row>
    <row r="10" spans="1:55" x14ac:dyDescent="0.3">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row>
    <row r="11" spans="1:55" x14ac:dyDescent="0.3">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row>
    <row r="12" spans="1:55" x14ac:dyDescent="0.3">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row>
    <row r="13" spans="1:55" x14ac:dyDescent="0.3">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row>
    <row r="14" spans="1:55"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row>
    <row r="15" spans="1:55" x14ac:dyDescent="0.3">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row>
    <row r="16" spans="1:55" x14ac:dyDescent="0.3">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row>
    <row r="17" spans="1:55"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row>
    <row r="18" spans="1:55" x14ac:dyDescent="0.3">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row>
    <row r="19" spans="1:55"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row>
    <row r="20" spans="1:55"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row>
    <row r="21" spans="1:55" x14ac:dyDescent="0.3">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row>
    <row r="22" spans="1:55"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row>
    <row r="23" spans="1:55"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84"/>
      <c r="AW23" s="84"/>
      <c r="AX23" s="84"/>
      <c r="AY23" s="84"/>
      <c r="AZ23" s="84"/>
      <c r="BA23" s="84"/>
      <c r="BB23" s="84"/>
      <c r="BC23" s="84"/>
    </row>
    <row r="24" spans="1:55"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row>
    <row r="25" spans="1:55" x14ac:dyDescent="0.3">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row>
    <row r="26" spans="1:55"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84"/>
      <c r="AW26" s="84"/>
      <c r="AX26" s="84"/>
      <c r="AY26" s="84"/>
      <c r="AZ26" s="84"/>
      <c r="BA26" s="84"/>
      <c r="BB26" s="84"/>
      <c r="BC26" s="84"/>
    </row>
    <row r="27" spans="1:55"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row>
    <row r="28" spans="1:55"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row>
    <row r="29" spans="1:55"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row>
    <row r="30" spans="1:55"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row>
    <row r="31" spans="1:55"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row>
    <row r="32" spans="1:55"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row>
    <row r="33" spans="1:55"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row>
    <row r="34" spans="1:55"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row>
    <row r="35" spans="1:55"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row>
    <row r="36" spans="1:55"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row>
    <row r="37" spans="1:55"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c r="AS37" s="84"/>
      <c r="AT37" s="84"/>
      <c r="AU37" s="84"/>
      <c r="AV37" s="84"/>
      <c r="AW37" s="84"/>
      <c r="AX37" s="84"/>
      <c r="AY37" s="84"/>
      <c r="AZ37" s="84"/>
      <c r="BA37" s="84"/>
      <c r="BB37" s="84"/>
      <c r="BC37" s="84"/>
    </row>
    <row r="38" spans="1:55"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c r="BB38" s="84"/>
      <c r="BC38" s="84"/>
    </row>
    <row r="39" spans="1:55"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row>
    <row r="40" spans="1:55"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row>
    <row r="41" spans="1:55"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row>
    <row r="42" spans="1:55"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row>
    <row r="43" spans="1:55"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row>
    <row r="44" spans="1:55"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row>
    <row r="45" spans="1:55"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row>
    <row r="46" spans="1:55"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row>
    <row r="47" spans="1:55"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row>
    <row r="48" spans="1:55"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row>
    <row r="49" spans="1:55"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row>
    <row r="50" spans="1:55"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row>
    <row r="51" spans="1:55"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row>
    <row r="52" spans="1:55"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row>
    <row r="53" spans="1:55"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row>
    <row r="54" spans="1:55"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c r="AM54" s="84"/>
      <c r="AN54" s="84"/>
      <c r="AO54" s="84"/>
      <c r="AP54" s="84"/>
      <c r="AQ54" s="84"/>
      <c r="AR54" s="84"/>
      <c r="AS54" s="84"/>
      <c r="AT54" s="84"/>
      <c r="AU54" s="84"/>
      <c r="AV54" s="84"/>
      <c r="AW54" s="84"/>
      <c r="AX54" s="84"/>
      <c r="AY54" s="84"/>
      <c r="AZ54" s="84"/>
      <c r="BA54" s="84"/>
      <c r="BB54" s="84"/>
      <c r="BC54" s="84"/>
    </row>
    <row r="55" spans="1:55"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row>
    <row r="56" spans="1:55"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row>
    <row r="57" spans="1:55"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c r="AS57" s="84"/>
      <c r="AT57" s="84"/>
      <c r="AU57" s="84"/>
      <c r="AV57" s="84"/>
      <c r="AW57" s="84"/>
      <c r="AX57" s="84"/>
      <c r="AY57" s="84"/>
      <c r="AZ57" s="84"/>
      <c r="BA57" s="84"/>
      <c r="BB57" s="84"/>
      <c r="BC57" s="84"/>
    </row>
    <row r="58" spans="1:55"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c r="AS58" s="84"/>
      <c r="AT58" s="84"/>
      <c r="AU58" s="84"/>
      <c r="AV58" s="84"/>
      <c r="AW58" s="84"/>
      <c r="AX58" s="84"/>
      <c r="AY58" s="84"/>
      <c r="AZ58" s="84"/>
      <c r="BA58" s="84"/>
      <c r="BB58" s="84"/>
      <c r="BC58" s="84"/>
    </row>
    <row r="59" spans="1:55"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row>
    <row r="60" spans="1:55"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c r="AU60" s="84"/>
      <c r="AV60" s="84"/>
      <c r="AW60" s="84"/>
      <c r="AX60" s="84"/>
      <c r="AY60" s="84"/>
      <c r="AZ60" s="84"/>
      <c r="BA60" s="84"/>
      <c r="BB60" s="84"/>
      <c r="BC60" s="84"/>
    </row>
    <row r="61" spans="1:55"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c r="AS61" s="84"/>
      <c r="AT61" s="84"/>
      <c r="AU61" s="84"/>
      <c r="AV61" s="84"/>
      <c r="AW61" s="84"/>
      <c r="AX61" s="84"/>
      <c r="AY61" s="84"/>
      <c r="AZ61" s="84"/>
      <c r="BA61" s="84"/>
      <c r="BB61" s="84"/>
      <c r="BC61" s="84"/>
    </row>
    <row r="62" spans="1:55"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c r="AS62" s="84"/>
      <c r="AT62" s="84"/>
      <c r="AU62" s="84"/>
      <c r="AV62" s="84"/>
      <c r="AW62" s="84"/>
      <c r="AX62" s="84"/>
      <c r="AY62" s="84"/>
      <c r="AZ62" s="84"/>
      <c r="BA62" s="84"/>
      <c r="BB62" s="84"/>
      <c r="BC62" s="84"/>
    </row>
    <row r="63" spans="1:55"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row>
    <row r="64" spans="1:55"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c r="AS64" s="84"/>
      <c r="AT64" s="84"/>
      <c r="AU64" s="84"/>
      <c r="AV64" s="84"/>
      <c r="AW64" s="84"/>
      <c r="AX64" s="84"/>
      <c r="AY64" s="84"/>
      <c r="AZ64" s="84"/>
      <c r="BA64" s="84"/>
      <c r="BB64" s="84"/>
      <c r="BC64" s="84"/>
    </row>
    <row r="65" spans="1:55"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c r="AS65" s="84"/>
      <c r="AT65" s="84"/>
      <c r="AU65" s="84"/>
      <c r="AV65" s="84"/>
      <c r="AW65" s="84"/>
      <c r="AX65" s="84"/>
      <c r="AY65" s="84"/>
      <c r="AZ65" s="84"/>
      <c r="BA65" s="84"/>
      <c r="BB65" s="84"/>
      <c r="BC65" s="84"/>
    </row>
    <row r="66" spans="1:55"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row>
    <row r="67" spans="1:55"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row>
    <row r="68" spans="1:55"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row>
    <row r="69" spans="1:55"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row>
    <row r="70" spans="1:55"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row>
    <row r="71" spans="1:55"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c r="AO71" s="84"/>
      <c r="AP71" s="84"/>
      <c r="AQ71" s="84"/>
      <c r="AR71" s="84"/>
      <c r="AS71" s="84"/>
      <c r="AT71" s="84"/>
      <c r="AU71" s="84"/>
      <c r="AV71" s="84"/>
      <c r="AW71" s="84"/>
      <c r="AX71" s="84"/>
      <c r="AY71" s="84"/>
      <c r="AZ71" s="84"/>
      <c r="BA71" s="84"/>
      <c r="BB71" s="84"/>
      <c r="BC71" s="84"/>
    </row>
    <row r="72" spans="1:55"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c r="AS72" s="84"/>
      <c r="AT72" s="84"/>
      <c r="AU72" s="84"/>
      <c r="AV72" s="84"/>
      <c r="AW72" s="84"/>
      <c r="AX72" s="84"/>
      <c r="AY72" s="84"/>
      <c r="AZ72" s="84"/>
      <c r="BA72" s="84"/>
      <c r="BB72" s="84"/>
      <c r="BC72" s="84"/>
    </row>
    <row r="73" spans="1:55"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c r="AS73" s="84"/>
      <c r="AT73" s="84"/>
      <c r="AU73" s="84"/>
      <c r="AV73" s="84"/>
      <c r="AW73" s="84"/>
      <c r="AX73" s="84"/>
      <c r="AY73" s="84"/>
      <c r="AZ73" s="84"/>
      <c r="BA73" s="84"/>
      <c r="BB73" s="84"/>
      <c r="BC73" s="84"/>
    </row>
    <row r="74" spans="1:55"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4"/>
      <c r="AT74" s="84"/>
      <c r="AU74" s="84"/>
      <c r="AV74" s="84"/>
      <c r="AW74" s="84"/>
      <c r="AX74" s="84"/>
      <c r="AY74" s="84"/>
      <c r="AZ74" s="84"/>
      <c r="BA74" s="84"/>
      <c r="BB74" s="84"/>
      <c r="BC74" s="84"/>
    </row>
    <row r="75" spans="1:55"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c r="AS75" s="84"/>
      <c r="AT75" s="84"/>
      <c r="AU75" s="84"/>
      <c r="AV75" s="84"/>
      <c r="AW75" s="84"/>
      <c r="AX75" s="84"/>
      <c r="AY75" s="84"/>
      <c r="AZ75" s="84"/>
      <c r="BA75" s="84"/>
      <c r="BB75" s="84"/>
      <c r="BC75" s="84"/>
    </row>
    <row r="76" spans="1:55"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row>
    <row r="77" spans="1:55"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c r="AS77" s="84"/>
      <c r="AT77" s="84"/>
      <c r="AU77" s="84"/>
      <c r="AV77" s="84"/>
      <c r="AW77" s="84"/>
      <c r="AX77" s="84"/>
      <c r="AY77" s="84"/>
      <c r="AZ77" s="84"/>
      <c r="BA77" s="84"/>
      <c r="BB77" s="84"/>
      <c r="BC77" s="84"/>
    </row>
    <row r="78" spans="1:55"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c r="AS78" s="84"/>
      <c r="AT78" s="84"/>
      <c r="AU78" s="84"/>
      <c r="AV78" s="84"/>
      <c r="AW78" s="84"/>
      <c r="AX78" s="84"/>
      <c r="AY78" s="84"/>
      <c r="AZ78" s="84"/>
      <c r="BA78" s="84"/>
      <c r="BB78" s="84"/>
      <c r="BC78" s="84"/>
    </row>
    <row r="79" spans="1:55"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row>
    <row r="80" spans="1:55" x14ac:dyDescent="0.3">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row>
    <row r="81" spans="1:55" x14ac:dyDescent="0.3">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4"/>
      <c r="AT81" s="84"/>
      <c r="AU81" s="84"/>
      <c r="AV81" s="84"/>
      <c r="AW81" s="84"/>
      <c r="AX81" s="84"/>
      <c r="AY81" s="84"/>
      <c r="AZ81" s="84"/>
      <c r="BA81" s="84"/>
      <c r="BB81" s="84"/>
      <c r="BC81" s="84"/>
    </row>
    <row r="82" spans="1:55" x14ac:dyDescent="0.3">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row>
    <row r="83" spans="1:55" x14ac:dyDescent="0.3">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row>
    <row r="84" spans="1:55" x14ac:dyDescent="0.3">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row>
    <row r="85" spans="1:55" x14ac:dyDescent="0.3">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row>
    <row r="86" spans="1:55" x14ac:dyDescent="0.3">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row>
    <row r="87" spans="1:55" x14ac:dyDescent="0.3">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c r="AS87" s="84"/>
      <c r="AT87" s="84"/>
      <c r="AU87" s="84"/>
      <c r="AV87" s="84"/>
      <c r="AW87" s="84"/>
      <c r="AX87" s="84"/>
      <c r="AY87" s="84"/>
      <c r="AZ87" s="84"/>
      <c r="BA87" s="84"/>
      <c r="BB87" s="84"/>
      <c r="BC87" s="84"/>
    </row>
    <row r="88" spans="1:55" x14ac:dyDescent="0.3">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c r="AM88" s="84"/>
      <c r="AN88" s="84"/>
      <c r="AO88" s="84"/>
      <c r="AP88" s="84"/>
      <c r="AQ88" s="84"/>
      <c r="AR88" s="84"/>
      <c r="AS88" s="84"/>
      <c r="AT88" s="84"/>
      <c r="AU88" s="84"/>
      <c r="AV88" s="84"/>
      <c r="AW88" s="84"/>
      <c r="AX88" s="84"/>
      <c r="AY88" s="84"/>
      <c r="AZ88" s="84"/>
      <c r="BA88" s="84"/>
      <c r="BB88" s="84"/>
      <c r="BC88" s="84"/>
    </row>
    <row r="89" spans="1:55" x14ac:dyDescent="0.3">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84"/>
      <c r="AV89" s="84"/>
      <c r="AW89" s="84"/>
      <c r="AX89" s="84"/>
      <c r="AY89" s="84"/>
      <c r="AZ89" s="84"/>
      <c r="BA89" s="84"/>
      <c r="BB89" s="84"/>
      <c r="BC89" s="84"/>
    </row>
    <row r="90" spans="1:55" x14ac:dyDescent="0.3">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84"/>
      <c r="AV90" s="84"/>
      <c r="AW90" s="84"/>
      <c r="AX90" s="84"/>
      <c r="AY90" s="84"/>
      <c r="AZ90" s="84"/>
      <c r="BA90" s="84"/>
      <c r="BB90" s="84"/>
      <c r="BC90" s="84"/>
    </row>
    <row r="91" spans="1:55" x14ac:dyDescent="0.3">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84"/>
      <c r="AV91" s="84"/>
      <c r="AW91" s="84"/>
      <c r="AX91" s="84"/>
      <c r="AY91" s="84"/>
      <c r="AZ91" s="84"/>
      <c r="BA91" s="84"/>
      <c r="BB91" s="84"/>
      <c r="BC91" s="84"/>
    </row>
    <row r="92" spans="1:55" x14ac:dyDescent="0.3">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84"/>
      <c r="AV92" s="84"/>
      <c r="AW92" s="84"/>
      <c r="AX92" s="84"/>
      <c r="AY92" s="84"/>
      <c r="AZ92" s="84"/>
      <c r="BA92" s="84"/>
      <c r="BB92" s="84"/>
      <c r="BC92" s="84"/>
    </row>
    <row r="93" spans="1:55" x14ac:dyDescent="0.3">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row>
    <row r="94" spans="1:55" x14ac:dyDescent="0.3">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84"/>
      <c r="AV94" s="84"/>
      <c r="AW94" s="84"/>
      <c r="AX94" s="84"/>
      <c r="AY94" s="84"/>
      <c r="AZ94" s="84"/>
      <c r="BA94" s="84"/>
      <c r="BB94" s="84"/>
      <c r="BC94" s="84"/>
    </row>
    <row r="95" spans="1:55" x14ac:dyDescent="0.3">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c r="BA95" s="82"/>
      <c r="BB95" s="82"/>
      <c r="BC95" s="82"/>
    </row>
    <row r="96" spans="1:55"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row>
    <row r="97" spans="1:55"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row>
    <row r="98" spans="1:55"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row>
    <row r="99" spans="1:55"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row>
    <row r="100" spans="1:55" x14ac:dyDescent="0.3">
      <c r="A100" s="69"/>
      <c r="B100" s="69"/>
      <c r="C100" s="69"/>
      <c r="D100" s="69"/>
      <c r="E100" s="69"/>
      <c r="F100" s="69"/>
      <c r="G100" s="69"/>
      <c r="H100" s="69"/>
      <c r="I100" s="69"/>
      <c r="J100" s="69"/>
      <c r="K100" s="69"/>
      <c r="L100" s="69"/>
      <c r="M100" s="69"/>
      <c r="N100" s="69"/>
      <c r="O100" s="69"/>
      <c r="P100" s="69"/>
      <c r="Q100" s="69"/>
      <c r="R100" s="69"/>
      <c r="S100" s="69"/>
      <c r="T100" s="69"/>
      <c r="U100" s="69"/>
      <c r="V100" s="69"/>
      <c r="W100" s="69"/>
      <c r="X100" s="69"/>
      <c r="Y100" s="69"/>
      <c r="Z100" s="69"/>
      <c r="AA100" s="69"/>
      <c r="AB100" s="69"/>
      <c r="AC100" s="69"/>
      <c r="AD100" s="69"/>
      <c r="AE100" s="69"/>
      <c r="AF100" s="69"/>
      <c r="AG100" s="69"/>
      <c r="AH100" s="69"/>
      <c r="AI100" s="69"/>
      <c r="AJ100" s="69"/>
      <c r="AK100" s="69"/>
      <c r="AL100" s="69"/>
      <c r="AM100" s="69"/>
      <c r="AN100" s="69"/>
      <c r="AO100" s="69"/>
      <c r="AP100" s="69"/>
      <c r="AQ100" s="69"/>
      <c r="AR100" s="69"/>
      <c r="AS100" s="69"/>
      <c r="AT100" s="69"/>
      <c r="AU100" s="69"/>
      <c r="AV100" s="69"/>
      <c r="AW100" s="69"/>
      <c r="AX100" s="69"/>
      <c r="AY100" s="69"/>
      <c r="AZ100" s="69"/>
      <c r="BA100" s="69"/>
      <c r="BB100" s="69"/>
      <c r="BC100" s="69"/>
    </row>
    <row r="101" spans="1:55" x14ac:dyDescent="0.3">
      <c r="A101" s="69"/>
      <c r="B101" s="69"/>
      <c r="C101" s="69"/>
      <c r="D101" s="69"/>
      <c r="E101" s="69"/>
      <c r="F101" s="69"/>
      <c r="G101" s="69"/>
      <c r="H101" s="69"/>
      <c r="I101" s="69"/>
      <c r="J101" s="69"/>
      <c r="K101" s="69"/>
      <c r="L101" s="69"/>
      <c r="M101" s="69"/>
      <c r="N101" s="69"/>
      <c r="O101" s="69"/>
      <c r="P101" s="69"/>
      <c r="Q101" s="69"/>
      <c r="R101" s="69"/>
      <c r="S101" s="69"/>
      <c r="T101" s="69"/>
      <c r="U101" s="69"/>
      <c r="V101" s="69"/>
      <c r="W101" s="69"/>
      <c r="X101" s="69"/>
      <c r="Y101" s="69"/>
      <c r="Z101" s="69"/>
      <c r="AA101" s="69"/>
      <c r="AB101" s="69"/>
      <c r="AC101" s="69"/>
      <c r="AD101" s="69"/>
      <c r="AE101" s="69"/>
      <c r="AF101" s="69"/>
      <c r="AG101" s="69"/>
      <c r="AH101" s="69"/>
      <c r="AI101" s="69"/>
      <c r="AJ101" s="69"/>
      <c r="AK101" s="69"/>
      <c r="AL101" s="69"/>
      <c r="AM101" s="69"/>
      <c r="AN101" s="69"/>
      <c r="AO101" s="69"/>
      <c r="AP101" s="69"/>
      <c r="AQ101" s="69"/>
      <c r="AR101" s="69"/>
      <c r="AS101" s="69"/>
      <c r="AT101" s="69"/>
      <c r="AU101" s="69"/>
      <c r="AV101" s="69"/>
      <c r="AW101" s="69"/>
      <c r="AX101" s="69"/>
      <c r="AY101" s="69"/>
      <c r="AZ101" s="69"/>
      <c r="BA101" s="69"/>
      <c r="BB101" s="69"/>
      <c r="BC101" s="69"/>
    </row>
  </sheetData>
  <mergeCells count="2">
    <mergeCell ref="A2:D5"/>
    <mergeCell ref="A6:D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SummaryReport" altText="Summary Report">
                <anchor moveWithCells="1">
                  <from>
                    <xdr:col>59</xdr:col>
                    <xdr:colOff>30480</xdr:colOff>
                    <xdr:row>8</xdr:row>
                    <xdr:rowOff>30480</xdr:rowOff>
                  </from>
                  <to>
                    <xdr:col>70</xdr:col>
                    <xdr:colOff>312420</xdr:colOff>
                    <xdr:row>20</xdr:row>
                    <xdr:rowOff>30480</xdr:rowOff>
                  </to>
                </anchor>
              </controlPr>
            </control>
          </mc:Choice>
        </mc:AlternateContent>
        <mc:AlternateContent xmlns:mc="http://schemas.openxmlformats.org/markup-compatibility/2006">
          <mc:Choice Requires="x14">
            <control shapeId="1026" r:id="rId5" name="Button 2">
              <controlPr defaultSize="0" print="0" autoFill="0" autoPict="0" macro="[0]!Refresh">
                <anchor moveWithCells="1" sizeWithCells="1">
                  <from>
                    <xdr:col>59</xdr:col>
                    <xdr:colOff>30480</xdr:colOff>
                    <xdr:row>22</xdr:row>
                    <xdr:rowOff>0</xdr:rowOff>
                  </from>
                  <to>
                    <xdr:col>70</xdr:col>
                    <xdr:colOff>312420</xdr:colOff>
                    <xdr:row>33</xdr:row>
                    <xdr:rowOff>30480</xdr:rowOff>
                  </to>
                </anchor>
              </controlPr>
            </control>
          </mc:Choice>
        </mc:AlternateContent>
        <mc:AlternateContent xmlns:mc="http://schemas.openxmlformats.org/markup-compatibility/2006">
          <mc:Choice Requires="x14">
            <control shapeId="1027" r:id="rId6" name="Button 3">
              <controlPr defaultSize="0" print="0" autoFill="0" autoPict="0" macro="[0]!RefreshAllPivots">
                <anchor moveWithCells="1">
                  <from>
                    <xdr:col>59</xdr:col>
                    <xdr:colOff>0</xdr:colOff>
                    <xdr:row>35</xdr:row>
                    <xdr:rowOff>91440</xdr:rowOff>
                  </from>
                  <to>
                    <xdr:col>70</xdr:col>
                    <xdr:colOff>281940</xdr:colOff>
                    <xdr:row>46</xdr:row>
                    <xdr:rowOff>0</xdr:rowOff>
                  </to>
                </anchor>
              </controlPr>
            </control>
          </mc:Choice>
        </mc:AlternateContent>
        <mc:AlternateContent xmlns:mc="http://schemas.openxmlformats.org/markup-compatibility/2006">
          <mc:Choice Requires="x14">
            <control shapeId="1028" r:id="rId7" name="Button 4">
              <controlPr defaultSize="0" print="0" autoFill="0" autoPict="0" macro="[0]!ResetAllSlicers">
                <anchor moveWithCells="1" sizeWithCells="1">
                  <from>
                    <xdr:col>59</xdr:col>
                    <xdr:colOff>30480</xdr:colOff>
                    <xdr:row>48</xdr:row>
                    <xdr:rowOff>30480</xdr:rowOff>
                  </from>
                  <to>
                    <xdr:col>70</xdr:col>
                    <xdr:colOff>281940</xdr:colOff>
                    <xdr:row>60</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F017-E7C7-4262-A8A5-599F2580AFD1}">
  <sheetPr codeName="Sheet12"/>
  <dimension ref="A1:G10"/>
  <sheetViews>
    <sheetView topLeftCell="AU49" zoomScale="59" workbookViewId="0">
      <selection activeCell="BN71" sqref="BN71"/>
    </sheetView>
  </sheetViews>
  <sheetFormatPr defaultRowHeight="14.4" x14ac:dyDescent="0.3"/>
  <cols>
    <col min="1" max="1" width="14.6640625" bestFit="1" customWidth="1"/>
    <col min="2" max="2" width="29.44140625" bestFit="1" customWidth="1"/>
    <col min="3" max="3" width="28.77734375" bestFit="1" customWidth="1"/>
    <col min="4" max="4" width="29.44140625" bestFit="1" customWidth="1"/>
    <col min="5" max="5" width="28.77734375" bestFit="1" customWidth="1"/>
    <col min="6" max="6" width="34.33203125" bestFit="1" customWidth="1"/>
    <col min="7" max="7" width="33.77734375" bestFit="1" customWidth="1"/>
    <col min="8" max="8" width="33.109375" bestFit="1" customWidth="1"/>
    <col min="9" max="9" width="40.88671875" bestFit="1" customWidth="1"/>
    <col min="10" max="10" width="29.5546875" bestFit="1" customWidth="1"/>
  </cols>
  <sheetData>
    <row r="1" spans="1:7" x14ac:dyDescent="0.3">
      <c r="B1" s="126" t="s">
        <v>2972</v>
      </c>
      <c r="C1" s="127"/>
      <c r="D1" s="127"/>
    </row>
    <row r="3" spans="1:7" x14ac:dyDescent="0.3">
      <c r="B3" s="42" t="s">
        <v>2950</v>
      </c>
    </row>
    <row r="4" spans="1:7" x14ac:dyDescent="0.3">
      <c r="B4" t="s">
        <v>2881</v>
      </c>
      <c r="D4" t="s">
        <v>2882</v>
      </c>
      <c r="F4" t="s">
        <v>2952</v>
      </c>
      <c r="G4" t="s">
        <v>2954</v>
      </c>
    </row>
    <row r="5" spans="1:7" x14ac:dyDescent="0.3">
      <c r="A5" s="42" t="s">
        <v>2947</v>
      </c>
      <c r="B5" t="s">
        <v>2953</v>
      </c>
      <c r="C5" t="s">
        <v>2955</v>
      </c>
      <c r="D5" t="s">
        <v>2953</v>
      </c>
      <c r="E5" t="s">
        <v>2955</v>
      </c>
    </row>
    <row r="6" spans="1:7" x14ac:dyDescent="0.3">
      <c r="A6" s="31" t="s">
        <v>3117</v>
      </c>
      <c r="B6" s="5">
        <v>4.0160957854406139</v>
      </c>
      <c r="C6" s="5">
        <v>4.048295019157087</v>
      </c>
      <c r="D6" s="5">
        <v>4.0466284313725494</v>
      </c>
      <c r="E6" s="5">
        <v>4.043885294117648</v>
      </c>
      <c r="F6" s="5">
        <v>4.0362924773022071</v>
      </c>
      <c r="G6" s="5">
        <v>4.045378080415043</v>
      </c>
    </row>
    <row r="7" spans="1:7" x14ac:dyDescent="0.3">
      <c r="A7" s="31" t="s">
        <v>3121</v>
      </c>
      <c r="B7" s="5">
        <v>4.0427877358490578</v>
      </c>
      <c r="C7" s="5">
        <v>4.0252562893081789</v>
      </c>
      <c r="D7" s="5">
        <v>4.0326261770244809</v>
      </c>
      <c r="E7" s="5">
        <v>4.0553879472693017</v>
      </c>
      <c r="F7" s="5">
        <v>4.0364322732626627</v>
      </c>
      <c r="G7" s="5">
        <v>4.0441018845700825</v>
      </c>
    </row>
    <row r="8" spans="1:7" x14ac:dyDescent="0.3">
      <c r="A8" s="31" t="s">
        <v>3122</v>
      </c>
      <c r="B8" s="5">
        <v>4.0546249999999988</v>
      </c>
      <c r="C8" s="5">
        <v>4.0348450000000007</v>
      </c>
      <c r="D8" s="5">
        <v>4.0451000000000032</v>
      </c>
      <c r="E8" s="5">
        <v>4.0540333333333338</v>
      </c>
      <c r="F8" s="5">
        <v>4.0485636363636353</v>
      </c>
      <c r="G8" s="5">
        <v>4.0470557575757562</v>
      </c>
    </row>
    <row r="9" spans="1:7" x14ac:dyDescent="0.3">
      <c r="A9" s="31" t="s">
        <v>3123</v>
      </c>
      <c r="B9" s="5">
        <v>4.0567465753424656</v>
      </c>
      <c r="C9" s="5">
        <v>4.0767876712328759</v>
      </c>
      <c r="D9" s="5">
        <v>4.0516798245614032</v>
      </c>
      <c r="E9" s="5">
        <v>4.0497397660818715</v>
      </c>
      <c r="F9" s="5">
        <v>4.0536577540106977</v>
      </c>
      <c r="G9" s="5">
        <v>4.0602985739750439</v>
      </c>
    </row>
    <row r="10" spans="1:7" x14ac:dyDescent="0.3">
      <c r="A10" s="31" t="s">
        <v>2948</v>
      </c>
      <c r="B10" s="5">
        <v>4.0424612932604731</v>
      </c>
      <c r="C10" s="5">
        <v>4.043630692167576</v>
      </c>
      <c r="D10" s="5">
        <v>4.0432164570230587</v>
      </c>
      <c r="E10" s="5">
        <v>4.0509281970649891</v>
      </c>
      <c r="F10" s="5">
        <v>4.0429406187624757</v>
      </c>
      <c r="G10" s="5">
        <v>4.0482626413838974</v>
      </c>
    </row>
  </sheetData>
  <mergeCells count="1">
    <mergeCell ref="B1:D1"/>
  </mergeCell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53FFA-0880-44AD-9A6C-D004778E7790}">
  <sheetPr codeName="Sheet13"/>
  <dimension ref="A1:E8"/>
  <sheetViews>
    <sheetView zoomScale="58" zoomScaleNormal="58" workbookViewId="0">
      <selection activeCell="BI77" sqref="BI77"/>
    </sheetView>
  </sheetViews>
  <sheetFormatPr defaultRowHeight="14.4" x14ac:dyDescent="0.3"/>
  <cols>
    <col min="1" max="1" width="14.88671875" bestFit="1" customWidth="1"/>
    <col min="2" max="2" width="25.77734375" bestFit="1" customWidth="1"/>
    <col min="3" max="3" width="24.77734375" bestFit="1" customWidth="1"/>
    <col min="4" max="4" width="26.33203125" bestFit="1" customWidth="1"/>
    <col min="5" max="5" width="32.109375" bestFit="1" customWidth="1"/>
  </cols>
  <sheetData>
    <row r="1" spans="1:5" x14ac:dyDescent="0.3">
      <c r="B1" s="126" t="s">
        <v>2973</v>
      </c>
      <c r="C1" s="128"/>
      <c r="D1" s="128"/>
    </row>
    <row r="3" spans="1:5" x14ac:dyDescent="0.3">
      <c r="A3" s="42" t="s">
        <v>2947</v>
      </c>
      <c r="B3" t="s">
        <v>2960</v>
      </c>
      <c r="C3" t="s">
        <v>2961</v>
      </c>
      <c r="D3" t="s">
        <v>2962</v>
      </c>
      <c r="E3" t="s">
        <v>2963</v>
      </c>
    </row>
    <row r="4" spans="1:5" x14ac:dyDescent="0.3">
      <c r="A4" s="31" t="s">
        <v>3117</v>
      </c>
      <c r="B4" s="5">
        <v>17.146339900972759</v>
      </c>
      <c r="C4" s="5">
        <v>11.015282584747087</v>
      </c>
      <c r="D4" s="5">
        <v>11.255250935914399</v>
      </c>
      <c r="E4" s="5">
        <v>13.027540880739299</v>
      </c>
    </row>
    <row r="5" spans="1:5" x14ac:dyDescent="0.3">
      <c r="A5" s="31" t="s">
        <v>3121</v>
      </c>
      <c r="B5" s="5">
        <v>17.189597415477017</v>
      </c>
      <c r="C5" s="5">
        <v>11.876486326925791</v>
      </c>
      <c r="D5" s="5">
        <v>11.701428868021203</v>
      </c>
      <c r="E5" s="5">
        <v>12.587248350070675</v>
      </c>
    </row>
    <row r="6" spans="1:5" x14ac:dyDescent="0.3">
      <c r="A6" s="31" t="s">
        <v>3122</v>
      </c>
      <c r="B6" s="5">
        <v>16.758162154690922</v>
      </c>
      <c r="C6" s="5">
        <v>12.037147384072734</v>
      </c>
      <c r="D6" s="5">
        <v>12.362912981854537</v>
      </c>
      <c r="E6" s="5">
        <v>13.025011749563637</v>
      </c>
    </row>
    <row r="7" spans="1:5" x14ac:dyDescent="0.3">
      <c r="A7" s="31" t="s">
        <v>3123</v>
      </c>
      <c r="B7" s="5">
        <v>16.398050486898395</v>
      </c>
      <c r="C7" s="5">
        <v>11.179850391871664</v>
      </c>
      <c r="D7" s="5">
        <v>11.522939414491985</v>
      </c>
      <c r="E7" s="5">
        <v>12.043155421497326</v>
      </c>
    </row>
    <row r="8" spans="1:5" x14ac:dyDescent="0.3">
      <c r="A8" s="31" t="s">
        <v>2948</v>
      </c>
      <c r="B8" s="5">
        <v>16.91237071528943</v>
      </c>
      <c r="C8" s="5">
        <v>11.569681445808397</v>
      </c>
      <c r="D8" s="5">
        <v>11.735224152395199</v>
      </c>
      <c r="E8" s="5">
        <v>12.718780024321385</v>
      </c>
    </row>
  </sheetData>
  <mergeCells count="1">
    <mergeCell ref="B1:D1"/>
  </mergeCell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96A60-B1F5-40CC-AFA4-B9729E8CA3FD}">
  <sheetPr codeName="Sheet14"/>
  <dimension ref="A1:E6"/>
  <sheetViews>
    <sheetView zoomScale="82" workbookViewId="0">
      <selection activeCell="B22" sqref="B22"/>
    </sheetView>
  </sheetViews>
  <sheetFormatPr defaultRowHeight="14.4" x14ac:dyDescent="0.3"/>
  <cols>
    <col min="1" max="1" width="13" bestFit="1" customWidth="1"/>
    <col min="2" max="2" width="24.5546875" bestFit="1" customWidth="1"/>
    <col min="3" max="3" width="23.33203125" bestFit="1" customWidth="1"/>
    <col min="4" max="4" width="24.77734375" bestFit="1" customWidth="1"/>
    <col min="5" max="5" width="30.44140625" bestFit="1" customWidth="1"/>
    <col min="6" max="8" width="27.21875" bestFit="1" customWidth="1"/>
    <col min="9" max="9" width="26.33203125" bestFit="1" customWidth="1"/>
    <col min="10" max="10" width="24.88671875" bestFit="1" customWidth="1"/>
    <col min="11" max="11" width="32" bestFit="1" customWidth="1"/>
    <col min="12" max="12" width="26.21875" bestFit="1" customWidth="1"/>
  </cols>
  <sheetData>
    <row r="1" spans="1:5" x14ac:dyDescent="0.3">
      <c r="B1" s="129" t="s">
        <v>2974</v>
      </c>
      <c r="C1" s="130"/>
      <c r="D1" s="130"/>
    </row>
    <row r="3" spans="1:5" x14ac:dyDescent="0.3">
      <c r="A3" s="42" t="s">
        <v>2947</v>
      </c>
      <c r="B3" t="s">
        <v>2960</v>
      </c>
      <c r="C3" t="s">
        <v>2961</v>
      </c>
      <c r="D3" t="s">
        <v>2962</v>
      </c>
      <c r="E3" t="s">
        <v>2963</v>
      </c>
    </row>
    <row r="4" spans="1:5" x14ac:dyDescent="0.3">
      <c r="A4" s="31" t="s">
        <v>2881</v>
      </c>
      <c r="B4" s="5">
        <v>16.79739072669398</v>
      </c>
      <c r="C4" s="5">
        <v>11.22145582907104</v>
      </c>
      <c r="D4" s="5">
        <v>12.081391986885237</v>
      </c>
      <c r="E4" s="5">
        <v>13.18655196997268</v>
      </c>
    </row>
    <row r="5" spans="1:5" x14ac:dyDescent="0.3">
      <c r="A5" s="31" t="s">
        <v>2882</v>
      </c>
      <c r="B5" s="5">
        <v>16.978538444575449</v>
      </c>
      <c r="C5" s="5">
        <v>11.770075432798746</v>
      </c>
      <c r="D5" s="5">
        <v>11.536014360849057</v>
      </c>
      <c r="E5" s="5">
        <v>12.449590508427669</v>
      </c>
    </row>
    <row r="6" spans="1:5" x14ac:dyDescent="0.3">
      <c r="A6" s="31" t="s">
        <v>2948</v>
      </c>
      <c r="B6" s="5">
        <v>16.912370715289409</v>
      </c>
      <c r="C6" s="5">
        <v>11.569681445808378</v>
      </c>
      <c r="D6" s="5">
        <v>11.735224152395201</v>
      </c>
      <c r="E6" s="5">
        <v>12.718780024321385</v>
      </c>
    </row>
  </sheetData>
  <mergeCells count="1">
    <mergeCell ref="B1:D1"/>
  </mergeCell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C713D-947D-42C7-9059-ACF54A98CA50}">
  <sheetPr codeName="Sheet15"/>
  <dimension ref="A1:D13"/>
  <sheetViews>
    <sheetView zoomScale="60" workbookViewId="0">
      <selection activeCell="Q9" sqref="Q9"/>
    </sheetView>
  </sheetViews>
  <sheetFormatPr defaultRowHeight="14.4" x14ac:dyDescent="0.3"/>
  <cols>
    <col min="1" max="1" width="14.33203125" bestFit="1" customWidth="1"/>
    <col min="2" max="2" width="21.44140625" bestFit="1" customWidth="1"/>
  </cols>
  <sheetData>
    <row r="1" spans="1:4" x14ac:dyDescent="0.3">
      <c r="B1" s="126" t="s">
        <v>2975</v>
      </c>
      <c r="C1" s="128"/>
      <c r="D1" s="128"/>
    </row>
    <row r="3" spans="1:4" x14ac:dyDescent="0.3">
      <c r="A3" s="42" t="s">
        <v>2947</v>
      </c>
      <c r="B3" t="s">
        <v>2964</v>
      </c>
    </row>
    <row r="4" spans="1:4" x14ac:dyDescent="0.3">
      <c r="A4" s="44" t="s">
        <v>3118</v>
      </c>
      <c r="B4" s="132">
        <v>16</v>
      </c>
    </row>
    <row r="5" spans="1:4" x14ac:dyDescent="0.3">
      <c r="A5" s="44" t="s">
        <v>3119</v>
      </c>
      <c r="B5" s="132">
        <v>37</v>
      </c>
    </row>
    <row r="6" spans="1:4" x14ac:dyDescent="0.3">
      <c r="A6" s="44" t="s">
        <v>3120</v>
      </c>
      <c r="B6" s="132">
        <v>114</v>
      </c>
    </row>
    <row r="7" spans="1:4" x14ac:dyDescent="0.3">
      <c r="A7" s="44" t="s">
        <v>3124</v>
      </c>
      <c r="B7" s="132">
        <v>244</v>
      </c>
    </row>
    <row r="8" spans="1:4" x14ac:dyDescent="0.3">
      <c r="A8" s="44" t="s">
        <v>3125</v>
      </c>
      <c r="B8" s="132">
        <v>254</v>
      </c>
    </row>
    <row r="9" spans="1:4" x14ac:dyDescent="0.3">
      <c r="A9" s="44" t="s">
        <v>3126</v>
      </c>
      <c r="B9" s="132">
        <v>204</v>
      </c>
    </row>
    <row r="10" spans="1:4" x14ac:dyDescent="0.3">
      <c r="A10" s="44" t="s">
        <v>3127</v>
      </c>
      <c r="B10" s="132">
        <v>109</v>
      </c>
    </row>
    <row r="11" spans="1:4" x14ac:dyDescent="0.3">
      <c r="A11" s="44" t="s">
        <v>3128</v>
      </c>
      <c r="B11" s="132">
        <v>19</v>
      </c>
    </row>
    <row r="12" spans="1:4" x14ac:dyDescent="0.3">
      <c r="A12" s="44" t="s">
        <v>3129</v>
      </c>
      <c r="B12" s="132">
        <v>5</v>
      </c>
    </row>
    <row r="13" spans="1:4" x14ac:dyDescent="0.3">
      <c r="A13" s="44" t="s">
        <v>2948</v>
      </c>
      <c r="B13" s="132">
        <v>1002</v>
      </c>
    </row>
  </sheetData>
  <mergeCells count="1">
    <mergeCell ref="B1:D1"/>
  </mergeCell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5FAB6-B35E-4005-BDF1-FB206B197102}">
  <sheetPr codeName="Sheet16"/>
  <dimension ref="A1:C9"/>
  <sheetViews>
    <sheetView workbookViewId="0">
      <selection activeCell="B11" sqref="B11"/>
    </sheetView>
  </sheetViews>
  <sheetFormatPr defaultRowHeight="14.4" x14ac:dyDescent="0.3"/>
  <cols>
    <col min="1" max="1" width="18.109375" bestFit="1" customWidth="1"/>
    <col min="2" max="2" width="25.88671875" bestFit="1" customWidth="1"/>
    <col min="3" max="3" width="33.33203125" bestFit="1" customWidth="1"/>
  </cols>
  <sheetData>
    <row r="1" spans="1:3" x14ac:dyDescent="0.3">
      <c r="A1" s="126" t="s">
        <v>2979</v>
      </c>
      <c r="B1" s="128"/>
      <c r="C1" s="128"/>
    </row>
    <row r="3" spans="1:3" x14ac:dyDescent="0.3">
      <c r="A3" s="42" t="s">
        <v>2822</v>
      </c>
      <c r="B3" t="s">
        <v>2976</v>
      </c>
    </row>
    <row r="4" spans="1:3" x14ac:dyDescent="0.3">
      <c r="A4" s="31" t="s">
        <v>2833</v>
      </c>
      <c r="B4" s="132">
        <v>210</v>
      </c>
    </row>
    <row r="5" spans="1:3" x14ac:dyDescent="0.3">
      <c r="A5" s="31" t="s">
        <v>2847</v>
      </c>
      <c r="B5" s="132">
        <v>197</v>
      </c>
    </row>
    <row r="6" spans="1:3" x14ac:dyDescent="0.3">
      <c r="A6" s="31" t="s">
        <v>2838</v>
      </c>
      <c r="B6" s="132">
        <v>208</v>
      </c>
    </row>
    <row r="7" spans="1:3" x14ac:dyDescent="0.3">
      <c r="A7" s="31" t="s">
        <v>2828</v>
      </c>
      <c r="B7" s="132">
        <v>184</v>
      </c>
    </row>
    <row r="8" spans="1:3" x14ac:dyDescent="0.3">
      <c r="A8" s="31" t="s">
        <v>2842</v>
      </c>
      <c r="B8" s="132">
        <v>203</v>
      </c>
    </row>
    <row r="9" spans="1:3" x14ac:dyDescent="0.3">
      <c r="A9" s="31" t="s">
        <v>2948</v>
      </c>
      <c r="B9" s="132">
        <v>1002</v>
      </c>
    </row>
  </sheetData>
  <mergeCells count="1">
    <mergeCell ref="A1:C1"/>
  </mergeCell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EE5B7-3FB2-4EFF-9082-4375F70CCEA0}">
  <sheetPr codeName="Sheet17"/>
  <dimension ref="A1:C9"/>
  <sheetViews>
    <sheetView topLeftCell="A3" workbookViewId="0">
      <selection activeCell="E8" sqref="E8"/>
    </sheetView>
  </sheetViews>
  <sheetFormatPr defaultRowHeight="14.4" x14ac:dyDescent="0.3"/>
  <cols>
    <col min="1" max="1" width="18.109375" bestFit="1" customWidth="1"/>
    <col min="2" max="2" width="25.44140625" bestFit="1" customWidth="1"/>
  </cols>
  <sheetData>
    <row r="1" spans="1:3" x14ac:dyDescent="0.3">
      <c r="A1" s="126" t="s">
        <v>2978</v>
      </c>
      <c r="B1" s="128"/>
      <c r="C1" s="128"/>
    </row>
    <row r="3" spans="1:3" x14ac:dyDescent="0.3">
      <c r="A3" s="42" t="s">
        <v>2822</v>
      </c>
      <c r="B3" t="s">
        <v>2977</v>
      </c>
    </row>
    <row r="4" spans="1:3" x14ac:dyDescent="0.3">
      <c r="A4" s="31" t="s">
        <v>2833</v>
      </c>
      <c r="B4" s="132">
        <v>204</v>
      </c>
    </row>
    <row r="5" spans="1:3" x14ac:dyDescent="0.3">
      <c r="A5" s="31" t="s">
        <v>2847</v>
      </c>
      <c r="B5" s="132">
        <v>228</v>
      </c>
    </row>
    <row r="6" spans="1:3" x14ac:dyDescent="0.3">
      <c r="A6" s="31" t="s">
        <v>2838</v>
      </c>
      <c r="B6" s="132">
        <v>176</v>
      </c>
    </row>
    <row r="7" spans="1:3" x14ac:dyDescent="0.3">
      <c r="A7" s="31" t="s">
        <v>2828</v>
      </c>
      <c r="B7" s="132">
        <v>194</v>
      </c>
    </row>
    <row r="8" spans="1:3" x14ac:dyDescent="0.3">
      <c r="A8" s="31" t="s">
        <v>2842</v>
      </c>
      <c r="B8" s="132">
        <v>200</v>
      </c>
    </row>
    <row r="9" spans="1:3" x14ac:dyDescent="0.3">
      <c r="A9" s="31" t="s">
        <v>2948</v>
      </c>
      <c r="B9" s="132">
        <v>1002</v>
      </c>
    </row>
  </sheetData>
  <mergeCells count="1">
    <mergeCell ref="A1:C1"/>
  </mergeCell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95E2-B381-49FA-B768-004880DCA24B}">
  <sheetPr codeName="Sheet18"/>
  <dimension ref="A1:E7"/>
  <sheetViews>
    <sheetView workbookViewId="0">
      <selection activeCell="E20" sqref="E20"/>
    </sheetView>
  </sheetViews>
  <sheetFormatPr defaultRowHeight="14.4" x14ac:dyDescent="0.3"/>
  <cols>
    <col min="1" max="1" width="12.5546875" bestFit="1" customWidth="1"/>
    <col min="2" max="2" width="24.5546875" bestFit="1" customWidth="1"/>
    <col min="3" max="3" width="23.33203125" bestFit="1" customWidth="1"/>
    <col min="4" max="4" width="24.6640625" bestFit="1" customWidth="1"/>
    <col min="5" max="5" width="30.44140625" bestFit="1" customWidth="1"/>
  </cols>
  <sheetData>
    <row r="1" spans="1:5" x14ac:dyDescent="0.3">
      <c r="B1" s="126" t="s">
        <v>2980</v>
      </c>
      <c r="C1" s="128"/>
      <c r="D1" s="128"/>
    </row>
    <row r="3" spans="1:5" x14ac:dyDescent="0.3">
      <c r="A3" s="42" t="s">
        <v>2947</v>
      </c>
      <c r="B3" t="s">
        <v>2960</v>
      </c>
      <c r="C3" t="s">
        <v>2961</v>
      </c>
      <c r="D3" t="s">
        <v>2962</v>
      </c>
      <c r="E3" t="s">
        <v>2963</v>
      </c>
    </row>
    <row r="4" spans="1:5" x14ac:dyDescent="0.3">
      <c r="A4" s="31" t="s">
        <v>2965</v>
      </c>
      <c r="B4" s="5">
        <v>16.937675317551026</v>
      </c>
      <c r="C4" s="5">
        <v>11.017824956054424</v>
      </c>
      <c r="D4" s="5">
        <v>11.192561500816327</v>
      </c>
      <c r="E4" s="5">
        <v>13.398163401292523</v>
      </c>
    </row>
    <row r="5" spans="1:5" x14ac:dyDescent="0.3">
      <c r="A5" s="31" t="s">
        <v>2966</v>
      </c>
      <c r="B5" s="5">
        <v>17.241211012499999</v>
      </c>
      <c r="C5" s="5">
        <v>12.862507504935897</v>
      </c>
      <c r="D5" s="5">
        <v>11.516490839807696</v>
      </c>
      <c r="E5" s="5">
        <v>12.535647228589744</v>
      </c>
    </row>
    <row r="6" spans="1:5" x14ac:dyDescent="0.3">
      <c r="A6" s="31" t="s">
        <v>2967</v>
      </c>
      <c r="B6" s="5">
        <v>16.83365989569382</v>
      </c>
      <c r="C6" s="5">
        <v>11.397209398268959</v>
      </c>
      <c r="D6" s="5">
        <v>11.898162359184555</v>
      </c>
      <c r="E6" s="5">
        <v>12.616776247095848</v>
      </c>
    </row>
    <row r="7" spans="1:5" x14ac:dyDescent="0.3">
      <c r="A7" s="31" t="s">
        <v>2948</v>
      </c>
      <c r="B7" s="5">
        <v>16.912370715289438</v>
      </c>
      <c r="C7" s="5">
        <v>11.569681445808381</v>
      </c>
      <c r="D7" s="5">
        <v>11.735224152395221</v>
      </c>
      <c r="E7" s="5">
        <v>12.718780024321378</v>
      </c>
    </row>
  </sheetData>
  <mergeCells count="1">
    <mergeCell ref="B1:D1"/>
  </mergeCell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232A-374D-4C39-9B44-CA9E1B9AE933}">
  <sheetPr codeName="Sheet24"/>
  <dimension ref="A1:C8"/>
  <sheetViews>
    <sheetView zoomScale="74" workbookViewId="0">
      <selection activeCell="G26" sqref="G26"/>
    </sheetView>
  </sheetViews>
  <sheetFormatPr defaultRowHeight="14.4" x14ac:dyDescent="0.3"/>
  <cols>
    <col min="1" max="1" width="17.5546875" bestFit="1" customWidth="1"/>
    <col min="2" max="2" width="32.5546875" bestFit="1" customWidth="1"/>
    <col min="3" max="3" width="37" bestFit="1" customWidth="1"/>
  </cols>
  <sheetData>
    <row r="1" spans="1:3" x14ac:dyDescent="0.3">
      <c r="B1" s="126" t="s">
        <v>2984</v>
      </c>
      <c r="C1" s="131"/>
    </row>
    <row r="3" spans="1:3" x14ac:dyDescent="0.3">
      <c r="A3" s="42" t="s">
        <v>2947</v>
      </c>
      <c r="B3" t="s">
        <v>2982</v>
      </c>
      <c r="C3" t="s">
        <v>2983</v>
      </c>
    </row>
    <row r="4" spans="1:3" x14ac:dyDescent="0.3">
      <c r="A4" s="31" t="s">
        <v>2815</v>
      </c>
      <c r="B4" s="5">
        <v>84.4</v>
      </c>
      <c r="C4" s="5">
        <v>69.959999999999994</v>
      </c>
    </row>
    <row r="5" spans="1:3" x14ac:dyDescent="0.3">
      <c r="A5" s="31" t="s">
        <v>2818</v>
      </c>
      <c r="B5" s="5">
        <v>73.63</v>
      </c>
      <c r="C5" s="5">
        <v>60.52</v>
      </c>
    </row>
    <row r="6" spans="1:3" x14ac:dyDescent="0.3">
      <c r="A6" s="31" t="s">
        <v>2816</v>
      </c>
      <c r="B6" s="5">
        <v>80.349999999999994</v>
      </c>
      <c r="C6" s="5">
        <v>64.819999999999993</v>
      </c>
    </row>
    <row r="7" spans="1:3" x14ac:dyDescent="0.3">
      <c r="A7" s="31" t="s">
        <v>2817</v>
      </c>
      <c r="B7" s="5">
        <v>90.32</v>
      </c>
      <c r="C7" s="5">
        <v>75.510000000000005</v>
      </c>
    </row>
    <row r="8" spans="1:3" x14ac:dyDescent="0.3">
      <c r="A8" s="31" t="s">
        <v>2948</v>
      </c>
      <c r="B8" s="5">
        <v>82.174999999999997</v>
      </c>
      <c r="C8" s="5">
        <v>67.702500000000001</v>
      </c>
    </row>
  </sheetData>
  <mergeCells count="1">
    <mergeCell ref="B1:C1"/>
  </mergeCell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CDF59-940C-442F-A663-69A52DDFCDFA}">
  <sheetPr codeName="Sheet10"/>
  <dimension ref="A1:E7"/>
  <sheetViews>
    <sheetView zoomScale="44" workbookViewId="0">
      <selection activeCell="D32" sqref="D32"/>
    </sheetView>
  </sheetViews>
  <sheetFormatPr defaultRowHeight="14.4" x14ac:dyDescent="0.3"/>
  <cols>
    <col min="1" max="1" width="15.5546875" bestFit="1" customWidth="1"/>
    <col min="2" max="2" width="25.6640625" bestFit="1" customWidth="1"/>
    <col min="3" max="3" width="24.33203125" bestFit="1" customWidth="1"/>
    <col min="4" max="4" width="25.6640625" bestFit="1" customWidth="1"/>
    <col min="5" max="5" width="31.44140625" bestFit="1" customWidth="1"/>
    <col min="6" max="6" width="27.21875" bestFit="1" customWidth="1"/>
  </cols>
  <sheetData>
    <row r="1" spans="1:5" x14ac:dyDescent="0.3">
      <c r="B1" s="129" t="s">
        <v>2980</v>
      </c>
      <c r="C1" s="129"/>
      <c r="D1" s="129"/>
      <c r="E1" s="47"/>
    </row>
    <row r="3" spans="1:5" x14ac:dyDescent="0.3">
      <c r="A3" s="42" t="s">
        <v>2947</v>
      </c>
      <c r="B3" t="s">
        <v>2960</v>
      </c>
      <c r="C3" t="s">
        <v>2961</v>
      </c>
      <c r="D3" t="s">
        <v>2962</v>
      </c>
      <c r="E3" t="s">
        <v>2963</v>
      </c>
    </row>
    <row r="4" spans="1:5" x14ac:dyDescent="0.3">
      <c r="A4" s="31" t="s">
        <v>2965</v>
      </c>
      <c r="B4" s="5">
        <v>16.937675317551026</v>
      </c>
      <c r="C4" s="5">
        <v>11.017824956054424</v>
      </c>
      <c r="D4" s="5">
        <v>11.192561500816327</v>
      </c>
      <c r="E4" s="5">
        <v>13.398163401292523</v>
      </c>
    </row>
    <row r="5" spans="1:5" x14ac:dyDescent="0.3">
      <c r="A5" s="31" t="s">
        <v>2966</v>
      </c>
      <c r="B5" s="5">
        <v>17.241211012499999</v>
      </c>
      <c r="C5" s="5">
        <v>12.862507504935897</v>
      </c>
      <c r="D5" s="5">
        <v>11.516490839807696</v>
      </c>
      <c r="E5" s="5">
        <v>12.535647228589744</v>
      </c>
    </row>
    <row r="6" spans="1:5" x14ac:dyDescent="0.3">
      <c r="A6" s="31" t="s">
        <v>2967</v>
      </c>
      <c r="B6" s="5">
        <v>16.83365989569382</v>
      </c>
      <c r="C6" s="5">
        <v>11.397209398268959</v>
      </c>
      <c r="D6" s="5">
        <v>11.898162359184555</v>
      </c>
      <c r="E6" s="5">
        <v>12.616776247095848</v>
      </c>
    </row>
    <row r="7" spans="1:5" x14ac:dyDescent="0.3">
      <c r="A7" s="31" t="s">
        <v>2948</v>
      </c>
      <c r="B7" s="5">
        <v>16.912370715289438</v>
      </c>
      <c r="C7" s="5">
        <v>11.569681445808381</v>
      </c>
      <c r="D7" s="5">
        <v>11.735224152395221</v>
      </c>
      <c r="E7" s="5">
        <v>12.718780024321378</v>
      </c>
    </row>
  </sheetData>
  <mergeCells count="1">
    <mergeCell ref="B1:D1"/>
  </mergeCell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25966-353A-4A20-9B94-41A1CB2E4991}">
  <sheetPr codeName="Sheet25"/>
  <dimension ref="A1:G8"/>
  <sheetViews>
    <sheetView workbookViewId="0">
      <selection activeCell="F11" sqref="F11"/>
    </sheetView>
  </sheetViews>
  <sheetFormatPr defaultRowHeight="14.4" x14ac:dyDescent="0.3"/>
  <cols>
    <col min="1" max="1" width="17.88671875" bestFit="1" customWidth="1"/>
    <col min="2" max="2" width="15.5546875" bestFit="1" customWidth="1"/>
    <col min="3" max="3" width="11.33203125" bestFit="1" customWidth="1"/>
    <col min="4" max="4" width="13.5546875" bestFit="1" customWidth="1"/>
    <col min="5" max="5" width="8" bestFit="1" customWidth="1"/>
    <col min="6" max="6" width="14.21875" bestFit="1" customWidth="1"/>
    <col min="7" max="7" width="10.77734375" bestFit="1" customWidth="1"/>
    <col min="8" max="8" width="3" bestFit="1" customWidth="1"/>
    <col min="9" max="9" width="16.109375" bestFit="1" customWidth="1"/>
    <col min="10" max="10" width="15.5546875" bestFit="1" customWidth="1"/>
    <col min="11" max="11" width="2" bestFit="1" customWidth="1"/>
    <col min="12" max="12" width="3" bestFit="1" customWidth="1"/>
    <col min="13" max="13" width="18.33203125" bestFit="1" customWidth="1"/>
    <col min="14" max="14" width="10" bestFit="1" customWidth="1"/>
    <col min="15" max="16" width="3" bestFit="1" customWidth="1"/>
    <col min="17" max="17" width="12.6640625" bestFit="1" customWidth="1"/>
    <col min="18" max="18" width="16.21875" bestFit="1" customWidth="1"/>
    <col min="19" max="19" width="2" bestFit="1" customWidth="1"/>
    <col min="20" max="20" width="3" bestFit="1" customWidth="1"/>
    <col min="21" max="21" width="19" bestFit="1" customWidth="1"/>
    <col min="22" max="22" width="10.77734375" bestFit="1" customWidth="1"/>
  </cols>
  <sheetData>
    <row r="1" spans="1:7" x14ac:dyDescent="0.3">
      <c r="B1" s="126" t="s">
        <v>2981</v>
      </c>
      <c r="C1" s="128"/>
      <c r="D1" s="128"/>
      <c r="E1" s="128"/>
      <c r="F1" s="128"/>
    </row>
    <row r="3" spans="1:7" x14ac:dyDescent="0.3">
      <c r="A3" s="42" t="s">
        <v>2969</v>
      </c>
      <c r="B3" s="42" t="s">
        <v>2950</v>
      </c>
    </row>
    <row r="4" spans="1:7" x14ac:dyDescent="0.3">
      <c r="A4" s="42" t="s">
        <v>2947</v>
      </c>
      <c r="B4" t="s">
        <v>2833</v>
      </c>
      <c r="C4" t="s">
        <v>2847</v>
      </c>
      <c r="D4" t="s">
        <v>2838</v>
      </c>
      <c r="E4" t="s">
        <v>2828</v>
      </c>
      <c r="F4" t="s">
        <v>2842</v>
      </c>
      <c r="G4" t="s">
        <v>2948</v>
      </c>
    </row>
    <row r="5" spans="1:7" x14ac:dyDescent="0.3">
      <c r="A5" s="31" t="s">
        <v>3130</v>
      </c>
      <c r="B5">
        <v>1</v>
      </c>
      <c r="F5">
        <v>1</v>
      </c>
      <c r="G5">
        <v>2</v>
      </c>
    </row>
    <row r="6" spans="1:7" x14ac:dyDescent="0.3">
      <c r="A6" s="31" t="s">
        <v>2970</v>
      </c>
      <c r="B6">
        <v>2</v>
      </c>
      <c r="C6">
        <v>2</v>
      </c>
      <c r="D6">
        <v>3</v>
      </c>
      <c r="E6">
        <v>2</v>
      </c>
      <c r="F6">
        <v>2</v>
      </c>
      <c r="G6">
        <v>11</v>
      </c>
    </row>
    <row r="7" spans="1:7" x14ac:dyDescent="0.3">
      <c r="A7" s="31" t="s">
        <v>2971</v>
      </c>
      <c r="C7">
        <v>1</v>
      </c>
      <c r="E7">
        <v>1</v>
      </c>
      <c r="G7">
        <v>2</v>
      </c>
    </row>
    <row r="8" spans="1:7" x14ac:dyDescent="0.3">
      <c r="A8" s="31" t="s">
        <v>2948</v>
      </c>
      <c r="B8">
        <v>3</v>
      </c>
      <c r="C8">
        <v>3</v>
      </c>
      <c r="D8">
        <v>3</v>
      </c>
      <c r="E8">
        <v>3</v>
      </c>
      <c r="F8">
        <v>3</v>
      </c>
      <c r="G8">
        <v>15</v>
      </c>
    </row>
  </sheetData>
  <mergeCells count="1">
    <mergeCell ref="B1:F1"/>
  </mergeCells>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F94F3-7626-4DF2-B302-1BE06267B15D}">
  <sheetPr codeName="Sheet26"/>
  <dimension ref="A1:E9"/>
  <sheetViews>
    <sheetView zoomScale="50" zoomScaleNormal="50" workbookViewId="0">
      <selection activeCell="S16" sqref="S16"/>
    </sheetView>
  </sheetViews>
  <sheetFormatPr defaultRowHeight="14.4" x14ac:dyDescent="0.3"/>
  <cols>
    <col min="1" max="1" width="15.44140625" bestFit="1" customWidth="1"/>
    <col min="2" max="2" width="18.33203125" bestFit="1" customWidth="1"/>
  </cols>
  <sheetData>
    <row r="1" spans="1:5" x14ac:dyDescent="0.3">
      <c r="B1" s="126" t="s">
        <v>2819</v>
      </c>
      <c r="C1" s="126"/>
      <c r="D1" s="126"/>
      <c r="E1" s="126"/>
    </row>
    <row r="3" spans="1:5" x14ac:dyDescent="0.3">
      <c r="A3" s="42" t="s">
        <v>2947</v>
      </c>
      <c r="B3" t="s">
        <v>2969</v>
      </c>
    </row>
    <row r="4" spans="1:5" x14ac:dyDescent="0.3">
      <c r="A4" s="31" t="s">
        <v>2833</v>
      </c>
      <c r="B4">
        <v>3</v>
      </c>
    </row>
    <row r="5" spans="1:5" x14ac:dyDescent="0.3">
      <c r="A5" s="31" t="s">
        <v>2847</v>
      </c>
      <c r="B5">
        <v>3</v>
      </c>
    </row>
    <row r="6" spans="1:5" x14ac:dyDescent="0.3">
      <c r="A6" s="31" t="s">
        <v>2838</v>
      </c>
      <c r="B6">
        <v>3</v>
      </c>
    </row>
    <row r="7" spans="1:5" x14ac:dyDescent="0.3">
      <c r="A7" s="31" t="s">
        <v>2828</v>
      </c>
      <c r="B7">
        <v>3</v>
      </c>
    </row>
    <row r="8" spans="1:5" x14ac:dyDescent="0.3">
      <c r="A8" s="31" t="s">
        <v>2842</v>
      </c>
      <c r="B8">
        <v>3</v>
      </c>
    </row>
    <row r="9" spans="1:5" x14ac:dyDescent="0.3">
      <c r="A9" s="31" t="s">
        <v>2948</v>
      </c>
      <c r="B9">
        <v>15</v>
      </c>
    </row>
  </sheetData>
  <mergeCells count="1">
    <mergeCell ref="B1:E1"/>
  </mergeCells>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B5E08-0723-4271-81DF-0613412FEDB6}">
  <sheetPr codeName="Sheet27"/>
  <dimension ref="A1:F6"/>
  <sheetViews>
    <sheetView zoomScale="77" workbookViewId="0">
      <selection activeCell="J22" sqref="J22"/>
    </sheetView>
  </sheetViews>
  <sheetFormatPr defaultRowHeight="14.4" x14ac:dyDescent="0.3"/>
  <cols>
    <col min="1" max="1" width="13.33203125" bestFit="1" customWidth="1"/>
    <col min="2" max="2" width="18.33203125" bestFit="1" customWidth="1"/>
  </cols>
  <sheetData>
    <row r="1" spans="1:6" x14ac:dyDescent="0.3">
      <c r="A1" s="48"/>
      <c r="B1" s="126" t="s">
        <v>2986</v>
      </c>
      <c r="C1" s="126"/>
      <c r="D1" s="126"/>
      <c r="E1" s="126"/>
      <c r="F1" s="126"/>
    </row>
    <row r="3" spans="1:6" x14ac:dyDescent="0.3">
      <c r="A3" s="42" t="s">
        <v>2947</v>
      </c>
      <c r="B3" t="s">
        <v>2949</v>
      </c>
    </row>
    <row r="4" spans="1:6" x14ac:dyDescent="0.3">
      <c r="A4" s="31" t="s">
        <v>2881</v>
      </c>
      <c r="B4" s="132">
        <v>366</v>
      </c>
    </row>
    <row r="5" spans="1:6" x14ac:dyDescent="0.3">
      <c r="A5" s="31" t="s">
        <v>2882</v>
      </c>
      <c r="B5" s="132">
        <v>636</v>
      </c>
    </row>
    <row r="6" spans="1:6" x14ac:dyDescent="0.3">
      <c r="A6" s="31" t="s">
        <v>2948</v>
      </c>
      <c r="B6" s="132">
        <v>1002</v>
      </c>
    </row>
  </sheetData>
  <mergeCells count="1">
    <mergeCell ref="B1:F1"/>
  </mergeCells>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474F-FDB5-4C1C-988F-734A5F818253}">
  <sheetPr codeName="Sheet11"/>
  <dimension ref="A1:E9"/>
  <sheetViews>
    <sheetView zoomScale="87" zoomScaleNormal="127" workbookViewId="0">
      <selection activeCell="H22" sqref="H22"/>
    </sheetView>
  </sheetViews>
  <sheetFormatPr defaultRowHeight="14.4" x14ac:dyDescent="0.3"/>
  <cols>
    <col min="1" max="1" width="18.88671875" bestFit="1" customWidth="1"/>
    <col min="2" max="2" width="22" bestFit="1" customWidth="1"/>
    <col min="4" max="4" width="9.6640625" customWidth="1"/>
  </cols>
  <sheetData>
    <row r="1" spans="1:5" x14ac:dyDescent="0.3">
      <c r="A1" s="126" t="s">
        <v>2985</v>
      </c>
      <c r="B1" s="126"/>
      <c r="C1" s="126"/>
      <c r="D1" s="126"/>
      <c r="E1" s="126"/>
    </row>
    <row r="3" spans="1:5" x14ac:dyDescent="0.3">
      <c r="A3" s="42" t="s">
        <v>2822</v>
      </c>
      <c r="B3" t="s">
        <v>2964</v>
      </c>
    </row>
    <row r="4" spans="1:5" x14ac:dyDescent="0.3">
      <c r="A4" s="31" t="s">
        <v>2833</v>
      </c>
      <c r="B4" s="132">
        <v>210</v>
      </c>
    </row>
    <row r="5" spans="1:5" x14ac:dyDescent="0.3">
      <c r="A5" s="31" t="s">
        <v>2847</v>
      </c>
      <c r="B5" s="132">
        <v>197</v>
      </c>
    </row>
    <row r="6" spans="1:5" x14ac:dyDescent="0.3">
      <c r="A6" s="31" t="s">
        <v>2838</v>
      </c>
      <c r="B6" s="132">
        <v>208</v>
      </c>
    </row>
    <row r="7" spans="1:5" x14ac:dyDescent="0.3">
      <c r="A7" s="31" t="s">
        <v>2828</v>
      </c>
      <c r="B7" s="132">
        <v>184</v>
      </c>
    </row>
    <row r="8" spans="1:5" x14ac:dyDescent="0.3">
      <c r="A8" s="31" t="s">
        <v>2842</v>
      </c>
      <c r="B8" s="132">
        <v>203</v>
      </c>
    </row>
    <row r="9" spans="1:5" x14ac:dyDescent="0.3">
      <c r="A9" s="31" t="s">
        <v>2948</v>
      </c>
      <c r="B9" s="132">
        <v>1002</v>
      </c>
    </row>
  </sheetData>
  <mergeCells count="1">
    <mergeCell ref="A1:E1"/>
  </mergeCell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9736E896-6042-49DA-AAFD-CBE65F51FA31}">
  <ds:schemaRefs/>
</ds:datastoreItem>
</file>

<file path=customXml/itemProps2.xml><?xml version="1.0" encoding="utf-8"?>
<ds:datastoreItem xmlns:ds="http://schemas.openxmlformats.org/officeDocument/2006/customXml" ds:itemID="{67B225F9-E05F-44D0-A76D-59382E9CED07}">
  <ds:schemaRefs/>
</ds:datastoreItem>
</file>

<file path=customXml/itemProps3.xml><?xml version="1.0" encoding="utf-8"?>
<ds:datastoreItem xmlns:ds="http://schemas.openxmlformats.org/officeDocument/2006/customXml" ds:itemID="{198CD0C1-7AF0-4680-A2DA-E1D1DFBF2DAF}">
  <ds:schemaRefs/>
</ds:datastoreItem>
</file>

<file path=customXml/itemProps4.xml><?xml version="1.0" encoding="utf-8"?>
<ds:datastoreItem xmlns:ds="http://schemas.openxmlformats.org/officeDocument/2006/customXml" ds:itemID="{EF6C550F-3F6B-4858-851F-E23EE745190F}">
  <ds:schemaRefs/>
</ds:datastoreItem>
</file>

<file path=customXml/itemProps5.xml><?xml version="1.0" encoding="utf-8"?>
<ds:datastoreItem xmlns:ds="http://schemas.openxmlformats.org/officeDocument/2006/customXml" ds:itemID="{10870EEB-6FA9-4DF2-B8E3-1C54C2917634}">
  <ds:schemaRefs/>
</ds:datastoreItem>
</file>

<file path=customXml/itemProps6.xml><?xml version="1.0" encoding="utf-8"?>
<ds:datastoreItem xmlns:ds="http://schemas.openxmlformats.org/officeDocument/2006/customXml" ds:itemID="{0C56639B-682D-4E67-A658-5F912A779E71}">
  <ds:schemaRefs/>
</ds:datastoreItem>
</file>

<file path=customXml/itemProps7.xml><?xml version="1.0" encoding="utf-8"?>
<ds:datastoreItem xmlns:ds="http://schemas.openxmlformats.org/officeDocument/2006/customXml" ds:itemID="{EFF119E8-93E4-483A-A5C6-65AE02FC0D4B}">
  <ds:schemaRefs/>
</ds:datastoreItem>
</file>

<file path=customXml/itemProps8.xml><?xml version="1.0" encoding="utf-8"?>
<ds:datastoreItem xmlns:ds="http://schemas.openxmlformats.org/officeDocument/2006/customXml" ds:itemID="{0761AC1A-F4F7-45D3-A3F4-9EA93BF2550E}">
  <ds:schemaRefs/>
</ds:datastoreItem>
</file>

<file path=customXml/itemProps9.xml><?xml version="1.0" encoding="utf-8"?>
<ds:datastoreItem xmlns:ds="http://schemas.openxmlformats.org/officeDocument/2006/customXml" ds:itemID="{5A9E7706-3640-4CBA-A5F2-9E548861AE41}">
  <ds:schemaRefs/>
</ds:datastoreItem>
</file>

<file path=customXml/itemProps10.xml><?xml version="1.0" encoding="utf-8"?>
<ds:datastoreItem xmlns:ds="http://schemas.openxmlformats.org/officeDocument/2006/customXml" ds:itemID="{AC92617C-52DA-43F9-84E3-4DC7D8A66F41}">
  <ds:schemaRefs/>
</ds:datastoreItem>
</file>

<file path=customXml/itemProps11.xml><?xml version="1.0" encoding="utf-8"?>
<ds:datastoreItem xmlns:ds="http://schemas.openxmlformats.org/officeDocument/2006/customXml" ds:itemID="{E16DD79B-2C08-41D2-AF3B-DDBB368611B3}">
  <ds:schemaRefs/>
</ds:datastoreItem>
</file>

<file path=customXml/itemProps12.xml><?xml version="1.0" encoding="utf-8"?>
<ds:datastoreItem xmlns:ds="http://schemas.openxmlformats.org/officeDocument/2006/customXml" ds:itemID="{A8DB59AF-61C0-4C23-B49C-FE798B7409CE}">
  <ds:schemaRefs>
    <ds:schemaRef ds:uri="http://schemas.microsoft.com/DataMashup"/>
  </ds:schemaRefs>
</ds:datastoreItem>
</file>

<file path=customXml/itemProps13.xml><?xml version="1.0" encoding="utf-8"?>
<ds:datastoreItem xmlns:ds="http://schemas.openxmlformats.org/officeDocument/2006/customXml" ds:itemID="{47367ECD-9C81-4E6D-B8A8-0EF6DD306291}">
  <ds:schemaRefs/>
</ds:datastoreItem>
</file>

<file path=customXml/itemProps14.xml><?xml version="1.0" encoding="utf-8"?>
<ds:datastoreItem xmlns:ds="http://schemas.openxmlformats.org/officeDocument/2006/customXml" ds:itemID="{9FA03B9D-6175-4A17-9020-439C5E4E9984}">
  <ds:schemaRefs/>
</ds:datastoreItem>
</file>

<file path=customXml/itemProps15.xml><?xml version="1.0" encoding="utf-8"?>
<ds:datastoreItem xmlns:ds="http://schemas.openxmlformats.org/officeDocument/2006/customXml" ds:itemID="{2AD1DEA2-5E35-420A-AC8A-C2F31606B0E6}">
  <ds:schemaRefs/>
</ds:datastoreItem>
</file>

<file path=customXml/itemProps16.xml><?xml version="1.0" encoding="utf-8"?>
<ds:datastoreItem xmlns:ds="http://schemas.openxmlformats.org/officeDocument/2006/customXml" ds:itemID="{99DD82D9-7698-451A-B423-C4D59FE253E5}">
  <ds:schemaRefs/>
</ds:datastoreItem>
</file>

<file path=customXml/itemProps17.xml><?xml version="1.0" encoding="utf-8"?>
<ds:datastoreItem xmlns:ds="http://schemas.openxmlformats.org/officeDocument/2006/customXml" ds:itemID="{7FE62BF8-60B2-499A-9F68-7605D80F66BD}">
  <ds:schemaRefs/>
</ds:datastoreItem>
</file>

<file path=customXml/itemProps18.xml><?xml version="1.0" encoding="utf-8"?>
<ds:datastoreItem xmlns:ds="http://schemas.openxmlformats.org/officeDocument/2006/customXml" ds:itemID="{C035561C-7F77-456E-A2E3-E15591A81D98}">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Home</vt:lpstr>
      <vt:lpstr>Instructions</vt:lpstr>
      <vt:lpstr>Raw Student Data</vt:lpstr>
      <vt:lpstr>Clean Student Data</vt:lpstr>
      <vt:lpstr>Raw Gamification Data</vt:lpstr>
      <vt:lpstr>Clean Gamification Data</vt:lpstr>
      <vt:lpstr>Summary Table</vt:lpstr>
      <vt:lpstr>Teacher_Master</vt:lpstr>
      <vt:lpstr>Master_Data</vt:lpstr>
      <vt:lpstr> Overall Analysis</vt:lpstr>
      <vt:lpstr>KPI Analysis</vt:lpstr>
      <vt:lpstr>Dashboard</vt:lpstr>
      <vt:lpstr>Effectiveness &amp; Engagement </vt:lpstr>
      <vt:lpstr> Gamification Lift(Age) </vt:lpstr>
      <vt:lpstr>Gamification Lift(Gender)</vt:lpstr>
      <vt:lpstr>Effectiveness Distribution</vt:lpstr>
      <vt:lpstr>Teaching Method(Effectiveness)</vt:lpstr>
      <vt:lpstr>Teaching Method(Engagement)</vt:lpstr>
      <vt:lpstr>Gamification Lift</vt:lpstr>
      <vt:lpstr>Gamification &amp; Non-Gamification</vt:lpstr>
      <vt:lpstr>Gamification Lift(Performance)</vt:lpstr>
      <vt:lpstr>Teacher Count</vt:lpstr>
      <vt:lpstr>Teacher ID</vt:lpstr>
      <vt:lpstr>Gender Split</vt:lpstr>
      <vt:lpstr>Students per Teacher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Shreshta Saha</cp:lastModifiedBy>
  <cp:revision>0</cp:revision>
  <cp:lastPrinted>2026-07-13T11:37:30Z</cp:lastPrinted>
  <dcterms:created xsi:type="dcterms:W3CDTF">2026-07-08T04:56:52Z</dcterms:created>
  <dcterms:modified xsi:type="dcterms:W3CDTF">2026-07-14T06:31:22Z</dcterms:modified>
  <dc:language>en-US</dc:language>
</cp:coreProperties>
</file>